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Коротченкова А.В\!!!Раскрытие информации\Раскр. инф. по план. расх. ТП на 2024 год (ПП РФ 24)\РЭ\"/>
    </mc:Choice>
  </mc:AlternateContent>
  <bookViews>
    <workbookView xWindow="0" yWindow="0" windowWidth="25200" windowHeight="12000" tabRatio="718"/>
  </bookViews>
  <sheets>
    <sheet name="Приложение 1" sheetId="2" r:id="rId1"/>
    <sheet name="Приложение 2" sheetId="4" r:id="rId2"/>
    <sheet name="Приложение 3" sheetId="5" r:id="rId3"/>
    <sheet name="Лист1" sheetId="3" state="hidden" r:id="rId4"/>
  </sheets>
  <definedNames>
    <definedName name="_xlnm._FilterDatabase" localSheetId="0" hidden="1">'Приложение 1'!$A$2:$A$12146</definedName>
    <definedName name="_xlnm.Print_Titles" localSheetId="0">'Приложение 1'!$9:$9</definedName>
    <definedName name="_xlnm.Print_Titles" localSheetId="1">'Приложение 2'!$6:$6</definedName>
    <definedName name="_xlnm.Print_Titles" localSheetId="2">'Приложение 3'!$5:$5</definedName>
    <definedName name="_xlnm.Print_Area" localSheetId="0">'Приложение 1'!$A$1:$H$12146</definedName>
    <definedName name="_xlnm.Print_Area" localSheetId="1">'Приложение 2'!$A$1:$N$19</definedName>
    <definedName name="_xlnm.Print_Area" localSheetId="2">'Приложение 3'!$A$1:$E$30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637" i="2" l="1"/>
  <c r="E23" i="5" l="1"/>
  <c r="D23" i="5"/>
  <c r="C23" i="5"/>
  <c r="E22" i="5"/>
  <c r="D22" i="5"/>
  <c r="E17" i="5"/>
  <c r="E14" i="5" s="1"/>
  <c r="E9" i="5" s="1"/>
  <c r="D17" i="5"/>
  <c r="D14" i="5" s="1"/>
  <c r="C17" i="5"/>
  <c r="C14" i="5" s="1"/>
  <c r="F14" i="4"/>
  <c r="J11" i="4"/>
  <c r="F11" i="4"/>
  <c r="L2" i="4"/>
  <c r="D2" i="4"/>
  <c r="D9" i="5" l="1"/>
  <c r="C9" i="5"/>
  <c r="H2" i="4"/>
  <c r="F13" i="4"/>
  <c r="J14" i="4"/>
  <c r="N14" i="4" s="1"/>
  <c r="K14" i="4" s="1"/>
  <c r="J13" i="4"/>
  <c r="N13" i="4" s="1"/>
  <c r="K13" i="4" s="1"/>
  <c r="N11" i="4" l="1"/>
  <c r="H3824" i="2" l="1"/>
  <c r="G3824" i="2"/>
  <c r="F3824" i="2"/>
  <c r="F3825" i="2"/>
  <c r="G3825" i="2"/>
  <c r="H3825" i="2"/>
  <c r="H3823" i="2"/>
  <c r="G3823" i="2"/>
  <c r="F3823" i="2"/>
  <c r="H3815" i="2"/>
  <c r="H3814" i="2"/>
  <c r="H3813" i="2"/>
  <c r="G3815" i="2"/>
  <c r="G3814" i="2"/>
  <c r="G3813" i="2"/>
  <c r="F3815" i="2"/>
  <c r="F3814" i="2"/>
  <c r="F3813" i="2"/>
  <c r="H3803" i="2"/>
  <c r="H3802" i="2"/>
  <c r="H3801" i="2"/>
  <c r="G3803" i="2"/>
  <c r="G3802" i="2"/>
  <c r="G3801" i="2"/>
  <c r="F3803" i="2"/>
  <c r="F3802" i="2"/>
  <c r="F3801" i="2"/>
  <c r="H3794" i="2"/>
  <c r="G3794" i="2"/>
  <c r="F3794" i="2"/>
  <c r="H3781" i="2"/>
  <c r="H3780" i="2"/>
  <c r="H3779" i="2"/>
  <c r="G3781" i="2"/>
  <c r="G3780" i="2"/>
  <c r="G3779" i="2"/>
  <c r="F3781" i="2"/>
  <c r="F3780" i="2"/>
  <c r="F3779" i="2"/>
  <c r="H3769" i="2" l="1"/>
  <c r="H3768" i="2"/>
  <c r="H3767" i="2"/>
  <c r="G3769" i="2"/>
  <c r="G3768" i="2"/>
  <c r="G3767" i="2"/>
  <c r="F3769" i="2"/>
  <c r="F3768" i="2"/>
  <c r="F3767" i="2"/>
  <c r="F3759" i="2"/>
  <c r="G3759" i="2"/>
  <c r="H3759" i="2"/>
  <c r="H3758" i="2"/>
  <c r="G3758" i="2"/>
  <c r="F3758" i="2"/>
  <c r="H3747" i="2" l="1"/>
  <c r="H3746" i="2"/>
  <c r="H3745" i="2"/>
  <c r="G3747" i="2"/>
  <c r="G3746" i="2"/>
  <c r="G3745" i="2"/>
  <c r="F3747" i="2"/>
  <c r="F3746" i="2"/>
  <c r="F3745" i="2"/>
  <c r="H3735" i="2"/>
  <c r="H3734" i="2"/>
  <c r="H3733" i="2"/>
  <c r="G3735" i="2"/>
  <c r="G3734" i="2"/>
  <c r="G3733" i="2"/>
  <c r="F3735" i="2"/>
  <c r="F3734" i="2"/>
  <c r="F3733" i="2"/>
  <c r="H3718" i="2"/>
  <c r="H3717" i="2"/>
  <c r="H3716" i="2"/>
  <c r="G3718" i="2"/>
  <c r="G3717" i="2"/>
  <c r="G3716" i="2"/>
  <c r="F3718" i="2"/>
  <c r="F3717" i="2"/>
  <c r="F3716" i="2"/>
  <c r="H3709" i="2"/>
  <c r="H3708" i="2"/>
  <c r="H3707" i="2"/>
  <c r="G3709" i="2"/>
  <c r="G3708" i="2"/>
  <c r="G3707" i="2"/>
  <c r="F3709" i="2"/>
  <c r="F3708" i="2"/>
  <c r="F3707" i="2"/>
  <c r="G3701" i="2"/>
  <c r="G3700" i="2"/>
  <c r="F3701" i="2"/>
  <c r="F3700" i="2"/>
  <c r="H3701" i="2"/>
  <c r="H3700" i="2"/>
  <c r="H3699" i="2"/>
  <c r="G3699" i="2"/>
  <c r="F3699" i="2"/>
  <c r="H3688" i="2"/>
  <c r="H3687" i="2"/>
  <c r="H3686" i="2"/>
  <c r="G3688" i="2"/>
  <c r="G3687" i="2"/>
  <c r="G3686" i="2"/>
  <c r="F3688" i="2"/>
  <c r="F3687" i="2"/>
  <c r="F3686" i="2"/>
  <c r="H3672" i="2"/>
  <c r="H3671" i="2"/>
  <c r="H3670" i="2"/>
  <c r="G3672" i="2"/>
  <c r="G3671" i="2"/>
  <c r="G3670" i="2"/>
  <c r="F3672" i="2"/>
  <c r="F3671" i="2"/>
  <c r="F3670" i="2"/>
  <c r="H3661" i="2"/>
  <c r="H3660" i="2"/>
  <c r="H3659" i="2"/>
  <c r="G3661" i="2"/>
  <c r="G3660" i="2"/>
  <c r="G3659" i="2"/>
  <c r="F3661" i="2"/>
  <c r="F3660" i="2"/>
  <c r="F3659" i="2"/>
  <c r="H3647" i="2"/>
  <c r="H3646" i="2"/>
  <c r="G3647" i="2"/>
  <c r="G3646" i="2"/>
  <c r="F3647" i="2"/>
  <c r="F3646" i="2"/>
  <c r="H3638" i="2"/>
  <c r="H3637" i="2"/>
  <c r="G3637" i="2"/>
  <c r="G3638" i="2"/>
  <c r="F3638" i="2"/>
  <c r="H3626" i="2"/>
  <c r="H3625" i="2"/>
  <c r="H3624" i="2"/>
  <c r="G3626" i="2"/>
  <c r="G3625" i="2"/>
  <c r="G3624" i="2"/>
  <c r="F3626" i="2"/>
  <c r="F3625" i="2"/>
  <c r="F3624" i="2"/>
  <c r="H3589" i="2"/>
  <c r="H3588" i="2"/>
  <c r="H3587" i="2"/>
  <c r="G3589" i="2"/>
  <c r="G3588" i="2"/>
  <c r="G3587" i="2"/>
  <c r="F3589" i="2"/>
  <c r="F3588" i="2"/>
  <c r="F3587" i="2"/>
  <c r="H3473" i="2"/>
  <c r="H3472" i="2"/>
  <c r="H3471" i="2"/>
  <c r="G3473" i="2"/>
  <c r="G3472" i="2"/>
  <c r="G3471" i="2"/>
  <c r="F3473" i="2"/>
  <c r="F3472" i="2"/>
  <c r="F3471" i="2"/>
  <c r="H3456" i="2"/>
  <c r="H3455" i="2"/>
  <c r="H3454" i="2"/>
  <c r="G3456" i="2"/>
  <c r="G3455" i="2"/>
  <c r="G3454" i="2"/>
  <c r="F3456" i="2"/>
  <c r="F3455" i="2"/>
  <c r="F3454" i="2"/>
  <c r="H3056" i="2"/>
  <c r="H3055" i="2"/>
  <c r="H3054" i="2"/>
  <c r="G3056" i="2"/>
  <c r="G3055" i="2"/>
  <c r="G3054" i="2"/>
  <c r="F3056" i="2"/>
  <c r="F3055" i="2"/>
  <c r="F3054" i="2"/>
  <c r="H2794" i="2"/>
  <c r="H2793" i="2"/>
  <c r="H2792" i="2"/>
  <c r="G2794" i="2"/>
  <c r="G2793" i="2"/>
  <c r="G2792" i="2"/>
  <c r="F2794" i="2"/>
  <c r="F2793" i="2"/>
  <c r="F2792" i="2"/>
  <c r="H1692" i="2"/>
  <c r="H1691" i="2"/>
  <c r="G1693" i="2"/>
  <c r="G1692" i="2"/>
  <c r="G1691" i="2"/>
  <c r="F1693" i="2"/>
  <c r="F1692" i="2"/>
  <c r="F1691" i="2"/>
  <c r="H1675" i="2"/>
  <c r="H1674" i="2"/>
  <c r="G1676" i="2"/>
  <c r="G1675" i="2"/>
  <c r="G1674" i="2"/>
  <c r="F1676" i="2"/>
  <c r="F1675" i="2"/>
  <c r="F1674" i="2"/>
  <c r="H1526" i="2"/>
  <c r="H1525" i="2"/>
  <c r="G1527" i="2"/>
  <c r="G1526" i="2"/>
  <c r="G1525" i="2"/>
  <c r="F1527" i="2"/>
  <c r="F1526" i="2"/>
  <c r="F1525" i="2"/>
  <c r="H1101" i="2"/>
  <c r="H1100" i="2"/>
  <c r="G1102" i="2"/>
  <c r="G1101" i="2"/>
  <c r="G1100" i="2"/>
  <c r="F1102" i="2"/>
  <c r="F1101" i="2"/>
  <c r="F1100" i="2"/>
  <c r="H911" i="2" l="1"/>
  <c r="H910" i="2"/>
  <c r="G912" i="2"/>
  <c r="G911" i="2"/>
  <c r="G910" i="2"/>
  <c r="F912" i="2"/>
  <c r="F911" i="2"/>
  <c r="F910" i="2"/>
  <c r="H18" i="2"/>
  <c r="H17" i="2"/>
  <c r="G19" i="2"/>
  <c r="G18" i="2"/>
  <c r="G17" i="2"/>
  <c r="F19" i="2"/>
  <c r="F18" i="2"/>
  <c r="F17" i="2"/>
  <c r="G3836" i="2" l="1"/>
  <c r="G3835" i="2"/>
  <c r="F3835" i="2"/>
  <c r="H3846" i="2"/>
  <c r="H3845" i="2"/>
  <c r="H3844" i="2"/>
  <c r="G3846" i="2"/>
  <c r="G3845" i="2"/>
  <c r="G3844" i="2"/>
  <c r="F3846" i="2"/>
  <c r="F3845" i="2"/>
  <c r="F3844" i="2"/>
  <c r="H3860" i="2"/>
  <c r="H3859" i="2"/>
  <c r="H3858" i="2"/>
  <c r="G3860" i="2"/>
  <c r="G3859" i="2"/>
  <c r="G3858" i="2"/>
  <c r="F3860" i="2"/>
  <c r="F3859" i="2"/>
  <c r="F3858" i="2"/>
  <c r="H3871" i="2"/>
  <c r="H3870" i="2"/>
  <c r="H3869" i="2"/>
  <c r="G3871" i="2"/>
  <c r="G3870" i="2"/>
  <c r="G3869" i="2"/>
  <c r="F3871" i="2"/>
  <c r="F3870" i="2"/>
  <c r="F3869" i="2"/>
  <c r="H3881" i="2"/>
  <c r="H3880" i="2"/>
  <c r="H3879" i="2"/>
  <c r="G3881" i="2"/>
  <c r="G3880" i="2"/>
  <c r="G3879" i="2"/>
  <c r="F3881" i="2"/>
  <c r="F3880" i="2"/>
  <c r="F3879" i="2"/>
  <c r="H3889" i="2"/>
  <c r="H3888" i="2"/>
  <c r="H3887" i="2"/>
  <c r="G3889" i="2"/>
  <c r="G3888" i="2"/>
  <c r="G3887" i="2"/>
  <c r="F3889" i="2"/>
  <c r="F3888" i="2"/>
  <c r="F3887" i="2"/>
  <c r="H3895" i="2"/>
  <c r="G3897" i="2"/>
  <c r="H3897" i="2"/>
  <c r="G3895" i="2"/>
  <c r="F3897" i="2"/>
  <c r="F3895" i="2"/>
  <c r="H3903" i="2"/>
  <c r="G3903" i="2"/>
  <c r="F3903" i="2"/>
  <c r="H4859" i="2"/>
  <c r="H4858" i="2"/>
  <c r="H4857" i="2"/>
  <c r="G4859" i="2"/>
  <c r="G4858" i="2"/>
  <c r="G4857" i="2"/>
  <c r="F4858" i="2"/>
  <c r="F4857" i="2"/>
  <c r="F4859" i="2"/>
  <c r="H12035" i="2"/>
  <c r="G12035" i="2"/>
  <c r="F12035" i="2"/>
  <c r="H12050" i="2"/>
  <c r="H12049" i="2"/>
  <c r="G12050" i="2"/>
  <c r="G12049" i="2"/>
  <c r="F12050" i="2"/>
  <c r="F12049" i="2"/>
  <c r="H12114" i="2"/>
  <c r="H12113" i="2"/>
  <c r="G12115" i="2"/>
  <c r="G12114" i="2"/>
  <c r="G12113" i="2"/>
  <c r="F12115" i="2"/>
  <c r="F12114" i="2"/>
  <c r="F12113" i="2"/>
  <c r="H12115" i="2"/>
  <c r="H12125" i="2"/>
  <c r="H12124" i="2"/>
  <c r="H12123" i="2"/>
  <c r="G12125" i="2"/>
  <c r="G12124" i="2"/>
  <c r="G12123" i="2"/>
  <c r="F12125" i="2"/>
  <c r="F12124" i="2"/>
  <c r="F12123" i="2"/>
  <c r="H7139" i="2"/>
  <c r="H7138" i="2"/>
  <c r="G7140" i="2"/>
  <c r="G7139" i="2"/>
  <c r="G7138" i="2"/>
  <c r="F7140" i="2"/>
  <c r="F7139" i="2"/>
  <c r="F7138" i="2"/>
  <c r="H3910" i="2" l="1"/>
  <c r="H3909" i="2"/>
  <c r="H3908" i="2"/>
  <c r="G3910" i="2"/>
  <c r="G3909" i="2"/>
  <c r="G3908" i="2"/>
  <c r="F3910" i="2"/>
  <c r="F3909" i="2"/>
  <c r="F3908" i="2"/>
  <c r="H3917" i="2"/>
  <c r="H3916" i="2"/>
  <c r="H3915" i="2"/>
  <c r="G3917" i="2"/>
  <c r="G3916" i="2"/>
  <c r="G3915" i="2"/>
  <c r="F3917" i="2"/>
  <c r="F3916" i="2"/>
  <c r="F3915" i="2"/>
  <c r="H3925" i="2"/>
  <c r="H3924" i="2"/>
  <c r="G3926" i="2"/>
  <c r="G3925" i="2"/>
  <c r="G3924" i="2"/>
  <c r="F3926" i="2"/>
  <c r="F3925" i="2"/>
  <c r="F3924" i="2"/>
  <c r="H4057" i="2"/>
  <c r="H4056" i="2"/>
  <c r="H4055" i="2"/>
  <c r="G4057" i="2"/>
  <c r="G4056" i="2"/>
  <c r="G4055" i="2"/>
  <c r="F4057" i="2"/>
  <c r="F4056" i="2"/>
  <c r="F4055" i="2"/>
  <c r="H4071" i="2"/>
  <c r="H4070" i="2"/>
  <c r="H4069" i="2"/>
  <c r="G4071" i="2"/>
  <c r="G4070" i="2"/>
  <c r="G4069" i="2"/>
  <c r="F4071" i="2"/>
  <c r="F4070" i="2"/>
  <c r="F4069" i="2"/>
  <c r="H4143" i="2"/>
  <c r="H4142" i="2"/>
  <c r="H4141" i="2"/>
  <c r="G4143" i="2"/>
  <c r="G4142" i="2"/>
  <c r="G4141" i="2"/>
  <c r="F4143" i="2"/>
  <c r="F4142" i="2"/>
  <c r="F4141" i="2"/>
  <c r="H4153" i="2"/>
  <c r="H4152" i="2"/>
  <c r="G4154" i="2"/>
  <c r="G4153" i="2"/>
  <c r="G4152" i="2"/>
  <c r="F4154" i="2"/>
  <c r="F4153" i="2"/>
  <c r="F4152" i="2"/>
  <c r="H4265" i="2"/>
  <c r="H4264" i="2"/>
  <c r="H4263" i="2"/>
  <c r="G4265" i="2"/>
  <c r="G4264" i="2"/>
  <c r="G4263" i="2"/>
  <c r="F4265" i="2"/>
  <c r="F4264" i="2"/>
  <c r="F4263" i="2"/>
  <c r="H4284" i="2"/>
  <c r="H4283" i="2"/>
  <c r="G4285" i="2"/>
  <c r="G4284" i="2"/>
  <c r="G4283" i="2"/>
  <c r="F4285" i="2"/>
  <c r="F4284" i="2"/>
  <c r="F4283" i="2"/>
  <c r="H4408" i="2"/>
  <c r="H4407" i="2"/>
  <c r="H4406" i="2"/>
  <c r="G4408" i="2"/>
  <c r="G4407" i="2"/>
  <c r="G4406" i="2"/>
  <c r="F4408" i="2"/>
  <c r="F4407" i="2"/>
  <c r="F4406" i="2"/>
  <c r="H4433" i="2"/>
  <c r="H4432" i="2"/>
  <c r="H4431" i="2"/>
  <c r="G4433" i="2"/>
  <c r="G4432" i="2"/>
  <c r="G4431" i="2"/>
  <c r="F4433" i="2"/>
  <c r="F4432" i="2"/>
  <c r="F4431" i="2"/>
  <c r="H4530" i="2"/>
  <c r="H4529" i="2"/>
  <c r="H4528" i="2"/>
  <c r="G4530" i="2"/>
  <c r="G4529" i="2"/>
  <c r="G4528" i="2"/>
  <c r="F4530" i="2"/>
  <c r="F4529" i="2"/>
  <c r="F4528" i="2"/>
  <c r="H4558" i="2"/>
  <c r="H4557" i="2"/>
  <c r="G4559" i="2"/>
  <c r="G4558" i="2"/>
  <c r="G4557" i="2"/>
  <c r="F4559" i="2"/>
  <c r="F4558" i="2"/>
  <c r="F4557" i="2"/>
  <c r="H4716" i="2"/>
  <c r="H4715" i="2"/>
  <c r="H4714" i="2"/>
  <c r="G4716" i="2"/>
  <c r="G4715" i="2"/>
  <c r="G4714" i="2"/>
  <c r="F4716" i="2"/>
  <c r="F4715" i="2"/>
  <c r="F4714" i="2"/>
  <c r="H4756" i="2"/>
  <c r="H4755" i="2"/>
  <c r="H4754" i="2"/>
  <c r="G4756" i="2"/>
  <c r="G4755" i="2"/>
  <c r="G4754" i="2"/>
  <c r="F4756" i="2"/>
  <c r="F4755" i="2"/>
  <c r="F4754" i="2"/>
  <c r="H4763" i="2"/>
  <c r="H4762" i="2"/>
  <c r="H4761" i="2"/>
  <c r="G4763" i="2"/>
  <c r="G4762" i="2"/>
  <c r="G4761" i="2"/>
  <c r="F4763" i="2"/>
  <c r="F4762" i="2"/>
  <c r="F4761" i="2"/>
  <c r="H4775" i="2"/>
  <c r="H4774" i="2"/>
  <c r="H4773" i="2"/>
  <c r="G4775" i="2"/>
  <c r="G4774" i="2"/>
  <c r="G4773" i="2"/>
  <c r="F4775" i="2"/>
  <c r="F4774" i="2"/>
  <c r="F4773" i="2"/>
  <c r="H4781" i="2"/>
  <c r="H4780" i="2"/>
  <c r="H4779" i="2"/>
  <c r="G4781" i="2"/>
  <c r="G4780" i="2"/>
  <c r="G4779" i="2"/>
  <c r="F4781" i="2"/>
  <c r="F4780" i="2"/>
  <c r="F4779" i="2"/>
  <c r="H4811" i="2"/>
  <c r="H4810" i="2"/>
  <c r="H4809" i="2"/>
  <c r="G4811" i="2"/>
  <c r="G4810" i="2"/>
  <c r="G4809" i="2"/>
  <c r="F4811" i="2"/>
  <c r="F4810" i="2"/>
  <c r="F4809" i="2"/>
  <c r="H4843" i="2"/>
  <c r="H4842" i="2"/>
  <c r="H4841" i="2"/>
  <c r="G4843" i="2"/>
  <c r="G4842" i="2"/>
  <c r="G4841" i="2"/>
  <c r="F4843" i="2"/>
  <c r="F4842" i="2"/>
  <c r="F4841" i="2"/>
  <c r="H4829" i="2"/>
  <c r="H4828" i="2"/>
  <c r="H4827" i="2"/>
  <c r="G4829" i="2"/>
  <c r="G4828" i="2"/>
  <c r="G4827" i="2"/>
  <c r="F4829" i="2"/>
  <c r="F4828" i="2"/>
  <c r="F4827" i="2"/>
  <c r="H4866" i="2"/>
  <c r="H4865" i="2"/>
  <c r="G4867" i="2"/>
  <c r="G4866" i="2"/>
  <c r="G4865" i="2"/>
  <c r="F4867" i="2"/>
  <c r="F4866" i="2"/>
  <c r="F4865" i="2"/>
  <c r="H12033" i="2" l="1"/>
  <c r="G12033" i="2"/>
  <c r="F12033" i="2"/>
  <c r="H12034" i="2"/>
  <c r="G12034" i="2"/>
  <c r="F12034" i="2"/>
  <c r="H8100" i="2" l="1"/>
  <c r="H8099" i="2"/>
  <c r="H8098" i="2"/>
  <c r="H8097" i="2"/>
  <c r="H8096" i="2"/>
  <c r="H8095" i="2"/>
  <c r="H8094" i="2"/>
  <c r="H8093" i="2"/>
  <c r="H8092" i="2"/>
  <c r="H8091" i="2"/>
  <c r="H8090" i="2"/>
  <c r="H8089" i="2"/>
  <c r="H8088" i="2"/>
  <c r="H8087" i="2"/>
  <c r="H8086" i="2"/>
  <c r="H8085" i="2"/>
  <c r="H8084" i="2"/>
  <c r="H8083" i="2"/>
  <c r="H8082" i="2"/>
  <c r="H8081" i="2"/>
  <c r="H8080" i="2"/>
  <c r="H8079" i="2"/>
  <c r="H8078" i="2"/>
  <c r="H8077" i="2"/>
  <c r="H8076" i="2"/>
  <c r="H8075" i="2"/>
  <c r="H8074" i="2"/>
  <c r="H8073" i="2"/>
  <c r="H8072" i="2"/>
  <c r="H8071" i="2"/>
  <c r="H8070" i="2"/>
  <c r="H8069" i="2"/>
  <c r="H8068" i="2"/>
  <c r="H8067" i="2"/>
  <c r="H8066" i="2"/>
  <c r="H8065" i="2"/>
  <c r="H8064" i="2"/>
  <c r="H8063" i="2"/>
  <c r="H8062" i="2"/>
  <c r="H8061" i="2"/>
  <c r="H8060" i="2"/>
  <c r="H8059" i="2"/>
  <c r="H8058" i="2"/>
  <c r="H8057" i="2"/>
  <c r="H8056" i="2"/>
  <c r="H8055" i="2"/>
  <c r="H8054" i="2"/>
  <c r="H8053" i="2"/>
  <c r="H8052" i="2"/>
  <c r="H8051" i="2"/>
  <c r="H8050" i="2"/>
  <c r="H8049" i="2"/>
  <c r="H8048" i="2"/>
  <c r="H8047" i="2"/>
  <c r="H8046" i="2"/>
  <c r="H8045" i="2"/>
  <c r="H8044" i="2"/>
  <c r="H8043" i="2"/>
  <c r="H8042" i="2"/>
  <c r="H8041" i="2"/>
  <c r="H8040" i="2"/>
  <c r="H8039" i="2"/>
  <c r="H8038" i="2"/>
  <c r="H8037" i="2"/>
  <c r="H8036" i="2"/>
  <c r="H8035" i="2"/>
  <c r="H8034" i="2"/>
  <c r="H8033" i="2"/>
  <c r="H8032" i="2"/>
  <c r="H8031" i="2"/>
  <c r="H8030" i="2"/>
  <c r="H8029" i="2"/>
  <c r="H8028" i="2"/>
  <c r="H8027" i="2"/>
  <c r="H8026" i="2"/>
  <c r="H8025" i="2"/>
  <c r="H8024" i="2"/>
  <c r="H8023" i="2"/>
  <c r="H8022" i="2"/>
  <c r="H8021" i="2"/>
  <c r="H8020" i="2"/>
  <c r="H8019" i="2"/>
  <c r="H8018" i="2"/>
  <c r="H8017" i="2"/>
  <c r="H8016" i="2"/>
  <c r="H8015" i="2"/>
  <c r="H8014" i="2"/>
  <c r="H8013" i="2"/>
  <c r="H8012" i="2"/>
  <c r="H8011" i="2"/>
  <c r="H8010" i="2"/>
  <c r="H8009" i="2"/>
  <c r="H8008" i="2"/>
  <c r="H8007" i="2"/>
  <c r="H8006" i="2"/>
  <c r="H8005" i="2"/>
  <c r="H8004" i="2"/>
  <c r="H8003" i="2"/>
  <c r="H8002" i="2"/>
  <c r="H8001" i="2"/>
  <c r="H8000" i="2"/>
  <c r="H7999" i="2"/>
  <c r="H7998" i="2"/>
  <c r="H7997" i="2"/>
  <c r="H7996" i="2"/>
  <c r="H7995" i="2"/>
  <c r="H7994" i="2"/>
  <c r="H7993" i="2"/>
  <c r="H7992" i="2"/>
  <c r="H7991" i="2"/>
  <c r="H7990" i="2"/>
  <c r="H7989" i="2"/>
  <c r="H7988" i="2"/>
  <c r="H7987" i="2"/>
  <c r="H7986" i="2"/>
  <c r="H7985" i="2"/>
  <c r="H7984" i="2"/>
  <c r="H7983" i="2"/>
  <c r="H7982" i="2"/>
  <c r="H7981" i="2"/>
  <c r="H7980" i="2"/>
  <c r="H7979" i="2"/>
  <c r="H7978" i="2"/>
  <c r="H7977" i="2"/>
  <c r="H7976" i="2"/>
  <c r="H7975" i="2"/>
  <c r="H7974" i="2"/>
  <c r="H7973" i="2"/>
  <c r="H7972" i="2"/>
  <c r="H7971" i="2"/>
  <c r="H7970" i="2"/>
  <c r="H7969" i="2"/>
  <c r="H7968" i="2"/>
  <c r="H7967" i="2"/>
  <c r="H7966" i="2"/>
  <c r="H7965" i="2"/>
  <c r="H7964" i="2"/>
  <c r="H7963" i="2"/>
  <c r="H7962" i="2"/>
  <c r="H7961" i="2"/>
  <c r="H7960" i="2"/>
  <c r="H7959" i="2"/>
  <c r="H7958" i="2"/>
  <c r="H7957" i="2"/>
  <c r="H7956" i="2"/>
  <c r="H7955" i="2"/>
  <c r="H7954" i="2"/>
  <c r="H7953" i="2"/>
  <c r="H7952" i="2"/>
  <c r="H7951" i="2"/>
  <c r="H7950" i="2"/>
  <c r="H7949" i="2"/>
  <c r="H7948" i="2"/>
  <c r="H7947" i="2"/>
  <c r="H7946" i="2"/>
  <c r="H7945" i="2"/>
  <c r="H7944" i="2"/>
  <c r="H7943" i="2"/>
  <c r="H7942" i="2"/>
  <c r="H7941" i="2"/>
  <c r="H7940" i="2"/>
  <c r="H7939" i="2"/>
  <c r="H7938" i="2"/>
  <c r="H7937" i="2"/>
  <c r="H7936" i="2"/>
  <c r="H7935" i="2"/>
  <c r="H7934" i="2"/>
  <c r="H7933" i="2"/>
  <c r="H7932" i="2"/>
  <c r="H7931" i="2"/>
  <c r="H7930" i="2"/>
  <c r="H7929" i="2"/>
  <c r="H7928" i="2"/>
  <c r="H7927" i="2"/>
  <c r="H7926" i="2"/>
  <c r="H7925" i="2"/>
  <c r="H7924" i="2"/>
  <c r="H7923" i="2"/>
  <c r="H7922" i="2"/>
  <c r="H7921" i="2"/>
  <c r="H7920" i="2"/>
  <c r="H7919" i="2"/>
  <c r="H7918" i="2"/>
  <c r="H7917" i="2"/>
  <c r="H7916" i="2"/>
  <c r="H7915" i="2"/>
  <c r="H7914" i="2"/>
  <c r="H7913" i="2"/>
  <c r="H7912" i="2"/>
  <c r="H7911" i="2"/>
  <c r="H7910" i="2"/>
  <c r="H7909" i="2"/>
  <c r="H7908" i="2"/>
  <c r="H7907" i="2"/>
  <c r="H7906" i="2"/>
  <c r="H7905" i="2"/>
  <c r="H7904" i="2"/>
  <c r="H7903" i="2"/>
  <c r="H7902" i="2"/>
  <c r="H7901" i="2"/>
  <c r="H7900" i="2"/>
  <c r="H7899" i="2"/>
  <c r="H7898" i="2"/>
  <c r="H7897" i="2"/>
  <c r="H7896" i="2"/>
  <c r="H7895" i="2"/>
  <c r="H7894" i="2"/>
  <c r="H7893" i="2"/>
  <c r="H7892" i="2"/>
  <c r="H7891" i="2"/>
  <c r="H7890" i="2"/>
  <c r="H7889" i="2"/>
  <c r="H7888" i="2"/>
  <c r="H7887" i="2"/>
  <c r="H7886" i="2"/>
  <c r="H7885" i="2"/>
  <c r="H7884" i="2"/>
  <c r="H7883" i="2"/>
  <c r="H7882" i="2"/>
  <c r="H7881" i="2"/>
  <c r="H7880" i="2"/>
  <c r="H7879" i="2"/>
  <c r="H7878" i="2"/>
  <c r="H7877" i="2"/>
  <c r="H7876" i="2"/>
  <c r="H7875" i="2"/>
  <c r="H7874" i="2"/>
  <c r="H7873" i="2"/>
  <c r="H7872" i="2"/>
  <c r="H7871" i="2"/>
  <c r="H7870" i="2"/>
  <c r="H7869" i="2"/>
  <c r="H7868" i="2"/>
  <c r="H7867" i="2"/>
  <c r="H7866" i="2"/>
  <c r="H7865" i="2"/>
  <c r="H7864" i="2"/>
  <c r="H7863" i="2"/>
  <c r="H7862" i="2"/>
  <c r="H7861" i="2"/>
  <c r="H7860" i="2"/>
  <c r="H7859" i="2"/>
  <c r="H7858" i="2"/>
  <c r="H7857" i="2"/>
  <c r="H7856" i="2"/>
  <c r="H7855" i="2"/>
  <c r="H7854" i="2"/>
  <c r="H7853" i="2"/>
  <c r="H7852" i="2"/>
  <c r="H7851" i="2"/>
  <c r="H7850" i="2"/>
  <c r="H7849" i="2"/>
  <c r="H7848" i="2"/>
  <c r="H7847" i="2"/>
  <c r="H7846" i="2"/>
  <c r="H7845" i="2"/>
  <c r="H7844" i="2"/>
  <c r="H7843" i="2"/>
  <c r="H7842" i="2"/>
  <c r="H7841" i="2"/>
  <c r="H7840" i="2"/>
  <c r="H7839" i="2"/>
  <c r="H7838" i="2"/>
  <c r="H7837" i="2"/>
  <c r="H7836" i="2"/>
  <c r="H7835" i="2"/>
  <c r="H7834" i="2"/>
  <c r="H7833" i="2"/>
  <c r="H7832" i="2"/>
  <c r="H7831" i="2"/>
  <c r="H7830" i="2"/>
  <c r="H7829" i="2"/>
  <c r="H7828" i="2"/>
  <c r="H7827" i="2"/>
  <c r="H7826" i="2"/>
  <c r="H7825" i="2"/>
  <c r="H7824" i="2"/>
  <c r="H7823" i="2"/>
  <c r="H7822" i="2"/>
  <c r="H7821" i="2"/>
  <c r="H7820" i="2"/>
  <c r="H7819" i="2"/>
  <c r="H7818" i="2"/>
  <c r="H7817" i="2"/>
  <c r="H7816" i="2"/>
  <c r="H7815" i="2"/>
  <c r="H7814" i="2"/>
  <c r="H7813" i="2"/>
  <c r="H7812" i="2"/>
  <c r="H7811" i="2"/>
  <c r="H7810" i="2"/>
  <c r="H7809" i="2"/>
  <c r="H7808" i="2"/>
  <c r="H7807" i="2"/>
  <c r="H7806" i="2"/>
  <c r="H7805" i="2"/>
  <c r="H7804" i="2"/>
  <c r="H7803" i="2"/>
  <c r="H7802" i="2"/>
  <c r="H7801" i="2"/>
  <c r="H7800" i="2"/>
  <c r="H7799" i="2"/>
  <c r="H7798" i="2"/>
  <c r="H7797" i="2"/>
  <c r="H7796" i="2"/>
  <c r="H7795" i="2"/>
  <c r="H7794" i="2"/>
  <c r="H7793" i="2"/>
  <c r="H7792" i="2"/>
  <c r="H7791" i="2"/>
  <c r="H7790" i="2"/>
  <c r="H7789" i="2"/>
  <c r="H7788" i="2"/>
  <c r="H7787" i="2"/>
  <c r="H7786" i="2"/>
  <c r="H7785" i="2"/>
  <c r="H7784" i="2"/>
  <c r="H7783" i="2"/>
  <c r="H7782" i="2"/>
  <c r="H7781" i="2"/>
  <c r="H7780" i="2"/>
  <c r="H7779" i="2"/>
  <c r="H7778" i="2"/>
  <c r="H7777" i="2"/>
  <c r="H7776" i="2"/>
  <c r="H7775" i="2"/>
  <c r="H7774" i="2"/>
  <c r="H7773" i="2"/>
  <c r="H7772" i="2"/>
  <c r="H7771" i="2"/>
  <c r="H7770" i="2"/>
  <c r="H7769" i="2"/>
  <c r="H7768" i="2"/>
  <c r="H7767" i="2"/>
  <c r="H7766" i="2"/>
  <c r="H7765" i="2"/>
  <c r="H7764" i="2"/>
  <c r="H7763" i="2"/>
  <c r="H7762" i="2"/>
  <c r="H7761" i="2"/>
  <c r="H7760" i="2"/>
  <c r="H7759" i="2"/>
  <c r="H7758" i="2"/>
  <c r="H7757" i="2"/>
  <c r="H7756" i="2"/>
  <c r="H7755" i="2"/>
  <c r="H7754" i="2"/>
  <c r="H7753" i="2"/>
  <c r="H7752" i="2"/>
  <c r="H7751" i="2"/>
  <c r="H7750" i="2"/>
  <c r="H7749" i="2"/>
  <c r="H7748" i="2"/>
  <c r="H7747" i="2"/>
  <c r="H7746" i="2"/>
  <c r="H7745" i="2"/>
  <c r="H7744" i="2"/>
  <c r="H7743" i="2"/>
  <c r="H7742" i="2"/>
  <c r="H7741" i="2"/>
  <c r="H7740" i="2"/>
  <c r="H7739" i="2"/>
  <c r="H7738" i="2"/>
  <c r="H7737" i="2"/>
  <c r="H7736" i="2"/>
  <c r="H7735" i="2"/>
  <c r="H7734" i="2"/>
  <c r="H7733" i="2"/>
  <c r="H7732" i="2"/>
  <c r="H7731" i="2"/>
  <c r="H7730" i="2"/>
  <c r="H7729" i="2"/>
  <c r="H7728" i="2"/>
  <c r="H7727" i="2"/>
  <c r="H7726" i="2"/>
  <c r="H7725" i="2"/>
  <c r="H7724" i="2"/>
  <c r="H7723" i="2"/>
  <c r="H7722" i="2"/>
  <c r="H7721" i="2"/>
  <c r="H7720" i="2"/>
  <c r="H7719" i="2"/>
  <c r="H7718" i="2"/>
  <c r="H7717" i="2"/>
  <c r="H7716" i="2"/>
  <c r="H7715" i="2"/>
  <c r="H7714" i="2"/>
  <c r="H7713" i="2"/>
  <c r="H7712" i="2"/>
  <c r="H7711" i="2"/>
  <c r="H7710" i="2"/>
  <c r="H7709" i="2"/>
  <c r="H7708" i="2"/>
  <c r="H7707" i="2"/>
  <c r="H7706" i="2"/>
  <c r="H7705" i="2"/>
  <c r="H7704" i="2"/>
  <c r="H7703" i="2"/>
  <c r="H7702" i="2"/>
  <c r="H7701" i="2"/>
  <c r="H7700" i="2"/>
  <c r="H7699" i="2"/>
  <c r="H7698" i="2"/>
  <c r="H7697" i="2"/>
  <c r="H7696" i="2"/>
  <c r="H7695" i="2"/>
  <c r="H7694" i="2"/>
  <c r="H7693" i="2"/>
  <c r="H7692" i="2"/>
  <c r="H7691" i="2"/>
  <c r="H7690" i="2"/>
  <c r="H7689" i="2"/>
  <c r="H7688" i="2"/>
  <c r="H7687" i="2"/>
  <c r="H7686" i="2"/>
  <c r="H7685" i="2"/>
  <c r="H7684" i="2"/>
  <c r="H7683" i="2"/>
  <c r="H7682" i="2"/>
  <c r="H7681" i="2"/>
  <c r="H7680" i="2"/>
  <c r="H7679" i="2"/>
  <c r="H7678" i="2"/>
  <c r="H7677" i="2"/>
  <c r="H7676" i="2"/>
  <c r="H7675" i="2"/>
  <c r="H7674" i="2"/>
  <c r="H7673" i="2"/>
  <c r="H7672" i="2"/>
  <c r="H7671" i="2"/>
  <c r="H7670" i="2"/>
  <c r="H7669" i="2"/>
  <c r="H7668" i="2"/>
  <c r="H7667" i="2"/>
  <c r="H7666" i="2"/>
  <c r="H7665" i="2"/>
  <c r="H7664" i="2"/>
  <c r="H7663" i="2"/>
  <c r="H7662" i="2"/>
  <c r="H7661" i="2"/>
  <c r="H7660" i="2"/>
  <c r="H7659" i="2"/>
  <c r="H7658" i="2"/>
  <c r="H7657" i="2"/>
  <c r="H7656" i="2"/>
  <c r="H7655" i="2"/>
  <c r="H7654" i="2"/>
  <c r="H7653" i="2"/>
  <c r="H7652" i="2"/>
  <c r="H7651" i="2"/>
  <c r="H7650" i="2"/>
  <c r="H7649" i="2"/>
  <c r="H7648" i="2"/>
  <c r="H7647" i="2"/>
  <c r="H7646" i="2"/>
  <c r="H7645" i="2"/>
  <c r="H7644" i="2"/>
  <c r="H7643" i="2"/>
  <c r="H7642" i="2"/>
  <c r="H7641" i="2"/>
  <c r="H7640" i="2"/>
  <c r="H7639" i="2"/>
  <c r="H7638" i="2"/>
  <c r="H7637" i="2"/>
  <c r="H7636" i="2"/>
  <c r="H7635" i="2"/>
  <c r="H7634" i="2"/>
  <c r="H7633" i="2"/>
  <c r="H7632" i="2"/>
  <c r="H7631" i="2"/>
  <c r="H7630" i="2"/>
  <c r="H7629" i="2"/>
  <c r="H7628" i="2"/>
  <c r="H7627" i="2"/>
  <c r="H7626" i="2"/>
  <c r="H7625" i="2"/>
  <c r="H7624" i="2"/>
  <c r="H7623" i="2"/>
  <c r="H7622" i="2"/>
  <c r="H7621" i="2"/>
  <c r="H7620" i="2"/>
  <c r="H7619" i="2"/>
  <c r="H7618" i="2"/>
  <c r="H7617" i="2"/>
  <c r="H7616" i="2"/>
  <c r="H7615" i="2"/>
  <c r="H7614" i="2"/>
  <c r="H7613" i="2"/>
  <c r="H7612" i="2"/>
  <c r="H7611" i="2"/>
  <c r="H7610" i="2"/>
  <c r="H7609" i="2"/>
  <c r="H7608" i="2"/>
  <c r="H7607" i="2"/>
  <c r="H7606" i="2"/>
  <c r="H7605" i="2"/>
  <c r="H7604" i="2"/>
  <c r="H7603" i="2"/>
  <c r="H7602" i="2"/>
  <c r="H7601" i="2"/>
  <c r="H7600" i="2"/>
  <c r="H7599" i="2"/>
  <c r="H7598" i="2"/>
  <c r="H7597" i="2"/>
  <c r="H7596" i="2"/>
  <c r="H7595" i="2"/>
  <c r="H7594" i="2"/>
  <c r="H7593" i="2"/>
  <c r="H7592" i="2"/>
  <c r="H7591" i="2"/>
  <c r="H7590" i="2"/>
  <c r="H7589" i="2"/>
  <c r="H7588" i="2"/>
  <c r="H7587" i="2"/>
  <c r="H7586" i="2"/>
  <c r="H7585" i="2"/>
  <c r="H7584" i="2"/>
  <c r="H7583" i="2"/>
  <c r="H7582" i="2"/>
  <c r="H7581" i="2"/>
  <c r="H7580" i="2"/>
  <c r="H7579" i="2"/>
  <c r="H7578" i="2"/>
  <c r="H7577" i="2"/>
  <c r="H7576" i="2"/>
  <c r="H7575" i="2"/>
  <c r="H7574" i="2"/>
  <c r="H7573" i="2"/>
  <c r="H7572" i="2"/>
  <c r="H7571" i="2"/>
  <c r="H7570" i="2"/>
  <c r="H7569" i="2"/>
  <c r="H7568" i="2"/>
  <c r="H7567" i="2"/>
  <c r="H7566" i="2"/>
  <c r="H7565" i="2"/>
  <c r="H7564" i="2"/>
  <c r="H7563" i="2"/>
  <c r="H7562" i="2"/>
  <c r="H7561" i="2"/>
  <c r="H7560" i="2"/>
  <c r="H7559" i="2"/>
  <c r="H7558" i="2"/>
  <c r="H7557" i="2"/>
  <c r="H7556" i="2"/>
  <c r="H7555" i="2"/>
  <c r="H7554" i="2"/>
  <c r="H7553" i="2"/>
  <c r="H7552" i="2"/>
  <c r="H7551" i="2"/>
  <c r="H7550" i="2"/>
  <c r="H7549" i="2"/>
  <c r="H7548" i="2"/>
  <c r="H7547" i="2"/>
  <c r="H7546" i="2"/>
  <c r="H7545" i="2"/>
  <c r="H7544" i="2"/>
  <c r="H7543" i="2"/>
  <c r="H7542" i="2"/>
  <c r="H7541" i="2"/>
  <c r="H7540" i="2"/>
  <c r="H7539" i="2"/>
  <c r="H7538" i="2"/>
  <c r="H7537" i="2"/>
  <c r="H7536" i="2"/>
  <c r="H7535" i="2"/>
  <c r="H7534" i="2"/>
  <c r="H7533" i="2"/>
  <c r="H7532" i="2"/>
  <c r="H7531" i="2"/>
  <c r="H7530" i="2"/>
  <c r="H7529" i="2"/>
  <c r="H7528" i="2"/>
  <c r="H7527" i="2"/>
  <c r="H7526" i="2"/>
  <c r="H7525" i="2"/>
  <c r="H7524" i="2"/>
  <c r="H7523" i="2"/>
  <c r="H7522" i="2"/>
  <c r="H7521" i="2"/>
  <c r="H7520" i="2"/>
  <c r="H7519" i="2"/>
  <c r="H7518" i="2"/>
  <c r="H7517" i="2"/>
  <c r="H7516" i="2"/>
  <c r="H7515" i="2"/>
  <c r="H7514" i="2"/>
  <c r="H7513" i="2"/>
  <c r="H7512" i="2"/>
  <c r="H7511" i="2"/>
  <c r="H7510" i="2"/>
  <c r="H7509" i="2"/>
  <c r="H7508" i="2"/>
  <c r="H7507" i="2"/>
  <c r="H7506" i="2"/>
  <c r="H7505" i="2"/>
  <c r="H7504" i="2"/>
  <c r="H7503" i="2"/>
  <c r="H7502" i="2"/>
  <c r="H7501" i="2"/>
  <c r="H7500" i="2"/>
  <c r="H7499" i="2"/>
  <c r="H7498" i="2"/>
  <c r="H7497" i="2"/>
  <c r="H7496" i="2"/>
  <c r="H7495" i="2"/>
  <c r="H7494" i="2"/>
  <c r="H7493" i="2"/>
  <c r="H7492" i="2"/>
  <c r="H7491" i="2"/>
  <c r="H7490" i="2"/>
  <c r="H7489" i="2"/>
  <c r="H7488" i="2"/>
  <c r="H7487" i="2"/>
  <c r="H7486" i="2"/>
  <c r="H7485" i="2"/>
  <c r="H7484" i="2"/>
  <c r="H7483" i="2"/>
  <c r="H7482" i="2"/>
  <c r="H7481" i="2"/>
  <c r="H7480" i="2"/>
  <c r="H7479" i="2"/>
  <c r="H7478" i="2"/>
  <c r="H7477" i="2"/>
  <c r="H7476" i="2"/>
  <c r="H7475" i="2"/>
  <c r="H7474" i="2"/>
  <c r="H7473" i="2"/>
  <c r="H7472" i="2"/>
  <c r="H7471" i="2"/>
  <c r="H7470" i="2"/>
  <c r="H7469" i="2"/>
  <c r="H7468" i="2"/>
  <c r="H7467" i="2"/>
  <c r="H7466" i="2"/>
  <c r="H7465" i="2"/>
  <c r="H7464" i="2"/>
  <c r="H7463" i="2"/>
  <c r="H7462" i="2"/>
  <c r="H7461" i="2"/>
  <c r="H7460" i="2"/>
  <c r="H7459" i="2"/>
  <c r="H7458" i="2"/>
  <c r="H7457" i="2"/>
  <c r="H7456" i="2"/>
  <c r="H7455" i="2"/>
  <c r="H7454" i="2"/>
  <c r="H7453" i="2"/>
  <c r="H7452" i="2"/>
  <c r="H7451" i="2"/>
  <c r="H7450" i="2"/>
  <c r="H7449" i="2"/>
  <c r="H7448" i="2"/>
  <c r="H7447" i="2"/>
  <c r="H7446" i="2"/>
  <c r="H7445" i="2"/>
  <c r="H7444" i="2"/>
  <c r="H7443" i="2"/>
  <c r="H7442" i="2"/>
  <c r="H7441" i="2"/>
  <c r="H7440" i="2"/>
  <c r="H7439" i="2"/>
  <c r="H7438" i="2"/>
  <c r="H7437" i="2"/>
  <c r="H7436" i="2"/>
  <c r="H7435" i="2"/>
  <c r="H7434" i="2"/>
  <c r="H7433" i="2"/>
  <c r="H7432" i="2"/>
  <c r="H7431" i="2"/>
  <c r="H7430" i="2"/>
  <c r="H7429" i="2"/>
  <c r="H7428" i="2"/>
  <c r="H7427" i="2"/>
  <c r="H7426" i="2"/>
  <c r="H7425" i="2"/>
  <c r="H7424" i="2"/>
  <c r="H7423" i="2"/>
  <c r="H7422" i="2"/>
  <c r="H7421" i="2"/>
  <c r="H7420" i="2"/>
  <c r="H7419" i="2"/>
  <c r="H7418" i="2"/>
  <c r="H7417" i="2"/>
  <c r="H7416" i="2"/>
  <c r="H7415" i="2"/>
  <c r="H7414" i="2"/>
  <c r="H7413" i="2"/>
  <c r="H7412" i="2"/>
  <c r="H7411" i="2"/>
  <c r="H7410" i="2"/>
  <c r="H7409" i="2"/>
  <c r="H7408" i="2"/>
  <c r="H7407" i="2"/>
  <c r="H7406" i="2"/>
  <c r="H7405" i="2"/>
  <c r="H7404" i="2"/>
  <c r="H7403" i="2"/>
  <c r="H7402" i="2"/>
  <c r="H7401" i="2"/>
  <c r="H7400" i="2"/>
  <c r="H7399" i="2"/>
  <c r="H7398" i="2"/>
  <c r="H7397" i="2"/>
  <c r="H7396" i="2"/>
  <c r="H7395" i="2"/>
  <c r="H7394" i="2"/>
  <c r="H7393" i="2"/>
  <c r="H7392" i="2"/>
  <c r="H7391" i="2"/>
  <c r="H7390" i="2"/>
  <c r="H7389" i="2"/>
  <c r="H7388" i="2"/>
  <c r="H7387" i="2"/>
  <c r="H7386" i="2"/>
  <c r="H7385" i="2"/>
  <c r="H7384" i="2"/>
  <c r="H7383" i="2"/>
  <c r="H7382" i="2"/>
  <c r="H7381" i="2"/>
  <c r="H7380" i="2"/>
  <c r="H7379" i="2"/>
  <c r="H7378" i="2"/>
  <c r="H7377" i="2"/>
  <c r="H7376" i="2"/>
  <c r="H7375" i="2"/>
  <c r="H7374" i="2"/>
  <c r="H7373" i="2"/>
  <c r="H7372" i="2"/>
  <c r="H7371" i="2"/>
  <c r="H7370" i="2"/>
  <c r="H7369" i="2"/>
  <c r="H7368" i="2"/>
  <c r="H7367" i="2"/>
  <c r="H7366" i="2"/>
  <c r="H7365" i="2"/>
  <c r="H7364" i="2"/>
  <c r="H7363" i="2"/>
  <c r="H7362" i="2"/>
  <c r="H7361" i="2"/>
  <c r="H7360" i="2"/>
  <c r="H7359" i="2"/>
  <c r="H7358" i="2"/>
  <c r="H7357" i="2"/>
  <c r="H7356" i="2"/>
  <c r="H7355" i="2"/>
  <c r="H7354" i="2"/>
  <c r="H7353" i="2"/>
  <c r="H7352" i="2"/>
  <c r="H7351" i="2"/>
  <c r="H7350" i="2"/>
  <c r="H7349" i="2"/>
  <c r="H7348" i="2"/>
  <c r="H7347" i="2"/>
  <c r="H7346" i="2"/>
  <c r="H7345" i="2"/>
  <c r="H7344" i="2"/>
  <c r="H7343" i="2"/>
  <c r="H7342" i="2"/>
  <c r="H7341" i="2"/>
  <c r="H7340" i="2"/>
  <c r="H7339" i="2"/>
  <c r="H7338" i="2"/>
  <c r="H7337" i="2"/>
  <c r="H7336" i="2"/>
  <c r="H7335" i="2"/>
  <c r="H7334" i="2"/>
  <c r="H7333" i="2"/>
  <c r="H7332" i="2"/>
  <c r="H7331" i="2"/>
  <c r="H7330" i="2"/>
  <c r="H7329" i="2"/>
  <c r="H7328" i="2"/>
  <c r="H7327" i="2"/>
  <c r="H7326" i="2"/>
  <c r="H7325" i="2"/>
  <c r="H7324" i="2"/>
  <c r="H7323" i="2"/>
  <c r="H7322" i="2"/>
  <c r="H7321" i="2"/>
  <c r="H7320" i="2"/>
  <c r="H7319" i="2"/>
  <c r="H7318" i="2"/>
  <c r="H7317" i="2"/>
  <c r="H7316" i="2"/>
  <c r="H7315" i="2"/>
  <c r="H7314" i="2"/>
  <c r="H7313" i="2"/>
  <c r="H7312" i="2"/>
  <c r="H7311" i="2"/>
  <c r="H7310" i="2"/>
  <c r="H7309" i="2"/>
  <c r="H7308" i="2"/>
  <c r="H7307" i="2"/>
  <c r="H7306" i="2"/>
  <c r="H7305" i="2"/>
  <c r="H7304" i="2"/>
  <c r="H7303" i="2"/>
  <c r="H7302" i="2"/>
  <c r="H7301" i="2"/>
  <c r="H7300" i="2"/>
  <c r="H7299" i="2"/>
  <c r="H7298" i="2"/>
  <c r="H7297" i="2"/>
  <c r="H7296" i="2"/>
  <c r="H7295" i="2"/>
  <c r="H7294" i="2"/>
  <c r="H7293" i="2"/>
  <c r="H7292" i="2"/>
  <c r="H7291" i="2"/>
  <c r="H7290" i="2"/>
  <c r="H7289" i="2"/>
  <c r="H7288" i="2"/>
  <c r="H7287" i="2"/>
  <c r="H7286" i="2"/>
  <c r="H7285" i="2"/>
  <c r="H7284" i="2"/>
  <c r="H7283" i="2"/>
  <c r="H7282" i="2"/>
  <c r="H7281" i="2"/>
  <c r="H7280" i="2"/>
  <c r="H7279" i="2"/>
  <c r="H7278" i="2"/>
  <c r="H7277" i="2"/>
  <c r="H7276" i="2"/>
  <c r="H7275" i="2"/>
  <c r="H7274" i="2"/>
  <c r="H7273" i="2"/>
  <c r="H7272" i="2"/>
  <c r="H7271" i="2"/>
  <c r="H7270" i="2"/>
  <c r="H7269" i="2"/>
  <c r="H7268" i="2"/>
  <c r="H7267" i="2"/>
  <c r="H7266" i="2"/>
  <c r="H7265" i="2"/>
  <c r="H7264" i="2"/>
  <c r="H7263" i="2"/>
  <c r="H7262" i="2"/>
  <c r="H7261" i="2"/>
  <c r="H7260" i="2"/>
  <c r="H7259" i="2"/>
  <c r="H7258" i="2"/>
  <c r="H7257" i="2"/>
  <c r="H7256" i="2"/>
  <c r="H7255" i="2"/>
  <c r="H7254" i="2"/>
  <c r="H7253" i="2"/>
  <c r="H7252" i="2"/>
  <c r="H7251" i="2"/>
  <c r="H7250" i="2"/>
  <c r="H7249" i="2"/>
  <c r="H7248" i="2"/>
  <c r="H7247" i="2"/>
  <c r="H7246" i="2"/>
  <c r="H7245" i="2"/>
  <c r="H7244" i="2"/>
  <c r="H7243" i="2"/>
  <c r="H7242" i="2"/>
  <c r="H7241" i="2"/>
  <c r="H7240" i="2"/>
  <c r="H7239" i="2"/>
  <c r="H7238" i="2"/>
  <c r="H7237" i="2"/>
  <c r="H7236" i="2"/>
  <c r="H7235" i="2"/>
  <c r="H7234" i="2"/>
  <c r="H7233" i="2"/>
  <c r="H7232" i="2"/>
  <c r="H7231" i="2"/>
  <c r="H7230" i="2"/>
  <c r="H7229" i="2"/>
  <c r="H7228" i="2"/>
  <c r="H7227" i="2"/>
  <c r="H7226" i="2"/>
  <c r="H7225" i="2"/>
  <c r="H7224" i="2"/>
  <c r="H7223" i="2"/>
  <c r="H7222" i="2"/>
  <c r="H7221" i="2"/>
  <c r="H7220" i="2"/>
  <c r="H7219" i="2"/>
  <c r="H7218" i="2"/>
  <c r="H7217" i="2"/>
  <c r="H7216" i="2"/>
  <c r="H7215" i="2"/>
  <c r="H7214" i="2"/>
  <c r="H7213" i="2"/>
  <c r="H7212" i="2"/>
  <c r="H7211" i="2"/>
  <c r="H7210" i="2"/>
  <c r="H7209" i="2"/>
  <c r="H7208" i="2"/>
  <c r="H7207" i="2"/>
  <c r="H7206" i="2"/>
  <c r="H7205" i="2"/>
  <c r="H7204" i="2"/>
  <c r="H7203" i="2"/>
  <c r="H7202" i="2"/>
  <c r="H7201" i="2"/>
  <c r="H7200" i="2"/>
  <c r="H7199" i="2"/>
  <c r="H7198" i="2"/>
  <c r="H7197" i="2"/>
  <c r="H7196" i="2"/>
  <c r="H7195" i="2"/>
  <c r="H7194" i="2"/>
  <c r="H7193" i="2"/>
  <c r="H7192" i="2"/>
  <c r="H7191" i="2"/>
  <c r="H7190" i="2"/>
  <c r="H7189" i="2"/>
  <c r="H7188" i="2"/>
  <c r="H7187" i="2"/>
  <c r="H7186" i="2"/>
  <c r="H7185" i="2"/>
  <c r="H7184" i="2"/>
  <c r="H7183" i="2"/>
  <c r="H7182" i="2"/>
  <c r="H7181" i="2"/>
  <c r="H7180" i="2"/>
  <c r="H7179" i="2"/>
  <c r="H7178" i="2"/>
  <c r="H7177" i="2"/>
  <c r="H7176" i="2"/>
  <c r="H7175" i="2"/>
  <c r="H7174" i="2"/>
  <c r="H7173" i="2"/>
  <c r="H7172" i="2"/>
  <c r="H7171" i="2"/>
  <c r="H7170" i="2"/>
  <c r="H7169" i="2"/>
  <c r="H7168" i="2"/>
  <c r="H7167" i="2"/>
  <c r="H7166" i="2"/>
  <c r="H7165" i="2"/>
  <c r="H7164" i="2"/>
  <c r="H7163" i="2"/>
  <c r="H7162" i="2"/>
  <c r="H7161" i="2"/>
  <c r="H7160" i="2"/>
  <c r="H7159" i="2"/>
  <c r="H7158" i="2"/>
  <c r="H7157" i="2"/>
  <c r="H7156" i="2"/>
  <c r="H7155" i="2"/>
  <c r="H7154" i="2"/>
  <c r="H7153" i="2"/>
  <c r="H7152" i="2"/>
  <c r="H7151" i="2"/>
  <c r="H7150" i="2"/>
  <c r="H7149" i="2"/>
  <c r="H7148" i="2"/>
  <c r="H7147" i="2"/>
  <c r="H7146" i="2"/>
  <c r="H7145" i="2"/>
  <c r="H7144" i="2"/>
  <c r="H7143" i="2"/>
  <c r="H7142" i="2"/>
  <c r="H5699" i="2"/>
  <c r="H5698" i="2"/>
  <c r="H5697" i="2"/>
  <c r="H5696" i="2"/>
  <c r="H5695" i="2"/>
  <c r="H5694" i="2"/>
  <c r="H5693" i="2"/>
  <c r="H5692" i="2"/>
  <c r="H5691" i="2"/>
  <c r="H5690" i="2"/>
  <c r="H5689" i="2"/>
  <c r="H5688" i="2"/>
  <c r="H5687" i="2"/>
  <c r="H5686" i="2"/>
  <c r="H5685" i="2"/>
  <c r="H5684" i="2"/>
  <c r="H5683" i="2"/>
  <c r="H5682" i="2"/>
  <c r="H5681" i="2"/>
  <c r="H5680" i="2"/>
  <c r="H5679" i="2"/>
  <c r="H5678" i="2"/>
  <c r="H5677" i="2"/>
  <c r="H5676" i="2"/>
  <c r="H5675" i="2"/>
  <c r="H5674" i="2"/>
  <c r="H5673" i="2"/>
  <c r="H5672" i="2"/>
  <c r="H5671" i="2"/>
  <c r="H5670" i="2"/>
  <c r="H5669" i="2"/>
  <c r="H5668" i="2"/>
  <c r="H5667" i="2"/>
  <c r="H5666" i="2"/>
  <c r="H5665" i="2"/>
  <c r="H5664" i="2"/>
  <c r="H5663" i="2"/>
  <c r="H5662" i="2"/>
  <c r="H5661" i="2"/>
  <c r="H5660" i="2"/>
  <c r="H5659" i="2"/>
  <c r="H5658" i="2"/>
  <c r="H5657" i="2"/>
  <c r="H5656" i="2"/>
  <c r="H5655" i="2"/>
  <c r="H5654" i="2"/>
  <c r="H5653" i="2"/>
  <c r="H5652" i="2"/>
  <c r="H5651" i="2"/>
  <c r="H5650" i="2"/>
  <c r="H5649" i="2"/>
  <c r="H5648" i="2"/>
  <c r="H5647" i="2"/>
  <c r="H5646" i="2"/>
  <c r="H5645" i="2"/>
  <c r="H5644" i="2"/>
  <c r="H5643" i="2"/>
  <c r="H5642" i="2"/>
  <c r="H5641" i="2"/>
  <c r="H5640" i="2"/>
  <c r="H5639" i="2"/>
  <c r="H5638" i="2"/>
  <c r="H5637" i="2"/>
  <c r="H5636" i="2"/>
  <c r="H5635" i="2"/>
  <c r="H5634" i="2"/>
  <c r="H5633" i="2"/>
  <c r="H5632" i="2"/>
  <c r="H5631" i="2"/>
  <c r="H5630" i="2"/>
  <c r="H5629" i="2"/>
  <c r="H5628" i="2"/>
  <c r="H5627" i="2"/>
  <c r="H5626" i="2"/>
  <c r="H5625" i="2"/>
  <c r="H5624" i="2"/>
  <c r="H5623" i="2"/>
  <c r="H5622" i="2"/>
  <c r="H5621" i="2"/>
  <c r="H5620" i="2"/>
  <c r="H5619" i="2"/>
  <c r="H5618" i="2"/>
  <c r="H5617" i="2"/>
  <c r="H5616" i="2"/>
  <c r="H5615" i="2"/>
  <c r="H5614" i="2"/>
  <c r="H5613" i="2"/>
  <c r="H5612" i="2"/>
  <c r="H5611" i="2"/>
  <c r="H5610" i="2"/>
  <c r="H5609" i="2"/>
  <c r="H5608" i="2"/>
  <c r="H5607" i="2"/>
  <c r="H5606" i="2"/>
  <c r="H5605" i="2"/>
  <c r="H5604" i="2"/>
  <c r="H5603" i="2"/>
  <c r="H5602" i="2"/>
  <c r="H5601" i="2"/>
  <c r="H5600" i="2"/>
  <c r="H5599" i="2"/>
  <c r="H5598" i="2"/>
  <c r="H5597" i="2"/>
  <c r="H5596" i="2"/>
  <c r="H5595" i="2"/>
  <c r="H5594" i="2"/>
  <c r="H5593" i="2"/>
  <c r="H5592" i="2"/>
  <c r="H5591" i="2"/>
  <c r="H5590" i="2"/>
  <c r="H5589" i="2"/>
  <c r="H5588" i="2"/>
  <c r="H5587" i="2"/>
  <c r="H5586" i="2"/>
  <c r="H5585" i="2"/>
  <c r="H5584" i="2"/>
  <c r="H5583" i="2"/>
  <c r="H5582" i="2"/>
  <c r="H5581" i="2"/>
  <c r="H5580" i="2"/>
  <c r="H5579" i="2"/>
  <c r="H5578" i="2"/>
  <c r="H5577" i="2"/>
  <c r="H5576" i="2"/>
  <c r="H5575" i="2"/>
  <c r="H5574" i="2"/>
  <c r="H5573" i="2"/>
  <c r="H5572" i="2"/>
  <c r="H5571" i="2"/>
  <c r="H5570" i="2"/>
  <c r="H5569" i="2"/>
  <c r="H5568" i="2"/>
  <c r="H5567" i="2"/>
  <c r="H5566" i="2"/>
  <c r="H5565" i="2"/>
  <c r="H5564" i="2"/>
  <c r="H5563" i="2"/>
  <c r="H5562" i="2"/>
  <c r="H5561" i="2"/>
  <c r="H5560" i="2"/>
  <c r="H5559" i="2"/>
  <c r="H5558" i="2"/>
  <c r="H5557" i="2"/>
  <c r="H5556" i="2"/>
  <c r="H5555" i="2"/>
  <c r="H5554" i="2"/>
  <c r="H5553" i="2"/>
  <c r="H5552" i="2"/>
  <c r="H5551" i="2"/>
  <c r="H5550" i="2"/>
  <c r="H5549" i="2"/>
  <c r="H5548" i="2"/>
  <c r="H5547" i="2"/>
  <c r="H5546" i="2"/>
  <c r="H5545" i="2"/>
  <c r="H5544" i="2"/>
  <c r="H5543" i="2"/>
  <c r="H5542" i="2"/>
  <c r="H5541" i="2"/>
  <c r="H5540" i="2"/>
  <c r="H5539" i="2"/>
  <c r="H5538" i="2"/>
  <c r="H5537" i="2"/>
  <c r="H5536" i="2"/>
  <c r="H5535" i="2"/>
  <c r="H5534" i="2"/>
  <c r="H5533" i="2"/>
  <c r="H5532" i="2"/>
  <c r="H5531" i="2"/>
  <c r="H5530" i="2"/>
  <c r="H5529" i="2"/>
  <c r="H5528" i="2"/>
  <c r="H5527" i="2"/>
  <c r="H5526" i="2"/>
  <c r="H5525" i="2"/>
  <c r="H5524" i="2"/>
  <c r="H5523" i="2"/>
  <c r="H5522" i="2"/>
  <c r="H5521" i="2"/>
  <c r="H5520" i="2"/>
  <c r="H5519" i="2"/>
  <c r="H5518" i="2"/>
  <c r="H5517" i="2"/>
  <c r="H5516" i="2"/>
  <c r="H5515" i="2"/>
  <c r="H5514" i="2"/>
  <c r="H5513" i="2"/>
  <c r="H5512" i="2"/>
  <c r="H5511" i="2"/>
  <c r="H5510" i="2"/>
  <c r="H5509" i="2"/>
  <c r="H5508" i="2"/>
  <c r="H5507" i="2"/>
  <c r="H5506" i="2"/>
  <c r="H5505" i="2"/>
  <c r="H5504" i="2"/>
  <c r="H5503" i="2"/>
  <c r="H5502" i="2"/>
  <c r="H5501" i="2"/>
  <c r="H5500" i="2"/>
  <c r="H5499" i="2"/>
  <c r="H5498" i="2"/>
  <c r="H5497" i="2"/>
  <c r="H5496" i="2"/>
  <c r="H5495" i="2"/>
  <c r="H5494" i="2"/>
  <c r="H5493" i="2"/>
  <c r="H5492" i="2"/>
  <c r="H5491" i="2"/>
  <c r="H5490" i="2"/>
  <c r="H5489" i="2"/>
  <c r="H5488" i="2"/>
  <c r="H5487" i="2"/>
  <c r="H5486" i="2"/>
  <c r="H5485" i="2"/>
  <c r="H5484" i="2"/>
  <c r="H5483" i="2"/>
  <c r="H5482" i="2"/>
  <c r="H5481" i="2"/>
  <c r="H5480" i="2"/>
  <c r="H5479" i="2"/>
  <c r="H5478" i="2"/>
  <c r="H5477" i="2"/>
  <c r="H5476" i="2"/>
  <c r="H5475" i="2"/>
  <c r="H5474" i="2"/>
  <c r="H5473" i="2"/>
  <c r="H5472" i="2"/>
  <c r="H5471" i="2"/>
  <c r="H5470" i="2"/>
  <c r="H5469" i="2"/>
  <c r="H5468" i="2"/>
  <c r="H5467" i="2"/>
  <c r="H5466" i="2"/>
  <c r="H5465" i="2"/>
  <c r="H5464" i="2"/>
  <c r="H5463" i="2"/>
  <c r="H5462" i="2"/>
  <c r="H5461" i="2"/>
  <c r="H5460" i="2"/>
  <c r="H5459" i="2"/>
  <c r="H5458" i="2"/>
  <c r="H5457" i="2"/>
  <c r="H5456" i="2"/>
  <c r="H5455" i="2"/>
  <c r="H5454" i="2"/>
  <c r="H5453" i="2"/>
  <c r="H5452" i="2"/>
  <c r="H5451" i="2"/>
  <c r="H5450" i="2"/>
  <c r="H5449" i="2"/>
  <c r="H5448" i="2"/>
  <c r="H5447" i="2"/>
  <c r="H5446" i="2"/>
  <c r="H5445" i="2"/>
  <c r="H5444" i="2"/>
  <c r="H5443" i="2"/>
  <c r="H5442" i="2"/>
  <c r="H5441" i="2"/>
  <c r="H5440" i="2"/>
  <c r="H5439" i="2"/>
  <c r="H5438" i="2"/>
  <c r="H5437" i="2"/>
  <c r="H5436" i="2"/>
  <c r="H5435" i="2"/>
  <c r="H5434" i="2"/>
  <c r="H5433" i="2"/>
  <c r="H5432" i="2"/>
  <c r="H5431" i="2"/>
  <c r="H5430" i="2"/>
  <c r="H5429" i="2"/>
  <c r="H5428" i="2"/>
  <c r="H5427" i="2"/>
  <c r="H5426" i="2"/>
  <c r="H5425" i="2"/>
  <c r="H5424" i="2"/>
  <c r="H5423" i="2"/>
  <c r="H5422" i="2"/>
  <c r="H5421" i="2"/>
  <c r="H5420" i="2"/>
  <c r="H5419" i="2"/>
  <c r="H5418" i="2"/>
  <c r="H5417" i="2"/>
  <c r="H5416" i="2"/>
  <c r="H5415" i="2"/>
  <c r="H5414" i="2"/>
  <c r="H5413" i="2"/>
  <c r="H5412" i="2"/>
  <c r="H5411" i="2"/>
  <c r="H5410" i="2"/>
  <c r="H5409" i="2"/>
  <c r="H5408" i="2"/>
  <c r="H5407" i="2"/>
  <c r="H5406" i="2"/>
  <c r="H5405" i="2"/>
  <c r="H5404" i="2"/>
  <c r="H5403" i="2"/>
  <c r="H5402" i="2"/>
  <c r="H5401" i="2"/>
  <c r="H5400" i="2"/>
  <c r="H5399" i="2"/>
  <c r="H5398" i="2"/>
  <c r="H5397" i="2"/>
  <c r="H5396" i="2"/>
  <c r="H5395" i="2"/>
  <c r="H5394" i="2"/>
  <c r="H5393" i="2"/>
  <c r="H5392" i="2"/>
  <c r="H5391" i="2"/>
  <c r="H5390" i="2"/>
  <c r="H5389" i="2"/>
  <c r="H5388" i="2"/>
  <c r="H5387" i="2"/>
  <c r="H5386" i="2"/>
  <c r="H5385" i="2"/>
  <c r="H5384" i="2"/>
  <c r="H5383" i="2"/>
  <c r="H5382" i="2"/>
  <c r="H5381" i="2"/>
  <c r="H5380" i="2"/>
  <c r="H5379" i="2"/>
  <c r="H5378" i="2"/>
  <c r="H5377" i="2"/>
  <c r="H5376" i="2"/>
  <c r="H5375" i="2"/>
  <c r="H5374" i="2"/>
  <c r="H5373" i="2"/>
  <c r="H5372" i="2"/>
  <c r="H5371" i="2"/>
  <c r="H5370" i="2"/>
  <c r="H5369" i="2"/>
  <c r="H5368" i="2"/>
  <c r="H5367" i="2"/>
  <c r="H5366" i="2"/>
  <c r="H5365" i="2"/>
  <c r="H5364" i="2"/>
  <c r="H5363" i="2"/>
  <c r="H5362" i="2"/>
  <c r="H5361" i="2"/>
  <c r="H5360" i="2"/>
  <c r="H5359" i="2"/>
  <c r="H5358" i="2"/>
  <c r="H5357" i="2"/>
  <c r="H5356" i="2"/>
  <c r="H5355" i="2"/>
  <c r="H5354" i="2"/>
  <c r="H5353" i="2"/>
  <c r="H5352" i="2"/>
  <c r="H5351" i="2"/>
  <c r="H5350" i="2"/>
  <c r="H5349" i="2"/>
  <c r="H5348" i="2"/>
  <c r="H5347" i="2"/>
  <c r="H5346" i="2"/>
  <c r="H5345" i="2"/>
  <c r="H5344" i="2"/>
  <c r="H5343" i="2"/>
  <c r="H5342" i="2"/>
  <c r="H5341" i="2"/>
  <c r="H5340" i="2"/>
  <c r="H5339" i="2"/>
  <c r="H5338" i="2"/>
  <c r="H5337" i="2"/>
  <c r="H5336" i="2"/>
  <c r="H5335" i="2"/>
  <c r="H5334" i="2"/>
  <c r="H5333" i="2"/>
  <c r="H5332" i="2"/>
  <c r="H5331" i="2"/>
  <c r="H5330" i="2"/>
  <c r="H5329" i="2"/>
  <c r="H5328" i="2"/>
  <c r="H5327" i="2"/>
  <c r="H5326" i="2"/>
  <c r="H5325" i="2"/>
  <c r="H5324" i="2"/>
  <c r="H5323" i="2"/>
  <c r="H5322" i="2"/>
  <c r="H5321" i="2"/>
  <c r="H5320" i="2"/>
  <c r="H5319" i="2"/>
  <c r="H5318" i="2"/>
  <c r="H5317" i="2"/>
  <c r="H5316" i="2"/>
  <c r="H5315" i="2"/>
  <c r="H5314" i="2"/>
  <c r="H5313" i="2"/>
  <c r="H5312" i="2"/>
  <c r="H5311" i="2"/>
  <c r="H5310" i="2"/>
  <c r="H5309" i="2"/>
  <c r="H5308" i="2"/>
  <c r="H5307" i="2"/>
  <c r="H5306" i="2"/>
  <c r="H5305" i="2"/>
  <c r="H5304" i="2"/>
  <c r="H5303" i="2"/>
  <c r="H5302" i="2"/>
  <c r="H5301" i="2"/>
  <c r="H5300" i="2"/>
  <c r="H5299" i="2"/>
  <c r="H5298" i="2"/>
  <c r="H5297" i="2"/>
  <c r="H5296" i="2"/>
  <c r="H5295" i="2"/>
  <c r="H5294" i="2"/>
  <c r="H5293" i="2"/>
  <c r="H5292" i="2"/>
  <c r="H5291" i="2"/>
  <c r="H5290" i="2"/>
  <c r="H5289" i="2"/>
  <c r="H5288" i="2"/>
  <c r="H5287" i="2"/>
  <c r="H5286" i="2"/>
  <c r="H5285" i="2"/>
  <c r="H5284" i="2"/>
  <c r="H5283" i="2"/>
  <c r="H5282" i="2"/>
  <c r="H5281" i="2"/>
  <c r="H5280" i="2"/>
  <c r="H5279" i="2"/>
  <c r="H5278" i="2"/>
  <c r="H5277" i="2"/>
  <c r="H5276" i="2"/>
  <c r="H5275" i="2"/>
  <c r="H5274" i="2"/>
  <c r="H5273" i="2"/>
  <c r="H5272" i="2"/>
  <c r="H5271" i="2"/>
  <c r="H5270" i="2"/>
  <c r="H5269" i="2"/>
  <c r="H5268" i="2"/>
  <c r="H5267" i="2"/>
  <c r="H5266" i="2"/>
  <c r="H5265" i="2"/>
  <c r="H5264" i="2"/>
  <c r="H5263" i="2"/>
  <c r="H5262" i="2"/>
  <c r="H5261" i="2"/>
  <c r="H5260" i="2"/>
  <c r="H5259" i="2"/>
  <c r="H5258" i="2"/>
  <c r="H5257" i="2"/>
  <c r="H5256" i="2"/>
  <c r="H5255" i="2"/>
  <c r="H5254" i="2"/>
  <c r="H5253" i="2"/>
  <c r="H5252" i="2"/>
  <c r="H5251" i="2"/>
  <c r="H5250" i="2"/>
  <c r="H5249" i="2"/>
  <c r="H5248" i="2"/>
  <c r="H5247" i="2"/>
  <c r="H5246" i="2"/>
  <c r="H5245" i="2"/>
  <c r="H5244" i="2"/>
  <c r="H5243" i="2"/>
  <c r="H5242" i="2"/>
  <c r="H5241" i="2"/>
  <c r="H5240" i="2"/>
  <c r="H5239" i="2"/>
  <c r="H5238" i="2"/>
  <c r="H5237" i="2"/>
  <c r="H5236" i="2"/>
  <c r="H5235" i="2"/>
  <c r="H5234" i="2"/>
  <c r="H5233" i="2"/>
  <c r="H5232" i="2"/>
  <c r="H5231" i="2"/>
  <c r="H5230" i="2"/>
  <c r="H5229" i="2"/>
  <c r="H5228" i="2"/>
  <c r="H5227" i="2"/>
  <c r="H5226" i="2"/>
  <c r="H5225" i="2"/>
  <c r="H5224" i="2"/>
  <c r="H5223" i="2"/>
  <c r="H5222" i="2"/>
  <c r="H5221" i="2"/>
  <c r="H5220" i="2"/>
  <c r="H5219" i="2"/>
  <c r="H5218" i="2"/>
  <c r="H5217" i="2"/>
  <c r="H5216" i="2"/>
  <c r="H5215" i="2"/>
  <c r="H5214" i="2"/>
  <c r="H5213" i="2"/>
  <c r="H5212" i="2"/>
  <c r="H5211" i="2"/>
  <c r="H5210" i="2"/>
  <c r="H5209" i="2"/>
  <c r="H5208" i="2"/>
  <c r="H5207" i="2"/>
  <c r="H5206" i="2"/>
  <c r="H5205" i="2"/>
  <c r="H5204" i="2"/>
  <c r="H5203" i="2"/>
  <c r="H5202" i="2"/>
  <c r="H5201" i="2"/>
  <c r="H5200" i="2"/>
  <c r="H5199" i="2"/>
  <c r="H5198" i="2"/>
  <c r="H5197" i="2"/>
  <c r="H5196" i="2"/>
  <c r="H5195" i="2"/>
  <c r="H5194" i="2"/>
  <c r="H5193" i="2"/>
  <c r="H5192" i="2"/>
  <c r="H5191" i="2"/>
  <c r="H5190" i="2"/>
  <c r="H5189" i="2"/>
  <c r="H5188" i="2"/>
  <c r="H5187" i="2"/>
  <c r="H5186" i="2"/>
  <c r="H5185" i="2"/>
  <c r="H5184" i="2"/>
  <c r="H5183" i="2"/>
  <c r="H5182" i="2"/>
  <c r="H5181" i="2"/>
  <c r="H5180" i="2"/>
  <c r="H5179" i="2"/>
  <c r="H5178" i="2"/>
  <c r="H5177" i="2"/>
  <c r="H5176" i="2"/>
  <c r="H5175" i="2"/>
  <c r="H5174" i="2"/>
  <c r="H5173" i="2"/>
  <c r="H5172" i="2"/>
  <c r="H5171" i="2"/>
  <c r="H5170" i="2"/>
  <c r="H5169" i="2"/>
  <c r="H5168" i="2"/>
  <c r="H5167" i="2"/>
  <c r="H5166" i="2"/>
  <c r="H5165" i="2"/>
  <c r="H5164" i="2"/>
  <c r="H5163" i="2"/>
  <c r="H5162" i="2"/>
  <c r="H5161" i="2"/>
  <c r="H5160" i="2"/>
  <c r="H5159" i="2"/>
  <c r="H5158" i="2"/>
  <c r="H5157" i="2"/>
  <c r="H5156" i="2"/>
  <c r="H5155" i="2"/>
  <c r="H5154" i="2"/>
  <c r="H5153" i="2"/>
  <c r="H5152" i="2"/>
  <c r="H5151" i="2"/>
  <c r="H5150" i="2"/>
  <c r="H5149" i="2"/>
  <c r="H5148" i="2"/>
  <c r="H5147" i="2"/>
  <c r="H5146" i="2"/>
  <c r="H5145" i="2"/>
  <c r="H5144" i="2"/>
  <c r="H5143" i="2"/>
  <c r="H5142" i="2"/>
  <c r="H5141" i="2"/>
  <c r="H5140" i="2"/>
  <c r="H5139" i="2"/>
  <c r="H5138" i="2"/>
  <c r="H5137" i="2"/>
  <c r="H5136" i="2"/>
  <c r="H5135" i="2"/>
  <c r="H5134" i="2"/>
  <c r="H5133" i="2"/>
  <c r="H5132" i="2"/>
  <c r="H5131" i="2"/>
  <c r="H5130" i="2"/>
  <c r="H5129" i="2"/>
  <c r="H5128" i="2"/>
  <c r="H5127" i="2"/>
  <c r="H5126" i="2"/>
  <c r="H5125" i="2"/>
  <c r="H5124" i="2"/>
  <c r="H5123" i="2"/>
  <c r="H5122" i="2"/>
  <c r="H5121" i="2"/>
  <c r="H5120" i="2"/>
  <c r="H5119" i="2"/>
  <c r="H5118" i="2"/>
  <c r="H5117" i="2"/>
  <c r="H5116" i="2"/>
  <c r="H5115" i="2"/>
  <c r="H5114" i="2"/>
  <c r="H5113" i="2"/>
  <c r="H5112" i="2"/>
  <c r="H5111" i="2"/>
  <c r="H5110" i="2"/>
  <c r="H5109" i="2"/>
  <c r="H5108" i="2"/>
  <c r="H5107" i="2"/>
  <c r="H5106" i="2"/>
  <c r="H5105" i="2"/>
  <c r="H5104" i="2"/>
  <c r="H5103" i="2"/>
  <c r="H5102" i="2"/>
  <c r="H5101" i="2"/>
  <c r="H5100" i="2"/>
  <c r="H5099" i="2"/>
  <c r="H5098" i="2"/>
  <c r="H5097" i="2"/>
  <c r="H5096" i="2"/>
  <c r="H5095" i="2"/>
  <c r="H5094" i="2"/>
  <c r="H5093" i="2"/>
  <c r="H5092" i="2"/>
  <c r="H5091" i="2"/>
  <c r="H5090" i="2"/>
  <c r="H5089" i="2"/>
  <c r="H5088" i="2"/>
  <c r="H5087" i="2"/>
  <c r="H5086" i="2"/>
  <c r="H5085" i="2"/>
  <c r="H5084" i="2"/>
  <c r="H5083" i="2"/>
  <c r="H5082" i="2"/>
  <c r="H5081" i="2"/>
  <c r="H5080" i="2"/>
  <c r="H5079" i="2"/>
  <c r="H5078" i="2"/>
  <c r="H5077" i="2"/>
  <c r="H5076" i="2"/>
  <c r="H5075" i="2"/>
  <c r="H5074" i="2"/>
  <c r="H5073" i="2"/>
  <c r="H5072" i="2"/>
  <c r="H5071" i="2"/>
  <c r="H5070" i="2"/>
  <c r="H5069" i="2"/>
  <c r="H5068" i="2"/>
  <c r="H5067" i="2"/>
  <c r="H5066" i="2"/>
  <c r="H5065" i="2"/>
  <c r="H5064" i="2"/>
  <c r="H5063" i="2"/>
  <c r="H5062" i="2"/>
  <c r="H5061" i="2"/>
  <c r="H5060" i="2"/>
  <c r="H5059" i="2"/>
  <c r="H5058" i="2"/>
  <c r="H5057" i="2"/>
  <c r="H5056" i="2"/>
  <c r="H5055" i="2"/>
  <c r="H5054" i="2"/>
  <c r="H5053" i="2"/>
  <c r="H5052" i="2"/>
  <c r="H5051" i="2"/>
  <c r="H5050" i="2"/>
  <c r="H5049" i="2"/>
  <c r="H5048" i="2"/>
  <c r="H5047" i="2"/>
  <c r="H5046" i="2"/>
  <c r="H5045" i="2"/>
  <c r="H5044" i="2"/>
  <c r="H5043" i="2"/>
  <c r="H5042" i="2"/>
  <c r="H5041" i="2"/>
  <c r="H5040" i="2"/>
  <c r="H5039" i="2"/>
  <c r="H5038" i="2"/>
  <c r="H5037" i="2"/>
  <c r="H5036" i="2"/>
  <c r="H5035" i="2"/>
  <c r="H5034" i="2"/>
  <c r="H5033" i="2"/>
  <c r="H5032" i="2"/>
  <c r="H5031" i="2"/>
  <c r="H5030" i="2"/>
  <c r="H5029" i="2"/>
  <c r="H5028" i="2"/>
  <c r="H5027" i="2"/>
  <c r="H5026" i="2"/>
  <c r="H5025" i="2"/>
  <c r="H5024" i="2"/>
  <c r="H5023" i="2"/>
  <c r="H5022" i="2"/>
  <c r="H5021" i="2"/>
  <c r="H5020" i="2"/>
  <c r="H5019" i="2"/>
  <c r="H5018" i="2"/>
  <c r="H5017" i="2"/>
  <c r="H5016" i="2"/>
  <c r="H5015" i="2"/>
  <c r="H5014" i="2"/>
  <c r="H5013" i="2"/>
  <c r="H5012" i="2"/>
  <c r="H5011" i="2"/>
  <c r="H5010" i="2"/>
  <c r="H5009" i="2"/>
  <c r="H5008" i="2"/>
  <c r="H5007" i="2"/>
  <c r="H5006" i="2"/>
  <c r="H5005" i="2"/>
  <c r="H5004" i="2"/>
  <c r="H5003" i="2"/>
  <c r="H5002" i="2"/>
  <c r="H5001" i="2"/>
  <c r="H5000" i="2"/>
  <c r="H4999" i="2"/>
  <c r="H4998" i="2"/>
  <c r="H4997" i="2"/>
  <c r="H4996" i="2"/>
  <c r="H4995" i="2"/>
  <c r="H4994" i="2"/>
  <c r="H4993" i="2"/>
  <c r="H4992" i="2"/>
  <c r="H4991" i="2"/>
  <c r="H4990" i="2"/>
  <c r="H4989" i="2"/>
  <c r="H4988" i="2"/>
  <c r="H4987" i="2"/>
  <c r="H4986" i="2"/>
  <c r="H4985" i="2"/>
  <c r="H4984" i="2"/>
  <c r="H4983" i="2"/>
  <c r="H4982" i="2"/>
  <c r="H4981" i="2"/>
  <c r="H4980" i="2"/>
  <c r="H4979" i="2"/>
  <c r="H4978" i="2"/>
  <c r="H4977" i="2"/>
  <c r="H4976" i="2"/>
  <c r="H4975" i="2"/>
  <c r="H4974" i="2"/>
  <c r="H4973" i="2"/>
  <c r="H4972" i="2"/>
  <c r="H4971" i="2"/>
  <c r="H4970" i="2"/>
  <c r="H4969" i="2"/>
  <c r="H4968" i="2"/>
  <c r="H4967" i="2"/>
  <c r="H4966" i="2"/>
  <c r="H4965" i="2"/>
  <c r="H4964" i="2"/>
  <c r="H4963" i="2"/>
  <c r="H4962" i="2"/>
  <c r="H4961" i="2"/>
  <c r="H4960" i="2"/>
  <c r="H4959" i="2"/>
  <c r="H4958" i="2"/>
  <c r="H4957" i="2"/>
  <c r="H4956" i="2"/>
  <c r="H4955" i="2"/>
  <c r="H4954" i="2"/>
  <c r="H4953" i="2"/>
  <c r="H4952" i="2"/>
  <c r="H4951" i="2"/>
  <c r="H4950" i="2"/>
  <c r="H4949" i="2"/>
  <c r="H4948" i="2"/>
  <c r="H4947" i="2"/>
  <c r="H4946" i="2"/>
  <c r="H4945" i="2"/>
  <c r="H4944" i="2"/>
  <c r="H4943" i="2"/>
  <c r="H4942" i="2"/>
  <c r="H4941" i="2"/>
  <c r="H4940" i="2"/>
  <c r="H4939" i="2"/>
  <c r="H4938" i="2"/>
  <c r="H4937" i="2"/>
  <c r="H4936" i="2"/>
  <c r="H4935" i="2"/>
  <c r="H4934" i="2"/>
  <c r="H4933" i="2"/>
  <c r="H4932" i="2"/>
  <c r="H4931" i="2"/>
  <c r="H4930" i="2"/>
  <c r="H4929" i="2"/>
  <c r="H4928" i="2"/>
  <c r="H4927" i="2"/>
  <c r="H4926" i="2"/>
  <c r="H4925" i="2"/>
  <c r="H4924" i="2"/>
  <c r="H4923" i="2"/>
  <c r="H4922" i="2"/>
  <c r="H4921" i="2"/>
  <c r="H4920" i="2"/>
  <c r="H4919" i="2"/>
  <c r="H4918" i="2"/>
  <c r="H4917" i="2"/>
  <c r="H4916" i="2"/>
  <c r="H4915" i="2"/>
  <c r="H4914" i="2"/>
  <c r="H4913" i="2"/>
  <c r="H4912" i="2"/>
  <c r="H4911" i="2"/>
  <c r="H4910" i="2"/>
  <c r="H4909" i="2"/>
  <c r="H4908" i="2"/>
  <c r="H4907" i="2"/>
  <c r="H4906" i="2"/>
  <c r="H4905" i="2"/>
  <c r="H4904" i="2"/>
  <c r="H4903" i="2"/>
  <c r="H4902" i="2"/>
  <c r="H4901" i="2"/>
  <c r="H4900" i="2"/>
  <c r="H4899" i="2"/>
  <c r="H4898" i="2"/>
  <c r="H4897" i="2"/>
  <c r="H4896" i="2"/>
  <c r="H4895" i="2"/>
  <c r="H4894" i="2"/>
  <c r="H4893" i="2"/>
  <c r="H4892" i="2"/>
  <c r="H4891" i="2"/>
  <c r="H4890" i="2"/>
  <c r="H4889" i="2"/>
  <c r="H4888" i="2"/>
  <c r="H4887" i="2"/>
  <c r="H4886" i="2"/>
  <c r="H4885" i="2"/>
  <c r="H4884" i="2"/>
  <c r="H4883" i="2"/>
  <c r="H4882" i="2"/>
  <c r="H4881" i="2"/>
  <c r="H4880" i="2"/>
  <c r="H4879" i="2"/>
  <c r="H4878" i="2"/>
  <c r="H4877" i="2"/>
  <c r="H4876" i="2"/>
  <c r="H4875" i="2"/>
  <c r="H4874" i="2"/>
  <c r="H4873" i="2"/>
  <c r="H4872" i="2"/>
  <c r="H4871" i="2"/>
  <c r="H4870" i="2"/>
  <c r="H4869" i="2"/>
  <c r="H4867" i="2" l="1"/>
  <c r="H7140" i="2"/>
  <c r="H4820" i="2"/>
  <c r="G4820" i="2"/>
  <c r="F4820" i="2"/>
  <c r="H4821" i="2"/>
  <c r="G4821" i="2"/>
  <c r="F4821" i="2"/>
  <c r="H4572" i="2"/>
  <c r="H4571" i="2"/>
  <c r="H4570" i="2"/>
  <c r="H4569" i="2"/>
  <c r="H4568" i="2"/>
  <c r="H4567" i="2"/>
  <c r="H4566" i="2"/>
  <c r="H4565" i="2"/>
  <c r="H4564" i="2"/>
  <c r="H4563" i="2"/>
  <c r="H4562" i="2"/>
  <c r="H4561" i="2"/>
  <c r="H4289" i="2"/>
  <c r="H4288" i="2"/>
  <c r="H4287" i="2"/>
  <c r="H4165" i="2"/>
  <c r="H4164" i="2"/>
  <c r="H4163" i="2"/>
  <c r="H4162" i="2"/>
  <c r="H4161" i="2"/>
  <c r="H4160" i="2"/>
  <c r="H4159" i="2"/>
  <c r="H4158" i="2"/>
  <c r="H4157" i="2"/>
  <c r="H4156" i="2"/>
  <c r="H3932" i="2"/>
  <c r="H3931" i="2"/>
  <c r="H3930" i="2"/>
  <c r="H3929" i="2"/>
  <c r="H3928" i="2"/>
  <c r="H4285" i="2" l="1"/>
  <c r="H3926" i="2"/>
  <c r="H4154" i="2"/>
  <c r="H4559" i="2"/>
  <c r="H3835" i="2" l="1"/>
  <c r="H3368" i="2" l="1"/>
  <c r="H3369" i="2"/>
  <c r="G3369" i="2"/>
  <c r="G3368" i="2"/>
  <c r="F3368" i="2"/>
  <c r="F3369" i="2"/>
  <c r="H1540" i="2" l="1"/>
  <c r="H1539" i="2"/>
  <c r="H1538" i="2"/>
  <c r="H1537" i="2"/>
  <c r="H1536" i="2"/>
  <c r="H1535" i="2"/>
  <c r="H1534" i="2"/>
  <c r="H1533" i="2"/>
  <c r="H1532" i="2"/>
  <c r="H1531" i="2"/>
  <c r="H1530" i="2"/>
  <c r="H1529" i="2"/>
  <c r="H1138" i="2"/>
  <c r="H1137" i="2"/>
  <c r="H1136" i="2"/>
  <c r="H1135" i="2"/>
  <c r="H1134" i="2"/>
  <c r="H1133" i="2"/>
  <c r="H1132" i="2"/>
  <c r="H1131" i="2"/>
  <c r="H1130" i="2"/>
  <c r="H1129" i="2"/>
  <c r="H1128" i="2"/>
  <c r="H1127" i="2"/>
  <c r="H1126" i="2"/>
  <c r="H1125" i="2"/>
  <c r="H1124" i="2"/>
  <c r="H1123" i="2"/>
  <c r="H1122" i="2"/>
  <c r="H1121" i="2"/>
  <c r="H1120" i="2"/>
  <c r="H1119" i="2"/>
  <c r="H1118" i="2"/>
  <c r="H1117" i="2"/>
  <c r="H1116" i="2"/>
  <c r="H1115" i="2"/>
  <c r="H1114" i="2"/>
  <c r="H1113" i="2"/>
  <c r="H1112" i="2"/>
  <c r="H1111" i="2"/>
  <c r="H1110" i="2"/>
  <c r="H1109" i="2"/>
  <c r="H1108" i="2"/>
  <c r="H1107" i="2"/>
  <c r="H1106" i="2"/>
  <c r="H1105" i="2"/>
  <c r="H1104" i="2"/>
  <c r="H956" i="2"/>
  <c r="H955" i="2"/>
  <c r="H954" i="2"/>
  <c r="H953" i="2"/>
  <c r="H952" i="2"/>
  <c r="H951" i="2"/>
  <c r="H950" i="2"/>
  <c r="H949" i="2"/>
  <c r="H948" i="2"/>
  <c r="H947" i="2"/>
  <c r="H946" i="2"/>
  <c r="H945" i="2"/>
  <c r="H944" i="2"/>
  <c r="H943" i="2"/>
  <c r="H942" i="2"/>
  <c r="H941" i="2"/>
  <c r="H940" i="2"/>
  <c r="H939" i="2"/>
  <c r="H938" i="2"/>
  <c r="H937" i="2"/>
  <c r="H936" i="2"/>
  <c r="H935" i="2"/>
  <c r="H934" i="2"/>
  <c r="H933" i="2"/>
  <c r="H932" i="2"/>
  <c r="H931" i="2"/>
  <c r="H930" i="2"/>
  <c r="H929" i="2"/>
  <c r="H928" i="2"/>
  <c r="H927" i="2"/>
  <c r="H926" i="2"/>
  <c r="H925" i="2"/>
  <c r="H924" i="2"/>
  <c r="H923" i="2"/>
  <c r="H922" i="2"/>
  <c r="H921" i="2"/>
  <c r="H920" i="2"/>
  <c r="H919" i="2"/>
  <c r="H918" i="2"/>
  <c r="H917" i="2"/>
  <c r="H916" i="2"/>
  <c r="H915" i="2"/>
  <c r="H914"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l="1"/>
  <c r="H912" i="2"/>
  <c r="H1102" i="2"/>
  <c r="H1527" i="2"/>
  <c r="H4822" i="2" l="1"/>
  <c r="G4822" i="2"/>
  <c r="F4822" i="2"/>
  <c r="H3836" i="2" l="1"/>
  <c r="F3836" i="2"/>
  <c r="H3726" i="2" l="1"/>
  <c r="G3726" i="2"/>
  <c r="F3726" i="2"/>
  <c r="H3725" i="2"/>
  <c r="G3725" i="2"/>
  <c r="F3725" i="2"/>
  <c r="H3724" i="2"/>
  <c r="G3724" i="2"/>
  <c r="F3724" i="2"/>
  <c r="H3370" i="2"/>
  <c r="G3370" i="2"/>
  <c r="F3370" i="2"/>
  <c r="H1693" i="2"/>
  <c r="H1676" i="2"/>
</calcChain>
</file>

<file path=xl/sharedStrings.xml><?xml version="1.0" encoding="utf-8"?>
<sst xmlns="http://schemas.openxmlformats.org/spreadsheetml/2006/main" count="34394" uniqueCount="9235">
  <si>
    <t>0,4 кВ и ниже</t>
  </si>
  <si>
    <t>3.1.2.1.4.2</t>
  </si>
  <si>
    <t xml:space="preserve">Строительство 2 ВЛ 0,4 кВ, 2 ТП 10/0,4кВ, 2 КЛ 10 кВ от КЛ 10 кВ №19-36 и №19-46 ПС 110 кВ Р19 для электроснабжения рынка продовольственных товаров (ООО «СеНат») расположенной по адресу: г. Ростов-на-Дону, Советский район, Коммунальная зона жилого района «Левенцовский», к.н. 61:44:0062510:150 </t>
  </si>
  <si>
    <t>3.1.2.1.4.4</t>
  </si>
  <si>
    <t>Строительство 2 КЛ 0,4 кВ, 2 ТП 10/0,4кВ, 2 КЛ 10 кВ от КЛ 10 кВ №28-62 и №28-63 ПС 110 кВ Р28 для электроснабжения многоэтажного жилого дома (Жилищно-строительный кооператив «Европейский 22») расположенной по адресу: г. Ростов-на-Дону, ул. Володарского 2-я, д. 172/88, к.н. 61:44:0000000:1078</t>
  </si>
  <si>
    <t>3.3.1.1.3.1</t>
  </si>
  <si>
    <t>Строительство КВЛ 0,4 кВ от ТП 6/0,4 кВ № 238 по КЛ-6 кВ № 39 от РП 6 кВ №5 по КЛ-6 кВ № 75/1 ПС 35/6 кВ т-7 для электроснабжения нежилого помещения ИП Мурадов Г.С. по адресу : РО г. Таганрог, ул. 1-й Крепостной, 17, к.н. 61:58:0001011:25 (ориентировочная протяженность ЛЭП 0, 3 км)</t>
  </si>
  <si>
    <t>3.3.2.1.2.1</t>
  </si>
  <si>
    <t>Строительство КЛ-0,4 кВ от новой ТП 6/0,4 кВ , строительство ТП 6/0,4 кВ ,строительство Кл-6 кВ от новой ТП 6/0,4 кВ до места врезки в КЛ 6 кВ №161 от РП-6 кВ №16 по КЛ 6 кВ № 1316/1 ПС 110/35/6 кВ Т-13, для электроснабжения многоквартирного жилого дома с торгово-офисными помещениями заявителя ООО "КАПИТАЛ СТРОЙ" по адресу : РО,г.Таганрог, пер.1-й Новый, д.14-4, к.н.:61:58:0004349:122(ориентировочная протяженность ЛЭП-0,075 км, ориентировочная мощность силового трансформатора - 0,25 мВА)</t>
  </si>
  <si>
    <t>3.1.2.1.2.1</t>
  </si>
  <si>
    <t>Строительство ТП 6/0,4 кВ, ВЛ 6 кВ, ВЛ 0,4 кВ от проектируемой ВЛ 6 кВ (по договору №61-1-18-00403149 от 09.10.2018 г.) от ВЛ 6 кВ №806 ПС 35 кВ АС8 для электроснабжения нежилого помещения ИП Дмитриева Д. В. на участке с КН 61:02:0600011:2144 в п. Опытный Аксайского района Ростовской области</t>
  </si>
  <si>
    <t>Строительство ТП 10/0,4 кВ, ВЛ 10 кВ, ВЛ 0,4 кВ от ВЛ 10 кВ №101 ПС 110 кВ АС1 для электроснабжения нежилого помещения Шульман М. С. на участке с КН 61:02:0600015:6621 в ст-це Ольгинская Аксайского района Ростовской области (ориентировочная мощность трансформатора 0,063 МВА, ориентировочная протяжённость ЛЭП 2,050 км)</t>
  </si>
  <si>
    <t>Год ввода объекта</t>
  </si>
  <si>
    <t>Уровень напряжения, кВ</t>
  </si>
  <si>
    <t>Присоединенная максимальная мощность, кВт</t>
  </si>
  <si>
    <t>Объект электросетевого хозяйства/
Средство коммерческого учета электрической энергии (мощности)</t>
  </si>
  <si>
    <t>Протяженность (для линий электропередачи), метров/Количество пунктов секционирования, штук/ Количество точек учета, штук</t>
  </si>
  <si>
    <t>Расходы на строительство объекта/на обеспечение средствами коммерческого учета электрической энергии (мощности), тыс. руб.</t>
  </si>
  <si>
    <t>к Методическим указаниям по определению размера платы</t>
  </si>
  <si>
    <t xml:space="preserve"> за технологическое присоединение к электрическим сетям,</t>
  </si>
  <si>
    <t>утв. приказом Федеральной антимонопольной службы</t>
  </si>
  <si>
    <t xml:space="preserve">0,4 кВ </t>
  </si>
  <si>
    <t xml:space="preserve"> 1-20 кВ</t>
  </si>
  <si>
    <t>Строительство участка ВЛ-10 кВ от существующей оп. №70  ВЛ-10 кВ «Зверпромхоз» от   ПС Ш-42, с установкой ТП-10/0,4 кВ, и строительство ВЛИ-0,4 кВ от вновь установленной ТП-10/0,4 кВ  для присоединения нежилого дома  Сирота Д.В.  (ориентировочная протяженность ЛЭП 0,145 км, ориентировочная мощность трансформатора 25 кВА)</t>
  </si>
  <si>
    <t>Строительство участка ВЛ-6 кВ от существующей оп. №58 отпайки на КТП№66 ВЛ-6 кВ «Совхоз-10» от   ПС Ш-12, с установкой ТП-6/0,4 кВ, и строительство ВЛИ-0,4 кВ от вновь установленной ТП-6/0,4 кВ  для присоединения ангара Коваленко Д.О (ориентировочная протяженность ЛЭП 1,93 км, ориентировочная мощность трансформатора 25 кВА)</t>
  </si>
  <si>
    <t>Строительство ВЛИ-0,4кВ от  оп.541 ВЛ-0,4кВ №1 от КТП №244 по ВЛ-6кВ «Кривянка» от ПС 35/6кВ Ш-43 для электроснабжения  жилого дома    (Макосеева В.Г) (ориентировочная протяженность ЛЭП – 0,08км)</t>
  </si>
  <si>
    <t>Строительство ВЛИ-0,4 кВ от оп. №9/16 ВЛ-0,4 кВ №3 от МТП №220 ВЛ-6 кВ "Рыбхоз" от ПС 35/6 кВ Ш-41 для электроснабжения жилого дома в ст. Бессергеневская, ул. Семисохина, д.9-а Октябрьского района Ростовской области (Леонов Б.А.) (ориентировочная протяженность ЛЭП - 0,06 км)</t>
  </si>
  <si>
    <t>Строительство ВЛИ-0,22 кВ от  оп. №16 ВЛ-0,4 кВ №2 от КТП №135 по ВЛ-10кВ «Летний  Гурт» от ПС 35/10кВ Ш-48 для электроснабжения  жилого дома в х. Ягодинка, ул. Степная, д. 31 Октябрьского района Ростовской обдасти   (Кущенко Л.Г.) (ориентировочная протяженность ЛЭП – 0,23 км)</t>
  </si>
  <si>
    <t>Строительство ВЛИ-0,4кВ от ВЛ-0,4кВ ТП №64 ВЛ-10кВ «Крымский» ПС 110/35/27,5/10кВ Ш-14 для присоединения жилого дома Абрамова В.А. в х.Ещеулов Усть-Донецкого района (ориентировочная протяженность ЛЭП 0,37 км)</t>
  </si>
  <si>
    <t>Строительство ВЛИ-0,4 кВ от КТП-6/0,4кВ №200 ВЛ-6кВ «Смирнов» ПС 110/6,6/6,3кВ ПС Г-15 до границы земельного участка свинарника в  х.Коминтерн, Красносулинского района  Ростовской области, (Шабельский С.А.) (ориентировочная протяженность ЛЭП-0,240 км)</t>
  </si>
  <si>
    <t>Строительство ВЛИ-0,4 кВ от МТП 65 ВЛ-10 кВ "Полив" ПС 110/35/27,5/10 кВ Ш-14 для электроснабжения жилого дома в х. Ещеулов Усть-Донецкого района Ростовской области (Касеева С.Е.) (ориентировочная протяженность ЛЭП – 0,24 км)</t>
  </si>
  <si>
    <t>Строительство ВЛИ 0,4кВ от оп. №26 ВЛ 0,4кВ №1 от КТП 395 ВЛ 6кВ "СТФ" от ПС 35/10кВ Ш34 для электроснабжения БС №61-02886 в п. Рябиновка, ул. Розовая, Красносулинского района Ростовской области (ПАО "МТС") (ориентировочная протяженность ЛЭП 0,2км)</t>
  </si>
  <si>
    <t>Строительство ВЛИ-0,22 кВ от опоры № 40/4 по ВЛ 0,4 кВ № 2 от КТП-6/0,4кВ №222 по ВЛ-6кВ «Пушкино» до границы земельного участка дачи, Ростовская область Красносулинский район х.Пушкино, с/т Обогатитель, участок №25 (Запорожцев В.Я.) (ориентировочная протяженность ЛЭП-0,140 км)</t>
  </si>
  <si>
    <t>Строительство ВЛИ-0,4 кВ от опоры № 1 по ВЛ 0,4 кВ № 1 от КТП-6/0,4кВ №64 по ВЛ-6кВ «Кадамовка» до границы земельного участка ангара, Ростовская область Красносулинский район х. Садки (ориентировочная протяженность ЛЭП-0,215 км)</t>
  </si>
  <si>
    <t>Строительство ВЛИ-0,4 кВ от опоры № 10 по ВЛ 0,4 кВ № 2 от КТП-6/0,4кВ №322 по ВЛ-6кВ «Ударник» от ПС 110/6 кВ С-2 до границы земельного участка домика фермера, Ростовская область Красносулинский район, Ударниковское сельское поселение (ООО Пригородное) (ориентировочная протяженность ЛЭП-0,270 км)</t>
  </si>
  <si>
    <t>Строительство ТП-10/0,4 кВ от существующей оп.7 отпайки к ЗУ КН 61:33:0600010:1557 ВЛ 10кВ "Память Кирова" и ВЛИ-0,4 кВ от вновь установленной ТП-10/0,4 кВ для присоединения ангара расположенного по адресу: Ростовская обл., р-н. Родионово-Несветайский, сл. Родионово-Несветайская, ул. Большевистская, д. 2в, ООО «Городской центр экспертиз» (ориентировочная протяженность ЛЭП 0,005км, ориентировочная мощность трансформатора 25 кВА)</t>
  </si>
  <si>
    <t>Строительство ВЛИ-0,4 кВ от ВЛ-0,4кВ №2 КТП № 9 ВЛ-10кВ «Апаринка» ПС Ш-14 для базовой станции сотовой связи в х.Апаринском Усть-Донецкого района Ростовской области (ПАО «Вымпел-Коммуникации») (ориентировочная протяженность ЛЭП – 0,180 км)</t>
  </si>
  <si>
    <t>Приложение № 1</t>
  </si>
  <si>
    <t>2.3.1.3.1.1.</t>
  </si>
  <si>
    <t>2.3.1.3.2.1.</t>
  </si>
  <si>
    <t>Строительство ВЛ 0,4 кВ от ВЛ 0,4 кВ №4 ТП 6/0,4 кВ №68 по КВЛ 6 кВ №724 ПС 110/6 кВ «Т-23» до границ земельного участка Заявителя Лысюк А.М. (ориентировочная протяженность ЛЭП 0,25 км)</t>
  </si>
  <si>
    <t>Строительство ВЛ 0,4 кВ от РУ 0,4 кВ ТП 6/0,4 кВ №175 по КЛ 6 кВ №53 РП-6 по КЛ 6 кВ №1393 ПС «Т-21» до границ земельного участка Заявителя Козюра И.В. (ориентировочная протяженность ЛЭП 0,225 км)</t>
  </si>
  <si>
    <t>Строительство ВЛ-6кВ от КВЛ-6кВ №25 до новой ТП-6/0,4кВ, строительство ТП-6/0,4кВ, строительство ВЛ-0,4кВ от новой ТП-6/0,4кВ до границы земельного участка заявителя ИП Баранников Ю.Г. (ориентировочная протяженность ЛЭП-0,29км, ориентировочная мощность ТП-63кВА)</t>
  </si>
  <si>
    <t>Строительство ВЛ 0,4 кВ от РУ 0,4 кВ ТП 6/0,4 кВ №100 по КЛ 6 кВ №38 РП 6 кВ №5 по КЛ 6 кВ №75/1 ПС 35/6 Т-7 до границы земельного участка заявителя ИП Сухомлинов С.В. (ориентировочная протяженность ЛЭП 0,07 км)</t>
  </si>
  <si>
    <t>Строительство ВЛ 0,4 кВ от ВЛ 0,4кВ №4 ТП 6/0,4 кВ №32 по КВЛ 6 кВ №106 ПС 110/35/6 кВ Т-1 до границы земельного участка заявителя Мусаев М.М.</t>
  </si>
  <si>
    <t>Строительство ТП 6/0,4кВ, строительство КЛ 6кВ от новой ТП 6/0,4кВ до места врезки в КЛ 6кВ №927 ПС 110/6кВ Т-9, строительство ВЛ 0,4кВ от РУ 0,4кВ проектируемой ТП 6/0,4кВ до границы земельного участка ИП Авраменко В.Ю. (протяженность ЛЭП – 0,62км, ориентировочная мощность силового трансформатора – 250кВА)</t>
  </si>
  <si>
    <t>Строительство ВЛ 6 кВ от ВЛ 6 кВ №24 по КЛ 6 кВ №309 ПС 35/6 кВ Т-3 до новой ТП 6/0,4 кВ, строительство ТП 6/0,4 кВ, строительство ВЛ 0,4 кВ от новой ТП 6/0,4 кВ до границы земельного участка заявителя ООО «ЛИДЕР-СТРОЙ» (ориентировочная протяженность ЛЭП - 0,274км, ориентировочная мощность ТП – 250 кВА)</t>
  </si>
  <si>
    <t>Строительство ВЛ 0,4 кВ от РУ 0,4 кВ ТП 6/0,4 кВ №136 по КЛ 6 кВ №4 от ПС 110/6 кВ Т-5 для электроснабжения нежилого здания заявителя ИП Иванов В.Г. по адресу: РО г. Таганрог, ул. Фрунзе, 66 корп. а. к.н.61:58:0003002:275. (ориентировочная протяженность ЛЭП – 0,24 км)</t>
  </si>
  <si>
    <t>Строительство ВЛ 0,4кВ от ВЛ 0,4кВ №4 от ТП 6/0,4кВ №91 по КВЛ 6кВ №49 ПС 110/35/6кВ Т-25 для технологического присоединения БС №61-02348 заявителя ПАО "МТС" по адресу: Ростовская область, г. Таганрог, ул. Чехова, д. 292 (ориентировочная протяженность ЛЭП 0,135км)</t>
  </si>
  <si>
    <t>Строительство ВЛ 0,4кВ от ВЛ 0,4кВ №1 от ТП 6/0,4кВ №19 по КЛ 6кВ №50 от РП 6кВ №3 по КЛ-6кВ №170 ПС 110/6кВ Т-17 для технологического присоединения БС №61-01993 заявителя ПАО "МТС" по адресу: Ростовская область, г. Таганрог, ул. 1-я Широкая, д. 1 (ориентировочная протяженность ЛЭП 0,39км)</t>
  </si>
  <si>
    <t>Строительство ВЛ-0,4кВ от ВЛ-0,4кВ №2 от ТП 6/0,4кВ №76 по КВЛ 6кВ №21 от РП 6кВ №1 по КЛ 6кВ №18/2 ПС 110/35/6кВ Т-11 для технологического присоединения жилого дома заявителя Лаптева М.В. По адресу: Ростовская область, г. Таганрог, ул. Ждановская, д. 63 к.н. 61:58:0005021:37 (ориентировочная протяженность ЛЭП 0,48км)</t>
  </si>
  <si>
    <t>Строительство ВЛ 0,4 кВ от ВЛ 0,4 кВ №3 ТП 6/0,4 кВ №34 по КЛ 6 кВ №39 от РП 6 кВ №5 по КЛ 6 кВ №75/1 ПС 35/6 Т-7 для технологического присоединения жилого дома заявителя Мешков С.Ю. по адресу: Ростовская область, г. Таганрог, б-р Комсомольский, д. 9. к.н. 61:58:0001006:152 (ориентировочная протяженность ЛЭП 0,36 км)</t>
  </si>
  <si>
    <t>Строительство ВЛ 0,4 кВ от ВЛ 0,4 кВ №2 ТП 6/0,4 кВ №120 по КЛ 6 кВ №49 ПС Т-25 для технологического присоединения жилых домов заявителей (Прокофьев Е.А. Михайлов В.Г.) по адресу: Ростовская область, г. Таганрог, ул. М. Питериной, д. 55, д 57 (ориентировочная протяженность ЛЭП 0,148 км)</t>
  </si>
  <si>
    <t>Строительство ВЛ 0,4кВ от РУ 0,4кВ новой ТП 10/0,4кВ, строительство ТП 10/0,4кВ, строительство ВЛ 10кВ от ВЛ 10кВ №1 отпайки на ТП №1-153А ПС 110/35/10кВ Чалтырь, для технологического присоединения нежилого помещения заявителя (ИП Петросян Н.Ч.) по адресу: Ростовская область, Мясниковский р-н, х. Ленинакан, ул. Содружества 2 к.н. 61:25:0600401:12303 (ориентировочная протяженность ЛЭП-0,29км, ориентировочная мощность ТП-100кВА)</t>
  </si>
  <si>
    <t>Строительство ВЛ 0,4 кВ от ВЛ 0,4 кВ №2 ТП 6/0,4 кВ №111 по КВЛ 6кВ №44 ПС Т-8 для технологического присоединения: жилых домов заявителя (Костючков А.А.) по адресу: Ростовская обл., г. Таганрог, ул. Металлургическая, д.169 к.н. № 61:58:0004301:29 и, ул. Металлургическая, д.171 к.н. № 61:58:0004301:28 (ориентировочная протяженность ЛЭП – 0,11 км)</t>
  </si>
  <si>
    <t>Строительство ВЛ 0,4 кВ от ВЛ 0,4 кВ №1 ТП 6/0,4 кВ №45 по КЛ 6 кВ №5 ПС Т-5 для технологического присоединения: жилого дома заявителя (Ерофеева С.В.) по адресу: Ростовская обл., г. Таганрог, ул. Кузнечная, 47 к.н. № 61:58:0002059:57, (ориентировочная протяженность ЛЭП – 0,078 км)</t>
  </si>
  <si>
    <t>Строительство ВЛ 0,4 кВ от ВЛ 0,4 кВ №1 ТП 10/0,4 кВ №758 по КВЛ 10 кВ №4 ПС «Самбек» для технологического присоединения: жилого дома заявителя (Ильиных Б.В.) по адресу: Ростовская обл., г. Таганрог, ул. Бахтали, 18 к.н. № 61:58:0007024:248, (ориентировочная протяженность ЛЭП – 0,068 км)</t>
  </si>
  <si>
    <t>Строительство ВЛ 0,4 кВ от ВЛ 0,4 кВ №4 ТП 6/0,4 кВ №21 по КЛ 6 кВ №309 ПС Т-3 для технологического присоединения жилого дома заявителя (Ищенко Е.В.) по адресу: Ростовская обл., г. Таганрог, пер.  Ружейный, 27/Б к.н. 61:58:0003182:366, (ориентировочная протяженность ЛЭП – 0,095 км)</t>
  </si>
  <si>
    <t>Строительство ВЛ 0,4 кВ от ВЛ 0,4 кВ №1 КТП 6/0,4 кВ №275м КВЛ 6 кВ №АБЗ ПС 110/35/10/6 кВ «Очистные сооружения» для технологического присоединения жилого дома Заявителя (Островская В.А.) по адресу: Ростовская область, г. Таганрог, ул. Айвазовского, 8, к.н. 61:58:0005191:7 (ориентировочная протяженность ЛЭП 0,06 км)</t>
  </si>
  <si>
    <t>Строительство ВЛ 0,4 кВ от новой ТП 6/0,4 кВ, строительство ТП 6/0,4 кВ, строительство КЛ 6 кВ в разрез КЛ 6 кВ №920 ПС Т-9, для технологического присоединения технической линии, заявителя (ООО «ПРАЙД-ЮГ») по адресу: Ростовская область, Таганрог, ул. Ломоносова, 218, к.н. 61:58:0005292:40. (ориентировочная протяженность ЛЭП 0,06 км; мощность силового трансформатора 160 кВА)</t>
  </si>
  <si>
    <t>Строительство ВЛ 0,4 кВ от ВЛ 0,4 кВ №7 ТП 6/0,4 кВ №159 по КЛ 6 кВ №42, РП 6 кВ №1 по КЛ 6 кВ №18/1 ПС Т-11 для технологического присоединения: жилого дома заявителя (Чуева Н.В.) по адресу: Ростовская обл., г. Таганрог, пер. 28-й, 55 к.н. № 61:58:0002310:70, (ориентировочная протяженность ЛЭП – 0,13 км)</t>
  </si>
  <si>
    <t>Строительство ВЛ 0,4 кВ от ВЛ 0,4 кВ №8 ТП 6/0,4 кВ №96 по КЛ 6 кВ №117 ПС Т-11 для технологического присоединения: жилого дома заявителя (Возыка С.А.) по адресу: Ростовская обл., г. Таганрог, ул. Новая, 31 к.н. № 61:58:0002028:11, (ориентировочная протяженность ЛЭП – 0,098 км)</t>
  </si>
  <si>
    <t>Строительство ВЛ 0,4 кВ от ВЛ 0,4 кВ №6 ЗТП 6/0,4 кВ №121 КЛ 6 кВ №38 РП-5 по КЛ 6кВ №75/1 ПС Т-7 для технологического присоединения нежилого помещения Заявителя (ИП Давдян С.С.) по адресу: Ростовская область, г. Таганрог, ул. Чехова, 36, к.н. 61:58:0001047:278 (ориентировочная протяженность ЛЭП 0,095 км)</t>
  </si>
  <si>
    <t>Строительство ВЛ 0,4 кВ от ВЛ 0,4 кВ №23 ТП 6/0,4 кВ №294 КЛ 6 кВ №80 РП-5 ПС 35/6 кВ Т-8 для технологического присоединения жилого дома Заявителя (Диченко Е.А.) по адресу: Ростовская область, г. Таганрог, ул. Бакинская, к.н. 61:58:0004523:988(ориентировочная протяженность ЛЭП 0,065 км)</t>
  </si>
  <si>
    <t>Строительство ВЛ 0,4 кВ от ВЛ 0,4 кВ №3 ТП 6/0,4 кВ №109 КВЛ 6 кВ №44 ПС 35/6 кВ Т-8 для технологического присоединения жилого дома Заявителя (Прокофьева Н.А.) по адресу: Ростовская область, г. Таганрог, ул. Мартеновская, 81, к.н. 61:58:0004310:5 (ориентировочная протяженность ЛЭП 0,095 км)</t>
  </si>
  <si>
    <t>Строительство участка ВЛ-10кВ от ВЛ-10кВ «Комплекс» ПС 110/35/27,5/10кВ Ш-14, с установкой ТП-10/0,4 кВ, и строительство ВЛИ-0,4 кВ от вновь установленной ТП-10/0,4 кВ для присоединения дачных домов Иванина Н.Н., Иванина Т.В., Кащук Н.В. в х.Броницком, Усть-Донецкого района (ориентировочная протяженность ЛЭП 1,4 км, ориентировочная мощность трансформатора 63 кВА)</t>
  </si>
  <si>
    <t>Строительство участка ВЛ-10кВ от ВЛ-10кВ «Жилмасив» ПС 110/35/10кВ Ш-34, с установкой ТП-10/0,4 кВ, и строительство ВЛИ-0,4 кВ от вновь установленной ТП-10/0,4 кВ для присоединения базы отдыха ИП Лариной Ю.В. в ст.Мелиховской, Усть-Донецкого района (ориентировочная протяженность ЛЭП 0,72 км, ориентировочная мощность трансформатора 40 кВА)</t>
  </si>
  <si>
    <t xml:space="preserve">Строительство участка ВЛЗ 10кВ от ВЛ 10кВ "Жилмасив" ПС Ш-34, с установкой ТП 10/0,4кВ, и строительство ВЛИ 0,4кВ для присоединения ИП Каменской Е.Н. в ст. Мелиховской, Усть-Донецкого района (ориентировочная протяженность ЛЭП 0,27км, ориентировочная мощность трансформатора 0,1МВА) </t>
  </si>
  <si>
    <t>Строительство участка ВЛ-6 кВ от существующей оп. №26 по ВЛ-6 кВ «Соколовка» от ПС Н-8, с установкой ТП-6/0,4 кВ, и строительство ВЛИ-0,4 кВ от вновь установленной ТП-6/0,4 кВ для присоединения теплицы Лысенко Р.В. (ориентировочная протяженность ЛЭП 0,435 км, ориентировочная мощность трансформатора 160 кВА)</t>
  </si>
  <si>
    <t>Строительство участка ВЛ-6 кВ от существующей оп. №7 отпайки на ТП6/0,4 кВ 205 ВЛ-6 кВ «Кривянка» от   ПС Ш-40, с установкой ТП-6/0,4 кВ, и строительство ВЛИ-0,4 кВ от вновь установленной ТП-6/0,4 кВ для присоединения магазина ИП Геворгян К.Р. (ориентировочная протяженность ЛЭП 0,28 км, ориентировочная мощность трансформатора 100 кВА)</t>
  </si>
  <si>
    <t>Строительство ТП-10/0,4 кВ, строительство участка ВЛ-10 кВ от оп. №101 ВЛ 10 кВ «Крепость» от ПС Ш-38 и строительство ВЛИ-0,4 кВ от вновь установленной ТП-10/0,4 кВ для присоединения ВРУ-0,4 кВ АЗС Налбандян С.С. (ориентировочнаяь протяженность ЛЭП 0,335 км, ориентировочная мощность трансформатора 160 кВА)</t>
  </si>
  <si>
    <t>Строительство ТП-10/0,4 кВ, строительство участка ВЛ-10 кВ от проектируемой опоры по договору №61-1-19-00423429 от 29.01.2019 по ВЛ-10кВ «Красюковка» от   ПС Ш-39 и строительство ВЛИ-0,4 кВ от вновь установленной ТП-10/0,4 кВ для присоединения 19 участков ТСН с/т «Электровозостроитель» (ориентировочная протяженность ЛЭП 0,150 км, ориентировочная мощность трансформатора 400 кВА)</t>
  </si>
  <si>
    <t>Строительство участка ВЛ-10 кВ от существующей оп. №2 отпайки на КТП №521 ВЛ-10 кВ «Красюковка» от   ПС Ш-39, с установкой ТП-10/0,4 кВ, и строительство ВЛИ-0,4 кВ от вновь установленной ТП-10/0,4 кВ для присоединения жилых домов садоводческого товарищества «Электровозостроитель» (ориентировочная протяженность ЛЭП 1,42 км, ориентировочная мощность трансформатора 160 кВА)</t>
  </si>
  <si>
    <t>Строительство участка ВЛ-6 кВ от существующей оп. №9 отпайки на КТП№737 ВЛ-6 кВ «Кривянка» от   ПС Ш-40, с установкой ТП-6/0,4 кВ, и строительство ВЛИ-0,4 кВ от вновь установленной ТП-6/0,4 кВ  для присоединения магазина с офисами ИП Чайченков Е.В.(ориентировочная протяженность ЛЭП 0,02 км, ориентировочная мощность трансформатора 63 кВА)</t>
  </si>
  <si>
    <t>Строительство ВЛИ-0,4 кВ от оп. №2 от КТП №609 ВЛ-10кВ "Совхоз" от ПС 110/35/10кВ Ш-16 для электроснабжения жилого дома в п. Каменоломни, ул. Звездная, д. 11 Октябрьского района Ростовской области (Сизова О.А.) (ориентировочная протяженность ЛЭП – 0,08км)</t>
  </si>
  <si>
    <t>Строительство ВЛИ-0,4 кВ от оп. №26 ВЛИ-0,4 кВ №3 от КТП №45 ВЛ-6 кВ  «Совхоз-10» от ПС 35/6кВ Ш-12 для электроснабжения   жилого дома в х. Марьевка, ул. Вишневая, д. 28 Октябрьского района Ростовской области (Авдиева Ф.И.к.) (ориентировочная протяженность ЛЭП – 0,045 км)</t>
  </si>
  <si>
    <t>Строительство ВЛИ-0,4 кВ от оп. №1 ВЛ-0,4 кВ №1 от КТП №66 по ВЛ-6кВ «Совхоз-10» от ПС 35/6кВ Ш-12 для электроснабжения жилого дома (Варзегова Е.В.) (ориентировочная протяженность ЛЭП – 0,235 км)</t>
  </si>
  <si>
    <t>Строительство ВЛИ-0,4 кВ от КТП-6/0,4кВ №258 ВЛ-6кВ «Божковка» ПС 110/6 кВ ПС Г-14 до границы земельного участка фермы в  500 метрах на восток от х.Божковка, Красносулинского района  Ростовской области, (Косоногов В.Н.) (ориентировочная протяженность ЛЭП-0,140 км)</t>
  </si>
  <si>
    <t>Строительство ВЛИ-0,4 кВ от оп. №17 ВЛ-0,4 кВ №3 от КТП №670 ВЛ-10 кВ  «Совхоз» от ПС 110/35/10кВ Ш-16 для электроснабжения трех  жилых домов в п. Красногорняцкий, ул. Михайличенко, д. 5, д. 9, д. 13 Октябрьского района Ростовской области  (ориентировочная протяженность ЛЭП – 0,26 км)</t>
  </si>
  <si>
    <t>Строительство ВЛИ-0,4кВ от ВЛ-0,4кВ ТП №6 ВЛ-10кВ «Апаринка» ПС 110/35/27,5/10кВ Ш-14 для присоединения магазина в х. Апаринском Усть-Донецкого района (ИП Куликова С.Ю) (ориентировочная протяженность ЛЭП 0,115 км)</t>
  </si>
  <si>
    <t>Строительство ВЛИ-0,4 кВ от оп. №1 ВЛИ-0,4 кВ №1 от КТП №670 ВЛ-10 кВ  «Совхох» от ПС 110/35/10кВ Ш-16 для электроснабжения   жилого дома в п. Красногорняцкий, ул. Кудаченко, д. 4 (Антошкин Е.А.) Октябрьского района Ростовской области  (ориентировочная протяженность ЛЭП – 0,065 км)</t>
  </si>
  <si>
    <t>Строительство ВЛИ-0,4 кВ от оп. №11 ВЛИ-0,4 кВ №1 от КТП №54 ВЛ-6 кВ «Рыбхоз» от ПС 35/6кВ Ш-41 для электроснабжения   жилого дома Чернового Р.Н. в х. Калинин, ул. Центральная, д. 37 Октябрьского района Ростовской области (ориентировочная протяженность ЛЭП – 0,18 км)</t>
  </si>
  <si>
    <t>Строительство ВЛИ-0,4 кВ от оп. №17 ВЛИ-0,4 кВ №3 от КТП №670 ВЛ-10 кВ  «Совхоз» от ПС 110/35/10кВ Ш-16 для электроснабжения   жилого дома в п. Красногорняцкий, ул. Кудаченко, д. 5 Октябрьского района Ростовской области (Скотский В.Ю.) (ориентировочная протяженность ЛЭП – 0,055 км)</t>
  </si>
  <si>
    <t>Строительство ВЛИ-0,4 кВ от оп. №40 ВЛ-0,4 кВ № 1 от КТП 10/0,4 кВ № 230 по ВЛ-10 кВ «Кутейниково» от ПС Н-9 для присоединения жилых домов Земляного А.Г., Гумбатова В.М., Маркова Р.О., Совина П.С., Ростовская область, Родионово-Несветайский район сл. Родионово-Несветайская, ул.Амурская,36;30А;32;32А (ориентировочная протяженность ЛЭП – 0,230 км)</t>
  </si>
  <si>
    <t>Строительство ВЛИ 0,4кВ от ВЛ 0,4кВ КТП 245 ВЛ 10кВ "Раздоры" ПС 110/35/10кВ Ш34 для электроснабжения жилого дома в ст. Раздорской  Усть-Донецкого района Ростовской области (Волошин Е.В.) (ориентировочная протяженность ЛЭП 0,08км)</t>
  </si>
  <si>
    <t>Строительство ВЛИ-0,4 кВ от оп.40 ВЛ 0,4кВ №1 от КТП 10/0,4 кВ № 82 по 10кВ «Юдино» ПС Н-19 для электроснабжения   садового дома х. Юдино, ул. Новоселов, д. 26А (Догадин В.А.) Родионово-Несветайского района Ростовской области ориентировочная протяженность ЛЭП – 0,135 км)</t>
  </si>
  <si>
    <t>Строительство ВЛИ-0,4 кВ от оп. №1 ВЛ-0,4 кВ №1 от КТП №608 ВЛ-10 кВ  «Красюковка» от ПС 35/10кВ Ш-39 для электроснабжения   жилого дома в сл. Красюковская, ул. Абрикосовая, д. 21 Октябрьского района Ростовской области (Кудинов Р.Н.) (ориентировочная протяженность ЛЭП – 0,130 км)</t>
  </si>
  <si>
    <t>Строительство ВЛИ-0,4кВ от ВЛ-0,4кВ ТП №58 ВЛ-10кВ «Апаринка» ПС 110/35/27,5/10кВ Ш-14 для присоединения жилых домов Кылосовой Т.Н. и Кылосова Е.И. в р.п.Усть-Донецком (ориентировочная протяженность ЛЭП 0,21 км)</t>
  </si>
  <si>
    <t>Строительство ВЛИ-0,4 кВ от оп.№6 ВЛ 0,4кВ №1 от КТП №27 ВЛ 6кВ «Рыбхоз» ПС 35/6кВ Ш-41 для электроснабжения в х. Калинин, ул. Центральная, д.226-б, кадастровый номер 61:28:030201:0673 Октябрьского района Ростовской области (Ротыч Р.В.) (ориентировочная протяженность ЛЭП – 0,15 км)</t>
  </si>
  <si>
    <t>Строительство ТП-10/0,4 кВ и ВЛИ-0,4 кВ от вновь установленной ТП-10/0,4 кВ для присоединения фермы ИП главы К(Ф)Х Балашева Г.П. (ориентировочная протяженность ЛЭП 0,04 км, ориентировочная мощность трансформатора 63 кВА)</t>
  </si>
  <si>
    <t>Строительство ВЛИ-0,4 кВ от КТП 10/0,4 кВ №170 поВЛ 10 кВ "Каменный Брод" ПС АС-12 для присоединения жилого дома в х. Горизонт Аксайского района Ростовской области (Алексаньян Т.В.) (ориентировочная протяженность ЛЭП – 0,310 км)</t>
  </si>
  <si>
    <t>Строительство ВЛИ 0,4кВ от опоры №18 по ВЛ 0,4кВ №3 от КТП 6/0,4кВ №193 по ВЛ 6кВ "Красный Партизан" ПС 110/35/6кВ Г-2 до границы земельного участка магазина, расположенного по адресу: Ростовская область Красносулинский район х. Гуково ул. Краснопартизанская (Корнев И.Л.) (ориентировочная протяженность ЛЭП 0,060км)</t>
  </si>
  <si>
    <t>Стр-во ВЛИ-0,4 кВ от РУ-0,4 кВ КТП №255 ВЛ-10 кВ Персиановка от ПС-110 кВ  Ш-35 для эл.снабжен.молпункта (ООО Атланта) (Ориент.протяж. ЛЭП - 0,13 км.)</t>
  </si>
  <si>
    <t>Строительство ВЛИ-0,4кВ от ВЛ-0,4кВ ТП №246 ВЛ-10кВ «Раздоры» ПС 110/35/10кВ Ш-34 для присоединения жилых домов Крылова Г.В., Герасименко Д.Г., Быкадорова С.С. в ст. Раздорской Усть-Донецкого района (ориентировочная протяженность ЛЭП 0,350 км)</t>
  </si>
  <si>
    <t>Строительство ВЛИ-0,4 кВ от крайней опоры строящейся ВЛ 0,4 кВ по договору ТП 61-1-19-00474937 от 22.10.2019 РУ 0,4 от РУ 0,4 кВ КТП 10/0,4 кВ №170 по ВЛ-10 кВ "Каменный Брод" ПС АС-12 для электроснабжения жилого дома в х. Горизонт Аксайского района Ростовской области (Лукашевич А.А.) (ориентировочная протяженность ЛЭП - 0,040 км)</t>
  </si>
  <si>
    <t>Строительство ВЛИ-0,4 кВ от оп. №16 ВЛИ-0,4 кВ №1 от КТП №218 ВЛ-6 кВ  «Прогресс» от ПС 35/6кВ Ш-41 для электроснабжения   жилого дома в ст. Бессергеневская, ул. Казачья, д. 15 Октябрьского района Ростовской области  (ориентировочная протяженность ЛЭП – 0,28 км)</t>
  </si>
  <si>
    <t>Строительство ВЛИ 0,4кВ от оп. №33 ВЛ 0,4кВ №1 КТП №475 ВЛ 6кВ Кривянка от ПС 110кВ Ш-43 для электроснабжения жилого дома в ст. Кривянская, ул. Сахаревка, д. 28-б Октябрьского района Ростовской области (Верченко Г.А.) (ориентировочная протяженность ЛЭП 0,040км)</t>
  </si>
  <si>
    <t>Строительство ВЛИ 0,4кВ от оп. №33 ВЛ 0,4кВ №1 КТП №228 ВЛ 6кВ Кривянка от ПС 110кВ Ш-43 для электроснабжения жилого дома в ст. Кривянская, пер. Карьерный, д.20 Октябрьского района Ростовской области (Карцаев Л.В.) (ориентировочная протяженность ЛЭП 0,210км)</t>
  </si>
  <si>
    <t>Строительство ВЛИ-0,4кВ от опоры №3 ВЛ-0,4кВ №1 от КТП-6/0,4кВ №375 ВЛ-6кВ «Пролетарка» до границы земельного участка помещения МБУ ДО Районный центр внешкольной работы: Ростовская область, Красносулинский район, х. Малая Гнилуша, ул. Центральная, д.3 (ориентировочная протяженность ЛЭП-0,085км)</t>
  </si>
  <si>
    <t>Строительство ВЛИ-0,4 кВ от оп. №7 ВЛ-0,4 кВ №2 КТП №584 ВЛ-10 кВ Зверпромхоз для электроснабжения восьми жилых домов в сл. Красюковская, ул. им. Болдырева И.С. Октябрьского района Ростовской области (заявитель Игнатова К.С) (ориентировочная протяженность ЛЭП – 0,3 км)</t>
  </si>
  <si>
    <t>Строительство ВЛИ-0,4 кВ от оп. №82 ВЛ-0,4 кВ №3 КТП №253 ВЛ-10 кВ Зверпромхоз для электроснабжения пяти жилых домов в сл. Красюковская, ул. им. Басинского Е.Ф. Октябрьского района Ростовской области (ориентировочная протяженность ЛЭП – 0,130 км)</t>
  </si>
  <si>
    <t>Строительство ТП-10/0,4 кВ, и строительство ВЛИ-0,4 кВ от вновь установленной ТП-10/0,4 кВ для присоединения распределительного щита максимальной мощностью 15кВт ФГКУ «ПУ ФСБ РФ по РО». (ориентировочная протяженность ЛЭП 0,020 км, ориентировочная мощность трансформатора 25 кВА)</t>
  </si>
  <si>
    <t>Строительство ВЛИ-0,4 кВ от оп. №16 ВЛ-0,4 кВ №2 КТП №358 ВЛ-10 кВ  Зверпромхоз от ПС 110 кВ Ш-42 для электроснабжения врачебной амбулатории  в сл. Красюковская, ул. Садовая, д.47-а,  Октябрьского района Ростовской области (ориентировочная протяженность ЛЭП – 0,06  км)</t>
  </si>
  <si>
    <t>Строительство ТП-10/0,4 кВ и строительство ВЛИ-0,4 кВ от вновь установленной ТП-10/0,4 кВ, присоединенной от оп.92 ВЛ 10 кВ «Крепость» ПС Ш-38 для присоединения ВРУ-0,4 кВ АЗС Налбандян С.С. (ориентировочнаяь протяженность ЛЭП 0,01 км, ориентировочная мощность трансформатора 160 кВА)</t>
  </si>
  <si>
    <t>Строительство ВЛИ-0,4 кВ от оп. КТП 10/0,4 кВ № 504 по 10кВ «Генеральское» ПС Н-19 для присоединения ферм в с.Генеральское ИП Главы КФХ Ляшева А.П., ИП Галстян М.С. (ориентировочная протяженность ЛЭП – 1,070 км)</t>
  </si>
  <si>
    <t>Строительство ВЛИ-0,4 кВ от строящейся ТП-10/0,4 кВ по строящейся ВЛ-10 кВ от существующей оп. № 7 отпайки к ТП № 215 ВЛ-10кВ «Мостовой» ПС Ш-18 для присоединения жилых домов на ул. Северной, х. Мостовой, Усть-Донецкого района (ориентировочная протяженность ЛЭП 0,275 км, ориентировочная мощность трансформатора 40 кВА)</t>
  </si>
  <si>
    <t>Строительство ТП-10/0,4 кВ и строительство ВЛИ-0,4 кВ от вновь установленной ТП-10/0,4 кВ, присоединенной от оп.155/23 ВЛ 10 кВ «Красюковка» ПС Ш-39 для присоединения объекта незавершенного строительства (школа-детский сад) Отдела образования Администрации Октябрьского района (ориентировочная протяженность ЛЭП 0,025 км, ориентировочная мощность трансформатора 160 кВА)</t>
  </si>
  <si>
    <t>Строительство ВЛИ-0,4 кВ от строящейся ТП-10/0,4 кВ по строящейся ВЛ-10 кВ от существующей оп. №2 отпайки на КТП №521 ВЛ-10 кВ «Красюковка» от   ПС Ш-39 (по договору ТП №61-1-19-00423429 от 29.01.2019) для присоединения жилых домов садоводческого товарищества «Электровозостроитель» (ориентировочная протяженность ЛЭП 0,4 км)</t>
  </si>
  <si>
    <t>Строительство ВЛИ-0,4 кВ от оп. №79 ВЛ-0,4 кВ №3 КТП №253 ВЛ-10 кВ Зверпромхоз для электроснабжения пяти жилых домов в сл. Красюковская, ул. им. Болдырева И.С. Октябрьского района Ростовской области (ориентировочная протяженность ЛЭП – 0,130 км)</t>
  </si>
  <si>
    <t>Строительство участка ВЛ-6 кВ от существующей оп. №83 по ВЛ-6 кВ «Правда» от ПС Г-6, с установкой ТП-6/0,4 кВ, и строительство ВЛИ-0,4 кВ от вновь установленной ТП-6/0,4 кВ для присоединения полигона ТКО МУП «Коммунальное хозяйство» г.Зверево (ориентировочная протяженность ЛЭП 0,03 км, ориентировочная мощность трансформатора 25 кВА)</t>
  </si>
  <si>
    <t>Строительство ВЛ 0,4 кВ от ВЛ 0,4 кВ №7 ТП-6/0,4 кВ №296 по КВЛ 6 кВ №74 ПС 35/6 кВ Т-8 для технологического присоединения жилого дома Заявителя (Кантан Г.Г.) по адресу: Ростовская область, г. Таганрог, пер. 7-й Новый, 100-5, к.н. 61:58:004479:80 (ориентировочная протяженность ЛЭП 0,155 км)</t>
  </si>
  <si>
    <t>Строительство ВЛ-6кВ до границы земельного участка придорожного автосервиса  в х. Сусол  Октябрьского района Ростовской области. (И.П. Шишков) (ориентировочная протяжённость ЛЭП- 0,1 км)</t>
  </si>
  <si>
    <t>Строительство участка ВЛ-6 кВ от существующей оп. №23 ВЛ-6 кВ Совхоз-10 от   ПС Ш-12 для присоединения породного отвала ООО «ТемпДорСтрой» (ориентировочная протяженность ЛЭП 0,18 км»</t>
  </si>
  <si>
    <t>Строительство ВЛ-6кВ с установкой ТП 6/0,4кВ  и ВЛИ-0,4 кВ до границы земельного участка жилых домов в  х. Калинин ул.  Институтская, пер. Островной, ул. Багаевская, пр. А.Поцелуева</t>
  </si>
  <si>
    <t>Строительство ВЛ 6 кВ от КВЛ 6 кВ №44 ПС 35/6 кВ Т-8 до новой ТП 6/0,4 кВ, строительство новой ТП 6/0,4 кВ, строительство ВЛ 0,4 кВ от новой ТП 6/0,4 кВ для электроснабжения магазина ИП Апресян А.Г. по адресу: РО г. Таганрог, ул. 4-я Линия, 194 к.н.61:58:0004302:21. (ориентировочная протяженность ЛЭП – 0,445 км, ориентировочная мощность силового трансформатора – 160 кВА)</t>
  </si>
  <si>
    <t>2.3.1.3.3.1.</t>
  </si>
  <si>
    <t>Строительство ВЛ 0,4 кВ от ВЛ 0,4 кВ №2 ЗТП 6/0,4 кВ №50 КВЛ 6 кВ №602/1 ПС Т-6 для технологического присоединения жилого дома Заявителя (Земляная Е.Н.) по адресу: Ростовская область, г. Таганрог, ул. 4-я Западная, 10, к.н. 61:58:0002241:35 (ориентировочная протяженность ЛЭП 0,29 км)</t>
  </si>
  <si>
    <t>2.3.1.4.1.1.</t>
  </si>
  <si>
    <t>Строительство ВЛ-0,4 кВ от опоры №7 ВЛ-0,4 кВ №1 КТП-10/0,4 №275 по ВЛ-10 кВ №4 ПС 110/10 кВ «Дегтевская», для технологического присоединения БССС №70422 РсО «Дегтево-Российская 1», заявитель ПАО «Вымпел-Коммуникации», расположенной в Ростовской области, Миллеровском р-не, сл. Дегтево, ул. Российская, д. 1, (61:22:0030101:285), (ориентировочная протяженность ЛЭП-0,06 км)</t>
  </si>
  <si>
    <t>Строительство ВЛ-0,4 кВ от опоры №1/1 ВЛ-0,4 кВ №2 КТП-10/0,4 №157 по ВЛ-10 кВ №5 ПС 35/10 кВ «Долотинская», для технологического присоединения жилого дома заявителя Соломин В.В., расположенного в Ростовской области, Миллеровском р-не, сл. Греково, ул. Молодежная, д.37, (61:22:0060301:917), (ориентировочная протяженность ЛЭП-0,16 км)»</t>
  </si>
  <si>
    <t>Строительство ВЛ-0,4 кВ от опоры № 3 ВЛ 0,4 кВ № 1 КТП-10/0,4 № 638 по ВЛ-10 кВ № 4 ПС 110/35/10 кВ «ГОК», для технологического присоединения ВРУ 0,4 кВ для электроснабжения подземного газопровода высокого и низкого давления заявителя, ПАО «Газпром газораспределение Ростов на Дону» расположенного в Ростовской области, г.  Миллерово (ориентировочная протяженность ЛЭП 0,094 км)».</t>
  </si>
  <si>
    <t>Строительство ВЛ-0,4 кВ от опоры № 13 ВЛ 0,4 кВ № 1 КТП-10/0,4 № 104 по ВЛ-10 кВ № 1 ПС 35/10 кВ «Базковская», для технологического присоединения жилого дома заявителя, Каргин В.С. расположенного в Ростовской области, Шолоховский р-н, х. Громковский, ул. Почтовая 147, (61:43:0010501:958) (ориентировочная протяженность ЛЭП 0,11 км)</t>
  </si>
  <si>
    <t>Строительство ВЛ 0,4кВ от опоры №2/5 ВЛ 0,4кВ №3 КТП 10/0,4кВ №27 по ВЛ 10кВ №4 ПС 110/35/10кВ "Кашарская", для технологического присоединения МФЦ заявителя, Администрация Кашарского района, расположенного в Ростовской области, Кашарский р-н, сл. Кашары, ул. Красноармейская (61:16:0010178:135)(ориентировочная :протяжённость ЛЭП 0,16км)</t>
  </si>
  <si>
    <t>Строительство ВЛ-0,4кВ  от опоры №9 ВЛ 0,4кВ №1 КТП-10/0,4 №350 по ВЛ-10кВ №1 ПС 35/10кВ «Колундаевская», для технологического присоединения жилого дома заявителя, Тарасовой Т.В., расположенного в Ростовской области, Шолоховский р-н,  х. Колундаевский, ул. Зеленая 47, (61:43:0060101:82), (ориентировочная протяженность ЛЭП  0,32км)</t>
  </si>
  <si>
    <t>Строительство ВЛ-0,4 кВ от опоры № 1 ВЛ 0,4 кВ № 1 КТП-10/0,4 № 393 по ВЛ-10 кВ № 4 ПС 35/10 кВ «Колундаевская», для технологического присоединения жилого дома заявителя, Каргин А.В., расположенного в Ростовской области, Шолоховский р-н, х. Ващаевский, ул. Луговая 11, (61:43:0060701:174), (ориентировочная протяженность ЛЭП 0,3 км)</t>
  </si>
  <si>
    <t>Строительство ВЛ-10 кВ от опоры № 78 по ВЛ-10 кВ № 4 ПС 35/10 кВ «Дударевская» с установкой КТП и строительством ВЛ-0,4 кВ», для технологического присоединения производственной базы заявителя,  ИП Ермакова Н.Н., расположенного в Ростовской области, Шолоховский р-н, х. Дударевский,  (61:43:00600001:421) (ориентировочная   протяженность ЛЭП – 0,03 км, ориентировочная мощность ТП – 0,025 МВА)</t>
  </si>
  <si>
    <t>Строительство ВЛ-10кВ от опоры №7/10/195 по ВЛ-10кВ №2 ПС 110/35/10кВ «Тиховская» с установкой КТП и строительством ВЛ-0,4кВ, для технологического присоединения склада заявителя, ИП Глава КФХ Ващаев Н.В., расположенного в Ростовской области, Шолоховский р-н, х. Калиновский (61:43:0600013:561) (ориентировочная   протяженность ЛЭП-0,03 км, ориентировочная мощность ТП-0,025 МВА)</t>
  </si>
  <si>
    <t>Строительство ВЛ-0,4 кВ от опоры №28 ВЛ 0,4 кВ №1 КТП-10/0,4 №504 по ВЛ-10 кВ №3 ПС 35/10 кВ "Пономаревская", для технологического присоединения БС №61-06002 заявителя, ПАО "Мобильные Телесистемы, расположенной в Ростовской области, Кашарский р-н, х. Пономарев, ул. Береговая,16, (61:16:0120101:894) ( ориентировочная протяженность ЛЭП  - 0,055 км)</t>
  </si>
  <si>
    <t>Строительство ВЛ-0,4 кВ от опоры №17 ВЛ 0,4 кВ №2 КТП-10/0,4 №672 по ВЛ-10 кВ № 2 ПС 35/10 кВ «Криворожская», для технологического присоединения склада заявителя, Глава КФХ Лукьянченко П.В., расположенного в Ростовской области, Миллеровский р-н, х. Екатериновка, ул. Юбилейная 88, (61:22:0600024:723) (ориентировочная протяженность ЛЭП 0,27 км)</t>
  </si>
  <si>
    <t>Строительство ВЛ 0,4кВ от опоры №1 ВЛ 0,4кВ №2 КТП 10/0,4кВ №279 по ВЛ 10кВ №48 ПС 110/10кВ "Дегтевская" для электроснабжения здания ремонтной мастерской заявителя, Глава КФХ Каменок Л.В., расположенного в Ростовской области, Миллеровский р-н, сл. Дёгтево (61:22:0600006:1188) (ориентировочная протяженность ЛЭП 0,12км)</t>
  </si>
  <si>
    <t>Строительство ВЛ-0,4 кВ от опоры №18 ВЛ 0,4 кВ №4 КТП-10/0,4  №280 по ВЛ-10 кВ №3 ПС 35/10 кВ "Дударевская", для технологического присоединения жилого дома заявителя Черников Ф.И. расположенного в Ростовской области, Шолоховский р-н, х. Дударевский, ул. Западная 4, (61:43:0040101:668), (ориентировочная протяженность ЛЭП 0,035 км.)"</t>
  </si>
  <si>
    <t>Строительство ВЛ-0,4кВ  от опоры №2/13 ВЛ 0,4кВ №2 КТП-10/0,4 №378 по ВЛ-10кВ №3 ПС 35/10кВ «Колундаевская», для технологического присоединения жилого дома заявителя, Латышова А.И., расположенного в Ростовской области, Шолоховский р-н,  х. Ващаевский, ул. Набережная 4, (61:43:0060301:81),   (ориентировочная протяженность ЛЭП 0,37км)</t>
  </si>
  <si>
    <t>Строительство ВЛ 0,4кВ от опоры №14 ВЛ 0,4кВ №1 КТП 10/0,4кВ №706 по ВЛ 10кВ №5 ПС 110/10кВ "Маяк", для технологического присоеднинения жилого дома заявителя, Зайцевой Н.Ю. расположенного в Ростовской области, Миллеровский р-н, х. Луки, ул. Лесная 1 (61:22:0100501:1) (ориентировочная протяженность ЛЭП 0,08км)</t>
  </si>
  <si>
    <t>Строительство ВЛ 0,4кВ от опоры №16 по  ВЛ 0,4кВ №2 КТП 10/0,4кВ №97 по ВЛ 10кВ №3 ПС 110/35/10кВ "НС-3", для электроснабжения жилых домов заявителей Кириллов А.В. и Пантелеева Е.Д. расположенных в Ростовской области, Шолоховский р-н, х. Альшанский, ул. Городская, 19, ул. Городская 32 (61:43:0010201:183) (61:43:0010201:168)  (ориентировочная протяженность ЛЭП 0,11км)</t>
  </si>
  <si>
    <t>Строительство ВЛ 0,4кВ от опоры №11 по  ВЛ 0,4кВ №1 КТП 10/0,4кВ №104 по ВЛ 10кВ №1 ПС 35/10кВ "Базковская", для электроснабжения жилого дома заявителя Жаркова А.И. расположенного в Ростовской области, Шолоховский р-н, х. Громковский, ул. Почтовая 137а (61:43:0010501:1198) (ориентировочная протяженность ЛЭП 0,03км)</t>
  </si>
  <si>
    <t>Строительство ВЛ-0,4 кВ от опоры №21 по ВЛ 0,4 кВ №1 КТП-10/0,4 №92 по ВЛ-10 кВ № 3 ПС 35/10 кВ «Боковская», для электроснабжения жилого дома заявителя Зыкова В.А., расположенного в Ростовской области, Боковский р-н, х. Земцов, ул. Колхозная 82а, (61:05:0070504:393),  (ориентировочная протяженность ЛЭП 0,099 км)</t>
  </si>
  <si>
    <t>Строительство ВЛ-0,4 кВ от опоры №11 ВЛ 0,4 кВ №3 КТП-10/0,4 №621 по ВЛ-10 кВ №1 ПС 110/27,5/10 кВ "Старая Станица", для электроснабжения личного подсобного хозяйства заявителя, Назаровой С.К., расположенного в Ростовской области, Миллеровский р-н, х. Банниково- Александровский, ул. Строителей 3, (61:22:0010201:218), (ориентировочная протяженность ЛЭП 0,083 км)"</t>
  </si>
  <si>
    <t>Строительство ВЛ-0,4 кВ от опоры №7 ВЛ 0,4 кВ №2 КТП-10/0,4  №155 по ВЛ-10 кВ №9 ПС 35/10 кВ "Боковская", для электроснабжения склада заявителя ИП Глава КФХ Тихонов В.И., расположенного в Ростовской области, Боковский р-н, с. Пономаревка, ул. Школьная 49, (61:05:0070606:160), (ориентировочная протяженность ЛЭП 0,09 км)".</t>
  </si>
  <si>
    <t>Строительство ВЛ-0,4 кВ от опоры №1 ВЛ 0,4 кВ №1 КТП-10/0,4  №68 по ВЛ-10 кВ №4 ПС 35/10 кВ "Боковская", для электроснабжения хозяйственного помещения заявителя Реуцкова П.П., расположенного в Ростовской области, Боковский р-н, х. Дуленков, ул. Заречная 1б, (61:05:0010601:143), (ориентировочная протяженность ЛЭП 0,05 км)</t>
  </si>
  <si>
    <t>Строительство ВЛ 0,4кВ от опоры №6/6 ВЛ 0,4кВ №1 КТП 10/0,4кВ №287 по ВЛ 10кВ №3 ПС 35/10кВ "Дударевская", для электроснабжения жилого дома Заявителя, Иващенко С.В., расположенного в Ростовской области, Шолоховский р-н, х. Дударевский, ул. Школьная, 14 (61:43:0040101:1202) (ориентировочная протяженность ЛЭП 0,03км)</t>
  </si>
  <si>
    <t>Строительство ВЛ-0,4 кВ от опоры №6A/2 ВЛ-0,4 кВ №1 КТП-10/0,4 кВ №301 по ВЛ-10 кВ №4 ПС 35/10 кВ "Дударевская", для электроснабжения ФАП х. Лосевский, заявителя МБУЗ "Центральная районная больница", расположенного в Ростовской области, Шолоховский р-н, х. Лосевский, ул. Зеленая 5 (61:43:0040301:242), (ориентировочная протяженность ЛЭП-0,03 км.)</t>
  </si>
  <si>
    <t>Строительство ВЛ-0,4кВ от опоры №6/5 по ВЛ 0,4кВ №1 КТП- 10/0,4  №165 по ВЛ-10кВ №2 ПС 110/35/10 кВ "НС 3", для электроснабжения жилого дома заявителя, Кружилина А.А.., расположенного в Ростовской области, Шолоховский р-н, х. Меркуловский, ул. Каменная 35, (61:43:0080101:665), (ориентировочная протяженность ЛЭП 0,07 км)</t>
  </si>
  <si>
    <t>Строительство ВЛ 0,4кВ от опоры №18 ВЛ 0,4кВ №1 КТП 10/0,4кВ №622 по ВЛ 10кВ №1 ПС 110/27,5/10кВ "Старая Станица", для электроснабжения БС №61-02873 заявителя, ПАО "Мобильные ТелеСистемы" расположенной в Ростовской области, Миллеровский р-н, х. Банниково-Александровский, ул. Речная, 39 (61:22:0010201:638) (ориентировочная протяженность ЛЭП 0,08км)</t>
  </si>
  <si>
    <t>Строительство ВЛ 0,4кВ от опоры №12/6 ВЛ 0,4кВ №2 КТП 10/0,4кВ №184 по ВЛ 10кВ №2 ПС 110/35/10кВ "Каргинская", для технологического присоединения хозсарая заявителя Чукарина С.И., расположенного в Ростовской области, Боковский р-н, ст. Каргинская, ул. Советская, 20 (61:05:0040102:376) (ориентировочная протяженность ЛЭП 0,08км)</t>
  </si>
  <si>
    <t>Строительство ВЛ-10 кВ от опоры № 38/28 по ВЛ-10 кВ № 2 ПС 110/35/10 кВ «Чертковская» с установкой КТП и строительством ВЛ-0,4 кВ, для технологического присоединения жилого дома заявителя, Калмыковой Л.И., расположенного в Ростовской области, Чертковский р-н, с. Осиково, ул. Речная 22 (61:42:0190101:225) (ориентировочная   протяженность ЛЭП – 0,77 км, ориентировочная мощность ТП – 0,025 МВА)</t>
  </si>
  <si>
    <t>Строительство ТП 10/0,4 кВ, ВЛ 10 кВ, ВЛ 0,4 кВ от ВЛ 10 кВ №401 ПС 110 кВ АС4 для электроснабжения автостоянки ИП Каплиева С. Г. на участке с КН 61:46:0012601:20 в г. Батайске Ростовской области (ориентировочная мощность трансформатора 0,250 МВА, ориентировочная протяжённость ЛЭП 0,060 км)</t>
  </si>
  <si>
    <t>Строительство КТПН 10/0,4 кВ, ВЛ 10 кВ, ВЛ 0,4 кВ от ВЛ 10 кВ №505 ПС 35 кВ АС5 для электроснабжения садового дома Пашетовой Н. И. на участке с КН 61:02:0500301:25 в г. Аксае Аксайского района Ростовской области (ориентировочная мощность трансформатора 0,025 МВА, ориентировочная протяжённость ЛЭП 0,417 км)</t>
  </si>
  <si>
    <t>Строительство ВЛ 0,4кВ от ВЛ 0,4кВ №1 КТП №60 ВЛ 10кВ от КЛ 10кВ №3ф5 РП3 КЛ 10кВ №1532 и №1546 ПС 110кВ АС15 для электроснабжения ВРУ 0,4 кВ жилого дома Ершова Д.Г. по ул. Виктора Дацко, 10 в г. Аксае Аксайского района Ростовской области (ориентировочная протяжённость ЛЭП 0,040км)</t>
  </si>
  <si>
    <t>«Строительство ВЛ 0,4 кВ от КТП №105 ВЛ 10 кВ №115 ПС 110 кВ СМ 1 для электроснабжения ВРУ-0,4 кВ жилого помещения заявителя Гугнина А.П. по адресу РО, г. Семикаракорск, примерно в 2518 м на юго-восток от строения по адресу: в районе Пождепо к.н.:61:35:0600012:722. (ориентировочная протяжённость ЛЭП 0,095 км)»</t>
  </si>
  <si>
    <t>Строительство ВЛ 0,4кВ проектируемой ВЛ 0,4кВ (по договору №61-1-18-00419769 от 27.12.2018) проектируемого КТПН 6/0,4кВ ВЛ 6кВ №305 ПС 35кВ АС3 для электроснабжения ВРУ 0,4кВ жилого дома Крикуновой Е.С. по пер. Генеральский, 16 в г. Аксае Аксайского района Ростовской области (ориентировочная протяжённость ЛЭП 0,061км)</t>
  </si>
  <si>
    <t>Строительство КТПН 6/0,4 кВ, ВЛ 6 кВ, ВЛ 0,4 кВ от ВЛ 6 кВ №305 ПС 35 кВ АС3 для электроснабжения ВРУ 0,4 кВ жилых домов Слепаковой Т. В. в г. Аксае Аксайского района Ростовской области (ориентировочная мощность трансформатора 0,063 МВА, ориентировочная протяжённость ЛЭП 0,168 км)</t>
  </si>
  <si>
    <t>Строительство ТП 6/0,4 кВ, ВЛ 6 кВ, ВЛ 0,4 кВ от ВЛ 6 кВ №305 ПС 35 кВ АС3 для электроснабжения тепличного комплекса ИП Вирабян Б. З. на участке с КН 61:02:0600010:13682 в г. Аксае Аксайского района Ростовской области (ориентировочная мощность трансформатора 0,040 МВА, ориентировочная протяжённость ЛЭП 0,050 км)</t>
  </si>
  <si>
    <t>Строительство ВЛ 0,4 кВ от проектируемой ВЛ 0,4 кВ проектируемой КТПН 6/0,4 кВ (по договору №61-1-18-00419781 от 27.12.2018 г.) ВЛ 6 кВ №305 ПС 35 кВ АС3 для электроснабжения ВРУ 0,4 кВ жилого дома Бурдюжковой И. И. по ул. Георгиевская, 5 в г. Аксае Аксайского района Ростовской области</t>
  </si>
  <si>
    <t>Строительство ВЛ 0,4 кВ от проектируемой ВЛ 0,4 кВ (по договору №61-1-19-00463545 от 13.08.2019 г.)  проектируемой КТПН 6/0,4 кВ (по договору №61-1-18-00419769 от 27.12.2018 г.) ВЛ 6 кВ №305 ПС 35 кВ АС3 для электроснабжения ВРУ 0,4 кВ жилого дома Габараева А. П. по ул. Ефремова, 10 в г. Аксае Аксайского района Ростовской области</t>
  </si>
  <si>
    <t>Строительство ВЛ 0,4 кВ от проектируемой ВЛ 0,4 кВ проектируемой КТПН 6/0,4 кВ (по договору №61-1-19-00464907 от 19.08.2019 г.) ВЛ 6 кВ №305 ПС 35 кВ АС3 для электроснабжения ВРУ 0,4 кВ жилого дома Зубкова В. М. по пер. Генеральский, 6 в г. Аксае Аксайского района Ростовской области</t>
  </si>
  <si>
    <t>Строительство КТПН 10/0,4 кВ, ВЛ 0,4 кВ, ВЛ 10 кВ от ВЛ 10 кВ №1547 ПС 110 кВ АС15 для электроснабжения ВРУ 0,4 кВ жилых домов по ул. Раевского, ул. Ермолова в г. Аксае Аксайского района Ростовской области (ориентировочная мощность трансформатора 0,040 МВА, ориентировочная протяжённость ЛЭП 0,211 км)</t>
  </si>
  <si>
    <t>Строительство ВЛ 0,4 кВ от ВЛ 0,4 кВ №3 КТП №177 ВЛ10 кВ №125 ПС 110 кВ СМ 1 для электроснабжения жилого дома блокированной застройки заявителя Кошаташян А.А. по адресу: Ростовская обл., Семикаракорский р-н, г. Семикаракорск, ул. Заводская, д.16, к.н.:61:35:0110205:138</t>
  </si>
  <si>
    <t>Строительство ВЛ 0,4 кВ от РУ 0,4 кВ  КТП №6 ВЛ 10 кВ №257 ПС 110 кВ БГ2 для электроснабжения аппаратно-программного комплекса видеофиксации нарушений правил дорожного движения «КРИС-П» ИП Андреева В.А. по адресу РО, Багаевский район, 35 км автодороги г. Ростов-на-Дону-г. Семикаракорск-г. Волгодонск</t>
  </si>
  <si>
    <t>Строительство ВЛ 6 кВ от ВЛ 6 кВ №305 ПС 35 кВ АС3 для электроснабжения производственной базы Перепелкина В. И. на участке с КН 61:02:0600010:9146 в г. Аксае Аксайского района Ростовской области (ориентировочная протяжённость ЛЭП 0,066 км)</t>
  </si>
  <si>
    <t>Строительство участка ВЛИ-0,4 кВ от оп. №7-42 ВЛ-0,4 кВ №2 КТП 10/0,4 кВ №7 ВЛ-10 №114 ПС 220/110/35/10 кВ "Зерновая" для электроснабжения жилого дома заявителя Валоян Г.М., г. Зерноград, Зерноградский район, Ростовская область  (ориентировочная протяженность ЛЭП – 0,300 км)</t>
  </si>
  <si>
    <t>Строительство ВЛ-0,4кВ от ВЛ-0,4кВ №1 КТП 6/0,4кВ №101 ВЛ-6кВ №10701 ПС 110/35/6кВ А-1 для подключения жилых домов заявителя Левченко Н.Н. г. Азов, Азовский район, Ростовская область (ориентировочная протяженность ЛЭП0-0,06км)</t>
  </si>
  <si>
    <t>Строительство участка ВЛИ-0,4кВ от оп. №257-42 ВЛ-0,4кВ №2 КТП-6/0,4кВ №257 ВЛ-6кВ №10701 ПС 110/35/6кВ "А-1" для подключения жилого дома заявителя Узянова В.А. г. Азов, Ростовская область (ориентировочная протяженность ЛЭП 0,130км)</t>
  </si>
  <si>
    <t>Строительство участка ВЛ-10кВ от опоры № 43, Л-885, ВЛ-10кВ №3, ПС 35/10кВ «Грушевская», установка ТП 10/0,4 кВ и участка ВЛ 0,4 кВ от проектируемого ТП 10/0,4 кВ  для подключения жилого дома Помазкова П.М., расположенного по адресу: Ростовская обл., Белокалитвинский р-н, х. Семимаячный, ул. Хрящевка, д. 8. (ориентировочная протяженность ЛЭП – 0,252 км, ориентировочная мощность ТП - 100кВА)</t>
  </si>
  <si>
    <t>Строительство участка ВЛ-10кВ от опоры № 62, Л-232, ВЛ-10кВ № 6, ПС 35/10кВ «Калитвенская»,  ТП 10/0,4кВ и участка ВЛ-0,4кВ от РУ-0,4кВ проектируемого ТП 10/0,4кВ для подключения помещения некапитального типа для ведения сельскохозяйственной деятельности ИП Вчерашнева А.А. расположенного по адресу: Ростовская обл., Каменский р-н, 350 м на северо-восток от х. Нижнеясиновский, к.н. 61:15:0602701:843 (ориентировочная протяженность ЛЭП – 1,515км, трансформаторная мощность – 0,160МВА)</t>
  </si>
  <si>
    <t>Строительство участка ВЛ-10кВ от опоры №12, ВЛ-10кВ №5, ПС 35/10кВ «Калитвенская»,  ТП 10/0,4кВ и участка ВЛ-0,4кВ от РУ-0,4кВ проектируемой ТП 10/0,4кВ для подключения нежилого здания (фермы крупного рогатого скота на 1200 голов) ИП Главы К(Ф)Х Брицына Л.Л., расположенного по адресу: Ростовская обл., Каменский р-н, 700м на северо-запад от станицы Калитвенская, КН 61:15:0602201:1805 (ориентировочная протяженность ЛЭП – 0,785км, ориентировочная мощность ТП – 0,160МВА)</t>
  </si>
  <si>
    <t>Строительство участка ВЛ-10кВ от опоры №118, ВЛ-10кВ №2, ПС 35/10кВ "Грушевская", КТП 10/0,4кВ и участка ВЛ-0,4кВ от РУ-0,4кВ проектируемого ТП 10/0,4кВ для подключения жилых домов Кузуб В.И., Волкова А.В., Трояновой Т.П., Калишиной В.Н., Зарянова А.К., расположенных по адресу: Ростовская обл., Белокалитвенский р-н, х. Дубовой, д. 64, 74, 80, 83, 87 (ориентировочная протяженность ЛЭП-2,171км, ориентировочная мощность ТП-0,25МВА)</t>
  </si>
  <si>
    <t>Строительство ТП 6/0,4 кВ, ВЛ 6 кВ, ВЛ 0,4 кВ от ВЛ 6 кВ №305 ПС 35 кВ АС3 для электроснабжения малоэтажной многоквартирной застройки ИП Живилова В. В. на участке с КН 61:02:0600010:14669 в г. Аксае Аксайского района Ростовской области (ориентировочная мощность трансформатора 0,250 МВА, ориентировочная протяжённость ЛЭП 0,295 км)</t>
  </si>
  <si>
    <t>Строительство ТП 6/0,4 кВ, ВЛ 6 кВ, ВЛ 0,4 кВ от ВЛ 6 кВ №305 ПС 35 кВ АС3 для электроснабжения многоэтажной жилой застройки ИП Живилова В. В. на участке с КН 61:02:0600010:14668 в г. Аксае Аксайского района Ростовской области (ориентировочная мощность трансформатора 0,250 МВА, ориентировочная протяжённость ЛЭП 0,045 км)</t>
  </si>
  <si>
    <t>Строительство участка ВЛ-10кВ от опоры №166, Л-377, ВЛ-10кВ №5, ПС 110/10кВ «Обливская ПТФ», ТП 10/0,4кВ и участка ВЛ-0,4кВ от РУ-0,4кВ проектируемого КТП 10/0,4кВ для подключения жилого дома Муравьевой А.Б., расположенного по адресу: Обливский р-н, х. Сиволобов, ул. Советская, д. 14 (ориентировочная протяженность ЛЭП  – 0,295 км, ориентировочная мощность ТП - 0,025 МВА)</t>
  </si>
  <si>
    <t>Строительство участка ВЛ-10кВ от опоры № 7, Л-18, ВЛ-10кВ № 2, ПС 110/35/10/6кВ «К-4», ТП 10/0,4кВ и участка ВЛ-0,4кВ от РУ-0,4кВ проектируемой ТП 10/0,4кВ для подключения здания механической мойки ИП Бовдуя А.Н. расположенной по адресу: Ростовская область, Каменский р-н, х. Красновка, ул. Профильная, д. №123 (ориентировочная протяженность ЛЭП – 0,035км, трансформаторная мощность – 0,160МВА)</t>
  </si>
  <si>
    <t>Строительство участка ВЛ-10 кВ от опоры № 7, ВЛ-10 кВ №2, ПС 110/35/10/6 кВ «К-4», ТП 10/0,4 кВ и участка ВЛ-0,4 кВ от РУ-0,4 кВ нового ТП 10/0,4 кВ, для подключения строящегося склада ИП Рудакова Д.В., расположенного по адресу: Ростовская обл., Каменский р-н, х.Красновка,  ул. Профильная, д. 123, к.н.з.у. 61:15:0080107:310 (ориентировочная протяженность ЛЭП– 0,01 км, ориентировочная мощность ТП – 0,160 МВА)</t>
  </si>
  <si>
    <t>Строительство участка ВЛ-10кВ от опоры № 44, Л-122, ВЛ-10кВ № 3, ПС 35/10кВ «Каменская СХТ»,  ТП 10/0,4кВ и участка ВЛ-0,4кВ от РУ-0,4кВ проектируемого ТП 10/0,4кВ для подключения магазина Ковтуна С.Н. расположенного по адресу: Ростовская обл., Каменский р-н, х. Старая Станица, юго-западнее земельного участка по пер.Партизанский, 69, к.н. 61:15:0130105:1810 (ориентировочная протяженность ЛЭП – 0,040км, трансформаторная мощность – 0,063МВА)</t>
  </si>
  <si>
    <t>Строительство участка ВЛ-10кВ от опоры №27, ВЛ-10кВ №4, ПС 35/10кВ "Литвиновская", ТП 10/0,22кВ для подключения ГРП 1 для объекта Межпоселковый газопровод высокого давления от ГРС Шолоховский (Горняцкий) к х. Гусынка, с отводами на х. Рудаков, х. Ленина, с. Литвиновка, х. Кочевань, х. Титов, х. Кононов, х. Корсунка, х. Демишев, х. Головка Белокалитвенского района ООО "Газпроммежрегионгаз" (оринтировочная протяженность ЛЭП-0,020км, ориентировочная трасформаторная мощность 0,01МВА)</t>
  </si>
  <si>
    <t>Строительство участка ВЛ-10кВ от опоры №3, ВЛ-10кВ №1,  ПС 35/10кВ «Каменская СХТ», ТП 10/0,4кВ и участка ВЛ-0,4кВ от РУ-0,4кВ проектируемого ТП 10/0,4кВ для подключения строящегося комплекса зданий автосервиса Черненкова В.Н., расположенного по адресу: Ростовская обл., Каменский р-н, х. Старая Станица, ул. Буденного (четная сторона), напротив комплекса зданий по ул. Буденного, д. 267 (ориентировочная протяженность ЛЭП – 0,137км, ориентировочная мощность ТП – 0,025МВА)</t>
  </si>
  <si>
    <t>Строительство участка ВЛ-10кВ от опоры № 45, ВЛ-10кВ №7, ПС 110/35/10кВ «Милютинская», ТП 10/0,4кВ, ВЛ-0,4кВ от РУ проектируемой ТП 10/0,4 для подключения жилых домов расположенных по адресу: Ростовская обл., Милютинский р-н, ст-ца. Милютинская, ул. Северная (ориентировочная протяженность ЛЭП – 0,885км, ориентировочная трансформаторная мощность 0,160мВА)</t>
  </si>
  <si>
    <t>Строительство участка ВЛ-10кВ от опоры №7, Л-56, ВЛ-10кВ №6, ПС 110/35/10кВ «Б-11», ТП 10/0,4кВ и участка ВЛ-*0,4кВ от РУ-0,4кВ проектируемого ТП 10/0,4кВ для подключения искусственного электроосвещения на автомобильной дороге А-260 "Волгоград-Каменск-Шахтинский-граница с Украиной" на участке км 220+574 - км 221+226, заявитель - Федеральное казенное учреждение "Управление автомобильной магистрали Москва-Волгоград Федерального дорожного агентства", адрес: Ростовская обл., р-н Морозовск, а/д А-260 (М-21) км 217+840 - 223+20 км, к.н. 61:24:0014001:746 (ориентировочная протяженность ЛЭП – 0,020км, ориентировочная мощность ТП – 0,025МВА)</t>
  </si>
  <si>
    <t>Строительство участка ВЛ-6 кВ от оп.№61 ВЛ-6 кВ «Михайловка-1» ПС110/35/6 кВ «Б-8», ТП 6/0,4 кВ и участка ВЛ-0,4 кВ от РУ-0,4кВ проектируемого ТП 6/0,4кВ для подключения ВРУ-0,4 кВ искусственного электроосвещения на автомобильной дороге А-260 «Волгоград-Каменск-Шахтинск-граница с Украиной» на участке 266+600 – км 267+100 ФКУ «Управление автомобильной магистрали Москва-Волгоград Федерального дорожного агенства» расположенного по адресу: Ростовская область, Тацинский район, п. Углегорский, автодорога А-260 (М-21) км 248+50 – 271+1150 к.н. 61:38: 0000000:90 (ориентировочная протяженность ЛЭП – 0,060км, ориентировочная мощность ТП – 0,025 МВА)</t>
  </si>
  <si>
    <t>Строительство участка ВЛ-10кВ от опоры №172, ВЛ-10кВ №3, ПС 110/35/10кВ «К-4» и ТП 10/0,4кВ для электроснабжения здания школы, заявитель - отдел капитального строительства и муципального хозяцства Администрации Каменского района, по адресу: Ростовская обл., Каменский р-н, х. Старая Станица, ул. 40 лет Победы, д.33, 150м к северу от земельного участка, к.н. 61:15:0602101:2536 (ориентировочная протяженность ЛЭП – 0,780км, ориентировочная мощность ТП – 0,400МВА)</t>
  </si>
  <si>
    <t>Строительство участка ВЛ-10кВ от опоры №67, ВЛ-10кВ №7, ПС 110/35/10кВ «Милютинская», ТП 10/0,4кВ и участка ВЛ-0,4кВ от РУ-0,4кВ проектируемого ТП 10/0,4кВ для подключения нежилого здания (склада) Квасова В.П., расположенного по адресу: Ростовская обл., Милютинский р-н, х. Юдин, примерно в 2000 м на северо-восток от х. Юдин, к.н. 61:23:060014:881 (ориентировочная протяженность ЛЭП – 0,260км, ориентировочная мощность ТП – 0,025МВА)</t>
  </si>
  <si>
    <t>Строительство КТПН 6/0,4 кВ, ВЛ 6 кВ, ВЛ 0,4 кВ от ВЛ 6 кВ №305 ПС 35 кВ АС3 для электроснабжения ВРУ 0,4 кВ жилых домов Газаловой Е. А., Живиловой М. С., Киреева О. Р., Живилова В. В. в г. Аксае Аксайского района Ростовской области (ориентировочная мощность трансформатора 0,250 МВА, ориентировочная протяжённость ЛЭП 3,390 км)</t>
  </si>
  <si>
    <t>Строительство ТП 6/0,4 кВ, ВЛ 6 кВ, ВЛ 0,4 кВ от ВЛ 6 кВ №305 ПС 35 кВ АС3 для электроснабжения магазина ИП Козык А. Г. по ул. Объездная, 3 в г. Аксае Аксайского района Ростовской области (ориентировочная мощность трансформатора 0,400 МВА, ориентировочная протяжённость ЛЭП 0,113 км)</t>
  </si>
  <si>
    <t>2.3.1.4.2.1.</t>
  </si>
  <si>
    <t>Строительство ВЛ-10 кВ от опоры № 113 по ВЛ-10 кВ № 2 ПС 35/10 кВ «Лазаревская» с установкой КТП и строительством ВЛ-0,4 кВ, для технологического присоединения крытого тока заявителя, Глава КФХ Верещак Н.В., расположенного в Ростовской области, Чертковский р-н, х. Ходаков, ул. Молодежная 41 (61:42:0170301:80) (ориентировочная   протяженность ЛЭП – 0,32 км, ориентировочная мощность ТП – 0,04 МВА)</t>
  </si>
  <si>
    <t>Строительство ВЛ-10 кВ от опоры №7/148 по ВЛ-10 кВ №2 ПС 220/110/27/10 кВ "Сысоево" с установкой КТП и строительством ВЛ-0,4 кВ, для технологического присоединения насосной станции 3 подъема, заявитель Администрация Чертковского района, расположенной в Ростовской области, Чертковский р-н, 1,2 км по направлению на северо-запад от цента с. Михайлово-Александровка, (61:42:0600021:650),(ориентировочная протяженность ЛЭП 0,08 км, ориентировочная мощность трансформатора 0,063 кВА)</t>
  </si>
  <si>
    <t>Строительство ВЛ-0,4 кВ  от  КТП-10/0,4 №204 по ВЛ-10 кВ № 1 ПС  35/10 кВ «Поповская», для технологического присоединения детского сада заявителя, МБДОУ Подтелковский детский сад №6 «Солнышко», расположенного в Ростовской области, Кашарский р-н,  п. Дибровый, ул. Центральная 9, (61:16:0130302:121),   (ориентировочная протяженность ЛЭП  0,32 км)</t>
  </si>
  <si>
    <t>Строительство ВЛ-0,4 кВ от РУ 0,4 кВ КТП-10/0,4 №283 по ВЛ-10 кВ № 3 ПС 35/10 кВ «Дударевская», для электроснабжения жилых домов заявителей, Шумилина А.В. и Васильевой М.В., расположенных в Ростовской области, Шолоховский р-н, х. Дударевский, ул. Степная 2 кв. 1, ул. Степная 2 кв.2, (61:43:0040101:457), (61:43:0040101:456) (ориентировочная протяженность ЛЭП 0,7 км)</t>
  </si>
  <si>
    <t>Строительство ВЛ-0,4 кВ от РУ 0,4 кВ  КТП-10/0,4 №383 по ВЛ-10 кВ № 3 ПС 35/10 кВ «Колундаевская», для электроснабжения щита учета для строительства склада заявителя ИП Галицина Н.А., расположенного в Ростовской области, Шолоховский р-н, х. Ващаевский, (61:05:0600005:478),  (ориентировочная протяженность ЛЭП 0,18 км)</t>
  </si>
  <si>
    <t>Строительство ВЛ-0,4 кВ от РУ 0,4 кВ КТП-10/0,4  №204 по ВЛ-10 кВ №1 ПС 110/35/10 кВ "Вешенская 1", для электроснабжения здания школы заявителя, МБОУ "Дубровская средняя общеобразовательная школа",  расположенной в Ростовской области, Шолоховский р-н, х. Дубровский, пер. Школьный 1, (61:43:0030101:572), (ориентировочная протяженность ЛЭП 0,08 км)</t>
  </si>
  <si>
    <t>Строительство ВЛ-10 кВ от опоры № 1 по ВЛ-10 кВ № 2 ПС 35/10 кВ «Сетраковская» с установкой КТП и строительством ВЛ-0,4 кВ, для технологического присоединения БС №61-02328 заявитель, ПАО «Мобильные ТелеСистемы, расположенной в Ростовской области, Чертковский р-н, х. Сетраки, ул. Подгорная 30 (61:42:0600019:634) (ориентировочная   протяженность ЛЭП – 0,26 км, ориентировочная мощность ТП – 0,025 МВА)</t>
  </si>
  <si>
    <t>Строительство ВЛ 0,4кВ от ВЛ 0,4кВ №3 ТП 6/0,4кВ №44 по КЛ 6кВ №24, РП-2 по КЛ 6кВ №122/2 ПС «Т-1» до границ земельного участка Заявителя Палий Г.И. (ориентировочная протяженность ЛЭП 0,288км)</t>
  </si>
  <si>
    <t>Строительство ВЛ 0,4 кВ от ВЛ 0,4 кВ №4 КТП №60 ВЛ 10 кВ от КЛ 10 кВ №3ф5 РП3 КЛ 10 кВ №1532 и №1546 ПС 110 кВ АС15 для электроснабжения ВРУ 0,4 кВ жилого дома Высоцкой А. И. по ул. Иваненкова, 3 в г. Аксае Аксайского района Ростовской области (ориентировочная протяжённость ЛЭП 0,120 км)</t>
  </si>
  <si>
    <t>2.3.1.4.3.1.</t>
  </si>
  <si>
    <t>2.3.2.3.1.1.</t>
  </si>
  <si>
    <t>Строительство участка ВЛ-10 кВ от опоры №2 Л-186, ВЛ-10 кВ "Кирова-2", ПС 110/35/10 кВ "Б-4", ТП 10/0,4 кВ и участка ВЛ-0,4 кВ от РУ-0,4 кВ проектируемогоТП 10/0,4 кВ для подключения животноводческого комплекса ИП Рудакова Д.В., расположенного по адресу: Ростовская область, Каменский р-н, Богдановское с.п. ТсОО им. Кирова, пастбища р.уч. №23, КН ЗУ 61:15:0602501:1471 (ориентировочная протяженность ЛЭП - 0,383 км, ориентировочная мощность ТП - 0,160 МВА)</t>
  </si>
  <si>
    <t>Строительство участка ВЛ-10 кВ от опоры № 134,  ВЛ-10 кВ№1, ПС 35/10 кВ «Тарасовская СХТ», ТП 10/0,4 кВ, ВЛ-0,4кВ от РУ проектируемой ТП 10/0,4 для подключения БС №61-02541 ПАО «МТС», расположенной по адресу: Ростовская обл., Тарасовский р-н, сл. Дячкино, 280 м на юго-запад от участка с кадастровым №61:37:0600012:563 (ориентировочная протяженность ЛЭП – 0,358 км, ориентировочная мощность ТП - 0,025 МВА)</t>
  </si>
  <si>
    <t>Строительство участка ВЛ-10 кВ от опоры № 1, Л-230, ВЛ-10 кВ№5, ПС 35/10 кВ «Селивановская», ТП 10/0,4 кВ, ВЛ-0,4кВ от РУ проектируемой ТП 10/0,4 для подключения жилого дома Саранова А.П., расположенного по адресу: Ростовская обл., Милютинский р-н, х. Варламовка, ул. Лесная, д. 28 (ориентировочная протяженность ЛЭП – 1,400 км, ориентировочная трансформаторная мощность 0,025 мВА)</t>
  </si>
  <si>
    <t>Строительство участка ВЛ-10кВ от опоры № 66, ВЛ-10кВ № 1, ПС 35/10кВ «Глубокинская»,  ТП 10/0,4кВ и участка ВЛ-0,4кВ от РУ-0,4кВ проектируемого ТП 10/0,4кВ для подключения складских помещений ИП Панфилова М.И., расположенных по адресу: Ростовская обл., Каменский р-н, р.п. Глубокий, 500м на восток от ул. Н. Элеваторная, кад. №61:15:0010111:77 (ориентировочная протяженность ЛЭП – 0,075км, ориентировочная мощность ТП – 0,040МВА)</t>
  </si>
  <si>
    <t>Строительство участка ВЛ-10 кВ от опоры № 214, ВЛ-10 кВ №1, ПС 35/10 кВ «Войковская», ТП 10/0,4 кВ, ВЛ-0,22 кВ от РУ проектируемой ТП 10/0,4 для подключения жилых домов Скнариной Ю.С., Сычевой Н.Г., Обухова В.И., Мироновой Е.В. расположенных по адресу: Ростовская обл., Тарасовский р-н, х.Ушаковка, ул.Заречная, д.7, д.19, д.29, д.30 (ориентировочная протяженность ЛЭП – 0,575 км, ориентировочная трансформаторная мощность 0,100 мВА)</t>
  </si>
  <si>
    <t>Строительство участка ВЛ-6 кВ от опоры №36 Л-63, ВЛ-6 кВ Атлас, ПС 110/35/10/6 кВ "К-4", ТП 6/0,4 кВ и участка ВЛ-0,4 кВ от РУ-0,4 кВ проектируемого ТП 6/0,4 кВ для подключения карьера ИП Рудакова Д.В., расположенного по адресу: Ростовская обл., Каменский р-н, р.п. Глубокий, 240 м на север от земельного участка с КН 61:15:0601601:2212, КН ЗУ 61:15:0601601:237 ( ориентировочная протяженность ВЛ-6 кВ - 0,150 км, ориентировочная протяженность ВЛ-0,4 кВ - 0,010 км, ориентировочная мощность ТП - 0,160 МВА)</t>
  </si>
  <si>
    <t>Строительство участка ВЛ-6 кВ от опоры № 37, Л-63 ВЛ-6 кВ «Атлас», ПС 110/35/10/6 кВ «К-4», ТП 6/0,4 кВ и участка ВЛ-0,4 кВ от РУ-0,4 кВ новой ТП 6/0,4 кВ для подключения строящегося склада ИП Рудакова Д.В., расположенного по адресу: Ростовская обл., Каменский р-н, Старостаничное сельское поселение, АКХ «Колос», пастбище р. уч. № 10,  КН 61:15:0602101:2611 (ориентировочная протяженность ЛЭП– 0,128 км, ориентировочная мощность – 0,160 МВА)</t>
  </si>
  <si>
    <t>Строительство участка ВЛ-10кВ от опоры №13, Л-124, ВЛ-10кВ №3, ПС 35/10кВ «Каменская СХТ», ТП 10/0,4кВ и участка ВЛ-0,4кВ от РУ 0,4кВ проектируемой ТП 10/0,4кВ для подключения базы сельхозтехники ИП Рудакова Д.В., расположенной по адресу: Ростовская обл., Каменский р-н, х. Старая Станица, АКХ «Колос» пастбище р.уч. №12, к.н. 61:15:0602101:2614 (ориентировочная протяженность ВЛ-0,769 км, ориентировочная мощность ТП-0,160МВА)</t>
  </si>
  <si>
    <t>Строительство участка ВЛ-10 кВ от опоры №64, ВЛ-10 кВ №1, ПС 35/10 кВ "Элеватор", ТП 10/0,4 кВ, ВЛ-0,4 кВ от РУ новой ТП 10/0,4 кВ для подключения склада ИП главы КФХ Багандова М.К., расположенного по адресу: Ростовская обл., Морозовский р-н, х.Морозов, ул. восточная, д.1 а, к.н. №61:24:0080102:150 (ориентировочная протяженность ЛЭП - 0,25 км, ориентировочная трансформаторная мощность 0,063 МВА)</t>
  </si>
  <si>
    <t>Строительство участка ВЛ-6 кВ от опоры № 50, ВЛ-6 кВ «Михайловка-1» ПС 110/35/6 кВ «Б-12», ТП-6/0,4 кВ для подключения очистных сооружений канализации, заявитель - администрации Тацинского района, по адресу: Ростовская обл., Тацинский р-н, п. Углегорский, примерно в 3-х км от  п. Углегорский  по направлению на север, к.н. № 61:38:0600006:198 (ориентировочная протяженность ЛЭП – 2,2 км, ориентировочная мощность ТП – 0,063 МВА)</t>
  </si>
  <si>
    <t>Строительство двух ТП 10/0,4 кВ, участка ВЛ-10 кВ от опоры № 8, отпайка Л310, ВЛ-10 кВ № 3, ПС 35/10 кВ «Селивановская» до одной из проектируемых ТП 10/0,4 кВ, участка ВЛ-10кВ от опоры №5, ВЛ-10 кВ № 5, ПС 35/10 кВ «Селивановская» до второй из проектируемых ТП 10/0,4 кВ, для подключения Оздоровительного центра расположенного по адресу: Ростовская обл., Милютинский р-н, п.Полесье, ул. Лесная, к.н.: 61:23:0600003:519 (ориентировочная протяженность ЛЭП – 4,535 км, ориентировочная мощность ТП – 0,5МВА)</t>
  </si>
  <si>
    <t>Строительство участка ВЛ-10кВ от опоры № 23, ВЛ-10кВ № 2, ПС 35/10кВ «Глубокинская»,  ТП 10/0,4кВ и участка ВЛ-0,4кВ от РУ-0,4кВ проектируемого ТП 10/0,4кВ для подключения гаража на 20 боксов ИП Антюфеева А.В., расположенного по адресу: Ростовская обл., Каменский р-н, п. Каменногорье, пер. Школьный, д. 1, к.н. (ориентировочная протяженность ЛЭП – 0,035км, ориентировочная мощность ТП – 0,160МВА)</t>
  </si>
  <si>
    <t>Строительство участка ВЛ-0,4 кВ от новой ТП 10/0,4 кВ, строительство ТП 10/0,4 кВ, строительство участка ВЛ 10 кВ от опоры № 19, Л-416, ВЛ-10 кВ № 3, ПС 35/10 кВ «Нижнепоповская», для электроснабжения нежилых зданий Мохова Д.А., Глуховской Н.А., по адресам: Ростовская обл., Белокалитвинский р-н, (в районе х. Верхнепопов), от пункта триангуляции «Дороговский» примерно в 1800 метрах от ориентира по направлению на север. к.н. 61:04:0600007:410, к.н. 61:04:0600007:411. (ориентировочная протяженность ЛЭП – 0,506 км, ориентировочная мощность ТП – 0, 160 МВА)</t>
  </si>
  <si>
    <t>Строительство участка ВЛ-10 кВ от опоры № 74, ВЛ-10 кВ №1, ПС 35/10 кВ «Баклановская», для подключения строящегося хозяйственного помещения Чебонян О.Б., расположенного по адресу: Ростовская обл., Морозовский р-н, х. Новопроциков, ул. Школьная, д. 11, к.н. 61:24:0020302:303 (ориентировочная протяженность ЛЭП – 0,055 км)</t>
  </si>
  <si>
    <t>Строительство участка ВЛ-10 кВ от опоры № 154, Л-240, ВЛ-10 кВ№4, ПС 110/10 кВ «Обливская ПТФ», ТП 10/0,4 кВ, ВЛ-0,4кВ от РУ проектируемой ТП 10/0,4 для подключения линейного ответвления к вводу-0,4 кВ Переходкина С.М., расположенного по адресу: Ростовская обл., Обливский р-н, х.Лобачев, в границах ОАО «Лобачевский», к.н. № 61:27:0600011:131 (ориентировочная протяженность ЛЭП – 0,040 км, ориентировочная мощность ТП - 0,025 МВА)</t>
  </si>
  <si>
    <t>Строительство участка ВЛ-10 кВ от опоры № 79, Л-349, ВЛ-10 кВ№1, ПС 35/10 кВ «Тарасовская СХТ», ТП 10/0,4 кВ, ВЛ-0,4кВ от РУ проектируемой ТП 10/0,4 для подключения телятника Лыгановской Р.Н., расположенного по адресу: Ростовская обл., Тарасовский р-н, х.Мокроталовка, 530м на северо-восток, к.н. № 61:37:0600012:1471 (ориентировочная протяженность ЛЭП – 0,850 км, ориентировочная трансформаторная мощность 0,025 мВА)</t>
  </si>
  <si>
    <t>Строительство участка ВЛ-10кВ от опоры № 38, ВЛ-10 кВ № 1, ПС 35/10 кВ «Широко-Атамановская» для подключения ТП 10/0,4 кВ ОАО «РЖД», расположенной по адресу: Ростовская область, Цимлянский район, участок Морозовская-Куберле (км 53+450-км95+050) в границах Цимлянского района, к. н: 61:41:0000000:23 (ориентировочная протяженность ВЛ-10кВ – 0,4 км)</t>
  </si>
  <si>
    <t>Строительство участка ВЛ-10 кВ от опоры № 198, ВЛ-10 кВ № 4,ПС 35/10 кВ «Курнолиповская» и участка ВЛ-0,4 кВ от РУ-0,4 кВ новой ТП 10/0,4 кВ (установку новой ТП 10/0,4 кВ осуществить согласно договора ТП №61-1-19-00478133), для подключения строящегося склада ИП Рудаков Д.В., расположенного по адресу: Ростовская обл., Тарасовский р-н, х. Ерофеевка, вблизи поля с к.н. 92 по северному склону б. Колонская,   к.н.з.у. 61:37:0600022:338 (ориентировочная общая протяженность ЛЭП – 1,57 км)</t>
  </si>
  <si>
    <t>2.3.2.3.2.1.</t>
  </si>
  <si>
    <t>3.1.1.1.2.1</t>
  </si>
  <si>
    <t>1-10 кВ</t>
  </si>
  <si>
    <t>3.1.1.1.3.1</t>
  </si>
  <si>
    <t>Строительство КЛ 6 кВ от проектируемой линейной ячейки 6 кВ ПС 110 кВ БТ2 для электроснабжения торгово складского помещения расположенного по адресу: г. Батайск, пер. Лесозащитный, д.4, к.н. 61:16:0010201:5683 (ориентировочная протяжённость ЛЭП 0,275 км)</t>
  </si>
  <si>
    <t>3.1.1.1.3.2</t>
  </si>
  <si>
    <t>Строительство 2 ВЛ 0,4 кВ, 2 ТП 10/0,4кВ, 2 КЛ 10 кВ от КЛ 10 кВ №19-36 и №19-46 ПС 110 кВ Р19 для электроснабжения рынка продовольственных товаров (ООО «СеНат») расположенной по адресу: г. Ростов-на-Дону, Советский район, Коммунальная зона жилого района «Левенцовский», к.н. 61:44:0062510:150</t>
  </si>
  <si>
    <t>Строительство 2 КЛ 10 кВ от проектируемой линейной ячейки 10 кВ на II секции шин (№32-56) и от линейной ячейки на I секции шин №32-55 ПС 110 кВ Р32 для электроснабжения многоэтажного жилого комплекса с помещениями общественного назначения (ООО «Галактика»), расположенного по адресу: г. Ростов-на-Дону, пр-кт 40-летия Победы, д. 63/17, кад. № 61:44:0000000:980</t>
  </si>
  <si>
    <t>3.1.1.1.4.2</t>
  </si>
  <si>
    <t>3.1.1.1.5.2</t>
  </si>
  <si>
    <t>3.1.1.1.6.2</t>
  </si>
  <si>
    <t xml:space="preserve">Строительство 2КЛ 6кВ от проектируемых линейных ячеек 6кВ на I, II секции шин ПС 110кВ Р24 для электроснабжения многоэтажного жилого комплекса с помещениями общественного назначения (ООО "Галактика"), расположенного по адресу: г. Ростов-на-Дону, ул. Оганова, кад. №61:44:0080503:1 </t>
  </si>
  <si>
    <t>3.1.1.2.2.1</t>
  </si>
  <si>
    <t>3.1.1.2.3.2</t>
  </si>
  <si>
    <t>Строительство КЛ-6 кВ от ТП-6/0,4кВ №287 в рассечку по КЛ-6 кВ №132/1 ПС Т-1 до новой ТП-6/0,4кВ. Строительство ТП-6/0,4 кВ (МБУ "Управление защиты от чрезвычайных ситуаций населения и территории г.Таганрога</t>
  </si>
  <si>
    <t>3.1.2.1.1.2</t>
  </si>
  <si>
    <t>3.1.2.1.1.1</t>
  </si>
  <si>
    <t>3.1.2.2.3.1</t>
  </si>
  <si>
    <t>1-20 кВ</t>
  </si>
  <si>
    <t>4.1.4.</t>
  </si>
  <si>
    <t>Строительство КЛ 10 кВ с подключением от ВЛ 10 кВ №2 ПС 35/10 кВ Колесниковская для электроснабжения административного здания и здания гаража заявителя: Федеральная служба безопасности Российской Федерации в лице Дирекции по строительству в Южном федеральном округе Управления капитального строительства Службы обеспечения деятельности Федеральной службы безопасности Российской Федерации по адресу РО, М-Курганский р-н, п. М-Курган, прилегающий с восточной стороны к ориентиру ул. Романа Аксенова, д.18, к.н:61:21:0600001:3017 (ориентировочная протяженность КЛ – 0,5 км)</t>
  </si>
  <si>
    <t>6/0,4</t>
  </si>
  <si>
    <t>5.1.1.1</t>
  </si>
  <si>
    <t>10/0,4</t>
  </si>
  <si>
    <t>Строительство ВЛ-10 кВ от оп. №25 отпайки на КТП № 315 по ВЛ 10 кВ «Маяки» ПС Н-15, с установкой ТП-10/0,4 кВ и ВЛИ-0,4 кВ для присоединения распределительного щита максимальной мощности 15кВт по адресу: Ростовская обл., р-н. Родионово-Несветайский, 615 м севернее от х. Маяки (ФГКУ «ПУ ФСБ РФ по РО»). (ориентировочная протяженность ЛЭП 1,22 км, ориентировочная мощность трансформатора 25 кВА)</t>
  </si>
  <si>
    <t>5.1.1.2</t>
  </si>
  <si>
    <t>5.1.2.1</t>
  </si>
  <si>
    <t>Строительство ВЛ 0,4 кВ от новой ТП 10/0,4 кВ, строительство ТП 10/0,4 кВ, строительство ВЛ 10 кВ от ВЛ 10 кВ №1 ПС110/ 35/10 кВ «Чалтырь», отпайки на ТП10/0,4 кВ №1-42А, для технологического присоединения автоматической блочной АЗС Заявителя (ООО «ФЛЭШ») по адресу: Ростовская область, Мясниковский район, х. Ленинакан, ул. Торговый проспект, 28 а, к.н. 61:25:0600401:13096 (ориентировочная протяженность ЛЭП 0,004 км; мощность силового трансформатора 25 кВА)</t>
  </si>
  <si>
    <t>5.1.2.2</t>
  </si>
  <si>
    <t>Строительство участка ВЛ-10 кВ от опоры №3, Л-416, ВЛ-10 кВ №3, ПС 35/10 кВ «Нижнепоповская»,  ТП 10/0,4 кВ и участка ВЛ-0,4 кВ от РУ-0,4 кВ проектируемого КТП 10/0,4 кВ для подключения строящейся мастерской Братякиной Н.М., расположенной по адресу: Ростовская обл., р-н. Белокалитвинский, п. Сосны, 61:04:060007:364 (ориентировочная протяженность ЛЭП  – 0,030 км, трансформаторная мощность - 0,100 МВА)</t>
  </si>
  <si>
    <t>5.1.3.1</t>
  </si>
  <si>
    <t>5.1.3.2</t>
  </si>
  <si>
    <t>5.1.3.3</t>
  </si>
  <si>
    <t>5.1.4.1</t>
  </si>
  <si>
    <t>5.1.4.2</t>
  </si>
  <si>
    <t>5.1.5.1</t>
  </si>
  <si>
    <t>5.1.5.2</t>
  </si>
  <si>
    <t>Строительство ТП 10/0,4 кВ и участка ВЛ-0,4 кВ  от вновь построенной ТП 10/0,4 кВ, подключение новой ТП 10/0,4 кВ выполнить от концевой опоры, вновь построенной ВЛ-10 кВ. (по договору ТП № 61-1-19-477271), для подключения строящегося склада ИП Галгановой С.Ю., расположенного по адресу: Ростовская обл., Тарасовский р-н, х. Ерофеевка, к.н.з.у. 61:37:0600022:339 (ориентировочная протяженность ЛЭП – 0,07км, ориентировочная мощность ТП – 0,400 МВА)</t>
  </si>
  <si>
    <t>8.1.1.</t>
  </si>
  <si>
    <t>8.2.1.</t>
  </si>
  <si>
    <t>1 - 20 кВ</t>
  </si>
  <si>
    <t>8.2.3.</t>
  </si>
  <si>
    <t>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филиала ПАО "Россети Юг" - "Ростовэнерго",
а также на обеспечение средствами коммерческого учета электрической энергии (мощности)</t>
  </si>
  <si>
    <t>Строительство ВЛ 0,4кВ от РУ 0,4кВ ТП 10/0,4кВ №4-40 по ВЛ 10кВ №4 ПС 110/35/10кВ «Чалтырь» для технологического присоединения жилого дома заявителя Кечеджиян Э.В. по адресу: Ростовская область, Мясниковский район, с. Крым ул. Степная д.2 к.н. 61:25:0201001:26 (ориентировочная протяженность ЛЭП 0,140км)</t>
  </si>
  <si>
    <t xml:space="preserve">    Строительство ВЛ 0,4 кВ от ВЛ 0,4 кВ №1 ТП 10/0,4 кВ №5-1 по ВЛ 10 кВ №5 ПС 110/35/10 кВ Чалтырь для технологического присоединения жилого дома заявителя Авакян Р.Ш. по адресу: Ростовская область, Мясниковский район, с. Чалтырь ул. Пролетарская д. 67 к.н. 61:25:131317:0032 (ориентировочная протяженность ЛЭП 0,08 км)</t>
  </si>
  <si>
    <t>Строительство ВЛ 0,4 кВ от РУ 0,4 кВ новой ТП 10/0,4 кВ, строительство ТП 10/0,4 кВ, строительство ВЛ 10 кВ от ВЛ 10 кВ №7 ПС 35/10 кВ Б.Салы до новой ТП 10/0,4 кВ, для технологического присоединения свинарника заявителя Гугасян В.М. по адресу: Ростовская область, Мясниковский р-н, с. Большие Салы, юго-восточная окраина к.н. № 61:25:0040101:1418 (ориентировочная протяженность ЛЭП - 0,375 км, ориентировочная мощность ТП – 25 кВА)</t>
  </si>
  <si>
    <t>Строительство ВЛ 0,4 кВ от РУ 0,4 кВ новой ТП 10/0,4 кВ, строительство ТП 10/0,4 кВ, строительство ВЛ 10 кВ от ВЛ 10 кВ №29-11 ПС 110/10 кВ Р29, для технологического присоединения фермерского хозяйства заявителя Цхяян А.Р. по адресу: Ростовская область, Мясниковский р-н, с. Чалтырь, установлено относительно ориентира поле №8 бригады №6 колхоза имени Мясникяна, расположенного за пределами участка к.н. № 61:25:0601001:420  (ориентировочная протяженность ЛЭП - 0,34 км, ориентировочная мощность ТП – 25 кВА)</t>
  </si>
  <si>
    <t>Строительство ВЛ-0,4кВ от ВЛ-0,4кВ проектируемой по титулу: "Строительство ВЛ-0,4кВ от ВЛ-0,4кВ №1 КТП-10/0,4кВ №580 ВЛ-10кВ №5 ПС 110/10кВ "Самбек", для технологичекского присоединения производственного цеха заявителя Калинова А.В. по адресу: Ростовская область, Неклиновский р-н, с. Бессергеновка, ул. И.Лебедева, 3 к.н. №61:26:040201:3505 (ориентировочная протяженность ЛЭП-0,5км)" для технологического присоединения базовой станции сотовой связи №1156 заявителя ООО "Т2 Мобайл" по адресу: Ростовская область, Неклиновский район, с. Бессергеновка, ул. К.Зуева, 34м к востоку от дома №2, к.н. 61:26:0040201:001 (ориентировочная протяженность ЛЭП 0,04км)</t>
  </si>
  <si>
    <t>Строительство ВЛ 0,4 кВ от РУ 0,4 кВ новой ТП 10/0,4 кВ; строительство ТП 10/0,4 кВ; строительство ВЛ 10 кВ от ВЛ 10 кВ №7-8 ПС 35/10 кВ «Гаевская» до новой ТП 10/0,4 кВ для технологического присоединения ангара заявителя (Грицаенко И.Н.) по адресу: Ростовская область, Неклиновский р-н, с. Малофедоровка, ул. Лиманная, 18-б, к.н. 61:26:0160201:771 (ориентировочная протяженность ЛЭП – 0,03 км; ориентировочная мощность ТП – 25 кВА)</t>
  </si>
  <si>
    <t>Строительство ВЛ 0,4 кВ от ВЛ 0,4 кВ проектируемой от ТП 10/0,4 кВ №6-7 ПС 35/10 кВ «Б. Салы» по договору № 61-1-19-00425669 от 07.02.2019 г. для технологического присоединения жилого дома заявителя: (Бегларян А.А.) по адресу: Ростовская область, Мясниковский район, с. Б.Салы ул. Солнечная 21 к.н. 61:25:0600501:1870 (ориентировочная протяженность ЛЭП 0,08 км)</t>
  </si>
  <si>
    <t>Строительство ВЛ 0,4кВ от новой ТП 10/0,4кВ, строительство ТП 10/0,4кВ, строительство ВЛ 10кВ от ВЛ 10кВ №1 ПС 35/10кВ «Чалтырь» до новой ТП 10/0,4 кВ, для технологического присоединения нежилого помещения Заявителя (ИП Сидоров А.Ю.) по адресу: Ростовская область, Мясниковский район, х. Ленинакан, ул. Дачная, д.19, к.н.61:25:0030301:1526(ориентировочная протяженность ЛЭП 0,02 км; мощность силового трансформатора 63кВА)</t>
  </si>
  <si>
    <t>Строительство ВЛ 0,4 кВ от новой ТП 10/0,4 кВ, строительство ТП 10/0,4 кВ, строительство ВЛ 10 кВ от ВЛ 10 кВ №13 ПС 35/10 кВ «Чалтырь1» для технологического присоединения складского здания Заявителя (ИП Согомонян В.Г.) по адресу: Ростовская область, Мясниковский район, с. Крым, ул. Транспортная 12 к.н. №61:25:0600201:777 (ориентировочная протяженность ЛЭП 0,42 км; мощность силового трансформатора 40 кВА)</t>
  </si>
  <si>
    <t>Строительство ВЛ 0,4 кВ от новой ТП 10/0,4 кВ, строительство ТП 10/0,4 кВ, строительство ВЛ 10 кВ от ВЛ 10 кВ №1 ПС 110/35/10 кВ «Чалтырь» для технологического присоединения автосервиса Заявителя (ИП Срапионян А.Т.) по адресу: Ростовская область, Мясниковский район, х. Красный Крым 1-й км автодороги Ростов-Новошахтинск Промышленная зона 1-й проезд, уч. №3 к.н. 61:25:0600401:8068 (ориентировочная протяженность ЛЭП 0,01 км; мощность силового трансформатора 40 кВА)</t>
  </si>
  <si>
    <t>Строительство ВЛ 0,4кВ от ВЛ 0,4кВ проектируемой по договору №61-1-18-00362453, для технологического присоединения склада Заявителя (Котов С.М.) по адресу: Ростовская область, Неклиновский район, с. Николаевка, 200м западнее пер. Зеленый, к.н. 61:26:0600014:1870 (ориентировочная протяженность ЛЭП 0,07км)</t>
  </si>
  <si>
    <t>Строительство ВЛ 0,4 кВ от ВЛ 0,4 кВ №1 ТП 10/0,4 кВ №1-155 по ВЛ 10 кВ №1 ПС 110/35/10 кВ «Чалтырь» для технологического присоединения: жилого дома заявителя (Зименко А.С.)  по адресу Ростовская область, Мясниковский район, х. Красный Крым ул. Молодежная 2-я, д.1б к.н. 61:25:0030101:1950 (ориентировочная протяженность ЛЭП 0,05 км)</t>
  </si>
  <si>
    <t>Строительство ВЛ 0,4 кВ от РУ 0,4 кВ ТП 10/0,4 кВ №12-4 по ВЛ 10 кВ №12 ПС 110/35/10 кВ Чалтырь, для технологического присоединения нежилого помещения заявителя: (ИП Филь Д.В.) по адресу: Ростовская область, Мясниковский район, с.  Чалтырь, ул. Ленина 23/5я Линия 7а к.н. 61:25:0101124:3 (ориентировочная протяженность ЛЭП 0,035 км)</t>
  </si>
  <si>
    <t>Строительство ВЛ 0,4кВ от ВЛ 0,4кВ №1 ТП 10/0,4кВ №5-45 по ВЛ 10кВ №5 ПС 110/35/10кВ Б.Салы, для технологического присоединения жилого дома заявителя: (Хазарян К.К.) по адресу: Ростовская область, Мясниковский район, с. Несветай, ул. 3-я линия, д. 1 к.н. 61:25:0040201:419 (ориентировочная протяженность ЛЭП 0,1км)</t>
  </si>
  <si>
    <t>Строительство ВЛ 0,4 кВ от ВЛ 0,4 кВ №1 КТП №140м ВЛ 10 кВ №3 ПС 35/10 кВ «ГСКБ» для технологического присоединения жилого дома Заявителя (Мелехов С.В.) по адресу: Ростовская область, Неклиновский район, с. Александрова Коса, ул. Транспортная, 21, к.н. 61:26:0180601:1626 (ориентировочная протяженность ЛЭП 0,08 км)</t>
  </si>
  <si>
    <t>Строительство ВЛ 0,4 кВ от ВЛ 0,4 кВ №2 ТП 10/0,4 кВ №1-16 по ВЛ 10 кВ №1 ПС 110/35/10 кВ Чалтырь, для технологического присоединения жилого дома заявителя: (Оганнисян М.В.) по адресу: Ростовская область, Мясниковский район, с.  Крым, ул. Пролетарская, д. 48. к.н. 61:25:0201028:218 (ориентировочная протяженность ЛЭП 0,04 км)</t>
  </si>
  <si>
    <t>Строительство ВЛ 0,4 кВ от РУ 0,4 кВ КТП 10/0,4 кВ №49м ВЛ 10 кВ №НС-3 ПС 35/10 кВ «Лакадемоновская» для технологического присоединения Заявителя (ФГКУ «ПУ ФСБ РФ по РО») по адресу: Ростовская область, Неклиновский район, с. Беглица, 40 м на северо-запад от земельного участка с к.н. 61:26:0600021:183 (ориентировочная протяженность ЛЭП 0,17 км)</t>
  </si>
  <si>
    <t>Строительство ВЛ 0,4 кВ от КТП 10/0,4 кВ №200м ВЛ 10 кВ №7/8 ПС 35/10/6 кВ «Гаевка» для технологического присоединения жилого дома Заявителя (Шаповалов В.С.) по адресу: Ростовская область, Неклиновский р-н, с. Гаевка, ул. Миусская, 2, к.н. 61:26:0160301:16 (ориентировочная протяженность ЛЭП 0,04 км)</t>
  </si>
  <si>
    <t>Строительство ВЛ 0,4кВ от ВЛ 0,4кВ №2 КТП 10/0,4кВ №405 ВЛ 10кВ №5 ПС 35/10кВ «Покровская» для технологического присоединения личного подсобного хозяйства Заявителя (Головченко Е.С.) по адресу: Ростовская область, Неклиновский район, с. Покровское, ул. Полевая, 45, к.н. 61:26:0050114:100 (ориентировочная протяженность ЛЭП 0,11км)</t>
  </si>
  <si>
    <t>Строительство ВЛ 0,4 кВ от ВЛ 0,4 кВ №1 КТП №274м ВЛ 10 кВ №4 ПС 35/10 кВ «ГСКБ» для технологического присоединения личного подсобного хозяйства Заявителя (Бойченко Т.Р.) по адресу: Ростовская область, Неклиновский район, с. Новобессергеневка, ул. Энгельса, 7 А, к.н. 61:26:0180101:7265 (ориентировочная протяженность ЛЭП 0,082 км)</t>
  </si>
  <si>
    <t>Строительство ВЛ 0,4 кВ от ВЛ 0,4 кВ №2 ЗТП 10/0,4 кВ №325м ВЛ 10 кВ №7 ПС 35/10 кВ «Русский Колодец» для технологического присоединения личного подсобного хозяйства Заявителя (Тюрбеева И.И.) по адресу: Ростовская область, Неклиновский р-н, х. Русский Колодец, ул. Лермонтова, 26, к.н. 61:26:0070701:311 (ориентировочная протяженность ЛЭП 0,22 км)</t>
  </si>
  <si>
    <t>Строительство ВЛ 0,4 кВ от ВЛ 0,4 кВ №2 МТП 10/0,4 кВ №148 ВЛ 10 кВ №3 ПС 110/10 кВ «Отрадненская» для технологического присоединения Заявителя (ПАО «МТС») по адресу: Ростовская область, Неклиновский р-н, с. Отрадное, к.н. 61:26:0190101 (ориентировочная протяженность ЛЭП 0,125 км)</t>
  </si>
  <si>
    <t>Строительство ВЛ 0,4 кВ от КТП 10/0,4 кВ №241/1 ВЛ 10 кВ №1 ПС 110/10 кВ «Отрадненская» для технологического присоединения Заявителя (ИП Мирской О.А.) по адресу: Ростовская область, Неклиновский р-н, 250 метров западнее с. Марьевка, к.н. 61:26:0600003:554 (ориентировочная протяженность ЛЭП 0,07 км)</t>
  </si>
  <si>
    <t>Строительство ВЛ-10 кВ от вновь установленной опоры в пролёте опор №1-00/6 и №1-00/5 ВЛ-10 кВ Л-1 Мелькомбинат, строительство КТП 10/0,4 и КЛ- 0,4 кВ для электроснабжения объекта – производственная база, расположенного по адресу: РФ, Ростовская область, г. Сальск, ул. Фабричная, д. 2/1, к.н. 61:57:0010817:46, заявитель ИП Нурбагандов О.Г.» (Ориентировочная протяженность ЛЭП - 0,045 км, ориентировочная мощность ТП – 0,16 МВА)</t>
  </si>
  <si>
    <t>Строительство ВЛИ 0,4 кВ от существующей опоры №1-02/8 по ВЛ 0,4 кВ Л-1 КТП 10/0,4 кВ №163/180 кВА по ВЛ 10 кВ Л-4 ПС Уютная для электроснабжения объекта – «вагончик», расположенного по адресу: РФ, Ростовская обл., р-н. Пролетарский, рядом с земельным участком с КН 61:31:0600011:887, расположенным по адресу: Ростовская область, Пролетарский район, 5,55 км юго-западнее х. Уютный, кадастровый номер земельного участка: 61:31:0600011:904, заявитель Кузьмина Л.В. (Ориентировочная протяженность ЛЭП – 0,13 км)</t>
  </si>
  <si>
    <t>Строительство ВЛ 0,4 кВ от КТП 10/0,4 кВ №218 по ВЛ 10 кВ Л-15 Целинская для электроснабжения объекта – «полевой стан», расположенного по адресу: РФ, Ростовская область, Целинский район, с/о Юловский, в границах ТОО «Рассвет», кадастровое поле №39, 39а, к.н. 61:40:600007:0059, заявитель ИП глава КФХ Милидий Н.П.» (Ориентировочная протяженность ЛЭП - 0,2 км)</t>
  </si>
  <si>
    <t>Строительство ВЛ-0,4 кВ от опоры №1-00/1-8 ВЛ-0,4 кВ Л-1 ТП 10/0,4 кВ №238 по ВЛ-10 кВ  Л-3 Сандатовская, с заменой провода на участке ВЛ-0,23 кВ Л-1 от ТП 10/0,4 кВ №238 до опоры 1-00/1-8 ВЛ-0,23 кВ Л-1 ТП 10/0,4 кВ №238 по ВЛ-10 кВ Л-3 Сандатовская для электроснабжения объекта – ферма, расположенная по адресу: РФ, Ростовская область, Сальский р-н, в кадастровом квартале 61:34:0600015 с условным центром в с. Сандата , к.н.з.у. 61:34:0600015:1932, заявитель ИП Глава КФХ Токарев В.А.» (Ориентировочная протяженность ЛЭП - 0,23 км)</t>
  </si>
  <si>
    <t>Строительство ВЛ-0,4 кВ от КТП 10/0,4 кВ №130 Л-4 ПС Уютная для электроснабжения объекта – «дачный домик», расположенного по адресу: РФ, Ростовская область, Пролетарский район, с/т. Заречное к.н. 61:31:0500401:73, заявитель Вознюк А.А.» (Ориентировочная протяженность ЛЭП - 0,25 км)</t>
  </si>
  <si>
    <t>Строительство ВЛ 0,4 кВ от КТП-10/0,4 кВ №246 ВЛ 10 кВ Л-4 КРС для электроснабжения объекта – жилой дом, расположенного по адресу: РФ, Ростовская область, Пролетарский район, п. Опенки, ул. Мира, д. 94, к.н. 61:31:0080101:1701, заявитель Криворотова А.Ю.» (Ориентировочная протяженность ЛЭП - 0,25 км)</t>
  </si>
  <si>
    <t>Строительство ВЛ 0,4 кВ от опоры №1-00/12 ВЛ 0,4 кВ Л-1 КТП 10/0,4 кВ № 70/250 кВА ВЛ 10 кВ Л-7 Целинская для электроснабжения объекта – «склад», расположенного по адресу: РФ, Ростовская область, Целинский район, Новоцелинское сельское поселение, к.н.з.у.: 61:40:0600011:2916, заявитель Маргарян М.М.» (Ориентировочная протяженность ЛЭП - 0,315 км)</t>
  </si>
  <si>
    <t>Строительство ВЛ 10 кВ от опоры №5-03/8 Л-5 Наумовская, строительство КТП 10/0,4 и ВЛ 0,4 кВ для электроснабжения объекта - насосная станция, расположенного по адресу: РФ, Ростовская область, Пролетарский район, 0,3 км южнее х. Харьковский-1, к.н. 61:31:0600004:145, заявитель ИП Долматов Е.Н.» (Ориентировочная протяженность ЛЭП - 0,56 км, ориентировочная мощность ТП – 0,063 МВА)</t>
  </si>
  <si>
    <t>Строительство ВЛ 0,4 кВ от опоры №1-01/7, ВЛ 0,4 кВ Л-1, КТП-10/0,4 кВ №134, ВЛ 10 кВ Л-5 Куберле-2 для электроснабжения объекта – Быстровозводимое модульное здание пожарного депо ПЧ-241, расположенного по адресу: РФ, Ростовская область, Орловский район, п. Красноармейский, ул. Кирова, 45 а, к.н. 61:29:0060129:336, заявитель Государственное казенное учреждение Ростовской области «Противопожарная служба Ростовской области»» (Ориентировочная протяженность ЛЭП - 0,06 км)</t>
  </si>
  <si>
    <t>Строительство ВЛ-10 кВ от опоры №2-00/71 ВЛ-10 кВ №2 ПС 35/10кВ «Летницкая», строительство КТП 10/0,4 и ВЛ-0,4 кВ для электроснабжения объекта – дом животноводов, расположенный по адресу: Ростовская область, Песчанокопский район, вблизи с. Летник, граф. учет №222, кад. № 61:30:0600011:1999, заявитель Рыжков В.В. (Ориентировочная протяженность ЛЭП - 4,41 км, ориентировочная мощность ТП – 0,025 МВА)</t>
  </si>
  <si>
    <t>Строительство ВЛ 0,4кВ от опоры №3-00/7 ВЛ 0,4кВ Л-3 КТП 10/0,4кВ №65 по ВЛ 10кВ Л-5 Хлебодарненская для электроснабжения объекта – «дом культуры», расположенного по адресу: РФ, Ростовская область, Целинский район, с. Хлеборобное, ул. Советская, д. 16 а», к.н. 61:40:0100101:2335, заявитель Администрация Хлеборобного сельского поселения Целинского района Ростовской области» (Ориентировочная протяженность ЛЭП - 0,05км)</t>
  </si>
  <si>
    <t>Строительство ВЛИ 0,4 кВ от КТП 6/0,4 кВ №491/160 кВА по ВЛ 6 кВ Л-1 ПС Екатериновская для электроснабжения объекта – «жилое помещение», расположенного по адресу: РФ, Ростовская область, Сальский район, п. Манычстрой, к.н. 61:34:0600006:603, заявитель Лилитко Т.И.» (Ориентировочная протяженность ЛЭП – 0,18 км)</t>
  </si>
  <si>
    <t>Строительство ВЛ 0,4 кВ от КТП-10/0,4 кВ №917 ВЛ 10 кВ Л-2 Ганчуковская для электроснабжения объекта – квартира, расположенного   по адресу: РФ, Ростовская область, Пролетарский район, х. Ганчуков, ул. Степная, д. 4, кв. 2, к.н. 61:31:0070101:1208, заявитель Науменко Л.Г.» (Ориентировочная протяженность ЛЭП - 0,35 км)</t>
  </si>
  <si>
    <t>Строительство ВЛ 0,4 кВ от КТП-10/0,4кВ №322 ВЛ 10кВ Л-5 ПС Степная для электроснабжения объекта – «жилой дом», расположенного по адресу: РФ, Ростовская область, Пролетарский район, х. Степной, ул. Степная, д. 1, к.н. з.у.: 61:31:0060401:61, заявитель Коваленко И.В.» (Ориентировочная протяженность ЛЭП - 0,44 км)</t>
  </si>
  <si>
    <t>Строительство ВЛ 0,4кВ от опоры №1-02/12 ВЛ 0,4кВ Л-1 КТП 10/0,4кВ №216 по ВЛ 10кВ Л-5 Раздольненская для электроснабжения объекта – «врачебная амбулатория», расположенного по адресу: РФ, Ростовская область, Целинский район, с. Михайловка, ул. Крупской, д. 18, к.н. з.у.: 61:40:0050101:2341, заявитель МБУЗ  «ЦРБ Целинского района Ростовской области» (Ориентировочная протяженность ЛЭП 0,06км)</t>
  </si>
  <si>
    <t>Строительство ВЛ 0,4 кВ от опоры №1-00/14 по ВЛ 0,4 кВ Л-1 КТП 10/0,4 кВ №130 Л-4 Уютная для электроснабжения объекта - «дачный дом», расположенного по адресу: РФ, Ростовская область, Пролетарский район, г. Пролетарск, СТ «Заречное», к.н. 61:31:0500401:24, заявитель Троянов А.С.» (Ориентировочная протяженность ЛЭП - 0,3 км)</t>
  </si>
  <si>
    <t>Строительство ВЛ 0,4 кВ от КТП 10/0,4 кВ № 236 по ВЛ 10 кВ Л-15 Целинская для электроснабжения объекта – «коровник на 200 голов», расположенного по адресу: РФ, Ростовская область, Целинский район, Юловское сельское поселение, западнее окраины п. Юловский, к.н. з.у.: 61:40:0600008:1535, заявитель Абузарова Мариям Бахтиёровна» (Ориентировочная протяженность ЛЭП - 0,09 км)</t>
  </si>
  <si>
    <t>Строительство ВЛ-10 кВ от ВЛ-10 кВ №9 ПС 110/35/10кВ «Трубецкая», строительство КТП 10/0,4 и ВЛ 0,4 кВ для электроснабжения объекта – сельскохозяйственная база, расположенного по адресу:РФ,  Ростовская область, Сальский район, в кадастровом квартале  № 61:34:600005 с условным центром в п.Гигант, поле II, участок 3, кадастровый номер 61:34:0600005:2862. Заявитель ИП Глава К(Ф)Х Бабкова Т. В.». (Ориентировочная протяженность ЛЭП - 0,81 км, ориентировочная мощность ТП – 0,025 МВА)</t>
  </si>
  <si>
    <t>Строительство ВЛ 10 кВ от опоры №1-00/209 ВЛ 10 кВ №1 Ново-Донская, строительство КТП 10/0,4 и ВЛ 0,4 кВ для электроснабжения объекта – нежилое здание полевого стана, расположенного по адресу: Ростовская область, Целинский район, территория СПК «Московский», к.н. 61:40:0600015:3400, заявитель Горячих В.Н. (Ориентировочная протяженность ЛЭП – 2,96 км, ориентировочная мощность ТП – 0,025 МВА)</t>
  </si>
  <si>
    <t>Строительство ВЛ 0,4 кВ от опоры № 4-00/8 ВЛ-0,4 кВ Л-4 КТП-10/0,4 кВ № 138/160 кВа ВЛ-10 кВ Л-4 ПС 110 кВ Уютная для электроснабжения объекта – «жилой дом», расположенного по адресу: РФ, Ростовская область, Пролетарский район, ДНТ «Ручеек №3», ул. Вишневая, д. 39, к.н. з.у.: 61:31:500101:0010, заявитель Егорова Е.В.» (Ориентировочная протяженность ЛЭП - 0,42 км)</t>
  </si>
  <si>
    <t>Строительство ВЛ-10кВ от опоры №8-06/67 по ВЛ-10кВ Л-8 ПС 110/35/10кВ Пролетарская, строительство КТП 10/0,4кВ и ВЛ-0,4кВ для электроснабжения объекта «дом рыбака», расположенного по адресу: Ростовская обл., р-н. Пролетарский, ЗАО им. 50 летия СССР отд. №1,5 конт. 306, заявитель Басов С.И.»  (Ориентировочная протяженность ЛЭП – 1,68 км, ориентировочная мощность ТП – 0,025МВА)</t>
  </si>
  <si>
    <t>Строительство ВЛ 10 кВ от опоры №6-02/12 по ВЛ 10 кВ Л-6 Ново-Егорлыкская, с переводом питания ВЛ 10 кВ Л-6 Ново-Егорлыкская со II – секции шин в резервную ячейку I-секции шин РУ-10 кВ ПС 35/10 кВ Ново-Егорлыкская, строительство КТП 10/0,4 и ВЛ 0,4 кВ для электроснабжения объекта –здание школы №54, расположенного по адресу: 347616 РФ, Ростовская область, Сальский район, с. Новый Егорлык, ул. Красная, д. 41, к.н. 61.34.0110101:1387,  заявитель МБОУ ООШ №54 имени Е.И. Игнатенко» (Ориентировочная протяженность ЛЭП - 0,66 км, ориентировочная мощность ТП – 0,063 МВА)</t>
  </si>
  <si>
    <t>Строительство ВЛ 10 кВ от опоры №8-00/15 по ВЛ 10 кВ Л-8 Ново-Егорлыкская, с переводом питания ВЛ-10 кВ Л-8 Ново-Егорлыкская со II – секции шин в резервную ячейку I-секции шин РУ-10 кВ ПС 35/10 кВ Ново-Егорлыкская, строительство КТП 10/0,4 и ВЛ 0,4 кВ для электроснабжения объекта –здание школы №62, расположенного по адресу: РФ, Ростовская область, Сальский район, с.Новый Егорлык, ул. Ленина, участок 14, к.н. :61.34.0110101:2378,  заявитель МБОУ СОШ №62 имени Е.И. Игнатенко» (Ориентировочная протяженность ЛЭП - 0,71 км, ориентировочная мощность ТП – 0,04 МВА)</t>
  </si>
  <si>
    <t>Строительство ВЛ 10 кВ от опоры №16-00/12 по ВЛ 10 кВ Л-16 Сальская, строительство КТП 10/0,4 и ВЛ 0,4 кВ для электроснабжения объекта – административно-бытовое здание, расположенного по адресу: РФ, Ростовская область, г. Сальск , ул. Мелиоративная,7, заявитель ООО «Сальская ярмарка» (Ориентировочная протяженность ЛЭП - 0,1 км, ориентировочная мощность ТП – 0,25 МВА)</t>
  </si>
  <si>
    <t>Строительство ВЛ 0,4 кВ от КТП 10/0,4 кВ №69 по ВЛ 10 кВ Л-2 АРЗ для электроснабжения объекта – «бетоносмесительного узла и прочего оборудования», расположенного по адресу: РФ, Ростовская область, г. Сальск, ул. Карла Маркса, участок 114/1 к.н. 61:57:0010859:9, заявитель ИП Вырвич Ю.А.» (Ориентировочная протяженность ЛЭП – 0,14 км)</t>
  </si>
  <si>
    <t>Строительство ВЛ 0,4кВ от опоры №2-00/13 ВЛ 0,4кВ Л-2 КТП 10/0,4кВ № 282/100кВА ВЛ 10кВ Л-3 Лопанская для электроснабжения объекта – «жилой дом», расположенного по адресу: РФ, Ростовская область, Целинский район, с. Лопанка, ул. Красная, д. 69а, к.н. з.у.: 61:40:040101:1155, заявитель Муштоков Б.Д. (Ориентировочная протяженность ЛЭП - 0,16 км)</t>
  </si>
  <si>
    <t>Строительство ВЛ 0,4 кВ от опоры №1-00/24 ВЛ 0,4 кВ Л-1 КТП 10/0,4кВ № 296 по ВЛ 10 кВ Л-3 Целинская для электроснабжения объекта – «летняя кухня», расположенного по адресу: РФ, Ростовская область, Целинский район, п. Новая Целина, ул. Гагарина, д. 33, к.н. з.у.: 61:40:0010154:116, заявитель Мирзоев Юрий Афанасьевич» (Ориентировочная протяженность ЛЭП - 0,07 км)</t>
  </si>
  <si>
    <t>Строительство ВЛ-0,4кВ от опоры №1-00/4-5 ВЛ 0,4 кВ Л-1 от КТП 10/0,4 кВ №69 ВЛ 10 кВ Л-6 РП-1-6П для электроснабжения объекта - "дачный дом", расположенного по адресу: РФ, Ростовская область, г. Пролетарск, ул. Городовикова, д.59, к.н. з.у.: 61:31:0110280:5, заявитель Ефремов В.С." (ориентировочная протяженность ЛЭП 0,1км)</t>
  </si>
  <si>
    <t>Строительство ВЛ 0,4 кВ от КТП 10/0,4 кВ №523 по ВЛ 10 кВ Л-3 Водозабор для электроснабжения объекта – «жилой дом», расположенного по адресу: РФ, Ростовская область, Сальский район, СНТ №2 «Бровки», ул. Дачная, д. 7, к.н. 61:34:0500801:808, заявитель Исакова О.Е.» (Ориентировочная протяженность ЛЭП – 0,6 км).</t>
  </si>
  <si>
    <t>Строительство ВЛ 0,4 кВ от КТП 6/0,4 кВ №395/25 кВА по ВЛ 6 кВ Л-2 НС 1 для электроснабжения объекта – «бытовой вагончик», расположенного по адресу: РФ, Ростовская область, Сальский район, п. Юловский поле 14о, к.н. 61:34:0600004:1892, заявитель Попов О.П.» (Ориентировочная протяженность ЛЭП – 0,2 км)</t>
  </si>
  <si>
    <t>Строительство ВЛ 0,4 кВ от существующей опоры №1-00/7 ВЛ 0,4 кВ Л-1 КТП-10/0,4 кВ №130 по ВЛ 10 кВ Л-4 Уютная для электроснабжения объекта – «дом для отдыха», расположенного по адресу: РФ, Ростовская область, Пролетарский район садоводческое товарищество «Заречное», 4, к.н.з.у.: 61:31:0500401:84, заявитель Алексеев В.А.» (Ориентировочная протяженность ЛЭП - 0,04 км)</t>
  </si>
  <si>
    <t>Строительство ВЛ 0,4 кВ от опоры №2-00/19 ВЛ 0,4 кВ Л-2 КТП 10/0,4 кВ №287 по ВЛ 10 кВ Л-1 Целинская для электроснабжения объекта – «жилой дом», расположенного по адресу: РФ, Ростовская область, Целинский район, п. Новая Целина ул. Кленовая, д.10», к.н. 61:40:0010145:5, заявитель Коновалова А.П.» (Ориентировочная протяженность ЛЭП - 0,29 км)</t>
  </si>
  <si>
    <t>Строительство ВЛИ 0,22 кВ от опоры №2-00/8 по ВЛ 0,4 кВ Л-2   КТП 10/0,4 кВ №236 по ВЛ 10 кВ Л-5 Песчанокопская для электроснабжения объекта – кафе, расположенного по адресу: РФ, Ростовская область, Песчанокопский район, автотрасса Батайск-Ставрополь 150км+540  к.н.з.у.: 61:30:0600004:6093, заявитель ИП Миронов В.А. (Ориентировочная протяженность ЛЭП - 0,17 км)</t>
  </si>
  <si>
    <t>Строительство ВЛ 10 кВ от опоры №2-00/75 ВЛ 10 кВ Л-2 Ленинец, строительство КТП 10/0,4 кВ и ВЛ 0,4 кВ для электроснабжения объекта – Мясоперерабатывающий комбинат, расположенного по адресу: РФ, Ростовская область, Сальский р-н, с. Кручёная Балка, 16 км автодороги Сальск-Крученая Балка, к.н. 61:34:0600007:1913, заявитель Слепченко Е.В.» (Ориентировочная протяженность ЛЭП - 0,05 км, ориентировочная мощность ТП – 0,025 МВА)</t>
  </si>
  <si>
    <t>Строительство ТП 10/0,4 кВ, строительство ВЛ 10 кВ от ВЛ 10 кВ №2 ПС 110/35/10 кВ Чалтырь, для технологического присоединения теплицы заявителя И.П. Меликян К.З. по адресу: Ростовская область, Мясниковский р-н, земли колхоза «Дружба» кад № 61:25:0600401:12088 (ориентировочная протяженность ЛЭП - 0,01 км, ориентировочная мощность ТП – 25 кВА)</t>
  </si>
  <si>
    <t xml:space="preserve">"Строительство ВЛ 10 кВ от опоры №6-02/12 по ВЛ 10 кВ Л-6 Ново-Егорлыкская, с переводом питания ВЛ 10 кВ Л-6 Ново-Егорлыкская со II-сеции шин в резервную ячейку I-секции шин РУ-10 кВ ПС 35/10 кВ Ново-Егорлыкская, строительство КТП 10/0,4 и ВЛ 0,4 кВ для электроснабжения объекта - здание школы №54, расположенного по адресу: 347616 РФ, Ростовская область, Сальский район, с. Новый Егорлык, ул. Красная, д. 41, к.н. 61.34.0110101:1387, заявитель МБОУ ООШ №54 имени Е.И. Игнатенко" </t>
  </si>
  <si>
    <t>Строительство ВЛИ-0,4кВ от опоры №1 по ВЛИ-0,4кВ №5 ТП-10/0,4кВ №5/1 по ВЛ-10кВ №5 ПС "Хапры-Тяговая" до границ земельного участка заявителя (Атаева С.Н.)</t>
  </si>
  <si>
    <t>Строительство ВЛ 0,4 кВ от РУ 0,4 кВ новой ТП 10/0,4 кВ, строительство ТП 10/0,4 кВ, строительство ВЛ 10 кВ от ВЛ 10 кВ №1 ПС 110/35/10 кВ Чалтырь, для технологического присоединения ангара заявителя (Жаравин А.Е.) по адресу: Ростовская область, Мясниковский р-н, Красно-Крымское сельское поселение 0+210 м вправо автодороги Ростов-на-Дону - Новошахтинск к.н. № 61:25:0600401:9816 (ориентировочная протяженность ЛЭП - 0,015 км, ориентировочная мощность ТП – 25 кВА)</t>
  </si>
  <si>
    <t>Строительство ВЛ 0,4 кВ от ВЛ 0,4 кВ №1 КТП 10/0,4 кВ №511А ВЛ 10 кВ №3 ПС 110/10 кВ «Лиманная» для технологического присоединения Заявителя (Вартанян С.Г.) по адресу: Ростовская область, Неклиновский р-н, с. Лотошники, ул. Веселая, 2, к.н. 61:26:090401:0:8/506/А-А4СКБГДЕ:0/18286 (ориентировочная протяженность ЛЭП 0,2 км)</t>
  </si>
  <si>
    <t>"Строительство ВЛ-0,4кВ от ВЛ-0,4кВ №1 ТП-10/0,4 кВ №281м ВЛ-10кВ №3 ПС 35/10кВ «Лакадемоновская» до границ земельного участка Заявителя (Гричук С.Г.)"</t>
  </si>
  <si>
    <t>Строительство ВЛИ-0,4кВ от РУ-0,4кВ ТП-10/0,4кВ №1-22 ПС Чалтырь 110/35/10кВ, до границы земельного участка заявителя (Смышляев А.Г.)</t>
  </si>
  <si>
    <t>Строительство ВЛ-10кВ от опоры №42 по ВЛ-10кВ №2 ПС Чалтырь, строительство ТП-10/0,4кВ, строительство ВЛИ-0,4кВ до границ земельных участков заявителей (Ярославцев С.А., Гадзиян Х.Г., Григорян Э.В., Айдинян Е.Г., Атаян М.А., Чубарян И.Д., Бабиян А.Э., Агаглуян Л.А., Минакова О.А., Багагозян М.Е., Черепанов В.А., Айдинян Д.Д., Айдинян Н.Е., Косеян Г.С., Андонян О.А., Бабенкова О.М., Тащиев В.А.)</t>
  </si>
  <si>
    <t>Строительство ВЛ-0,4кВ от РУ 0,4 кВ ТП 10/0,4 кВ №2-25 по ВЛ 10 кВ №2 ПС 110/35/10 кВ Чалтырь, для технологического присоединения жилого дома заявителя: (Григорян З.С.) по адресу: Ростовская область, Мясниковский район, с. Крым, ул. Секизяна 31, к.н. 61:25:0201023:251 (ориентировочная протяженность ЛЭП 0,14 км)</t>
  </si>
  <si>
    <t>Строительство ВЛ 0,4 кВ от ВЛ 0,4 кВ №3 ТП 6/0,4 кВ №99 по ВЛ 6 кВ №24 РП 6 кВ №2 по КЛ 6 кВ №122/2 ПС 110/35/6 кВ «Т-1» до границ земельного участка Заявителя ИП Сергиенко В.И. (ориентировочная протяженность ЛЭП 0,4 км)</t>
  </si>
  <si>
    <t>Строительство ВЛ 0,4 кВ от РУ 0,4 кВ ТП 10/0,4 кВ №1-6 ПС 110/35/10 кВ «Чалтырь», до границы земельного участка заявителя (Юшкова М.С.)» (ориентировочная протяженность ЛЭП 0,15 км)</t>
  </si>
  <si>
    <t>Строительство ВЛ 0,4кВ от РУ 0,4кВ ТП 10/0,4кВ №5-13 по ВЛ 10кВ №5 ПС 35/10 Б.Салы до границы земельного участка заявителя (Гургенян А.С.) (ориентировочная протяженность ЛЭП 0,3км)</t>
  </si>
  <si>
    <t>Строительство ВЛ 0,4кВ от ВЛ 0,4кВ №1 ТП 10/0,4кВ №1-155 по ВЛ 10кВ №1 ПС 110/35/10кВ Чалтырь, до границы земельного участка заявителя (Мартиросян В.А.) (ориентировочная протяженность ЛЭП 0,07км)</t>
  </si>
  <si>
    <t>Строительство ВЛ-0,4кВ от ВЛ-0,4кВ №1 ТП-10/0,4кВ №1-133 по ВЛ-10кВ №1 ПС 110/35/10кВ Чалтырь до границы земельного участка заявителя (Баисова О.М.) (ориентировочная протяженность ЛЭП-0,36км)</t>
  </si>
  <si>
    <t>Строительство ВЛ 0,4 кВ от КТП 10/0,4 кВ №4/16 ВЛ 10 кВ №3 ПС 110/35/10 кВ «Синявская» до границы земельного участка заявителя (ИП Гаврина А.Л.) (ориентировочная протяженность ЛЭП 0,7 км)</t>
  </si>
  <si>
    <t>Строительство ВЛ 0,4кВ от ВЛ 0,4кВ №1 КТП 10/0,4кВ №245 ВЛ 10кВ №6 ПС 35/10кВ «Покровская» до границы земельного участка заявителя (Баранцова Е.К.) (ориентировочная протяженность ЛЭП 0,28км)</t>
  </si>
  <si>
    <t>Строительство ВЛ 10 кВ от  ВЛ 10 кВ №5 ПС35/10 кВ Петровская, строительство ТП10/0,4 кВ, строительство ВЛ 0,4 кВ   до границы земельного участка заявителя (Литовченко А.Н., Эзегелян Х.Е., Дзреян Х.А., Сбытов М.М., Сбытов М.А., Сбытова Т.С., Буюклян В.М., Буюклян А.Т., Чараева М.В., Осканов Ф.Э., Текнеджян А.Р.)» (ориентировочная протяженность ЛЭП - 0,35 км., ориентировочная мощность ТП-250 кВА)</t>
  </si>
  <si>
    <t>Строительство ВЛ 10 кВ от ВЛ 10 кВ №1 ПС 110/35/10 кВ Чалтырь отпайки на ТП 10/0,4 кВ №1-5А до новой ТП 10/0,4 кВ, строительство ТП 10/0,4 кВ, строительство ВЛ 0,4 кВ от новой ТП 10/0,4 кВ до границы земельного участка заявителя (ИП Бабиев А.В.) (ориентировочная протяженность ЛЭП - 0,92 км, ориентировочная мощность ТП – 160 кВА)</t>
  </si>
  <si>
    <t>Строительство ВЛ 0,4 кВ от ВЛ 0,4 кВ №2 КТП 10/0,4 кВ №580 ВЛ 10 кВ №5 ПС 110/10 кВ «Самбек» до границы земельного участка заявителя (Абрамова Ю.А.) (ориентировочная протяженность ЛЭП 0,27 км)</t>
  </si>
  <si>
    <t>Строительство ВЛ 0,4кВ от РУ 0,4кВ КТП 10/0,4кВ №463м ВЛ 10кВ №2 ПС 35/10кВ «Русский Колодец» для технологического присоединения частного жилого дома заявителя Стукань Е.И. по адресу: Ростовская область, Неклиновский район, хутор Русский Колодец, улица Новая, 52, к.н. 61:26:0070701:213 (ориентировочная протяженность ЛЭП 0,070км)</t>
  </si>
  <si>
    <t>Строительство ВЛ 0,4кВ от ВЛ 0,4кВ №1 КТП 10/0,4кВ №481 ВЛ 10кВ №1 ПС 35/10кВ «Советка-2» для технологического присоединения кватиры заявителя Кузяков М.В. по адресу: Ростовская область, Неклиновский район, слобода Советка, проспект Октябрьский, 35, квартира 3 к.н. 61:26:0200101:74 (ориентировочная протяженность ЛЭП 0,260км)</t>
  </si>
  <si>
    <t>Строительство ВЛ 0,4кВ от ВЛ 0,4кВ №1 КТП 10/0,4кВ №710 ВЛ 10кВ №1/3 ПС 110/35/10кВ «Троицкая-1» для технологического присоединения участка заявителя Абасова Д.Р. по адресу: Ростовская область, город Таганрог, улица Бровикова, 33, к.н. 61:58:0006027:1029 (ориентировочная протяженность ЛЭП 0,110км)</t>
  </si>
  <si>
    <t>Строительство ВЛ 0,4кВ от ВЛ 0,4кВ №1 КТП 10/0,4кВ №43м ВЛ 10кВ №5 ПС 35/10кВ «Русский Колодец» для технологического присоединения земельного участка заявителя Степаненко И.В. по адресу: Ростовская область, Неклиновский район, село Красный Пахарь, улица Есенина, 2, к.н. 61:26:0160601:295 (ориентировочная протяженность ЛЭП 0,235км)</t>
  </si>
  <si>
    <t>Строительство ВЛ 0,4 кВ от ВЛ 0,4 кВ №2 КТП 10/0,4 кВ №432 ВЛ 10 кВ №4 ПС 35/10 кВ «Покровская» для технологического присоединения гаража заявителя Кузнецов В.Д. по адресу: Ростовская область, Неклиновский район, с. Покровское, ул. Ленина, 2-Г, к.н. 61:26:0050103:250 (ориентировочная протяженность ЛЭП 0,2 км)</t>
  </si>
  <si>
    <t>Строительство ВЛ 0,4 кВ от ВЛ 0,4 кВ №2 ТП 10/0,4 кВ №6-26 по ВЛ 10 кВ №6 ПС 110/35/10 кВ «Чалтырь» для технологического присоединения жилого дома заявителя Мовсесян Г.Г. по адресу: Ростовская область, Мясниковский район, с. Чалтырь ул. 1-я Линия д. №17 к.н. 61:25:0101401:3. (ориентировочная протяженность ЛЭП 0,2 км)</t>
  </si>
  <si>
    <t>Строительство ВЛ 0,4 кВ от ВЛ 0,4 кВ №1 ТП 10/0,4 кВ №7-8 по ВЛ 10 кВ №7 ПС 110/35/10 кВ «Синявская» для технологического присоединения жилого дома заявителя Плохенко Г.Н. по адресу: Ростовская область, Мясниковский район, х. Недвиговка ул. Сады д. №31 к.н. 61:25:070101:0108. (ориентировочная протяженность ЛЭП 0,06 км)</t>
  </si>
  <si>
    <t>Строительство ВЛ 0,4 кВ от ВЛ 0,4 кВ №2 ТП 10/0,4 кВ №5-1 по ВЛ 10 кВ №5 ПС 110/35/10 кВ «Чалтырь» для технологического присоединения автосервиса заявителя ИП Погосян О.А. по адресу: Ростовская область, Мясниковский район, с. Крым ул. Большесальская, д. 2г к.н. 61:25:0101232:393. (ориентировочная протяженность ЛЭП 0,160 км)</t>
  </si>
  <si>
    <t>Строительство ВЛ 0,4 кВ от ВЛ 0,4 кВ №1 ТП 10/0,4 кВ №3-6 по ВЛ 10 кВ №3 ПС 110/35/10 кВ «Чалтырь» для технологического присоединения жилого дома заявителя Аносян В.К. по адресу: Ростовская область, Мясниковский район, с. Чалтырь ул. Социалистическая 54в к.н. 61:25:0101232:360. (ориентировочная протяженность ЛЭП 0,14 км)</t>
  </si>
  <si>
    <t>Строительство ВЛ 0,4 кВ от ВЛ 0,4 кВ №1 КТП 10/0,4 кВ №413Ам ВЛ 10 кВ №4 ПС 35/10 кВ «Русский Колодец» для электроснабжения подсобного хозяйства заявителя Егунов В.Ф. по адресу: Ростовская область, район Неклиновский, село Боцманово, улица Седова, 27, к.н. 61:26:0070801:185 (ориентировочная протяженность ЛЭП 0,22 км)</t>
  </si>
  <si>
    <t>Строительство ВЛ 0,4 кВ от РУ 0,4 кВ КТП 10/0,4 кВ №401 ВЛ 10 кВ №5 ПС 110/35/10 кВ Алексеевская для электроснабжения станции ПАО «МТС» по адресу Матвеево Курганский р-н, с. Староротовка, просп. Дружбы 48-А. к.н:61:21:0010401:2170, замена силового трансформатора на КТП 10/0,4 кВ №401 ВЛ 10 кВ №5 ПС 110/35/10 кВ Алексеевская.  (ориентировочная протяженность ЛЭП - 0,06 км., ориентировочная мощность силового трансформатора 40 кВА)</t>
  </si>
  <si>
    <t>Строительство ВЛ 0,4 кВ от ВЛ 0,4 кВ №1 ТП 10/0,4 кВ №5-2 по ВЛ 10 кВ №5 ПС 110/27/10 кВ «Хапры-Тяговая» для электроснабжения магазина заявителя Гадзиян Н.А. по адресу: Ростовская область, Мясниковский район, х. Калинин ул. Беляева 1 к.н. 61:25:0050101:6873 (ориентировочная протяженность ЛЭП 0,06 км)</t>
  </si>
  <si>
    <t>Строительство ВЛ 0,4 кВ от РУ 0,4 кВ новой ТП 10/0,4 кВ, строительство ТП 10/0,4 кВ, строительство ВЛ 10 кВ от ВЛ 10 кВ №20-04 ПС 220/110/10 кВ Р-20 до новой ТП 10/0,4 кВ, для электроснабжения производственного помещения заявителя Назарьянц И.А. по адресу: Ростовская область, Мясниковский р-н, х. Калинин, ул. Строителей 1 к.н. 61:25:0601001:2778.  (ориентировочная протяженность ЛЭП - 0,45 км, ориентировочная мощность ТП – 250 кВА)</t>
  </si>
  <si>
    <t>Строительство ВЛ 0,4 кВ от ВЛ 0,4 кВ №1 КТП 10/0,4 кВ №69 ВЛ 10 кВ №3 ПС 110/10 кВ «Лиманная» для электроснабжения подсобного хозяйства заявителя Куликов А.А. по адресу: Ростовская область, Неклиновский район, д. Золотарева, улица Лиманная, 3-А, к.н. 61:26:0000000:6072 (ориентировочная протяженность ЛЭП 0,200 км)</t>
  </si>
  <si>
    <t>Строительство ВЛ 0,4кВ от ВЛ 0,4кВ №3 ТП 10/0,4кВ №3-14 по ВЛ 10кВ №3 ПС 35/10кВ «Петровская» для электроснабжения жилого дома заявителя Гайбарян А.Х. по адресу: РО, Мясниковский район, х. Александровка 2-я, ул. Комсомольская д. 1б к.н. 61:25:0080201:1466 (ориентировочная протяженность ЛЭП 0,07км)</t>
  </si>
  <si>
    <t>Строительство ВЛ 0,4 кВ от ВЛ 0,4 кВ №2 ТП 10/0,4 кВ №7-6 по ВЛ 10 кВ №7 ПС 110/35/10 кВ «Синявская» для технологического присоединения жилого дома заявителя Господинко И.Е по адресу: Ростовская область, Мясниковский район, х. Недвиговка, ул. Железнодорожная 54а к.н. 61:25:0070101:1813 (ориентировочная протяженность ЛЭП 0,25 км)</t>
  </si>
  <si>
    <t>Строительство ВЛ 0,4кВ от ВЛ 0,4кВ №2 ТП 10/0,4кВ №1-16 по ВЛ 10кВ №1 ПС 110/35/10кВ «Чалтырь» для технологического присоединения жилого дома заявителя Гайбарян А.А. по адресу: Ростовская область, Мясниковский район, с. Крым ул. 13-я Линия д. 20б, к.н.61:25:0201028:291 (ориентировочная протяженность ЛЭП 0,160км)</t>
  </si>
  <si>
    <t>Строительство ВЛ 0,4 кВ от ВЛ 0,4 кВ проектируемой  по договору № 61-1-17-00331557 (Ещенко Г.Ю.) для технологического присоединения жилого дома заявителя Киянова О.А. по адресу: Ростовская область, Мясниковский район, с. Султан Салы ул. Пролетарская д. 36, к.н.61:25:0030401:82 (ориентировочная протяженность ЛЭП 0,08 км)</t>
  </si>
  <si>
    <t>Строительство ВЛ 0,4 кВ от ВЛ 0,4 кВ №1 ТП 10/0,4 кВ №1-6 по ВЛ 10 кВ №1 ПС 110/35/10 «Чалтырь» для технологического присоединения жилого дома заявителя Майкоглуян А.М. по адресу: Ростовская область, Мясниковский район, х. Ленинакан ул. Трудовая д. 37 д, к.н.61:25:0030301:1416 (ориентировочная протяженность ЛЭП 0,09 км)</t>
  </si>
  <si>
    <t>Строительство ВЛ 0,4 кВ от ВЛ 0,4 кВ №2 ТП 10/0,4 кВ №5-15 по ВЛ 10 кВ №5 ПС 110/35/10 кВ «Чалтырь» для технологического присоединения жилого дома заявителя Епихина С.В. по адресу: Ростовская область, Мясниковский район, с. Чалтырь, ул. Трудовая д. 47 к.н. 61:25:0101432:40 (ориентировочная протяженность ЛЭП 0,04 км)</t>
  </si>
  <si>
    <t>Строительство ВЛ 10 кВ от ВЛ 10 кВ №5 ПС 110/27/10 кВ Хапры-Тяговая, строительство КЛ 10 кВ под полотном ж/д, строительство новой ТП 10/0,4 кВ, строительство ВЛ 0,4 кВ от РУ 0,4 кВ новой ТП 10/0,4 кВ, для электроснабжения жилого дома и гаража заявителей Глущенко Г.Д., Бобров В.В. по адресу: РО, Мясниковский р-н, х. Калинин, ул. Заводская д. 6 б; 7 ж</t>
  </si>
  <si>
    <t>Строительство ВЛ 0,4 кВ от РУ 0,4 кВ ТП 10/0,4 кВ №5-17 по ВЛ 10 кВ №5 ПС 35/10 кВ Б.Салы для технологического присоединения жилого дома заявителя Котельникова И.В. по адресу: Ростовская область, Мясниковский район, с. Б. Салы ул. Героев д. 39 к.н.61:25:0600501:1066.  (ориентировочная протяженность ЛЭП 0,18 км)</t>
  </si>
  <si>
    <t>Строительство ВЛ 0,4 кВ от РУ 0,4 кВ ТП 10/0,4 кВ №370 ВЛ 10 кВ №3 ПС 110/10 кВ Отрадненская для технологического присоединения нежилого здания заявителя Сухоруков А.Н. по адресу: Ростовская область, Неклиновский район, х. Пименово, участок находится примерно в 200 м от ориентира по направлению на юго-восток, к.н. 61:26:0600004:208 (ориентировочная протяженность ЛЭП 0,09 км)</t>
  </si>
  <si>
    <t>Строительство ВЛ 0,4 кВ от проектируемой ВЛ 0,4 кВ по титулу: «Строительство ВЛ-0,4кВ от ВЛ-0,4кВ №1 ТП-10/0,4 кВ №281м ВЛ-10кВ №3 ПС 35/10кВ «Лакадемоновская» до границ земельного участка Заявителя (Гричук С.Г.)» для технологического присоединения личного подсобного хозяйства заявителя Скороход Н.В. по адресу: Ростовская область, Неклиновский район, с. Лакедемоновка, ул. Социалистическая, 59, к.н. 61:26:160101:0231 (ориентировочная протяженность ЛЭП 0,12 км)</t>
  </si>
  <si>
    <t>Строительство ВЛ 0,4 кВ от ВЛ 0,4 кВ №3 ТП 6/0,4 кВ №30 по КЛ 6 кВ №80 ПС 35/6 кВ Т-8 для электроснабжения жилых домов заявителей Саркисян Б.В, Анищенко И.В. по адресу: РО г. Таганрог, ул. М. Жукова, 60, 66 (ориентировочная протяженность ЛЭП– 0,195 км)</t>
  </si>
  <si>
    <t>Строительство ВЛ 0,4 кВ от ВЛ 0,4 кВ №1 ТП 10/0,4 кВ №7-15 по ВЛ 10 кВ №7 ПС 110/35/10 кВ Синявская для электроснабжения жилого дома заявителя Козьмин С.А. по адресу: РО Мясниковский р-н, х. Недвиговка, ул. Октябрьская, д. 67, корп. а, к.н.61:25:0070101:4293. (ориентировочная протяженность ЛЭП– 0,07 км)</t>
  </si>
  <si>
    <t>Строительство ВЛ 0,4 кВ от ВЛ 0,4 кВ №2 ТП 10/0,4 кВ №1-106 по ВЛ 10 кВ №1 ПС 110/35/10 кВ Чалтырь для электроснабжения жилого дома заявителя Потрачян Г.К. по адресу: РО, Мясниковский р-н, х. Ленинаван, ул. Насосная, д. 5, к.н.61:25:0030202:4088. (ориентировочная протяженность ЛЭП– 0,035 км)</t>
  </si>
  <si>
    <t>Строительство ВЛ 0,4 кВ от проектируемой ВЛ 0,4 кВ по титулу: «Строительство ВЛ 0,4кВ от ВЛ 0,4кВ №2 КТП 10/0,4кВ №474(63кВА) по ВЛ 10кВ №3 ПС 110/10кВ «Лиманная» до границ земельного участка Заявителя (Карпова А.А.)»  до границ земельного участка Филина А.В. по адресу: Ростовская область, Неклиновский район, село Андреево-Мелетьево, улица Молодежная, дом 58А, к.н. 61:26:0600013:1625, (ориентировочная протяженность ЛЭП 0,041 км)</t>
  </si>
  <si>
    <t>Строительство ВЛ 0,4 кВ от ВЛ 0,4 кВ №1 ТП 10/0,4 кВ №5-1 по ВЛ 10 кВ №5 ПС 110/27/10 кВ Хапры-Тяговая для технологического присоединения жилого дома заявителя Пилипенко О.В. по адресу: Ростовская область, Мясниковский район, х. Калинин ул. 50-лет Победы д. 24, к.н.61:25:0050101:1306 (ориентировочная протяженность ЛЭП 0,1 км)</t>
  </si>
  <si>
    <t>Строительство ВЛ 0,4 кВ от ВЛ 0,4 кВ, проектируемой по договору № 61-1-17-00347695 от 25.01.2018 г. (Чибухчян А.Л.) для технологического присоединения жилого дома заявителя Таварян Р.Р. по адресу: Ростовская область, Мясниковский район, с. Султан Салы ул. Налбандяна д. 44, к.н.61:25:0030401:438 (ориентировочная протяженность ЛЭП 0,03 км)</t>
  </si>
  <si>
    <t>Строительство ВЛ 0,4 кВ от ВЛ 0,4 кВ №1 ТП 10/0,4 кВ №1-24 по ВЛ 10 кВ №1 ПС 110/35/10 кВ «Чалтырь» для технологического присоединения жилого дома заявителя Асвадурян Е.Б. по адресу: Ростовская область, Мясниковский район, с. Кр.Крым ул. Братьев Баян 79 к.н.61:25:0600401:12307 (ориентировочная протяженность ЛЭП 0,06 км)</t>
  </si>
  <si>
    <t>Строительство ВЛ 0,4 кВ от РУ 0,4 кВ новой ТП 10/0,4 кВ, строительство ТП 10/0,4 кВ, строительство ВЛ 10 кВ от  ВЛ 10 кВ  №6 ПС 35/10 кВ Б.Салы до новой ТП 10/0,4 кВ, для технологического присоединения жилых домов заявителей  Бабаян В.В., Саркисян В.С., Красюков В.С. по адресу: Ростовская область, Мясниковский р-н, с. Большие Салы, ул. Мира, д. 1,2,3  к.н. № 61:25:0600501:1584, 61:25:0600501:1777, 61:25:0600501:1585  (ориентировочная протяженность ЛЭП - 0,41 км, ориентировочная мощность ТП – 63 кВА)</t>
  </si>
  <si>
    <t>Строительство ВЛ 0,4 кВ от ВЛ 0,4 кВ №1 ТП 10/0,4 кВ №5-9 по ВЛ 10 кВ №5 ПС 110/27/10 кВ «Хапры-Тяговая» для технологического присоединения жилого дома заявителя Журавлев Н.В. по адресу: Ростовская область, Мясниковский район, х. Калинин ул. Школьная 128/в  к.н. 61:25:0050101:6923 (ориентировочная протяженность ЛЭП 0,08 км)</t>
  </si>
  <si>
    <t>Строительство ВЛ 0,4кВ от ВЛ 0,4кВ №1 ТП 10/0,4кВ №20-20 ПС 220/110/10кВ Р-20, для технологического присоединения складского помещения заявителя Еременко А.В. по адресу Ростовская обл., Мясниковский р-н, х. Калинин, ул. Промышленная, 4 к.н. 61:25:0601001:3142 (ориентировочная протяженность ЛЭП 0,18км)</t>
  </si>
  <si>
    <t>Строительство ВЛ 0,4 кВ от ВЛ 0,4 кВ №1 ТП 10/0,4 кВ №1-6 по ВЛ 10 кВ №1 ПС 110/35/10 кВ «Чалтырь» для технологического присоединения жилого дома заявителя Ачарян С.Л. по адресу: Ростовская область, Мясниковский район, х. Ленинакан ул. Дачная 2 к.н.61:25:0030301:1229 (ориентировочная протяженность ЛЭП 0,07 км)</t>
  </si>
  <si>
    <t>Строительство ВЛ 0,4 кВ от ВЛ 0,4 кВ №2 ТП 10/0,4 кВ №7-1 по ВЛ 10 кВ №7 ПС 35/10 кВ «Петровская» для технологического присоединения жилого дома заявителя Крюков В.В. по адресу: Ростовская область, Мясниковский район, сл. Петровка ул. Октябрьская 32а к.н.61:25:080101:0168 (ориентировочная протяженность ЛЭП 0,18 км)</t>
  </si>
  <si>
    <t>Строительство ВЛ 0,4 кВ от ВЛ 0,4 кВ №2 КТП 10/0,4 кВ №112 ВЛ 10 кВ №8 ПС 35/10 кВ «Покровская» для технологического присоединения частного жилого дома заявителя Звездина В.А. по адресу: Ростовская область, Неклиновский район, с. Покровское, пер. Украинский, 35, к.н. 61:26:050137:0097 (ориентировочная протяженность ЛЭП 0,065 км)</t>
  </si>
  <si>
    <t>Строительство ВЛ 0,4 кВ от ВЛ 0,4 кВ проектируемой по титулу: «Строительство ВЛ 0,4 кВ от ВЛ 0,4 кВ проектируемой по титулу: «Строительство ВЛ 0,4 кВ от КТП 10/0,4 кВ №729 ВЛ 10 кВ №3 ПС 35/10 кВ «ГСКБ» до границ земельного участка Заявителя (Мороз С.С.)» для технологического присоединения личного подсобного хозяйства заявителя Пирогова Е.В. по адресу: Ростовская область, Неклиновский район, с. Новобессергеневка, ул. Лескова, 8, к.н. 61:26:0600024:4416 (ориентировочная протяженность ЛЭП 0,185 км)» для технологического присоединения частных жилых домов заявителя Борцов А.В. по адресу: Ростовская область, Неклиновский район, с. Новобессергеневка, ул. Лескова, 14, 16, к.н. 61:26:0600024:871 (ориентировочная протяженность ЛЭП 0,146 км)</t>
  </si>
  <si>
    <t>Строительство ВЛИ-0,4кВ от РУ-0,4кВ ТП-10/0,4кВ №6/3 ПС Б.Салы до границы земельного участка заявителя (Есаян Г.А.)</t>
  </si>
  <si>
    <t>Строительство ВЛ 0,4кВ от РУ 0,4кВ новой ТП 10/0,4кВ, строительство ТП 10/0,4кВ, строительство ВЛ 10кВ от ВЛ 10кВ №1 ПС 110/35/10кВ Чалтырь до новой ТП 10/0,4кВ, для технологического присоединения садового центра заявителя Бредихина Е.В. по адресу: Ростовская область, Мясниковский р-н, Красно-Крымское сельское поселение на землях колхоза «Дружба» к.н. № 61:25:600401:2999 (ориентировочная протяженность ЛЭП - 0,075км, ориентировочная мощность ТП – 25кВА)</t>
  </si>
  <si>
    <t>Строительство ВЛ 0,4 кВ от ВЛ 0,4 кВ №1 ТП 10/0,4 кВ №7-23 по ВЛ 10 кВ №7 ПС 110/35/10 кВ «Синявская» для технологического присоединения жилого дома заявителя Брагина Е.Н. по адресу: Ростовская область, Мясниковский район, х. Хапры ул. Первомайская 18 б к.н.61:25:0070201:2317 (ориентировочная протяженность ЛЭП 0,1 км)</t>
  </si>
  <si>
    <t>Строительство ВЛ 0,4кВ от РУ 0,4кВ новой ТП 10/0,4кВ, строительство ТП 10/0,4кВ, строительство ВЛ 10кВ от ВЛ 10кВ №1 ПС 110/35/10кВ Чалтырь для технологического присоединения нежилого помещения заявителя Аванесов В.А. по адресу: Ростовская область, Мясниковский р-н, к.н. № 61:25:0600401:12558 (ориентировочная протяженность ЛЭП - 0,065км, ориентировочная мощность ТП – 40кВА)</t>
  </si>
  <si>
    <t>Строительство ВЛ 0,4 кВ от ВЛ 0,4 кВ проектируемой по договору № 61-1-17-00357413 (Баисова О.М.) от ТП 10/0,4 кВ №1-133 по ВЛ 10 кВ №1 ПС 110/35/10 кВ «Чалтырь» для технологического присоединения жилого дома заявителя (Жаравин А.Е.) по адресу: Ростовская область, Мясниковский район, х. Ленинаван ул. Октябрьская 7 к.н.61:25:0600401:11507 (ориентировочная протяженность ЛЭП 0,06 км)</t>
  </si>
  <si>
    <t>Строительство ВЛ 0,4кВ от РУ 0,4кВ ТП 10/0,4кВ №1-54 по ВЛ 10кВ №1 ПС 110/35/10кВ "Чалтырь" для технологического присоединения магазина заявителя ИП Майкоглуян А.Е. по адресу: Ростовская область, Мясниковский район, х. Ленинаван, ул. Садовая, д. 32 к.н. 61:25:0030202:4136 (ориентировочная протяженностль ЛЭП 0,2км)</t>
  </si>
  <si>
    <t>Строительство ВЛ 0,4 кВ от РУ 0,4 кВ ТП 10/0,4 кВ №3/6 по ВЛ 10 кВ №3 ПС 110/35/10 кВ «Чалтырь2» для технологического присоединения кафе-закусочная заявителя (Кураян А.Р.) по адресу: Ростовская область, Мясниковский район, с.Чалтырь ул. Социалистическая 23 л. к.н.61:25:0101327:55 (ориентировочная протяженность ЛЭП 0,2 км)</t>
  </si>
  <si>
    <t>Строительство ВЛ 0,4 кВ от ВЛ 0,4 кВ №1 ТП 10/0,4 кВ №7-14 по ВЛ 10 кВ №7 ПС 110/35/10 кВ «Синявская» для технологического присоединения  жилого дома заявителя (Пономарева Н.А.) по адресу: Ростовская область, Мясниковский район, х. Хапры ул. Кольцевая 20 к.н.61:25:0070201:2110 (ориентировочная протяженность ЛЭП 0,04 км)</t>
  </si>
  <si>
    <t>Строительство ВЛ 0,4 кВ от РУ 0,4 кВ новой ТП 10/0,4 кВ, строительство ТП 10/0,4 кВ, строительство ВЛ 10 кВ от отпайки на ТП 10/0,4 кВ №1/54 по ВЛ 10 кВ №1 ПС 110/35/10 кВ Чалтырь запитанной от ВЛ 10 кВ №29-35 ПС 110/10 Р-29 до новой ТП 10/0,4 кВ, для технологического присоединения склада заявителя (ИП Добрынин М.Б.) по адресу: Ростовская область, Мясниковский р-н, х. Ленинаван, ул. Садовая, д. 10/1 к.н. №61:25:0600401:12077. (ориентировочная протяженность ЛЭП - 0,025 км, ориентировочная мощность ТП – 400 кВА)</t>
  </si>
  <si>
    <t>Строительство ВЛ 0,4 кВ от РУ 0,4 кВ новой ТП 10/0,4 кВ, строительство ТП 10/0,4 кВ, строительство ВЛ 10 кВ от ВЛ 10 кВ №2 ПС 110/35/10 кВ «Чалтырь» отпайки на ТП 10/0,4 кВ №2-15 до новой ТП 10/0,4 кВ, для технологического присоединения нежилого помещения заявителя (ИП Чобанян А.З.) по адресу: Ростовская область, Мясниковский р-н, с. Крым ул. Восточная 7д к.н. № 61:25:0600201:427 (ориентировочная протяженность ЛЭП - 0,385 км, ориентировочная мощность ТП – 250 кВА)</t>
  </si>
  <si>
    <t>Строительство ВЛ 0,4 кВ от ЗТП 10/0,4 кВ №82 ВЛ 10 кВ №4 ПС 110/10 кВ «Лиманная» для технологического присоединения жилого дома Заявителя (Галустян А.С.) по адресу: Ростовская область, Неклиновский район, с. Сухосарматка, ул. Лесная, 13, к.н. 61:26:0090201:172 (ориентировочная протяженность ЛЭП 0,45 км)</t>
  </si>
  <si>
    <t>Строительство ВЛ 0,4 кВ от ВЛ 0,4 кВ №2 КТП 10/0,4 кВ №93м ВЛ 10 кВ №4 ПС 35/10 кВ «ГСКБ» для технологического присоединения жилого дома Заявителя (Жиркова О.В.) по адресу: Ростовская область, Неклиновский район, с. Новобессергеневка, пер. Большой, 14, к.н. 61:26:0180101:7108 (ориентировочная протяженность ЛЭП 0,06 км)</t>
  </si>
  <si>
    <t>Строительство ВЛ 0,4 кВ от ВЛ 0,4 кВ проектируемой по договору №61-1-17-00348457 (Юшкова М.С.) от ТП 10/0,4 кВ №1-6 по ВЛ 10 кВ №1 ПС 110/35/10 кВ «Чалтырь» для технологического присоединения жилого дома заявителя (Кобелева Л.Д.) по адресу: Ростовская область, Мясниковский район, х. Ленинакан пер. Дзержинский 1 е к.н.61:25:0030301:1130 (ориентировочная протяженность ЛЭП 0,15 км)</t>
  </si>
  <si>
    <t>Строительство ВЛ 0,4 кВ от РУ 0,4 кВ новой ТП 10/0,4 кВ, строительство ТП 10/0,4 кВ, строительство ВЛ 10 кВ от ВЛ 10 кВ №1 ПС 110/35/10 кВ «Чалтырь» до новой ТП 10/0,4 кВ, для электроснабжения  жилого дома заявителя (Досаев М.А.) и склада заявителя (Соловейкина О.Ю.) по адресу: Ростовская область, Мясниковский р-н, х. Красный Крым 1-й км. автодороги Ростов – Новошахтинск Промышленная зона 1-й проезд уч-ок №12 и уч-ок №13 (ориентировочная протяженность ЛЭП - 0,08 км, ориентировочная мощность ТП – 40 кВА)</t>
  </si>
  <si>
    <t>Строительство ВЛ 0,4 кВ от новой ТП 10/0,4 кВ, строительство ТП 10/0,4 кВ, строительство ВЛ 10 кВ от ВЛ 10 кВ №7/8 ПС 35/10/6 кВ «Гаевская» для технологического присоединения жилых домов Заявителя (Чичканова Е.Ю.) по адресу: Ростовская область, Неклиновский район, с. Малофедоровка, ул. Лиманная, 77, 88, 97, 109 (ориентировочная протяженность ЛЭП 0,8 км; мощность силового трансформатора 630 кВА)</t>
  </si>
  <si>
    <t>Строительство ВЛ 0,4 кВ от РУ 0,4 кВ новой ТП 10/0,4 кВ, строительство ТП 10/0,4 кВ, строительство ВЛ 10 кВ от ВЛ 10 кВ №7 ПС 35/10 кВ Б. Салы для технологического присоединения: жилых домов заявителей (Суслова Л.Н., Банькина Е.Г.) по адресу: Ростовская обл., Мясниковский р-н, с. Б.Салы, ул. Центральная 36 к.н. № 61:25:0600501:1670 и ул. Согласия 35 к.н. № 61:25:0600501:1680, (ориентировочная протяженность ЛЭП – 1,43 км, ориентировочная мощность ТП – 630 кВА)</t>
  </si>
  <si>
    <t>Строительство ВЛ 0,4кВ от РУ 0,4кВ новой ТП 10/0,4кВ, строительство ТП 10/0,4кВ, строительство ВЛ 10кВ от ВЛ 10кВ №9 ПС 110/35/10кВ Чалтырь, для технологического присоединения магазина заявителя (ИП Кесеян М.К.) по адресу: Ростовская область, Мясниковский р-н, с. Чалтырь, ул. 6-я Линия д. 96 к.н №61:25:0101334:517 (ориентировочная протяженность ЛЭП-0,17км, ориентировочная мощность ТП-160кВА)</t>
  </si>
  <si>
    <t>Строительство ВЛ 0,4 кВ от новой ТП 10/0,4 кВ, строительство ТП 10/0,4 кВ, строительство ВЛ 10 кВ от ВЛ 10 кВ №1 ПС 35/10 кВ «Таганрогская» для технологического присоединения лечебно-профилактического учреждения Заявителя (ООО «Морской лев») по адресу: Ростовская область, Неклиновский район, п. Приазовский, ул. Центральная, 12, к.н. 61:26:0100301:505 (ориентировочная протяженность ЛЭП 0,02 км; мощность силового трансформатора 160 кВА)</t>
  </si>
  <si>
    <t>Строительство ВЛ 0,4 кВ от РУ 0,4 кВ ТП 10/0,4 кВ проектируемой по договору от 15.03.2018 г № 61-1-18-00364771 по ВЛ 10 кВ №1 ПС 110/35/10 кВ «Чалтырь» для технологического присоединения магазина заявителя (Кривченко В.Н.) по адресу: Ростовская область, Мясниковский район, с. Чалтырь 1-й км. + 489 м вправо автодороги Ростов-на-Дону - Новошахтинск к.н. 61:25:0600401:9533 (ориентировочная протяженность ЛЭП 0,1 км)</t>
  </si>
  <si>
    <t>Строительство ВЛ 0,4 кВ от ВЛ 0,4 кВ №1 КТП 10/0,4 кВ №148м ВЛ 10 кВ №4 ПС 35/10 кВ «ГСКБ» для технологического присоединения ВРУ 0,4 кВ жилого дома Заявителя (Курбацкий А.В.) по адресу: Ростовская область, Неклиновский район, с. Петрушино, х-во ОАО «Заря», поле №10, к.н. 61:26:0600024:4524 (ориентировочная протяженность ЛЭП 0,08 км)</t>
  </si>
  <si>
    <t>Строительство ВЛ 0,4 кВ от опоры ВЛ 0,4 кВ №1 ТП 10/0,4 кВ №7-16 ПС110/35/10 кВ «Синявская» для технологического присоединения: парка заявителя (Муниципальное казенное учреждение культуры «Дом культуры» Недвиговского сельского поселения) по адресу Ростовская область, Мясниковский район, х. Недвиговка ул. Октябрьская 72 в к.н. 61:25:0070101:4572, спортплощадка заявителя (Администрация Недвиговского сельского поселения) по адресу: Ростовская область, Мясниковский район, х. Недвиговка ул. Октябрьская 72 б к.н. 61:25:0070101:4483 (ориентировочная протяженность ЛЭП 0,12 км)</t>
  </si>
  <si>
    <t>Строительство ВЛ 0,4 кВ от РУ 0,4 кВ ТП 10/0,4 кВ №6-7 ПС/35/10 кВ «Б.Салы» для технологического присоединения жилых домов заявителей: (Цатурян А.М.) по адресу: Ростовская область, Мясниковский район, с. Б.Салы ул. Солнечная 15 к.н. 61:25:0600501:1909, (Тирацуян А.В.) по адресу: Ростовская область, Мясниковский район, с. Б.Салы ул. Солнечная 13 к.н. 61:25:0600501:1908 (ориентировочная протяженность ЛЭП 0,47 км)</t>
  </si>
  <si>
    <t>Строительство ВЛ 0,4кВ от ТП 10/0,4кВ №29 ВЛ 10кВ №6 ПС 110/10кВ "Самбек" для технологического присоединения спортивно-оздоровительного комплекса Богохвалова Н.В. Заявителя (ООО "ТЭК") по адресу: Ростовская область, г. Таганрог, ул. Михайловская, 50, к.н. 61:58:0007029:168 (ориентировочная протяженность ЛЭП 0,03км)</t>
  </si>
  <si>
    <t>Строительство ВЛ 0,4 кВ от новой ТП 10/0,4 кВ, строительство ТП 10/0,4 кВ, строительство ВЛ 10 кВ от ВЛ 10 кВ №3 ПС 110/35/10 кВ «Чалтырь», отпайки на ЛР 10 кВ №3/21, запитанной от ВЛ 10 кВ №20-04 ПС 220/110/10 кВ Р-20, для технологического присоединения производственно-складского помещения Заявителя (ИП Манукян С.Г.) по адресу: Ростовская область, Мясниковский район, с. Чалтырь, ул. Мясникяна 190, к.н. 61:25:0101202:58 (ориентировочная протяженность ЛЭП 0,07 км; мощность силового трансформатора 160 кВА)</t>
  </si>
  <si>
    <t>Строительство ВЛ 0,4 кВ от проектируемой ВЛ 0,4 кВ по договору №61-1-18-00368839 от 17.04.18 от проектируемой ВЛ 0,4 кВ по договору №61-1-18-00364771 от 15.03.18 от новой ТП 10/0,4 кВ по ВЛ 10 кВ №1 ПС 110/35/10 кВ «Чалтырь» для технологического присоединения; нежилого помещения заявителя (ИП Еприкян О.Е.) по адресу: Ростовская область, Мясниковский район, с. Чалтырь, Красно-Крымское сельское поселение</t>
  </si>
  <si>
    <t>Строительство ВЛ 0,4 кВ от ВЛ 0,4 кВ №1 ЗТП 10/0,4 кВ №167А ВЛ 10 кВ №4 ПС 35/10 кВ «Покровская» для технологического присоединения ВРУ 0,4 кВ магазина Заявителя (ИП Ширинов А.А.) по адресу: Ростовская область, Неклиновский р-н, с. Покровское, пер. Комсомольский, 55 А, к.н. 61:26:0050101:345 (ориентировочная протяженность ЛЭП 0,12 км)</t>
  </si>
  <si>
    <t>Строительство ЛЭП 0,4 кВ от РУ 0,4 кВ ТП 10/0,4 кВ №249 по ВЛ 10 кВ №2 ПС 35/10 кВ Колесниковская для технологического присоединения ЛЭП 0,4 кВ нежилого здания Заявителя (ИП Наумчук А.В.) по адресу: Ростовская область, М-Курганский р-н, п. М-Курган, ул. Южная д. 30-и, к.н. 61:21:0010150:535 (ориентировочная протяженность ЛЭП 0,28 км)»</t>
  </si>
  <si>
    <t>Строительство ВЛ 0,4кВ от РУ 0,4кВ ТП №38 по ВЛ 10кВ №4 ПС Латоновская для ТП памятника воинам ВОВ (адм-ция Малокирсановского с.п.)</t>
  </si>
  <si>
    <t>Строительство ВЛ 0,4 кВ от новой ТП 10/0,4 кВ, строительство ТП 10/0,4 кВ, строительство ВЛ 10 кВ от ВЛ 10 кВ №1 ПС 110/35/10 кВ «Чалтырь» до новой ТП 10/0,4 кВ, для технологического присоединения строительной базы Заявителя (ИП Крылов А.В.) по адресу: Ростовская область, Мясниковский район, Краснокрымское с.п., 3-й км. а/д Ростов н/д – Новошахтинск, уч. 1/4 к.н. 61:25:0600401:9788. (ориентировочная протяженность ЛЭП 0,02 км; мощность силового трансформатора 160 кВА)</t>
  </si>
  <si>
    <t>Строительство ВЛ 0,4 кВ от РУ 0,4 кВ новой ТП 10/0,4 кВ, строительство ТП 10/0,4 кВ, строительство ВЛ 10 кВ от ВЛ 10 кВ №1 ПС 110/35/10 кВ Чалтырь, отпайки на ТП 10/0,4 кВ №1-81, запитанной от ВЛ 10 кВ №29-35 ПС 110/10кВ Р-29, для технологического присоединения жилых домов, заявителей по адресу: Ростовская область, Мясниковский р-н, х. Ленинаван, ул. Пушкинская (ориентировочная протяженность ЛЭП - 0,42км, ориентировочная мощность ТП – 400кВА)</t>
  </si>
  <si>
    <t>Строительство ВЛ 0,4кВ от ВЛ 0,4кВ №2 ТП 10/0,4кВ №8-5 по ВЛ 10кВ №8 ПС 110/35/10кВ «Синявская» для технологического присоединения жилого дома заявителя: (Прокофьева З.А.) по адресу: Ростовская область, Мясниковский район, х. Веселый ул. Заречная д.13 к.н. 61:25:0060101:341 (ориентировочная протяженность ЛЭП 0,21км)</t>
  </si>
  <si>
    <t>Строительство ВЛ 0,4 кВ от ВЛ 0,4 кВ №2 ТП 10/0,4 кВ №1-133 ПС 110/35/10 кВ «Чалтырь» для технологического присоединения жилого дома заявителя: (Котанджян Г.А.) по адресу: Ростовская область, Мясниковский район, х. Ленинаван ул. им. И.Х. Баграмяна д.34 к.н. 61:25:0600401:9607 (ориентировочная протяженность ЛЭП 0,04 км)</t>
  </si>
  <si>
    <t>Строительство ВЛ 0,4 кВ от ВЛ 0,4 кВ №4 КТП 10/0,4 кВ №69 ВЛ 10 кВ №3 ПС 110/10 кВ «Лиманная» для технологического присоединения жилого дома Заявителя (Чуприна Т.И.) по адресу: Ростовская область, Неклиновский р-н, д. Золотарево, ул. Лиманная, 49-б, к.н. 61:26:0090301:578 (ориентировочная протяженность ЛЭП 0,075 км)</t>
  </si>
  <si>
    <t>Строительство ВЛ 0,4 кВ от ВЛ 0,4 кВ №1, от ВЛ 0,4 кВ №2, ТП 10/0,4 кВ №1-148 ПС 110//35/10 кВ «Чалтырь» для технологического присоединения жилых домов заявителя (Витютнев А.Н.) по адресу: Ростовская область, Мясниковский район, х. Ленинаван ул. 1-я Кольцевая д. 55 к.н. 61:25:0600401:6975, д. 61 к.н. 61:25:0600401:6932. (ориентировочная протяженность ЛЭП 0,105 км)</t>
  </si>
  <si>
    <t>Строительство ВЛ 0,4 кВ от ВЛ 0,4 кВ №1 ТП 10/0,4 кВ  №6-19 по ВЛ 10 кВ №6 ПС 110/35/10 кВ "Чалтырь" для технологического присоединения жилого дома заявителя (Маркарян Л.С.) по адресу: Ростовская область, Мясниковский район, с. Крым ул.Ленина д.3 к.н. 61:25:0201020:81 (ориентировочная протяженность ЛЭП 0,15 км)</t>
  </si>
  <si>
    <t>Строительство ВЛ 0,4 кВ от КТП 10/0,4 кВ №66 ВЛ 10 кВ №3 ПС 110/10 кВ "Самбек" для технологического присоединения магазина Заявителя (ИП Милованов И.Б.) по адресу: Ростовская область, Неклиновский район, с. Самбек, ул. Кооперативная,32, к.н. 61:26:0020101:5046  (ориентировочная протяженность ЛЭП 0,08 км)</t>
  </si>
  <si>
    <t>Строительство ВЛ 0,4 кВ от новой ТП 10/0,4 кВ, строительство ТП 10/0,4 кВ, строительство ВЛ 10 кВ от ВЛ 10 кВ № 1 ПС 110/35/10 кВ «Чалтырь», отпайки на ТП 10/0,4 кВ №1-81А, запитанной от ВЛ 10 кВ №29-35 ПС 110/10 кВ Р-29 для технологического присоединения ответвления к вводу объекта Заявителя (Ефремов А.Р.) по адресу: Ростовская область, Мясниковский район, х. Ленинаван, ул. Пушкинская 1/2 к.н. №61:25:0600401:13189 (ориентировочная протяженность ЛЭП 0,03 км; мощность силового трансформатора 160 кВА)</t>
  </si>
  <si>
    <t>Строительство ВЛ 0,4 кВ от РУ 0,4 кВ ТП 10/0,4 кВ (по договору 61-1-19-00442851 от 20.05.2019) по ВЛ 10 кВ №1 ПС 110/35/10 кВ Чалтырь отпайки на ТП 10/0,4 кВ №1-185, запитанной от ВЛ 10 кВ №29-35 ПС 110/10 кВ Р-29, для технологического присоединения нежилого помещения Заявителя (ИП Мазун А.Г.) по адресу: Ростовская область, Мясниковский район, установлено относительно ориентира, расположенного в границах участка, Краснокрымское сельское поселение, на землях колхоза «Дружба» к.н.61:25:0600401:3241 (ориентировочная протяженность ЛЭП – 0,04 км.)</t>
  </si>
  <si>
    <t>Строительство ВЛ 0,4 кВ от ВЛ 0,4 кВ №2 КТП 10/0,4 кВ №96 ВЛ 10 кВ №3 ПС 110/10 кВ «Самбек» для технологического присоединения личного подсобного хозяйства Заявителя (Кацуба О.А.) по адресу: Ростовская область, Неклиновский район, с. Самбек, ул. Первомайская, 147, к.н. 61:26:0020101:4770 (ориентировочная протяженность ЛЭП 0,075 км)</t>
  </si>
  <si>
    <t>Строительство ВЛ 0,4 кВ от ВЛ 0,4 кВ №1 КТП 10/0,4 кВ №391 ВЛ 10 кВ №2 ПС 35/10 кВ «Покровская» для технологического присоединения личного подсобного хозяйства Заявителя (Пужаев А.Е.) по адресу: Ростовская область, Неклиновский район, с. Покровское, ул. Гагарина, 35, к.н. 61:26:0050101:2562 (ориентировочная протяженность ЛЭП 0,12 км)</t>
  </si>
  <si>
    <t>Строительство ВЛ 0,4 кВ от ВЛ 0,4 кВ №2 КТП 10/0,4 кВ №103м ВЛ 10 кВ №3 ПС 35/10 кВ «Таганрогская» для технологического присоединения жилого дома Заявителя (Гамаюнов С.Л.) по адресу: Ростовская область, Неклиновский район, с. Весело-Вознесенка, ул. Октябрьская, 27 Б, к.н. 61:26:0100101:1244 (ориентировочная протяженность ЛЭП 0,04 км)</t>
  </si>
  <si>
    <t>Строительство ВЛ 0,4 кВ от ВЛ 0,4 кВ №2 ТП 10/0,4 кВ №380 по ВЛ 10 кВ №4 ПС 110/10 кВ «Лиманная» для технологического присоединения личного подсобного хозяйства Заявителя (Мкртчан А.Ю.) по адресу: Ростовская область, Неклиновский район, с. Андреево-Мелентьево, пер. Первомайский, 45, к.н. 61:26:0090101:270 (ориентировочная протяженность ЛЭП 0,07 км)</t>
  </si>
  <si>
    <t xml:space="preserve">Строительство ВЛ 0,4 кВ от новой ТП 10/0,4 кВ, строительство ТП 10/0,4 кВ, строительство ВЛ 10 кВ от ВЛ 10 кВ №1 ПС 110/35/10 кВ «Чалтырь» запитанной от ВЛ 10 кВ №29-35 ПС 110/10 кВ Р-29, для технологического присоединения нежилого помещения Заявителя (ИП Тонян М.Л.) по адресу: Ростовская область, Мясниковский район, х. Ленинаван, ул. Садовая д. 30 а </t>
  </si>
  <si>
    <t>Строительство ВЛ 0,4кВ от ТП 10/0,4кВ №295 по ВЛ 10кВ №2 ПС 35/10кВ Колесниковская, строительство ВЛ 0,4кВ от ТП 10/0,4кВ №206 по ВЛ 10кВ №3 ПС 35/10кВ М-Курганская для технологического присоединения ЛЭП 0,4 кВ блочно-модульной котельной Заявителя (Администрация Матвеево-Курганского сельского поселения) по адресу: Ростовская область, М-Курганский р-н, п. Матвеев-Курган, пер. Спортивный, д.39, корп. а, к.н. 61:21:0010159:523 (ориентировочная протяженность ЛЭП 0,2км)</t>
  </si>
  <si>
    <t>Строительство ВЛ 0,4 кВ от ВЛ 0,4 кВ №1 ТП 10/0,4 кВ №2-22 по ВЛ 10 кВ №2 ПС 110/35/10 кВ Чалтырь, для технологического присоединения жилого дома заявителя: (Кобылкин С.Б.) по адресу: Ростовская область, Мясниковский район, с.  Крым, ул. Александра Суворова, д. 45. к.н. 61:25:0600201:995 (ориентировочная протяженность ЛЭП 0,08 км)</t>
  </si>
  <si>
    <t>Строительство ВЛ 0,4кВ от ВЛ 0,4кВ №1 КТП №9м ВЛ 10кВ №3 ПС 35/10 ГСКБ для технологического присоединения подсобного хозяйства Заявителя (Мураито В.Г.) по адресу Ростовская область, Неклиновский район, с. Новобессергеневка, ул. Островского, д. 14 корпус Г к.н. 61:26:0180101:7003 (ориентировочная протяженность ЛЭП 0,085км)</t>
  </si>
  <si>
    <t>Строительство ВЛ 0,4 кВ от ВЛ 0,4 кВ №1 ТП 10/0,4 кВ №309 по ВЛ 10 кВ №8 ПС 35/10 кВ М-Курганская для технологического присоединения магазина Заявителя (ИП Хачунц Н.С.) по адресу: Ростовская область, М-Курганский р-н, п. М-Курган, ул. Московская д. 55, к.н. 61:21:0010114:155 (ориентировочная протяженность ЛЭП 0,06 км)</t>
  </si>
  <si>
    <t>Строительство ВЛ 0,4 кВ от ВЛ 0,4 кВ №1 ТП 10/0,4 кВ №1-102 по ВЛ 10 кВ №1 ПС 110/35/10 кВ Чалтырь, для технологического присоединения жилого дома заявителя: (Гуликян Л.Р.) по адресу: Ростовская область, Мясниковский район, х.  Ленинаван, ул. Насосная, д. 1/1. к.н. 61:25:0030202:3796 (ориентировочная протяженность ЛЭП 0,05 км)</t>
  </si>
  <si>
    <t>Строительство ВЛ 0,4 кВ от ВЛ 0,4 кВ №1 КТП №3/17 ВЛ 10 кВ №3 ПС 110/35/10 кВ «Синявская» для технологического присоединения жилого дома Заявителя (ИП Агаджанян А.В.) по адресу: Ростовская область, Неклиновский район, х. Мержаново, Восточная окраина, к.н. 61:26:0600016:1018 (ориентировочная протяженность ЛЭП 0,1 км)</t>
  </si>
  <si>
    <t>Строительство ВЛИ-0,4 кВ от ВЛИ-0,4 кВ ТП №1-106 х. Ленинаван, заявители Тер-Геворкова Ю.В., Кучеренко А.И.</t>
  </si>
  <si>
    <t>Строительство ВЛ 0,4 кВ от ВЛ-0,4 кВ ТП 10/0,4 кВ №12-2 ПС 110/35/10 кВ "Чалтырь", для технологического присоединения жилых домов заявителей: (Тунян А.А., Тунян Э.А.) по адресу: Ростовская область, Мясниковский район, с. Чалтырь, ул. Шагиняна 63, к.н. 61:25:0101602:528 (ориентировочная протяженность ЛЭП 0,05 км)</t>
  </si>
  <si>
    <t>Строительство ВЛ 0,4 кВ от новой ТП 10/0,4 кВ, строительство ТП 10/0,4 кВ, строительство ВЛ 10 кВ от ВЛ 10 кВ №5/3 ПС 110/35/10 кВ «Троицкая-1», для технологического присоединения нежилого помещения Заявителя (ИП Кириченко Е.Н.) по адресу: Ростовская область, Неклиновский район, с. Николаевка, ул. Гоголя, 65, к.н. 61:26:060014:783 (ориентировочная протяженность ЛЭП 0,155 км; мощность силового трансформатора 160 кВА)</t>
  </si>
  <si>
    <t>Строительство ВЛ 0,4 кВ от новой ТП 10/0,4 кВ, строительство ТП 10/0,4 кВ по ВЛ 10 кВ №2 ПС 110/35/10 кВ «Новиковская», для технологического присоединения площадки повысительной насосной станции сооружений Заявителя (Администрация Куйбышевского района Ростовской области) по адресу: Ростовская обл., р-н Куйбышевский, с.Новиковка</t>
  </si>
  <si>
    <t>Строительство ВЛ 0,4кВ от ВЛ 0,4кВ №1 КТП 10/0,4кВ №651 ВЛ 10кВ №2 ПС 35/10кВ «Покровская» для технологического присоединения личного подсобного хозяйства Заявителя (Грибанова М.В.) по адресу: Ростовская область, Неклиновский район, с. Покровское, ул. Прохладная, 60 А, к.н. 61:26:0050114:994 (ориентировочная протяженность ЛЭП 0,063км)</t>
  </si>
  <si>
    <t>Строительство ВЛ 0,4 кВ от опоры ВЛ 0,4 кВ №1 ТП 10/0,4 кВ №5-2 по ВЛ 10 кВ №5 ПС 35/10 кВ Б.Салы, для технологического присоединения жилого дома заявителя (Сирадегян М.Г.) по адресу: Ростовская область, Мясниковский район, с.  Б.Салы, ул. 1-я Ленинская, д 1а. к.н. 61:25:0040101:1407 (ориентировочная протяженность ЛЭП 0,06 км)</t>
  </si>
  <si>
    <t>Строительство ВЛИ-0,4кВ от опоры №30 ВЛ-0,4кВ №1 ЗТП №84 по КЛ-6кВ №6 ПС 110/6кВ "Т-5" до ВРУ-0,4кВ "ЦГПБ им. А.П. Чехова" Заявителя (УКС г. Таганрога)</t>
  </si>
  <si>
    <t>Строительство ВЛ 0,4 кВ от новой ТП 10/0,4 кВ, строительство ТП 10/0,4 кВ, строительство ВЛ 10 кВ от Вл 10 кВ №5 ПС 35/10 кВ "Петровская", для технологического присоединения фермерского хозяйства Заявителя (ИП Берекчиян А.А.) по адресу: Ростовская область, Мясниковский район, сл. Петровка 10 м на юг от границы садоводческого товарищества "Крокус" к.н. 61:25:0600701:772 (ориентировочная протяженность ЛЭП – 1,91 км, мощность силового трансформатора 25 кВА)</t>
  </si>
  <si>
    <t>Строительство ВЛ 0,4 кВ от новой ТП 10/0,4 кВ, строительство ТП 10/0,4 кВ, строительство ВЛ 10 кВ от ВЛ 10 кВ №5 ПС 110/35/10 кВ "Чалтырь", отпайки на ТП №5-52, для технологического присоединения торгового комплекса Заявителя (Тащиян Г.Ф.) по адресу: Ростовская область, Мясниковский район, с.Чалтырь ул. Ленина д.53 к.н. 61:25:0101209:239 (ориентировочная протяжённость ЛЭП 0,03 км; мощность силового трансформатора 100 кВА)</t>
  </si>
  <si>
    <t>Строительство ВЛ 0,4 кВ от ВЛ 0,4 кВ №3 КТП 10/0,4 кВ №120 ВЛ 10 кВ №6 ПС 35/10 кВ «Советка-2» для технологического присоединения Заявителя (Николаенко Е.В.) по адресу: Ростовская область, Неклиновский р-н, сл. Советка, ул. Социалистическая, 4, у.н. 61-61-31/023/2009-159 (ориентировочная протяженность ЛЭП 0,33 км)</t>
  </si>
  <si>
    <t>Строительство ВЛ-0,4 кВ от ВЛ-0,4 кВ №1 ТП 10/0,4 кВ №4-40 по ВЛ-10 кВ №4 ПС 110/35/10 кВ Чалтырь, для технологического присоединения жилого дома заявителя: (Бугаян А.В.) по адресу: Ростовская область, Мясниковский район, с. Крым, 4-я линия, д.15 к.н. 61:25:0201001:177(ориентировочная протяженность ЛЭП 0,09 км)</t>
  </si>
  <si>
    <t>Строительство ЛЭП 0,4 кВ от ТП 10/0,4 кВ №62 по ВЛ 10 кВ №3 ПС 35/10 кВ Политотдельская для технологического присоединения нежилого здания (ангар) Заявителя (ИП Башинская Е.В.) по адресу: Ростовская область, М-Курганский р-н, примерно в 12 м на запад от с.Марьевка, ул. Парамонова 52, к.н. 61:21:0600008:1483(ориентировочная протяженность ЛЭП - 0,28 км)</t>
  </si>
  <si>
    <t>Строительство ВЛ 0,4 кВ от ВЛ 0,4 кВ №1 КТП 10/0,4 кВ №673 ВЛ 10 кВ №1/3 ПС 110/35/10 кВ "Троицкая-1" для технологического присоединения магазина Заявителя ( ИП Абалян Д.С.) по адресу: Ростовская область, Неклиновский р-н, с. Николаевка, ул. Ленина, 309-ф, к.н. 61:26:0513501:59 (ориентировочная протяженность ЛЭП 0,225 км)</t>
  </si>
  <si>
    <t>Строительство ВЛ 0,4 кВ от КТП 10/0,4 кВ №123м ВЛ 10 кВ №2 ПС 35/10 кВ "Таганрогская" для технологического присоединения индивидуальных жилых застроек Заявителей (Удодова Е.И., Темников В.И.) по адресу: Ростовская область, Неклиновский р-н, с. Натальевка, ул. Чехова, 244, 246, к.н. 61:26:0600020:412, к.н. 61:26:0600020:411 (ориентировочная протяженность ЛЭП 0,155 км)</t>
  </si>
  <si>
    <t>Строительство ВЛ 0,4 кВ от опоры №2 ТП 10/0,4 кВ №5-26 по ВЛ 10 кВ №5 ПС 35/10 кВ Б.Салы, для технологического присоединения жилого дома заявителя: (Юзбекова Т.В.) по адресу: Ростовская область, Мясниковский район, с. Б.Салы, ул.Чехова, д. 39 б к.н. 61:25:0040101:4284 (ориентировочная протяжённость ЛЭП 0,1 км)</t>
  </si>
  <si>
    <t>Строительство ВЛ 0,4 кВ от ВЛ 0,4 кВ №1 КТП 10/0,4 кВ №54м ВЛ 10 кВ №4 ПС 35/10 кВ «Русский Колодец» для технологического присоединения Заявителя (Королёва В.А.) по адресу: Ростовская область, Неклиновский р-н, с. Боцманово, ул. Октябрьская, 66, к.н. 61:26:0070801:1909 (ориентировочная протяженность ЛЭП 0,042 км)</t>
  </si>
  <si>
    <t>Строительство ВЛ 0,4 кВ от ВЛ 0,4 кВ №3 КТП 10/0,4 кВ №672 ВЛ 10 кВ №1/3 ПС 110/35/10 кВ «Троицкая-1» для технологического присоединения Заявителя (Крамазанова А.А.) по адресу: Ростовская область, Неклиновский р-н, с. Николаевка, ул. Пушкина, 106-Б, к.н. 61:26:0600014:1929 (ориентировочная протяженность ЛЭП 0,13 км)</t>
  </si>
  <si>
    <t>Строительство ВЛ 0,4 кВ от опоры ВЛ 0,4 кВ №1 ТП 10/0,4 кВ №1-6 по ВЛ 10 кВ №1 ПС 110/35/10 кВ Чалтырь, для технологического присоединения жилого дома заявителя: (Элоян А.Ц.) по адресу: Ростовская область, Мясниковский район, х.  Ленинакан, ул. Цветочная, д 23. к.н.61:25:0030301:301 (ориентировочная протяженность ЛЭП 0,07 км)</t>
  </si>
  <si>
    <t>Строительство ВЛ 0,4 кВ от опоры ВЛ 0,4 кВ №2 ТП 10/0,4 кВ №5-1 по ВЛ 10 кВ №5 ПС 110/27/10 кВ Хапры-Тяговая, для технологического присоединения жилого дома заявителя: (Кнутова Л.В.) по адресу: Ростовская область, Мясниковский район, х.  Калинин, ул. Донская, д 4 е. к.н. 61:25:0050101:7248, (ориентировочная протяженность ЛЭП 0,14 км)</t>
  </si>
  <si>
    <t>Строительство ВЛ 0,4 кВ от ВЛ 0,4 кВ проектируемой по договору №61-1-19-00435357 от 01.04.19 для технологического присоединения жилых домов заявителей: (Колян С.В., Мартиросян А.В, Оганесян П.В.) по адресу: Ростовская область, Мясниковский район, х. Ленинакан, ул. Суворова 95 к.н. 61:25:0600401:11382, ул. Суворова 97 к.н. 61:25:0600401:11381, ул. Суворова 99 к.н. 61:25:0000000:6007. (ориентировочная протяженность ЛЭП 0,14 км)</t>
  </si>
  <si>
    <t>Строительство ВЛ 0,4 кВ от ВЛ 0,4 кВ №1 КТП 10/0,4 кВ №144м ВЛ 10 кВ №3 ПС 110/35/10 кВ «Федоровская» для технологического присоединения Заявителя (ФГКУ «ПУ ФСБ») по адресу: Ростовская область, Неклиновский р-н, х. Малокомаровский, ул. Комаровская, 2, к.н. 61:26:0141001:15 (ориентировочная протяженность ЛЭП 0,21 км)</t>
  </si>
  <si>
    <t>Строительство ВЛ 0,4 кВ от опоры ВЛ 0,4 кВ №2 ТП 10/0,4 кВ №3-15 по ВЛ 10 кВ №3 ПС 110/35/10 кВ Чалтырь, для технологического присоединения жилого дома заявителя: (Асриян И.К.) по адресу: Ростовская область, Мясниковский район, с. Чалтырь, ул. Жукова, д 29. к.н. 61:25:0101425:93,  (ориентировочная протяженность ЛЭП 0,2 км)</t>
  </si>
  <si>
    <t>Строительство ВЛ 0,4 кВ от новой ТП 10/0,4 кВ, строительство ТП 10/0,4 кВ, строительство ВЛ 10 кВ от ВЛ 10 кВ №6 ПС 110/35/10 кВ «Чалтырь» для технологического присоединения нежилого помещения Заявителя (ООО «Райсвет») по адресу: Ростовская область, Мясниковский район, с. Чалтырь ул. Новостроек д. №2- в к.н. 61:25:0101335:57 (ориентировочная протяженность ЛЭП 0,02 км; мощность силового трансформатора 100 кВА)</t>
  </si>
  <si>
    <t>Строительство ВЛ 0,4 кВ от новой ТП 10/0,4 кВ, строительство ТП 10/0,4 кВ, строительство ВЛ 10 кВ от ВЛ 10 кВ №1 ПС 110/35/10 кВ «Чалтырь» для технологического присоединения производственного цеха Заявителя (ООО «Спецзащита») по адресу: Ростовская область, Мясниковский район, х. Ленинакан, ул. Содружества, д 4 к.н. №61:25:0600401:13420 (ориентировочная протяженность ЛЭП 0,006 км; мощность силового трансформатора 160 кВА)</t>
  </si>
  <si>
    <t>Строительство ВЛ 0,4 кВ от новой ТП 10/0,4 кВ, строительство ТП 10/0,4 кВ, строительство ВЛ 10 кВ от ВЛ 10 кВ №1 ПС 110/35/10 кВ Чалтырь, отпайки на ТП №1-9, для технологического присоединения Заявителя (ООО «Ростовский Рукав Высокого Давления») по адресу: Ростовская область, Мясниковский район, х. Ленинаван, ул. Ленина, д.3/1 к.н. 61:25:0030202:3505 (ориентировочная протяженность ЛЭП 0,02 км; мощность силового трансформатора 160 кВА)</t>
  </si>
  <si>
    <t>Строительство ВЛ 0,4 кВ от новой ТП 10/0,4 кВ, строительство ТП 10/0,4 кВ, строительство ВЛ 10 кВ от ВЛ 10 кВ №2 ПС 110/35/10 кВ Чалтырь отпайки на ТП 10/0,4 кВ №2-18А для технологического присоединения Заявителя (ИП Закаворотняя Н.Н.) по адресу: Ростовская область, Мясниковский район, с. Крым, ул. Восточная, д. 7/н, к.н. 61:25:0201021:46 (ориентировочная протяженность ЛЭП 0,05 км; мощность силового трансформатора 160 кВА)</t>
  </si>
  <si>
    <t>Строительство ВЛ 0,4 кВ от новой ТП 10/0,4 кВ, строительство ТП 10/0,4 кВ, строительство ВЛ 10 кВ от ВЛ 10 кВ №2 ПС 110/35/10 кВ Чалтырь для технологического присоединения Заявителя (ИП Смолянец А.П.) по адресу: Ростовская область, Мясниковский район, Краснокрымское с/п, на землях колхоза «Дружба» к.н. 61:25:0600401:2363 (ориентировочная протяженность ЛЭП 0,01 км; мощность силового трансформатора 40 кВА)</t>
  </si>
  <si>
    <t>Строительство ВЛ 0,4 кВ от КТП 10/0,4 кВ №180 ВЛ 10 кВ №4 ПС 35/10 кВ «Покровская» для технологического присоединения Заявителя (ИП Шатов П.М.) по адресу: Ростовская область, Неклиновский р-н, с. Покровское, ул. Свердлова, 218-б, к.н. 61:26:0050104:396 (ориентировочная протяженность ЛЭП 0,06 км)</t>
  </si>
  <si>
    <t>Строительство ВЛ 0,4 кВ от новой ТП 10/0,4 кВ, строительство ТП 10/0,4 кВ, строительство ВЛ 10 кВ от ВЛ 10 кВ №6 ПС 110/10 кВ «Самбек», для технологического присоединения складского помещения Заявителя (ИП Ефимов А.А.) по адресу: Ростовская область, Неклиновский район, с. Самбек</t>
  </si>
  <si>
    <t>Строительство ВЛ 0,4 кВ от новой ТП 10/0,4 кВ, строительство ТП 10/0,4 кВ, строительство ВЛ 10 кВ от ВЛ 10 кВ №3 ПС 110/10 кВ «Самбек», для технологического присоединения производственного здания Заявителя (ИП Сергиенко В.И.) по адресу: Ростовская область, Неклиновский район, с. Самбек, к.н. 61:26:0600015:3836 (ориентировочная протяженность ЛЭП 0,018 км; мощность силового трансформатора 100 кВА)</t>
  </si>
  <si>
    <t>Строительство ВЛ 0,4 кВ от КТП 10/0,4 кВ №181 ВЛ 10кВ №4 ПС 35/10 кВ «Покровская» для технологического присоединения Заявителя (Филиал ФГБУ "Государственная комиссия РФ по испытанию и охране селекционныхдостижений") по адресу: Ростовская область, Неклиновский р-н, с. Покровское, х-во СПК к-за "Миусский", к.н. 61:26:0600006:59 (ориентировочная протяженность ЛЭП 0,007км)</t>
  </si>
  <si>
    <t>Строительство ВЛ 0,4 кВ от ВЛ 0,4 кВ № 2 ТП 10/0,4 кВ №5-1 по ВЛ 10 кВ №5 ПС 110/27/10 кВ Хапры-Тяговая для технологического присоединения жилого дома Заявителя (Шандыба З.Н.) по адресу: Ростовская область, Мясниковский район, х. Калинин, ул. Садовая, д.17 к.н. 61:25:0050101:1802 (ориентировочная протяженность ЛЭП – 0,04 км.)</t>
  </si>
  <si>
    <t>Строительство ВЛ 0,4кВ от ВЛ 0,4кВ проектируемой по дог. №61-1-17-00352809 от 29.12.2017 от ТП 10/0,4кВ №5-13 по ВЛ 10кВ №5 ПС 35/10кВ Б.Салы для технологического присоединения жилого дома Заявителя (Осипян Г.И.) по адресу: Ростовская область, Мясниковский район, с. Б.Салы, ул. 1-я Ленинская, д.4 к.н. 61:25:0040101:1494 (ориентировочная протяженность ЛЭП – 0,03км.)</t>
  </si>
  <si>
    <t>Строительство ВЛ 0,4 кВ от ВЛ 0,4 кВ №3 КТП 10/0,4 кВ №246 ВЛ 10 кВ №6 ПС 35/10 кВ «Покровская» для технологического присоединения Заявителя (Мельчакова В.В.) по адресу: Ростовская область, Неклиновский р-н, с. Покровское, пер. Горный, 102, к.н. 61:26:0050138:135 (ориентировочная протяженность ЛЭП 0,126 км)</t>
  </si>
  <si>
    <t>Строительство ВЛ 0,4кВ от ВЛ 0,4кВ №1 ТП 6/0,4кВ №122 КЛ 6кВ №80 ПС 35/6кВ Т-8 для технологического присоединения жилого дома Заявителя (Шнайдер И.В.) по адресу: Ростовская область, г. Таганрог, ул. Мартеновская, 1, к.н. 61:58:0004313:105 (ориентировочная протяженность ЛЭП 0,2км)</t>
  </si>
  <si>
    <t>Строительство ВЛ 0,4 кВ от ВЛ 0,4 кВ №3 ТП 6/0,4 кВ №103 КЛ 6 кВ №106 ПС Т-1 для технологического присоединения жилого дома Заявителя (Мамонтова Е.В.) по адресу: Ростовская область, г. Таганрог, ул. Акушерская, 51, к.н. 61:58:0003140:93 (ориентировочная протяженность ЛЭП 0,17 км)</t>
  </si>
  <si>
    <t>Строительство ВЛ 0,4кВ от ВЛ 0,4кВ №1 ТП 10/0,4кВ №1-7 по ВЛ 10кВ №1 ПС 110/35/10кВ Чалтырь для технологического присоединения жилого дома Заявителя (Агапова В.Р.) по адресу Ростовская область, Мясниковский район, х. Ленинакан, ул. Лукашина, д8б к.н. 61:25:0030301:1519 (ориентировочная протяженность ЛЭП - 0,06км)</t>
  </si>
  <si>
    <t>Строительство ВЛ 0,4кВ от ВЛ 0,4кВ №1 ТП 10/0,4кВ №1-6 по ВЛ 10кВ №1 ПС 110/35/10кВ Чалтырь для технологического присоединения жилого дома Заявителя (Оганесян Г.М.) по адресу Ростовская область, Мясниковский район, х. Ленинакан, ул. Цветочная, д.8 к.н. 61:25:0030301:324 (ориентировочная протяженность ЛЭП -0,13км)</t>
  </si>
  <si>
    <t>Строительство ВЛ 0,4кВ от ВЛ 0,4кВ №2 ТП 10/0,4кВ №7-12 по ВЛ 10кВ №7 ПС 110/35/10кВ Синявская, для технологического присоединения жилого дома Заявителя (Крещеновская О.В.) по адресу: Ростовская область, Мясниковский район, х. Хапры ул. Луговая, д.16   к. н. 61:25:0070201:91 (ориентировочная протяженность ЛЭП – 0,11км)</t>
  </si>
  <si>
    <t>Строительство ВЛ 0,4 кВ от ВЛ 0,4 кВ проектируемой по договору 61-1-19-00474971 от 16.10.2019г. от ВЛ 0,4 кВ №2 ТП 10/0,4 кВ №405 ВЛ 10 кВ №5 ПС 35/10 кВ «Покровская» для технологического присоединения личного подсобного хозяйства Заявителя (Гончаров П.А.) по адресу: Ростовская область, Неклиновский район, с. Покровское, ул. Полевая, 49, к.н. 61:26:005114:695 (ориентировочная протяженность ЛЭП 0,08 км)</t>
  </si>
  <si>
    <t>Строительство ВЛ 0,4кВ от ВЛ 0,4кВ №2 КТП 10/0,4кВ №50м ВЛ 10кВ №НС-3 ПС 35/10кВ «Лакадемоновская» для технологического присоединения Заявителя (Овсепян М.Е.) по адресу: Ростовская область, Неклиновский район, с. Беглица, ул. Мира, 37, к.н. 61:26:0160401:95 (ориентировочная протяженность ЛЭП 0,135км)</t>
  </si>
  <si>
    <t>Строительство ВЛ 0,4 кВ от ВЛ 0,4 кВ №1 КТП 10/0,4 кВ №9м ВЛ 10 кВ №3 ПС 35/10 кВ «ГСКБ» для технологического присоединения Заявителя (Васылив А.Я.) по адресу: Ростовская область, Неклиновский р-н, с. Новобессергеневка, ул. Лермонтова, 6-А, к.н. 61:26:0180101:7180 (ориентировочная протяженность ЛЭП 0,095 км)</t>
  </si>
  <si>
    <t>Строительство ВЛ 0,4 кВ от ВЛ 0,4 кВ №1 КТП 10/0,4 кВ №20м ВЛ 10 кВ №4 ПС 35/10 кВ «Русский Колодец» для технологического присоединения Заявителя (Сухенко Д.А.) по адресу: Ростовская область, Неклиновский р-н, х. Красный Десант, ул. Степная, 2-в, к.н. 61:26:0070101:2493 (ориентировочная протяженность ЛЭП 0,155 км)</t>
  </si>
  <si>
    <t>Строительство ВЛ 0,4 кВ от ВЛ 0,4 кВ №2 ТП 10/0,4 кВ №5-10 ПС 110/27/10 кВ Хапры-Тяговая для технологического присоединения жилого дома Заявителя (Сутункова Е.А.) по адресу: Ростовская область, Мясниковский район, х. Калинин, ул. Набережная, д.254 к.н. 61:25:0050101:0147 (ориентировочная протяженность ЛЭП – 0,12 км.)</t>
  </si>
  <si>
    <t>Строительство двух ВЛ 0,4 кВ от новой ТП 10/0,4 кВ, строительство ТП 10/0,4 кВ, строительство ВЛ 10 кВ от ВЛ 10 кВ №1/3 ПС 110/35/10 кВ «Троицкая-1» для технологического присоединения нежилых зданий Заявителей (ИП Хачатрян Н.Р., ИП Арутюнян С.М.) по адресам: Ростовская область, Неклиновский р-н с. Николаевка, к.н.: 61:26:0600014:1904, 61:26:0600014:1905, 61:26:0600014:1911 (ориентировочная протяженность ЛЭП 0,29 км; мощность силового трансформатора 250 кВА)</t>
  </si>
  <si>
    <t>Строительство ВЛ 0,4 кВ от новой ТП 10/0,4 кВ, строительство ТП 10/0,4 кВ, строительство ВЛ 10 кВ от отпайки на КТП №38 по ВЛ 10 кВ №2 ПС 110/35/10 кВ Новиковская, для технологического присоединения ВРУ-0,4 кВ дробильной установки заявителя (ООО «Пирумовский Щебень») по адресу: Ростовская обл., р-н Куйбышевский, к.н. 61:19:0600005:1263 (ориентировочная протяжённость ЛЭП 0,02 км; мощность силового трансформатора 160 кВА)</t>
  </si>
  <si>
    <t>Строительство ВЛ 0,4 кВ от РУ 0,4 кВ ТП 10/0,4 кВ №7-15 по ВЛ 10 кВ №7 ПС 110/35/10 кВ Синявская для технологического присоединения ангара Заявителя (ИП Мотыченков И.Е.) по адресу: Ростовская область, Мясниковский район, х. Недвиговка, ул. Молодежная, д. №42г. к.н.61:25:0070101:4632 (ориентировочная протяженность ЛЭП – 0,06 км.)</t>
  </si>
  <si>
    <t>Строительство ВЛ 0,4 кВ от новой ТП 10/0,4 кВ, строительство ТП 10/0,4 кВ, строительство ВЛ 10 кВ от ВЛ 10 кВ №3 отпайки на ТП 10/0,4 кВ №3-9 ПС 110/35/10 кВ Чалтырь, для технологического присоединения нежилого помещения Заявителя (ИП Бабахов В.А.) по адресу: Ростовская область, Мясниковский район, с. Чалтырь, Промзона-1, уч. 2/а» к.н. №61:25:0101242:39 (ориентировочная протяженность ЛЭП 0,02 км; мощность силового трансформатора 40 кВА)</t>
  </si>
  <si>
    <t>Строительство ВЛ 0,4 кВ от новой ТП 10/0,4 кВ, строительство ТП 10/0,4 кВ, строительство ВЛ 10 кВ от ВЛ-10 кВ №6 ПС 35/10 кВ Колесниковская для технологического присоединения торговой точки заявителя (ИП Хейгетян Н.М.) по адресу: Ростовская обл., р-н М-Курганский, п. Матвеев Курган, ул. Советская д. 17, корп. Л, к.н. 61:21:0010166:117 (ориентировочная протяжённость ЛЭП 0,025 км; мощность силового трансформатора 160 кВА)</t>
  </si>
  <si>
    <t>Строительство ВЛ 0,4 кВ от РУ 0,4 кВ ТП 10/0,4 кВ №4-6 по ВЛ 10 кВ №4 ПС 110/35/10 кВ Чалтырь для технологического присоединения ангара Заявителя (ИП Млтыхян М.К.) по адресу: Ростовская область, Мясниковский район, с. Крым, ул. Полевая, д. 42.  к.н. 61:25:0201021:38 (ориентировочная протяженность ЛЭП – 0,1 км.)</t>
  </si>
  <si>
    <t>Строительство двух ВЛ 0,4 кВ от ВЛ 0,4 кВ №2 ТП 10/0,4 кВ №2-22 и ВЛ 0,4 кВ №1 ТП 10/0,4 кВ №2-22 по ВЛ 10 кВ №2 ПС 110/35/10 кВ Чалтырь для технологического присоединения магазина и нежилого помещения Заявителя (ИП Амбарцумян А.Ж.) по адресу: Ростовская область, Мясниковский район, с. Крым, ул. Александра Суворова, д. 2, корп. а, к.н. 61:25:0600201:513., с. Крым, ул. Маршала Жукова, д. 1, корп. а, к.н. 61:25:0600201:512 (ориентировочная протяженность ЛЭП 0,08 км)</t>
  </si>
  <si>
    <t>Строительство ВЛ 0,4 кВ от проектируемых по договору №61-1-17-00302233 от 28.03.2017 ВЛ 0,4 кВ, ТП 10/0,4 кВ по ВЛ 10 кВ №2 ПС 110/35/10 кВ Чалтырь для технологического присоединения жилого дома Заявителя (Мелкумян А.В.) по адресу: Ростовская область, Мясниковский район, с. Крым, ул. Советская, д. 168</t>
  </si>
  <si>
    <t>Строительство ВЛ 0,4 кВ от ВЛ 0,4 кВ №2 ТП 10/0,4 кВ №2-22 по ВЛ 10 кВ №2 ПС 110/35/10 кВ Чалтырь для технологического присоединения жилого дома Заявителя (Кечеджиян О.А.) по адресу: Ростовская область, Мясниковский район, с. Крым, ул. Александра Суворова, д. 49</t>
  </si>
  <si>
    <t>Строительство ВЛ 0,4 кВ от новой ТП 10/0,4 кВ, строительство ТП 10/0,4 кВ, строительство ВЛ 10 кВ от ВЛ 10 кВ №7/8 ПС 35/10/6 кВ «Гаевка», для технологического присоединения личного подсобного хозяйства Заявителя (Нестеров Н.В.) по адресу: Ростовская область, Неклиновский район, с. Малофедоровка, ул. Лиманная, 4-б</t>
  </si>
  <si>
    <t>Строительство ВЛ 0,4 кВ от новой ТП 10/0,4 кВ, строительство ТП 10/0,4 кВ, строительство ВЛ 10 кВ от ВЛ 10 кВ №5/3 ПС 110/35/10 кВ «Троицкая-1» для технологического присоединения нежилого помещения Заявителя (ООО «Донское Казачество») по адресу: Ростовская область, г. Таганрог, шс. Николаевское, 18 Г, к.н. 61:58:005268:205 (ориентировочная протяженность ЛЭП 0,16 км; мощность силового трансформатора 250 кВА)</t>
  </si>
  <si>
    <t>Строительство ВЛ 0,4кВ от ТП 10/0,4кВ проектируемой по договору №61-1-20-0050353 от 24.04.2020 для технологического присоединения нежилого помещения Заявителя (ИП Саркисян В.В.) по адресу: Ростовская область, Неклиновский р-н, с. Троицкое, х-во СПК к-з "Россия" поле "2, к.н. 61:26:0600014:1948 (ориентировочная протяженность ЛЭП 0,15км)</t>
  </si>
  <si>
    <t>Строительство ВЛ 0,4кВ от ВЛ 0,4кВ №4 ТП 10/0,4кВ №8-3 по ВЛ 10кВ №8 ПС 110/35/10кВ Синявская для технологического присоединения жилого дома Заявителя (Клейман Н.В.) по адресу: Ростовская область, Мясниковский район, х. Веселый, ул. Дорожная, д. 9, к.н. 61:25:0060101:2751 (ориентировочная протяженность ЛЭП 0,12км)</t>
  </si>
  <si>
    <t>Строительство ВЛ 0,4 кВ от ВЛ 0,4 кВ проектируемой по договору 61-1-19-00477897 от 20.11.2019г. от ВЛ 0,4 кВ №3 КТП №672 ВЛ 10 кВ №1/3 ПС 110/35/10 кВ «Троицкая-1» для технологического присоединения жилого дома Заявителя (Луньков А.М.) по адресу: Ростовская область, Неклиновский район, с. Николаевка, ул. Пушкина, 106-К</t>
  </si>
  <si>
    <t xml:space="preserve">Строительство ВЛ 0,4 кВ от ВЛ 0,4 кВ №3 КТП 10/0,4 кВ №589 ВЛ 10 кВ №2 ПС 35/10 кВ «Покровская», для технологического присоединения личного подсобного хозяйства Заявителей (Елисеева Н.В, Минченко Ю.В.) по адресу: Ростовская область, Неклиновский район, с. Покровское, ул. Цветочная, 41, 45 </t>
  </si>
  <si>
    <t>Строительство ВЛ 0,4 кВ от новой ТП 10/0,4 кВ, строительство ТП 10/0,4 кВ, строительство ВЛ 10 кВ от опоры ВЛ 10 кВ проектируемой по договору №61-1-19-00484423 отпайки от ВЛ 10 кВ №12 ПС 110/35/10 кВ Чалтырь для технологического присоединения торгового комплекса Заявителя (ИП Меликян А.А.) по адресу: Ростовская область, Мясниковский район, с. Чалтырь, ул. Красноармейская 138 а к.н. №61:25:0101608:95 (ориентировочная протяженность ЛЭП 0,02 км, мощность силового трансформатора 160 кВА)</t>
  </si>
  <si>
    <t>Строительство ВЛ 0,4 кВ от РУ 0,4 ТП 10/0,4 кВ №3-17 по ВЛ 10 кВ №3 ПС 35/10 кВ «Петровская» для технологического присоединения квартиры заявителя Темирханов К.И. по адресу: Ростовская область, Мясниковский район, х. Чкалова ул. Дорожная 1 кв. 3 к.н.61:25:0060301:314 (ориентировочная протяженность ЛЭП 0,34 км)</t>
  </si>
  <si>
    <t>Строительство ВЛ 0,4 кВ от ВЛ 0,4 кВ №1 ТП 10/0,4 кВ №194м по ВЛ 10 кВ №4 ПС 35/10 кВ «ГСКБ» для технологического присоединения объекта туристического обслуживания Заявителя: (ИП Горбанева К.Д.), по адресу: Неклиновский район, с. Петрушино, пер. Петровский, д.16, к.н. 61:26:0180201:4258 (ориентировочная протяженность ЛЭП 0,06 км.</t>
  </si>
  <si>
    <t>Строительство ВЛ 0,4 кВ от РУ 0,4 кВ ТП 10/0,4 кВ, строительство ТП 10/0,4 кВ, строительство ВЛ 10 кВ от ВЛ 10 кВ №1 ПС 110/35/10 кВ Чалтырь для технологического присоединения Заявителя (ИП Катарян Ф.С.) по адресу: Мясниковский район, х. Красный Крым, д.1 пер. 1-й Промышленный (ориентировочная протяженность ЛЭП 0,02 км; мощность силового трансформатора – 160 кВА)</t>
  </si>
  <si>
    <t>Строительство ВЛ 0,4 кВ от РУ 0,4 кВ ТП 10/0,4 кВ, строительство ТП 10/0,4 кВ, строительство ВЛ 10 кВ от ВЛ 10 кВ №3 ПС 110/35/10 кВ Чалтырь отпайки на ТП №3-46А для технологического присоединения Заявителя: (ИП Закинян Ю.Д.) по адресу: Мясниковский район, с. Чалтырь, тер. Промзона 1, №1 (ориентировочная протяженность ЛЭП 0,07 км; мощность силового трансформатора – 160 кВА)</t>
  </si>
  <si>
    <t>Строительство ВЛ-10кВ от ВЛ-10кВ №20-04 ПС Р-20 до новой ТП-10/0,4кВ, строительство ТП-10/0,4кВ у границы земельного участка заявителя (ООО ЮМЦ) (ориентирвочная протяженность ЛЭП - 0,8км, ориентировочная мощность ТП - 250кВА)</t>
  </si>
  <si>
    <t>Строительство ВЛ 10 кВ от ВЛ 10 кВ проектируемой по договору от 19.03.2018 №61-1-18-00360949 по ВЛ 10 кВ №20-04 ПС 220/110/10 кВ Р-20 до новой ТП 10/0,4 кВ, строительство ТП 10/0,4 кВ для технологического присоединения производственного помещения заявителя ИП Шуленин О.В. по адресу: РО, Мясниковский р-н, х. Калинин, ул. Строителей 2 к.н. 61:25:0601001:3163 (ориентировочная протяженность ЛЭП - 0,005 км, ориентировочная мощность ТП – 63 кВА)</t>
  </si>
  <si>
    <t>Строительство ВЛ 10 кВ от ВЛ 10 кВ №1 ПС 110/35/10 кВ Чалтырь отпайки на ТП 10/0,4 кВ №1-133, запитанной от ВЛ 10 кВ №13 ПС 110/35/10 кВ Чалтырь, для технологического присоединения участка жилой застройки заявителя Мелконян Н.А. по адресу: Ростовская область, Мясниковский р-н, х. Ленинаван, ул. Восточная д 20/1 (ориентировочная протяженность ЛЭП - 0,53 км)</t>
  </si>
  <si>
    <t>Строительство ТП 10/0,4 кВ, строительство ВЛ 10 кВ от ВЛ 10 кВ № 2 ПС 35/10 кВ Политотдельская, для технологического присоединения сооружение-плотина Заявителя (ИП Джереджа А.Н.), по адресу: Ростовская область, Матвеево-Курганский район, 232 м в юго-западном направлении от ориентира с. Камышовка. к.н. 61:21:0600008:8:0:3. (ориентировочная протяженность ЛЭП 0,025 км; мощность силового трансформатора 25 кВА)</t>
  </si>
  <si>
    <t>Строительство ВЛ 0,4кВ от новой ТП 10/0,4кВ, строительство ТП 10/0,4кВ, строительство ВЛ 10кВ от ВЛ 10кВ №1 ПС 110/35/10кВ «Чалтырь», отпайки на ТП 10/0,4кВ №1-5А для технологического присоединения склада Заявителя (Мелконян Р.К.) по адресу: Ростовская область, Мясниковский район, х. Ленинакан, западная окраина, участок №2 к.н. №61:25:0600401:9171 (ориентировочная протяженность ЛЭП 0,04 км; мощность силового трансформатора 25кВА)</t>
  </si>
  <si>
    <t>Строительство ТП 10/0,4 кВ для технологического присоединения нежилого помещения Заявителя (Ли Ю.С.), по адресу: Ростовская область, Матвеево-Курганский район, п. Гвардейский, 300 м на северо-восток от п. Гвардейский, ул. Миусская д. 49. к.н. 61:21:0600021:740. (мощность силового трансформатора 100 кВА)</t>
  </si>
  <si>
    <t>Строительство ТП 10/0,4 кВ для технологического присоединения ЛЭП 0,4 кВ цеха по производству бетона Заявителя (ООО «Комстрой»), по адресу: Ростовская область, Матвеево-Курганский район, п. Матвеев Курган, примерно 131 м на северо-восток от ул. Одесская, д. 44. к.н. 61:21:0010179:35 (мощность силового трансформатора 63 кВА)</t>
  </si>
  <si>
    <t>Строительство ВЛ 10 кВ от ВЛ 10 кВ №4-12 ПС 35/10/6 кВ «Гаевка», для технологического присоединения насосной Заявителя (ООО «ПК-Энерго») по адресу: Ростовская область, Неклиновский район, с. Лакедемоновка, СПК-колхоз «Лиманный», к.н. 61:26:0600021:237 (ориентировочная протяженность ЛЭП 0,085 км)</t>
  </si>
  <si>
    <t>Строительство ВЛ 0,4 кВ от новой ТП 10/0,4 кВ, строительство ТП 10/0,4 кВ, строительство ВЛ 10 кВ от ВЛ 10 кВ №3, отпайки на ТП №3-9 ПС 110/35/10 кВ Чалтырь, для технологического присоединения нежилого помещения заявителя (ООО "ТМК Юг") по адресу: Ростовская область, Мясниковский район, с. Чалтырь, ул. ростовская, д. 71 б  к.н. №61:25:0101242:67 (ориентировочная протяженность ЛЭП 0,02 км, мощность силового трансформатора 63 кВА)</t>
  </si>
  <si>
    <t>Строительство ТП 10/0,4 кВ, строительство ВЛ 10 кВ от ВЛ 10 кВ №1 ПС 35/10 кВ Куйбышево-1, для технологического присоединения ВРУ-0,4кВ щебзавода заявителя (ООО «Миус-Камень») по адресу: Ростовская обл., р-н Куйбышевский, с. Русское восточнее 2515м 61:19:0600005:1295 (ориентировочная протяженность ЛЭП 0,05 км; мощность силового трансформатора 160 кВА)</t>
  </si>
  <si>
    <t>110 кВ</t>
  </si>
  <si>
    <t>2.3.2.3.3.1</t>
  </si>
  <si>
    <t>Строительство отпаечной ВЛ 110кВ от опоры №42 ВЛ 110кВ Г4-Г18 к ПС 35/110 кВ Заря, (ориентировочной протяжённостью ЛЭП- 1,665 км.)</t>
  </si>
  <si>
    <t>Строительство ЛЭП 110 кВ от опоры № 90 ВЛ 110 кВ ГПП1 – Волченская ПТФ до РУ 110 кВ Казачей ВЭС с образованием ВЛ 110 кВ ГПП1 – Волченская ПТФ с отпайкой на Казачью ВЭС (ориентировочная протяженность ЛЭП - 12,5 км)</t>
  </si>
  <si>
    <t>Строительство участка ВЛЗ-6 кВ от опоры №149 ВЛ-6 кВ №1 ПС 35/6 кВ Романовская, с установкой ТП-6/0,4 кВ, и строительство ВЛИ-0,4 кВ от вновь установленной ТП-6/0,4 кВ для присоединения Базы отдыха «Волна-2» Голохвастова М.М. (ориентировочная протяженность ЛЭП 0,276 км, ориентировочная мощность трансформатора 63 кВА)</t>
  </si>
  <si>
    <t>Строительство участка ВЛЗ-10кВ от опоры №43 ВЛ-10кВ №1 ПС 35/10/6кВ Донская, с монтажом ТП-10/0,4кВ, для присоединения сельскохозяйственного производства Пак И.В. (ориентировочная протяженность ЛЭП 0,57км, ориентировочная мощность трансформатора 25кВА)</t>
  </si>
  <si>
    <t>Строительство участка ВЛЗ-6 кВ от опоры №4 по ВЛ-6 кВ №2 ПС 35/10 кВ НС-15 , с монтажом ТП-6/0,4 кВ для присоединения хозпостройки Романченко В.А.(ориентировочная протяженность ЛЭП-0,114 км, ориентировочная мощность трансформатора - 63 кВА)</t>
  </si>
  <si>
    <t>Строительство участка ВЛ-10 кВ от опоры №46 ВЛ-10 кВ №13 ПС 35/10 кВ Андреевская, с установкой ТП-10/0,4 кВ и строительство ВЛИ-0,4 кВ от РУ-0,4 кВ вновь установленной ТП-10/0,4 кВ  для присоединения склада для сельскохозяйственной продукции главы К(Ф)Х Актемирова Т.Д., расположенного по адресу: Ростовская область, Дубовский район, станица Андреевская, ул. Кольцевая, д. 39а, к.н. 61:09:0600011:100 (ориентировочная протяженность ЛЭП 0,21 км, ориентировочная мощность трансформатора 63 кВА)</t>
  </si>
  <si>
    <t>Строительство участка ВЛЗ-6 кВ от опоры №176 ВЛ-6 кВ №1 ПС 35/6 кВ НС-12, с установкой ТП-6/0,4 кВ, и строительство ВЛИ-0,4 кВ от вновь установленной ТП-6/0,4 кВ  для присоединения административно-бытового здания Ильина С.Н., расположенного по адресу: Ростовская область, Волгодонской район, х. Семенкин, ТОО «Семенкинское», поле III раб. уч. 1 примерно в 2,8 км. от х. Семенкин по направлению на северо-запад, к.н. 61:08:0601901:13 (ориентировочная протяженность ЛЭП 0,058 км, ориентировочная мощность трансформатора 25 кВА)»</t>
  </si>
  <si>
    <t>Строительство участка ВЛЗ-6кВ от вновь установленной опоры по ВЛ-6кВ №14 ПС 35/6кВ «Романовская», с монтажом ТП-6/0,4кВ, и строительство ВЛИ-0,4кВ от вновь смонтированной ТП-6/0,4кВ для присоединения склада Шкрылевой Т.А., помещения ООО «Строймонтаж» и помещения ООО «СПЕЦЗНАК» (ориентировочная протяженность ЛЭП 0,267км, ориентировочная мощность трансформатора 100кВА)</t>
  </si>
  <si>
    <t>Строительство участка ВЛ-10кВ от опоры №123 по ВЛ-10кВ №11 ПС 35/10кВ «Рябичевская» с монтажом ТП-10/0,4кВ и строительство участка ВЛИ-0,4кВ от вновь смонтированной ТП-10/0,4кВ для присоединения мельничного цеха ООО «ПОЛИМЕРМАШ»</t>
  </si>
  <si>
    <t xml:space="preserve">Строительство участка ВЛЗ-6 кВ от вновь установленной опоры в пролете опор  №1/11-№1/12 ВЛ-6 кВ №1 ПС 35/6 кВ Потаповская, с установкой ТП-6/0,4 кВ, и строительство ВЛИ-0,4 кВ от вновь установленной ТП-6/0,4 кВ  для присоединения жилых домов Гриб Ю.А., Лемешко И.П., Зимиревой В.А., Югай В.С., Апандовой В.Н. (ориентировочная протяженность ЛЭП 0,554 км, ориентировочная мощность трансформатора 100 кВА) </t>
  </si>
  <si>
    <t>Строительство участка ВЛЗ-10 кВ от опоры №120 ВЛ-10 кВ №9 ПС 35/10 кВ Первомайская, с установкой ТП-10/0,4 кВ и строительство ВЛИ-0,4 кВ от РУ-0,4 кВ вновь установленной ТП-10/0,4 кВ  для присоединения полевого стана колхоза племзавода «Первомайский», расположенного по адресу: Ростовская область, Ремонтненский район, Первомайское сельское поселение, 61:32:0600011:1:ЗУ1(1) в 5,1 км на северо-восток от с. Первомайское, IV поле полевого севооборота 61:32:0600011:1:ЗУ1(2) в 6 км восточнее от с. Первомайское, 33 отарный участок, кадастровый номер земельного участка: 31:32:0600011:980 (ориентировочная протяженность ЛЭП 0,361 км, ориентировочная мощность трансформатора 25 кВА)</t>
  </si>
  <si>
    <t>Строительство участка ВЛЗ-10 кВ от опоры №3/22 по ВЛ-10 кВ №7 ПС 110/35/10 кВ Комаровская, с установкой ТП-10/0,4 кВ, для присоединения детского сада на 160 мест Администрации Мартыновского района (ориентировочная протяженность ЛЭП 0,126 км, ориентировочная мощность трансформатора 160 кВА)</t>
  </si>
  <si>
    <t>Строительство участка ВЛЗ-6 кВ от опоры №10 ВЛ-6 кВ №1 ПС 35/6 кВ Романовская, с установкой ТП-6/0,4 кВ, и строительство ВЛИ-0,4 кВ от вновь установленной ТП-6/0,4 кВ  для присоединения загона для скота ИП Главы К(Ф)Х Сиротенко А.С., расположенного по адресу: Ростовская область, Волгодонской район, станица Романовская, 10 метров восточнее пер.Шмутовой, д. 2г, к.н. 61:08:0070133:61 (ориентировочная протяженность ЛЭП 0,051 км, ориентировочная мощность трансформатора 25 кВА)</t>
  </si>
  <si>
    <t>Строительство участка ВЛЗ-10 кВ от опоры №108 ВЛ-10 кВ №11 ПС 35/10 кВ Николаевская, с установкой ТП-10/0,4 кВ и строительство ВЛИ-0,4 кВ от РУ-0,4 кВ вновь установленной ТП-10/0,4 кВ  для присоединения объекта незавершенного строительства (фундамент птичника) ИП главы К(Ф)Х Гончара П.В., расположенного по адресу: Ростовская область, Константиновский район, примерно в 0,65 км от ст. Николаевская по направлению на юго-запад, к.н. 61:17:0600015:1006 (ориентировочная протяженность ЛЭП 0,365 км, ориентировочная мощность трансформатора 63 кВА)</t>
  </si>
  <si>
    <t>Строительство ВЛИ-0,4 кВ от вновь устанавливаемой ТП-10/0,4 кВ от вновь построенного участка ВЛЗ-10 кВ от опоры №120 ВЛ-10 кВ №5 ПС 35/10 кВ Виноградная  для присоединения теплиц Ким Л.М. и Ким Е.Ч-Г. (ориентировочная протяженность ЛЭП 0,035 км, ориентировочная мощность трансформатора 40 кВА)</t>
  </si>
  <si>
    <t>Строительство участка ВЛЗ-6 кВ от опоры №9/6 ВЛ-6 кВ №5 ПС 35/6 кВ Романовская, с установкой ТП-6/0,4 кВ, и строительство ВЛИ-0,4 кВ от вновь установленной ТП-6/0,4 кВ для присоединения жилого дома Суворовой Л.М, расположенного по адресу: Ростовская область, Волгодонской район, станица Романовская, ул. Базарная, д. 44а, к.н. 61:08:0070126:590 (ориентировочная протяженность ЛЭП 0,133 км, ориентировочная мощность трансформатора 160 кВА)</t>
  </si>
  <si>
    <t>Строительство участка ВЛЗ-10 кВ от опоры №95 ВЛ-10 кВ №2 ПС 35/10 кВ Рассвет, с установкой ТП-10/0,4 кВ, и строительство ВЛИ-0,4 кВ от вновь установленной ТП-10/0,4 кВ  для присоединения станции технического обслуживания ИП главы К(Ф)Х Новикова Т.Н., расположенной по адресу: Ростовская область, Мартыновский район, п. Зеленолугский, Зеленолугское сельское поселение,  к.н. 61:20:0600005:1219 (ориентировочная протяженность ЛЭП 0,025 км, ориентировочная мощность трансформатора 25 кВА)»</t>
  </si>
  <si>
    <t>Строительство участка ВЛЗ-6 кВ от опоры №190 ВЛ-6 кВ №1 ПС 35/6 кВ Романовская, с установкой ТП-6/0,4 кВ и строительство ВЛИ-0,4 кВ от РУ-0,4 кВ вновь установленной ТП-6/0,4 кВ  для присоединения здания спального домика Семенцова В.В.и спального домика №1 Манушина А.А., расположенных по адресу: Ростовская область, г. Волгодонск, ул. Отдыха, д.5, к.н. 61:48:0020101:46 и д.5с, к.н. 61:48:0020101:1392 (ориентировочная протяженность ЛЭП 0,455 км, ориентировочная мощность трансформатора 160 кВА)</t>
  </si>
  <si>
    <t>Строительство участка ВЛЗ-10 кВ от вновь установленной опоры в пролете опор №89 - №90 ВЛ-10 кВ №11 ПС 35/10 кВ Николаевская, с установкой ТП-10/0,4 кВ и строительство ВЛИ-0,4 кВ от РУ-0,4 кВ вновь установленной ТП-10/0,4 кВ для присоединения жилого дома Гулакова А.С., расположенного по адресу: Ростовская область, Константиновский район, станица Николаевская, ул. Карла Маркса, д.86, к.н. 61:17:0050101:2324 (ориентировочная протяженность ЛЭП 0,175 км, ориентировочная мощность трансформатора 25 кВА)</t>
  </si>
  <si>
    <t>Строительство ВЛ-10 кВ от опоры № 10/1 по ВЛ-10 кВ № 5 ПС 35/10 кВ «Кружилинская» с установкой КТП и строительством ВЛ-0,4 кВ, для электроснабжения строительства комплекса приемки, очистки и сушки зерновых культур заявителя, ООО «Медведь», расположенного в Ростовской области, Шолоховский р-н, х. Кружилинский,  (61:43:0600017:716) (ориентировочная   протяженность ЛЭП – 0,06 км, ориентировочная мощность ТП – 0,630 МВА)</t>
  </si>
  <si>
    <t>Строительство ТП 6/0,4 кВ, ВЛ 6 кВ, ВЛ 0,4 кВ от ВЛ 6 кВ №806 ПС 35 кВ АС8 для электроснабжения агропромышленного комплекса “Аксай” на участках с КН 61:02:0600009:2255, 61:02:0600009:2283 в Аксайском районе Ростовской области (ориентировочная мощность трансформатора 0,400 МВА, ориентировочная протяжённость ЛЭП 1,104 км)</t>
  </si>
  <si>
    <t>Строительство КТПН 10/0,4 кВ, ВЛ 10 кВ, ВЛ 0,4 кВ от ВЛ 10 кВ №101 ПС 110 кВ АС1 для электроснабжения ВРУ 0,4 кВ жилых домов по ул. Станичная, ул. Товарищей ул. Цветочная в х. Махин Аксайского района Ростовской области (ориентировочная мощность трансформатора 0,100МВА, ориентировочная протяжённость ЛЭП 0,776км)</t>
  </si>
  <si>
    <t>Строительство ТП 6/0,4кВ, ВЛ 6кВ, ВЛ 0,4кВ от ВЛ 6кВ №806 ПС 35 кВ АС8 для электроснабжения склада Поповой Т. А. на участке с КН 61:02:0600011:1998 в п. Опытный Аксайского района Ростовской области (ориентировочная мощность трансформатора 0,160 МВА, ориентировочная протяжённость ЛЭП 0,085 км)</t>
  </si>
  <si>
    <t>Строительство КТПН 10/0,4 кВ, ВЛ 10 кВ, ВЛ 0,4 кВ от ВЛ 10 кВ №706 ПС 35 кВ АС7 для электроснабжения ВРУ 0,4 кВ жилых домов по ул. Мелиховская, ул. Абрикосовая, ул. Вешенская, ул. Ореховая в п. Красный Колос Аксайского района Ростовской области (ориентировочная   мощность трансформатора 0,630 МВА, ориентировочная протяжённость ЛЭП 3,239 км)</t>
  </si>
  <si>
    <t>Строительство ТП 10/0,4 кВ, ВЛ 10 кВ, ВЛ 0,4 кВ от опоры №63 ВЛ 10 кВ №911 ПС 35 кВ СМ9 для электроснабжения насосной станции, заявителя ИП Глава КФХ Недостоева С.А. на участке с к.н.61:35:0600014:453 по адресу: Ростовская область, Семикаракорский  район,  примерно в 784 м на восток от х. Слободской (ориентировочная мощность трансформатора 0,16 МВА, ориентировочная протяжённость ЛЭП 0,445 км)</t>
  </si>
  <si>
    <t xml:space="preserve">Строительство ТП 10/0,4 кВ, ВЛ 10 кВ, ВЛ 0,4 кВ от опоры №62 ВЛ 10 кВ №911 ПС 35 кВ СМ9 для электроснабжения складского помещения, заявителя ИП Глава КФХ Недостоева С.А. на участке с к.н.61:35:0600014:330 по адресу: Ростовская область, Семикаракорский  район,  примерно в 1460 м на восток от х. Слободской </t>
  </si>
  <si>
    <t>Строительство КТПН 10/0,4 кВ, ВЛ 10 кВ, ВЛ 0,4 кВ от ВЛ 10 кВ №1406 ПС 35 кВ АС14 для электроснабжения ВРУ 0,4 кВ жилых домов на участке №5 (секция 1) в п. Рассвет Аксайского района Ростовской области (ориентировочная мощность трансформатора 0,160 МВА, ориентировочная протяжённость ЛЭП 0,816 км)</t>
  </si>
  <si>
    <t>Строительство ВЛ 10кВ от ВЛ 10кВ 33 ПС 35кВ Большие Салы для электроснабжения здания Курузьян М.Х. на участке с КН 61:02:0600006:5600 в п.Щепкин Аксайского района Ростовской области (ориентировочная протяженность ЛЭП 0,100км)</t>
  </si>
  <si>
    <t>Строительство ТП 6/0,4 кВ, ВЛ 6 кВ, ВЛ 0,4 кВ от ВЛ 6 кВ №1 ПС 110 кВ БТ3 для электроснабжения магазина ИП Аваковой Т. В. на участке с КН 61:01:0130201:4506 в п. Красный Сад Азовского района Ростовской области (ориентировочная мощность трансформатора 0,250 МВА, ориентировочная протяжённость ЛЭП 0,195 км)</t>
  </si>
  <si>
    <t>Строительство КТПН 6/0,4кВ, ВЛ 6кВ, ВЛ 0,4кВ от ВЛ 6кВ (по договору №61-1-17-00338453 от 12.10.2017 г.) для электроснабжения жилого дома и дачных домов по адресу: Ростовская обл., Аксайский р-н, п. Опытный, садовое товарищество “Акрос” (ориентировочная мощность трансформатора 0.250МВА, ориетировочная протяжённость ЛЭП 1,117км)</t>
  </si>
  <si>
    <t>Строительство КТПН 10/0,4 кВ, ВЛ 10 кВ, ВЛ 0,4 кВ от ВЛ 10 кВ №1407 ПС 35 кВ АС14 для электроснабжения ВРУ 0,4 кВ нежилого здания Барашевой Т. П. на участке с КН 61:02:0600010:4886 в х. Камышеваха Аксайского района Ростовской области (ориентировочная мощность трансформатора 0,025 МВА, ориентировочная протяжённость ЛЭП 0,060 км)</t>
  </si>
  <si>
    <t>Строительство КТПН 6/0,4 кВ, ВЛ 6 кВ, ВЛ 0,4 кВ от ВЛ 6 кВ №3 РП6 КЛ 6 кВ №340 ПС 110 кВ БТ3 для электроснабжения ВРУ 0,23 кВ жилых домов Иванова О. В. по ул. Победы, 25, 25А в п. Красный Сад Азовского района Ростовской области (ориентировочная мощность трансформатора 0,025 МВА, ориентировочная протяжённость ЛЭП 0,263 км)</t>
  </si>
  <si>
    <t>Строительство ТП 10/0,4 кВ, ВЛ 0,4 кВ, ВЛ 10 кВ от ВЛ 10 кВ №608 ПС 35 кВ СМ6 для электроснабжения дома культуры заявителя Муниципальное бюджетное учреждение "Культура" Администрации Большемечетновского сельского поселения по адресу: Ростовская обл., р-н. Семикаракорский, х. Большемечетный, ул. Советская, д. 10, корп. а, к.н.: 61:35:0020101:1677. (ориентировочная мощность трансформатора 0,063 МВА, ориентировочная протяжённость ЛЭП 0,105 км)</t>
  </si>
  <si>
    <t>Строительство ТП 10/0,4 кВ, ВЛ 10 кВ, ВЛ 0,4 кВ от ВЛ 10 кВ №403 ПС 110 кВ АС4 для электроснабжения ВРУ 0,4 кВ магазина ООО “Ольгинское кооппредприятие Аксайского Райпо” по ул. Рабочая, 41 в х. Ленина Аксайского района Ростовской области (ориентировочная мощность трансформатора 0,100 МВА, ориентировочная протяжённость ЛЭП 0,198 км)</t>
  </si>
  <si>
    <t>Строительство ТП 10/0,4 кВ, ВЛ 10 кВ, ВЛ 0,4 кВ от ВЛ 10 кВ №3 ПС 35 кВ Б. Салы для электроснабжения нежилого здания ИП Танага С. С. на участке с КН 61:02:0600006:6034 в п. Щепкин Аксайского района Ростовской области (ориентировочная мощность трансформатора 0,100 МВА, ориентировочная протяжённость ЛЭП 0,065 км)</t>
  </si>
  <si>
    <t>Строительство КТПН 6/0,4 кВ, ВЛ 6 кВ, ВЛ 0,4 кВ от ВЛ 6 кВ №805 ПС 35 кВ АС8 для электроснабжения ВРУ 0,4 кВ жилых домов по ул. Успешная, ул. Учебная и на участке с КН 61:02:0600011:1910 в х. Большой Лог Аксайского района Ростовской области (ориентировочная мощность трансформатора 0,250 МВА, ориентировочная протяжённость ЛЭП 0,503 км)</t>
  </si>
  <si>
    <t>Строительство ТП 10/0,4 кВ, ВЛ 10 кВ, ВЛ 0,4 кВ от ВЛ 10 кВ №101 ПС 110 кВ АС1 для электроснабжения нежилого здания ИП Харченко А.В. на участке с КН 61:02:0090103:2988 в ст-це Ольгинская Аксайского района Ростовской области (ориентировочная мощность трансформатора 0,250 МВА, ориентировочная протяжённость ЛЭП 0,080 км)</t>
  </si>
  <si>
    <t>Строительство ВЛ-0,4кВ, КТП 10/0,4кВ, ВЛ-10кВ от опоры №80 ВЛ-10кВ №609 ПС 35кВ СМ-6 для электроснабжения некапитального строения заявителя ООО "Юг-Недра" по адресу: Ростовская обл., Семикаракорский р-н, на расстоянии примерно 220м по направлению на север от северной границы х. Вислый, к.н. 61:35:0600006:330 (ориентировочная мощность трансформатора 0,250МВА, ориентировочная протяженность ЛЭП 0,023км)</t>
  </si>
  <si>
    <t>Строительство ТП 10/0,4 кВ, ВЛ 10 кВ, ВЛ 0,4 кВ от ВЛ 10 кВ №105 ПС 110 кВ АС1 для электроснабжения магазина Рогальского А. В. на участке с КН 61:02:0090102:3809 в ст-це Ольгинская Аксайского района Ростовской области (ориентировочная мощность трансформатора 0,250 МВА, ориентировочная протяжённость ЛЭП 0,040 км)</t>
  </si>
  <si>
    <t>Строительство КТПН 6/0,4 кВ, ВЛ 0,4 кВ, ВЛ 6 кВ от ВЛ 6 кВ №603 ПС 110 кВ АС6 для электроснабжения ВРУ 0,4 кВ жилого дома Гиголян Г. С. на участке с КН 61:02:0600013:1277 в ст-це Старочеркасская Аксайского района Ростовской области (ориентировочная мощность трансформатора 0,025 МВА, ориентировочная протяжённость ЛЭП 0,060 км)</t>
  </si>
  <si>
    <t>Строительство ТП 6/0,4 кВ, ВЛ 6 кВ, ВЛ 0,4 кВ от ВЛ 6 кВ №807 ПС 35 кВ АС8 для электроснабжения нежилого помещения ИП Телегина С. Е. по ул. Молодежная, 1/1 в х. Большой Лог Аксайского района Ростовской области (ориентировочная мощность трансформатора 0,250 МВА, ориентировочная протяжённость ЛЭП 0,135 км)</t>
  </si>
  <si>
    <t>Строительство ТП 10/0,4 кВ, ВЛ 10 кВ, ВЛ 0,4 кВ от ВЛ 10 кВ №103 ПС 110 кВ АС1 для электроснабжения нежилого помещения ИП Цыганкова В. Ю. на участке с КН 61:02:0050201:2190 в х. Островского Аксайского района Ростовской области (ориентировочная мощность трансформатора 0,250 МВА, ориентировочная протяжённость ЛЭП 0,308 км)</t>
  </si>
  <si>
    <t>Строительство ТП-10/0,4кВ, ВЛ-10кВ от ВЛ-10кВ №403 ПС 110кВ АС-4 для электроснабжения спортивного комплекса на уч-ке с кад.ном. 61:02:0060101:3107 в х.Ленина аксайского района Ростовской области (ориентировочная мощность трансформатора 0,063МВА, ориентировочная протяженность ЛЭП-0,1км)</t>
  </si>
  <si>
    <t>Строительство КТПН 10/0,4 кВ, ВЛ 0,4 кВ, ВЛ 10 кВ от ВЛ 10 кВ №657 ПС 110 кВ АС6 для электроснабжения ВРУ 0,4 кВ жилого дома Алабина И. В. по пер. Западный, 21 в ст-це Старочеркасская Аксайского района Ростовской области (ориентировочная мощность трансформатора 0,025 МВА, ориентировочная протяжённость ЛЭП 0,143 км)</t>
  </si>
  <si>
    <t>Строительство ТП 6/0,4 кВ, ВЛ 6 кВ, ВЛ 0,4 кВ от ВЛ 6 кВ №807 ПС 35  кВ АС8 для электроснабжения нежилого помещения Рогальского А. В. на участке с КН 61:02:0600010:4585 в х. Большой Лог Аксайского района Ростовской области (ориентировочная мощность трансформатора 0,250 МВА, ориентировочная протяжённость ЛЭП 0,404км)</t>
  </si>
  <si>
    <t>Строительство ТП 10/0,4 кВ, ВЛ 10 кВ, ВЛ 0,4 кВ от ВЛ 10 кВ №105 ПС 110 кВ АС1 для электроснабжения ВРУ 0,4 кВ личного подсобного хозяйства Быкадоровой А. А. на участке с КН 61:02:0600015:6833 в ст-це Ольгинская Аксайского района Ростовской области (ориентировочная мощность трансформатора 0,250 МВА, ориентировочная протяжённость ЛЭП 0,060 км)</t>
  </si>
  <si>
    <t>Строительство ТП 10/0,4 кВ, ВЛ 0,4 кВ, ВЛ 10 кВ от ВЛ 10 кВ №1208 ПС 110 кВ АС12 для электроснабжения нежилого здания ООО “Гольфстрим” по ул. Первомайская, 18А в п. Щепкин Аксайского района Ростовской области (ориентировочная мощность трансформатора 0,063 МВА, ориентировочная протяжённость ЛЭП 0,020 км)</t>
  </si>
  <si>
    <t>Строительство КТПН 6/0,4 кВ, ВЛ 0,4 кВ, ВЛ 6 кВ от ВЛ 6 кВ №806 ПС 35 кВ АС8 для электроснабжения производственно-складских помещений ИП Дедух В. И. на участке с КН 61:02:0600011:2258, 61:02:0600011:2255 в п. Реконструктор Аксайского района Ростовской области (ориентировочная мощность трансформатора 0,160 МВА, ориентировочная протяжённость ЛЭП 0,020 км)</t>
  </si>
  <si>
    <t>Строительство ТП 10/0,4 кВ, ВЛ 0,4 кВ, ВЛ 10 кВ от ВЛ 10 кВ №403 ПС 110 кВ АС4 для электроснабжения жилого дома Диканского А. И. по ул. Яблоневая, 2 в х. Истомино Аксайского района Ростовской области (ориентировочная мощность трансформатора 0,063 МВА, ориентировочная протяжённость ЛЭП 0,268 км)</t>
  </si>
  <si>
    <t>Строительство ТП 10/0,4 кВ, ВЛ 0,4 кВ, ВЛ 10 кВ от ВЛ 10 кВ №1208 ПС 110 кВ АС12 для электроснабжения жилого дома Котеневой Е. В. по ул. Первомайская, 36Б в п. Щепкин Аксайского района Ростовской области (ориентировочная мощность трансформатора 0,160 МВА, ориентировочная протяжённость ЛЭП 0,210 км)</t>
  </si>
  <si>
    <t>Строительство КТП 6/0,4 кВ, ВЛ 0,4 кВ, ВЛ 6 кВ от ВЛ 6 кВ №807 ПС 35/6 кВ АС8 для электроснабжения ВРУ 0,4 кВ песчаного карьера на участке с кадастровым номером 61:02:0600009:2714 в Аксайском районе Ростовской области (ориентировочная мощность трансформатора 0,250 МВА, ориентировочная протяжённость ЛЭП 1,583 км)</t>
  </si>
  <si>
    <t>Строительство ТП 10/0,4 кВ, ВЛ 10 кВ, ВЛ 0,4 кВ от ВЛ 10 кВ №706 ПС 35 кВ АС7 для электроснабжения станции технического обслуживания ИП Расторгуева М. Ю. на участке с КН 61:02:0600008:658 в п. Рассвет Аксайского района Ростовской области (ориентировочная мощность трансформатора 0,250 МВА, ориентировочная протяжённость ЛЭП 0,060 км)</t>
  </si>
  <si>
    <t>Строительство двух ТП 10/0,4 кВ, КЛ 0,4 кВ, ВЛ 10 кВ от ВЛ 10 кВ №105 ПС 110 кВ АС1, ВЛ 10 кВ №104 ПС 110 кВ АС1 для электроснабжения объекта коммунального обслуживания ООО "Ростовпак" на участке с КН 61:02:0600015:7021 в ст-це Ольгинская Аксайского района ростовской области (ориентировочная мощность трансформаторов 0,500 МВА, ориентировочная протяженность ЛЭП 2,500 км)</t>
  </si>
  <si>
    <t>Строительство КТП 10/0,4 кВ, ВЛ 0,4 кВ, ВЛ 10 кВ от ВЛ 10 кВ №305 ПС 35 кВ БГ3 для электроснабжения ВРУ-0,4 кВ песчаного карьера Белянинский 2 заявителя АО «Ростовский порт» по адресу: Ростовская обл., р-н. Багаевский, х. Белянин, примерно 750 м по направлению на северо-запад от ориентира перекресток ул. Социалистическая-пер. Мирный в х. Белянин, к.н.: 61:03:0600004:977</t>
  </si>
  <si>
    <t>Строительство ТП 6/0,4 кВ, ВЛ 0,4 кВ, ВЛ 6 кВ от ВЛ 6 кВ №806 ПС 35 кВ АС8 для электроснабжения складских помещений ООО СП “Искра” на участке с КН 61:02:0000000:6799 в п. Реконструктор Аксайского района Ростовской области (ориентировочная мощность трансформатора 0,250 МВА, ориентировочная протяжённость ЛЭП 0,020 км)</t>
  </si>
  <si>
    <t>Строительство ТП 10/0,4 кВ, ВЛ 10 кВ, ВЛ 0,4 кВ от опоры №57  ВЛ 10 кВ №1101 ПС 35 кВ СМ11 для электроснабжения ВРУ 0,4 кВ на  земельном участке  заявителя Пак А.Е.  по адресу: Ростовская обл., р-н. Семикаракорский, контур поля № 9 массива земель реорганизованного сельскохозяйственного предприятия СПК «Вершинный» к.н.: 61:35:0600013:363</t>
  </si>
  <si>
    <t>Строительство двух ТП 6/0,4 кВ с подключением от опор №7 и №16 по ВЛ-6 кВ №207Н ПС 110/6/10 кВ, ВЛИ-0,4 кВ; строительство ВЛИ-0,4 кВ от опор №350-12, №350-44 по ВЛ-0,4 кВ №1, №350-53, №350-57, по ВЛ-0,4 кВ №2, №350-62 по ВЛ-0,4 кВ №3, №350-38 по ВЛ-0,4 кВ №4  от КТП 6/0,4 кВ №350 ВЛ-6 кВ №207Н ПС 110/6/10 кВ НС-2 для электроснабжения 33 участков заявителей СНТ «Квант», Азовский район, Ростовская область (ориентировочная протяженность ЛЭП– 4,4 км, ориентировочная трансформаторная мощность –1 х 0,160 МВА, 1 х 0,250МВА)</t>
  </si>
  <si>
    <t>Строительство ВЛ-10 кВ от оп. №6-152 ВЛ-10 кВ №801 ПС 35/10 кВ А-8, ТП-10/0,4 кВ, ВЛИ-0,4 кВ для подключения жилого дома заявителя Порцева В.И. Азовский район Ростовская область (ориентировочная протяженность ЛЭП – 0,08 км, ориентировочная трансформаторная мощность – 0,025 МВА)</t>
  </si>
  <si>
    <t xml:space="preserve">Строительство ВЛ-10 кВ от оп. №44 ВЛ-10 кВ №1815 ПС 35/10 кВ А-18, ТП-10/0,4 кВ, ВЛИ-0,4 кВ для подключения 8 жилых домов х.Обуховка, Азовский район Ростовская область (ориентировочная протяженность ЛЭП – 0,770 км, ориентировочная трансформаторная мощность – 0,160 МВА) </t>
  </si>
  <si>
    <t>Строительство ВЛ 10кВ от оп. №102 ВЛ 10кВ №3127 ПС 110/35/10кВ А-31, строительство ТП 10/0,4кВ, строительство участка ВЛ-0,4кВ для подключения жилых домов Богодух Н.А., Погнерыбко В.Н., Потакова А.Ф., Царенко О.Н., Рыжковой А.В. Х. Береговой, Азовский район Ростовская область (ориентировочная протяженность ЛЭП-0,980км, ориентировочная трансформаторная мощность - 0,1МВА)</t>
  </si>
  <si>
    <t xml:space="preserve">Строительство ВЛ-10 кВ от опоры №54 ВЛ-10 кВ №107Н ПС 110/10/6 кВ НС-1, ТП-10/0,4 кВ, ВЛИ-0,4 кВ для подключения производственной базы заявителя ООО «ИРС Групп», п. Овощной, Азовский р-он, Ростовская область (ориентировочная протяженность ЛЭП – 0,09 км, ориентировочная трансформаторная мощность – 0,160 МВА) </t>
  </si>
  <si>
    <t>Строительство ВЛ-10 кВ от опоры №120 ВЛ-10 кВ №3113 ПС 110/35/10 кВ А-31, ТП-10/0,4 кВ, ВЛИ-0,4 кВ для подключения жилых домов заявителей Барсукова Е.Б., Жиряковой Е.В., с.Пешково, Азовский р-он, Ростовская область (ориентировочная протяженность ЛЭП – 0,495 км, ориентировочная трансформаторная мощность – 0,063 МВА)</t>
  </si>
  <si>
    <t>Строительство ВЛ-10 кВ, установка ТП-10/0,4 кВ, строительство участка ВЛ-0,4 кВ для подключения здания заявителя Снимщикова Е.М. Зерноградский район Ростовская область (ориентировочная протяженность ЛЭП– 0,33 км, ориентировочная трансформаторная мощность – 0,025 МВА)</t>
  </si>
  <si>
    <t>Строительство ВЛ-10кВ от проектируемой опоры ВЛ-10кВ №202Н ПС 110/6/10кВ НС-2, установка ТП-10/0,4кВ, строительство участка ВЛИ-0,4кВ (по договору ТП №61-1-17-00352919 от 22.01.2018г.) для подключения жилых домов заявителей Бирюкова Б.А., Утеулиевой О.В., Каревской С.Г. Азовский район Ростовская область (ориентировочная протяженность ЛЭП – 0,6км, ориентировочная трансформаторная мощность – 0,04МВА</t>
  </si>
  <si>
    <t>Строительство ВЛ-10 кВ от проектируемой опоры  ВЛ-10 кВ №202Н ПС 110/6/10 кВ НС-2, установка ТП-10/0,4 кВ, строительство участка ВЛ-0,4 кВ (по договору ТП №61-1-17-00352937 от 22.01.2018г.)  для подключения жилых домов заявителей Рустамян А.К., Дончик Е.В. Азовский район Ростовская область (ориентировочная протяженность ЛЭП – 1,254 км, ориентировочная трансформаторная мощность – 0,025 МВА)</t>
  </si>
  <si>
    <t xml:space="preserve">Строительство ВЛ-10 кВ от оп. №5-17/8 ВЛ-10 кВ №107Н ПС 110/6/10 кВ НС-1, строительство ТП-10/0,4 кВ, строительство участка ВЛ-0,4 кВ для подключения жилых домов заявителей Мищенко Н.В., Борисов С.С., Змушко Ф.В., Азовский район Ростовская область (ориентировочная протяженность ЛЭП – 0,345 км, ориентировочная трансформаторная мощность – 0,040 МВА) </t>
  </si>
  <si>
    <t>Строительство ВЛ-10 кВ от оп. №43 ВЛ-10 кВ №1815 ПС 35/10 кВ А-18, ТП-10/0,4 кВ, ВЛИ-0,4 кВ для электроснабжения жилого дома заявителя Венедиктова Н.Н. х.Дугино, Азовский район Ростовская область (ориентировочная протяженность ЛЭП– 0,980 км, ориентировочная трансформаторная мощность – 0,16 МВА)</t>
  </si>
  <si>
    <t xml:space="preserve">Строительство ВЛ-10 кВ от опоры №3-98 ВЛ-10 кВ №1815 ПС 35/10 кВ А-18, ТП-10/0,4 кВ, ВЛИ-0,4 кВ для подключения  нежилого здания ООО «Мястроном» х.Колузаево Азовский р-он, Ростовская область (ориентировочная протяженность ЛЭП – 0,070 км, ориентировочная трансформаторная мощность – 0,16 МВА) </t>
  </si>
  <si>
    <t>Строительство ЛЭП-10кВ от оп. №13-180 ВЛ-10кВ №1101 ПС 35/10кВ «А-11», ТП-10/0,4кВ, ЛЭП-0,4 кВ для электроснабжения хоз. постройки заявителя ИП Курбацкий П.П. с. Кагальник Азовский район Ростовская область (ориентировочная протяженность ЛЭП– 0,06км, ориентировочная трансформаторная мощность – 0,250МВА)</t>
  </si>
  <si>
    <t>Строительство ВЛ-6 кВ от оп. №2 ВЛ-6 кВ №207Н ПС 110/6/10 кВ НС-2, ТП-6/0,4 кВ, ВЛИ-0,4 кВ для подключения объектов 11 заявителей Азовский район Ростовская область (ориентировочная протяженность ЛЭП – 1,885 км, ориентировочная трансформаторная мощность – 0,250 МВА)</t>
  </si>
  <si>
    <t>Строительство ЛЭП-10 кВ от оп. №41 ВЛ-10 кВ № 910 ПС 35/10 кВ «А-9», ТП-10/0,4 кВ, ЛЭП-0,4 кВ, для электроснабжения нежилого помещения заявителя Пищеренко В.Н., в границах КСП им.XX Партсъезда, Азовский район Ростовская область (ориентировочная протяженность ЛЭП– 0,700 км, ориентировочная трансформаторная мощность – 0,250 МВА</t>
  </si>
  <si>
    <t>Строительство ВЛ-10 кВ, ТП-10/0,4 кВ, ВЛ-0,4 кВ для электроснабжения РТС Мечетинская заявителя ФГУП «Ростовский ОРТПЦ» Зерноградский район Ростовская область (ориентировочная протяженность ЛЭП– 0,330км, ориентировочная трансформаторная мощность – 0,100МВА)</t>
  </si>
  <si>
    <t>Строительство ВЛ-10 кВ от опоры №167 ВЛ-10 кВ №3209 ПС 110/35/10 кВ А-32, ТП-10/0,4 кВ, ВЛИ-0,4 кВ, для электроснабжения насосной станции ИП Главы К(Ф)Х Гречкина Г.В. х. Христичево, Азовский район, Ростовская область (ориентировочная протяженность ЛЭП - 1,090 км, ориентировочная трансформаторная мощность - 0,250 МВА)</t>
  </si>
  <si>
    <t>Строительство ВЛ-10 кВ от оп. №5-36 ВЛ-10 кВ № 1901 ПС 110/35/10 кВ Самарская, ТП-10/0,4 кВ, ВЛИ-0,4 кВ, для электроснабжения колбасного цеха ИП Колесниковой Т.И. п. Каяльский, Азовский район Ростовская область (ориентировочная протяженность ЛЭП– 0,380 км, ориентировочная трансформаторная мощность – 0,100 МВА)</t>
  </si>
  <si>
    <t>Строительство ВЛ-10 кВ от оп. №137 ВЛ-10 кВ №1908 РП-19 ПС 110/35/10 кВ Самарская, ТП-10/0,4 кВ, ВЛИ-0,4 кВ для подключения кафетерия заявителя Торосян А.О. Азовский район Ростовская область (ориентировочная протяженность ЛЭП – 3,230 км, ориентировочная трансформаторная мощность – 0,025 МВА)</t>
  </si>
  <si>
    <t>Строительство ТП-10/0,4 кВ от опоры №110 ВЛ 10 кВ №1001 ПС 110/35/10кВ Самарская, ВЛИ-0,4кВ для электроснабжения складского помещения заявителя ИП Левченкова А.А. х. Победа Азовский район, Ростовская область (ориентировочная протяженность ЛЭП– 0,03км, ориентировочная трансформаторная мощность – 0,160МВА)</t>
  </si>
  <si>
    <t>Строительство ЛЭП-10 кВ от оп. №167 ВЛ-10 кВ №313 ПС 35/10 кВ «КГ-3», ТП-10/0,4 кВ, ЛЭП-0,4 кВ, для электроснабжения комплекса дорожного сервиса заявителя ИП Жуков А.Н. 34000 м. на юг от южной границы п. Березовая Роща, Кагальницкий район, Ростовская область (ориентировочная протяженность ЛЭП– 0,03 км, ориентировочная трансформаторная мощность – 0,250 МВА)</t>
  </si>
  <si>
    <t>Строительство участка ЛЭП-10 кВ от оп. №55 ВЛ-10 №205 ПС 35/10 кВ "КГ-2" для электроснабжения производственной базы заявителя Гладуненко А.В., Кагальницкая ст., Кагальницкий район, Ростовская область (ориентировочная протяженность ЛЭП - 0,250 км)</t>
  </si>
  <si>
    <t>Строительство ВЛ-10 кВ от оп. №142 по ВЛ-10кВ №805 ПС 110/10 кВ «БОС», ТП-10/0,4 кВ, ВЛ-0,4 кВ и системы учета электрической энергии (мощности) на границе земельного участка для электроснабжения нежилого здание заявителя ООО «Ритм», поле №69 в границах плана земель АО «Родина», Аксайский район Ростовская область (ориентировочная протяженность ЛЭП– 0,030 км, ориентировочная трансформаторная мощность – 0,250 МВА)</t>
  </si>
  <si>
    <t xml:space="preserve">Строительство ВЛ-10 кВ от оп. № 6-110 ВЛ-10 кВ № 1507 ПС 110/10 кВ «ЗР-15», ТП-10/0,4 кВ, ВЛИ-0,4 кВ для электроснабжения 28 участков заявителей СТ «Дружба», Зерноградский район Ростовская область (ориентировочная протяженность ЛЭП– 2,87 км, ориентировочная трансформаторная мощность – 0,63 МВА) </t>
  </si>
  <si>
    <t>Строительство ЛЭП-10 кВ от оп. №64 ВЛ-10 кВ № 215 ПС 35/10 кВ «КГ-2», ТП-10/0,4 кВ, ЛЭП-0,4 кВ, для электроснабжения малоэтажного жилого дома заявителя ИП Козиной Т.В. п. Малиновка, Кагальницкий район Ростовская область (ориентировочная протяженность ЛЭП– 0,280 км, ориентировочная трансформаторная мощность – 0,250 МВА)</t>
  </si>
  <si>
    <t>Строительство ВЛ-10 кВ, установка ТП-10/0,4 кВ, строительство участка ВЛ-0,4 кВ для подключения нежилого помещения заявителя Джагацпанян Ш.С. Зерноградский район Ростовская область (ориентировочная протяженность ЛЭП– 0,400 км, ориентировочная трансформаторная мощность– 0,16 МВА)</t>
  </si>
  <si>
    <t xml:space="preserve">Строительство КВЛ-10 кВ, двух ТП-10/0,4 кВ, ВЛИ-0,4 кВ для обеспечения I, II и III категории надежности электроснабжения дома-интерната по заявке Министерства труда и социального развития, Азовский район, х. Новоалександровка (ориентировочная протяженность ЛЭП– 1,335 км, ориентировочная трансформаторная мощность – 2*0,400МВА) </t>
  </si>
  <si>
    <t>Строительство ВЛ-10 кВ от оп. №1-212 ВЛ-10 кВ №808 ПС 110/10 кВ БОС, ТП-10/0,4 кВ, ВЛИ-0,4 кВ для электроснабжения столовой заявителя ИП Коваленко О.Н. рзд. Койсугский, Азовский район, Ростовская область (ориентировочная протяженность ЛЭП-0,09 км, ориентировочная трансформаторная мощность - 0,100 МВА)</t>
  </si>
  <si>
    <t>Строительство отпайки  ВЛЗ-10кВ для подключения кухонного оборудования заявителя "Топ Фудс ЛТД" Азовский район, Ростовская область (ориентировочная протяженность ЛЭП - 0,200км)</t>
  </si>
  <si>
    <t>Строительство ВЛ-10 кВ от оп. №101 по ВЛ-10кВ №1815 ПС 35/10 кВ «А-18», ТП-10/0,4 кВ, ВЛИ-0,4 кВ, для электроснабжения жилого дома заявителя Тимофеева В.Н. х. Курган, Азовский район, Ростовская область (ориентировочная протяженность ЛЭП– 0,290 км, ориентировочная трансформаторная мощность – 0,025 МВА)</t>
  </si>
  <si>
    <t>Строительство ВЛ-10 кВ от оп. №3-99 по ВЛ-10кВ №2412 ПС 35/10 кВ «А-24», ТП-10/0,4 кВ, ВЛИ-0,4 кВ, для электроснабжения садового дома Гукасян С.С. п. Топольки, Азовский район, Ростовская область (ориентировочная протяженность ЛЭП– 0,06 км, ориентировочная трансформаторная мощность – 0,025 МВА)</t>
  </si>
  <si>
    <t xml:space="preserve">Строительство ВЛ-6 кВ от 6 кВ №106 ВЛ-6 кВ 207Н от ПС 110/6/10 кВ НС-2, ТП-6/0,4 кВ, ВЛИ-0,4 кВ, для электроснабжения нежилой постройки заявителя Лесных Ю.Ю. поле №123 СХКА им. ХХ Партсъезда, Азовский район, Ростовская область (ориентировочная протяженность ЛЭП– 1,230 км, ориентировочная трансформаторная мощность – 0,025 МВА) </t>
  </si>
  <si>
    <t>Строительство двух ТП 6/0,4 кВ с подключением от опор №82 и №93 по ВЛ-6 кВ №207Н ПС 110/6/10 кВ, ВЛ-0,4 кВ для электроснабжения 22 садовых домика СНТ «Приазовье», Азовский район, Ростовская область (ориентировочная протяженность ЛЭП– 0,06 км, ориентировочная трансформаторная мощность –2*0,160 МВА)</t>
  </si>
  <si>
    <t>Строительство ВЛ-10кВ от оп. №97 ВЛ-10кВ №801 ПС 35/10кВ А-8, строительство ТП-10/0,4кВ, строительство участка ВЛ-0,4кВ для подключения домика отдыха заявителя Гогорян М.С., Азовский район Ростовская область (ориентировочная протяженность ЛЭП-0,07км, ориентировочная трансформаторная мощность-0,1 МВА)</t>
  </si>
  <si>
    <t xml:space="preserve">Установка ТП 10/0,4 кВ ВЛ-10 кВ 1101 ПС 35/10 А-11, строительство ВЛ-0,4 кВ для подключения нежилого здания заявителя Сеймовского А.Ю. с. Кагальник, Азовский район, Ростовская область (ориентировочная протяженность ЛЭП - 0.120 км, ориентировочная трансформаторная мощность – 0.1 МВА) </t>
  </si>
  <si>
    <t xml:space="preserve">Строительство ВЛ-10 кВ от проектируемой опоры (по договору ТП №61-1-18-00415941 от 21.01.2019г.) ВЛ-10 кВ №907-1106 ПС 35/10 кВ А-9, ТП-10/0,4 кВ, ВЛИ-0,4 кВ для подключения склада заявителя ИП Белоусов Г.В. Ростовская область, г.Азов (ориентировочная протяженность ЛЭП – 0,330 км, ориентировочная трансформаторная мощность – 0,160 МВА) </t>
  </si>
  <si>
    <t>Строительство участка ВЛЗ-6 кВ от опоры №1а ВЛ-6 кВ №7 ПС 35/6 кВ НС-10, с монтажом ТП-6/0,4 кВ, для присоединения ВРУ-0,4 кВ сельскохозяйственного производства Орликовой А.А. (ориентировочная протяженность ЛЭП 0,015 км, ориентировочная мощность трансформатора 25 кВА)</t>
  </si>
  <si>
    <t>Строительство участка ВЛЗ-10кВ от опоры вновь построенной ВЛЗ-10кВ (по договорам ТП №61-1-17-00303791 от 13.04.2017г и №61-1-17-00303805 от 13.04.2017г) от опоры №9/47 ВЛ-10кВ №24 ПС 110/35/10кВ КГУ, с монтажом ТП-10/0,4кВ, для присоединения базы отдыха Фролова А.А. (ориентировочная протяженность ЛЭП 0,22км, ориентировочная мощность трансформатора 160кВА)</t>
  </si>
  <si>
    <t>Строительство участка ВЛЗ-10кВ от опоры №11 по ВЛ-10кВ №22 ПС 110/35/10кВ КГУ, с монтажом ТП-10/0,4кВ, и строительство ВЛИ-0,4 кВ от вновь смонтированной ТП-10/0,4кВ для присоединения нежилых помещений Киптевой Ю.Л., Маловинского С.Б. и Василевич И.Л. (ориентировочная протяженность ЛЭП 0,26км, ориентировочная мощность трансформатора 100кВА)</t>
  </si>
  <si>
    <t xml:space="preserve">Строительство участка ВЛЗ-6 кВ от опоры №200 по ВЛ-6 кВ №11 ПС 35/6 кВ Шлюзовая, с установкой ТП-6/0,4 кВ, для присоединения Сельскохозяйственного производства Ким И.Т. (ориентировочная протяженность ЛЭП 1,53 км, ориентировочная мощность трансформатора 63 кВА)»
</t>
  </si>
  <si>
    <t>Строительство участка ВЛЗ-6кВ от опоры №34 по ВЛ-6кВ №7 ПС 35/6кВ Романовская, с монтажом ТП-6/0,4кВ, и строительство ВЛИ-0,4кВ от вновь смонтированной ТП-6/0,4кВ для присоединения АЗС ООО «Волгодонская топливная компания» (ориентировочная протяженность ЛЭП 0,02км, ориентировочная мощность трансформатора 100кВА)</t>
  </si>
  <si>
    <t>Строительство участка ВЛЗ-6 кВ от опоры № 8/3Вл-6 кВ № 11 ПС 35/6 кВ Шлюзовая, с монтажом ТП-6/0,4 кВ, и строительство ВЛИ-0,4 кВ от вновь смонтированной ТП-6/0,4 кВ для присоединения школы МБОУ Лагутнинская СОШ(ориентировочная протяженность ЛЭП - 0,04 км,ориентировочная мощность трансформатора 63 кВА)</t>
  </si>
  <si>
    <t>Строительство участка ВЛЗ-6кВ от опоры №516 по ВЛ-6кВ №1 ПС 35/6кВ Потаповская, с установкой ТП-6/0,4 кВ, и строительство ВЛИ-0,4кВ от вновь устанавливаемой ТП-6/0,4кВ для присоединения теплиц Тен А.Ю. и Чен С.Г. (ориентировочная протяженность ЛЭП 1,04км, ориентировочная мощность трансформатора 250кВА)</t>
  </si>
  <si>
    <t>Строительство ТП-10/0,4кВ. Строительство 2-х отпаечных КВЛ 10кВ от ВЛ-10кВ №1 ПС "Чалтырь", запитаной от ВЛ-10кВ №29-35 ПР Р-29, и от ВЛ-10кВ №1 ПС "Чалтырь", запитаной от ВЛ-10кВ №29-42 ПС Р-29 до новой ТП-10/0,4кВ (Бармина Л.И.)  (ориентировочная протяженность ЛЭП -0,5 км, ориентировочная мощность трансформаторов 1260 кВА)</t>
  </si>
  <si>
    <t>Строительство КТПН 10/0,4 кВ, ВЛ 10 кВ, ВЛ 0,4 кВ от ВЛ 10 кВ №655 ПС 110 кВ АС6 для электроснабжения ВРУ 0,4 кВ садового дома Саямова Ю. И. на участке с КН 61:02:0600013:1749 в ст-це Старочеркасская Аксайского района Ростовской области (ориентировочная мощность трансформатора 0,025 МВА, ориентировочная протяжённость ЛЭП 1,860 км)</t>
  </si>
  <si>
    <t>Строительство КТПН 6/0,4 кВ, ВЛ 6 кВ, ВЛ 0,4 кВ от ВЛ 6 кВ №804 ПС 35 кВ АС8 для электроснабжения ВРУ 0,4 кВ жилых домов на поле №33 в х. Большой Лог Аксайского района Ростовской области (ориентировочная мощность трансформатора 0,100 МВА, ориентировочная    протяжённость ЛЭП 1,530 км)</t>
  </si>
  <si>
    <t>Строительство КТПН 6/0,4кВ, ВЛ-6кВ, ВЛ-0,4кВ от проектируемой ВЛ-6кВ (по договору №61-1-18-00357515) для электроснабжения ВРУ-0,4кВ домика охраны Котовой Н.Я. на участке с КН 61:02:0600010:3114 в х. Большой Лог Аксайского района Ростовской области (ориентировочная мощность трансформатора 0,025МВА, ориентировочная протяженность ЛЭП 0,195 км)</t>
  </si>
  <si>
    <t>Строительство КТПН 10/0,4 кВ, ВЛ 10 кВ, ВЛ 0,4 кВ от ВЛ 10 кВ №3 ПС 35 кВ Б. Салы для электроснабжения жилого дома Кузнецовой Т. В. на участке с КН 61:02:0600005:5501 в пос. Темерницкий Аксайского района Ростовской области (ориентировочная мощность трансформатора 0,025 МВА, ориентировочная протяжённость ЛЭП 1,035 км)</t>
  </si>
  <si>
    <t>Строительство КТПН 10/0,4 кВ, ВЛ 10 кВ, ВЛ 0,4 кВ от ВЛ 10 кВ №1203 ПС 110 кВ АС12 для электроснабжения ВРУ 0,4 кВ жилых домов в совх. Каменобродский Родионово-Несветайского района Ростовской области (ориентировочная мощность трансформатора 1,000 МВА, ориентировочная протяжённость ЛЭП 3,492 км)</t>
  </si>
  <si>
    <t>Строительство ВЛ 10 кВ от ВЛ 10 кВ № 1103 в границах плана земель КСП им. Горького, Аксайского района Ростовской области (ориентировочная протяженность 0,305 км.)</t>
  </si>
  <si>
    <t>Строительство ТП 10/0,4кВ, ВЛ 10кВ, ВЛ 0,4кВ от опоры №46 ВЛ 10кВ №106 ПС 110кВ БГ1 для электроснабжения производственных зданий на земельном участке Линченко Н.А. по адресу: Ростовская область, Багаевский район, ст. Багаевская, ул. Семашко, 210 (ориентировочная мощность трансформатора 0,1МВА, ориентировочная протяжённость ЛЭП 0,055км)</t>
  </si>
  <si>
    <t>Строительство ТП 10/0,4 кВ, ВЛ 10 кВ, ВЛ 0,4 кВ от опоры №5/80  ВЛ 10 кВ №125 ПС 110 кВ СМ1 для электроснабжения ВРУ-0,4 кВ на земельном участке, заявителя: Сайко Сергей Викторович по адресу: Ростовская область, Семикаракорский  район,  примерно  в 990 м  по направлению на северо-запад от ориентира по адресу: х. Чебачий, ул. Малькова, д14 к.н.:61:35:0600003:348</t>
  </si>
  <si>
    <t>Строительство ТП 10/0,4 кВ, ВЛ 0,4 кВ, ВЛ 10 кВ от ВЛ 10 кВ №403 ПС 110 кВ АС4 для электроснабжения склада, холодильника с/х продукции и мастерской Гулуа Т. В. по ул. Заводская, 36А, 38А в х. Маяковского Аксайского района Ростовской области (ориентировочная мощность трансформатора 0,400 МВА, ориентировочная протяжённость ЛЭП 0,429 км)</t>
  </si>
  <si>
    <t>Строительство ТП 10/0,4 кВ, ВЛ 10 кВ, ВЛ 0,4 кВ от ВЛ 10 кВ №403 ПС 110 кВ АС4 для электроснабжения ВРУ 0,4 кВ парка на участке с КН 61:02:0060101:3155 в х. Ленина Аксайского района Ростовской области (ориентировочная мощность трансформатора 0,100 МВА, ориентировочная протяжённость ЛЭП 0,297 км)</t>
  </si>
  <si>
    <t>Строительство КТПН 6/0,4кВ, ВЛ 6кВ, ВЛ 0,4кВ от ВЛ 6кВ №807 ПС 35кВ АС8 для электроснабжения ВРУ 0,4кВ жилого дома Валуева В.О. на участке с КН 61:02:0600010:14054 в х. Большой Лог Аксайского района Ростовской области (ориентировочная мощность трансформатора 0,04 МВА, ориентировочная протяжённость ЛЭП 0,318км)</t>
  </si>
  <si>
    <t>Строительство КТП 10/0,4 кВ, ВЛ 10 кВ, ВЛ 0,4 кВ от ВЛ 10 кВ №125 ПС 110 кВ  СМ1  для электроснабжения  ВРУ 0,4 кВ на земельных  участках Коломойцева А.А.  и  Овчинникова А.П. по адресу:  ул. Чехова, 1 Б и ул. Чехова 1В,  х. Чебачий,  Семикаракорского  района Ростовской области (ориентировочная мощность трансформатора  0,04  МВА, ориентировочная протяжённость ЛЭП 0,46 км)</t>
  </si>
  <si>
    <t>Строительство ТП 10/0,4кВ, ВЛ 0,4кВ, ВЛ 10кВ от ВЛ 10кВ №655 ПС 110кВ АС6 для электроснабжения нежилого здания Лисаконова С. М. на участке с КН 61:02:0600012:660 в Аксайском районе Ростовской области (ориентировочная мощность трансформатора 0,250 МВА, ориентировочная протяжённость ЛЭП 0,060 км)</t>
  </si>
  <si>
    <t>Строительство ВЛ-10 кВ от оп. №9  ВЛ-10 кВ №211 ПС 35/10 кВ "КГ-2", ТП-10/0,4 кВ, ВЛИ-0,4 кВ для электроснабжения складского помещения заявителя ИП Сахно В.С. ст. Кагальницкая, Кагальницкий район, Ростовская область (ориентировочная протяженность ЛЭП-0,050 км, ориентировочная трансформаторная мощность - 0,250 МВА)</t>
  </si>
  <si>
    <t>Строительство ВЛ-10 кВ от оп. № 6-36 ВЛ-10 кВ № 313 ПС 35/10 кВ   КГ-3, строительство ТП-10/0,4 кВ, строительство участка ВЛ-0,4 кВ для подключения производственной базы ИП Скрынникова Д.Ф., Кагальницкий район Ростовская область (ориентировочная протяженность ЛЭП– 0,03 км, ориентировочная трансформаторная мощность– 0,025 МВА)</t>
  </si>
  <si>
    <t>Строительство ВЛ-10 кВ от оп. № 31-36 ВЛ-10 кВ № 313 ПС 35/10 кВ «КГ-3», ТП-10/0,4 кВ, ВЛИ-0,4 кВ для подключения пищевого предприятия заявителя ИП Лобковой А.А. ст. Кировская Кагальницкий район Ростовская область (ориентировочная протяженность ЛЭП – 0,07 км, ориентировочная трансформаторная мощность – 0,16 МВА</t>
  </si>
  <si>
    <t>Строительство ВЛ 10кВ от опоры №2 ВЛ 10кВ №1814 ПС 35/10кВ А-18, ТП 10/0,4кВ, ВЛИ 0,4кВ для подключения жилых домов заявителей Сенкевич С.В., Назаренко А.В., Топилин Н.В., Кочергин И.В. х. Дугино Азовский р-он, Ростовская область (ориентировочная протяженность ЛЭП 0,430км, ориентировочная мощность трансформатора 0,100МВА)</t>
  </si>
  <si>
    <t>Строительство участка ВЛИ-0,4кВ от оп. №34-75 ВЛ 0,4кВ КТП-10/0,4кВ №34 ВЛ-10кВ №1707 ПС 35/10кВ «А-17» для подключения жилого дома заявителя Дубининой Н.Г. с. Круглое Азовский район Ростовская область (ориентировочная протяженность ЛЭП-0,250км)</t>
  </si>
  <si>
    <t>Строительство ВЛ-10 кВ от оп. №167 ВЛ-10 кВ № 415 ПС 35/10 кВ «КГ-4», строительство ТП-10/0,4 кВ, строительство ВЛИ-0,4 кВ, для электроснабжения пищекомбината заявителя ИП Кирсановой О.А. с. Иваново-Шамшево, Кагальницкий район Ростовская область (ориентировочная протяженность ЛЭП– 0,53 км, ориентировочная трансформаторная мощность – 0,16 МВА)</t>
  </si>
  <si>
    <t>Строительство ВЛ-10 кВ от оп.№6-85 по ВЛ-10кВ №318 ПС 35/10 кВ КГ-3, ТП-10/0,4 кВ, ВЛИ-0,4 кВ, для электроснабжения магазина ИП Галдина А.В. ст. Кировская Кагальницкий район Ростовская область (ориентировочная протяженность ЛЭП– 0,50 км, ориентировочная трансформаторная мощность – 0,063 МВА)</t>
  </si>
  <si>
    <t>Строительство ВЛ-10 кВ от оп.№30 по ВЛ-10кВ №3113 ПС 110/35/10 кВ «А-31», ТП-10/0,4 кВ, ВЛИ-0,4 кВ, для электроснабжения жилых домов Бырыганова Р.Н., Риста Н.К., Михай Д.Ю. с. Головатовка, Азовский район Ростовская область (ориентировочная протяженность ЛЭП– 0,355 км, ориентировочная трансформаторная мощность – 0,063 МВА)</t>
  </si>
  <si>
    <t>Строительство ВЛ-10 кВ от оп. №19-183 ВЛ-10 кВ №313 ПС 35/10 кВ КГ-3, ТП-10/0,4 кВ, ВЛИ-0,4 кВ, для электроснабжения магазина заявителя ИП Бондарчук О.А. ст. Кировская, Кагальницкий район, Ростовская область (ориентировочная протяженность ЛЭП– 0,450км, ориентировочная трансформаторная мощность – 0,100МВА</t>
  </si>
  <si>
    <t>Строительство ТП-10/0,4кВ от оп. №19 ВЛ-10кВ № 211 ПС 35/10 кВ А-2, ВЛИ-0,4 кВ, для электроснабжения уличного освещения ООО «Партнер» х. Новоалександровка, Азовский р-он Ростовская область (ориентировочная протяженность ЛЭП– 0,03 км, ориентировочная трансформаторная мощность – 0,160МВА)</t>
  </si>
  <si>
    <t>Строительство ВЛ-10 кВ от опоры 6-293 ВЛ-10 кВ №1107 ПС 35/10 кВ А-11, ТП-10/0,4 кВ, ВЛИ-0,4 кВ, для электроснабжения магазина ИП Дранко М.И. с.Кагальник, Азовский район, Ростовская область (ориентировочная протяженность ЛЭП– 0,160 км, ориентировочная трансформаторная мощность – 0,100 МВА)</t>
  </si>
  <si>
    <t>Строительство ТП-10/0,4 кВ от опоры 10 кВ № 5-17/8 по ВЛ 10 кВ №107Н ПС 110/6/10 кВ «НС-1», ВЛИ-0,4 кВ для подключения жилых домов заявителей Дадалян Л.А., Леликова А.В., Ляшенко В.Б., Чуйко В.Л., Азовский район Ростовская область (ориентировочная протяженность ЛЭП – 0,265 км, ориентировочная трансформаторная мощность – 0,100 МВА)</t>
  </si>
  <si>
    <t xml:space="preserve">Строительство ВЛ-10 кВ от опоры №20 ВЛ-10 кВ №1310 ПС 35/10 кВ А-13, ТП-10/0,4 кВ, ВЛИ-0,4 кВ для подключения жилого дома Токарева А.Ю. с. Елизаветовка Азовский р-он, Ростовская область (ориентировочная протяженность ЛЭП – 0,350 км, ориентировочная трансформаторная мощность – 0,063 МВА) </t>
  </si>
  <si>
    <t>Строительство участка ВЛИ-0,4 кВ от опоры №5 ВЛ-0,4 кВ №3 КТП-8105/250 кВА ВЛ-10 кВ №4 ПС 35/10 кВ Виноградная для присоединения жилого дома Кошаташяна А.А., расположенного по адресу: Ростовская область, Волгодонской район, п. Виноградный, ул. Мира, д.12, к.н.61:08:0050202:783 (ориентировочная протяженность ЛЭП 0,07 км)</t>
  </si>
  <si>
    <t>Строительство участка ВЛИ-0,4 кВ от вновь установленной опоры вновь построенной ВЛИ-0,4 кВ от опоры №5 ВЛ-0,4кВ №3  КТП-8105/250кВА ВЛ-10кВ №4 ПС 35/10кВ Виноградная (по договору ТП от 07.05.2019г. №61-1-19-00441895) для присоединения жилых домов ИП Кошаташяна А.А., расположенных по адресам: Ростовская область, Волгодонской район, п. Виноградный, ул. Мира, д. 12-и, к.н. 61:08:0050202:800, д. 12-м, к.н. 61:08:0050202:803, д. 12-л, к.н. 61:08:0050202:802, д. 12-к, к.н. 61:08:0050202:801, д. 12-з, к.н. 61:08:0050202:799, д. 12-ж, к.н. 61:08:0050202:798, д. 12-п, к.н. 61:08:0050202:806, д. 12-р, к.н. 61:08:0050202:807, д. 12-т, к.н. 61:08:0050202:793, д. 12-с, к.н. 61:08:0050202:808, д. 12-о, к.н. 61:08:0050202:805, д. 12-н, к.н. 61:08:0050202:804 (ориентировочная протяженность ЛЭП 0,09 км)</t>
  </si>
  <si>
    <t xml:space="preserve">Строительство участка ВЛИ-0,4 кВ от опоры №1/3 ВЛ-0,4 кВ №1 КТП-8594/100 кВА ВЛ-6 кВ №5 ПС 35/6 кВ Романовская для присоединения жилого дома Трещева В.А., расположенного по адресу: Ростовская область, Волгодонской район, станица Романовская, ул. Ленина, д.111-а, к.н.61:08:0070128:950 (ориентировочная протяженность ЛЭП 0,027 км)
</t>
  </si>
  <si>
    <t xml:space="preserve">Строительство участка ВЛИ-0,4 кВ от опоры №1/5 ВЛ-0,4 кВ №1 КТП-8489/250 кВА ВЛ-6 кВ №14 ПС 35/6 кВ Романовская для присоединения жилого дома Хан А.Я., расположенного по адресу: Ростовская область, Волгодонской район, станица Романовская, ул. Смолякова, д.66-а, к.н.61:08:0070113:395 (ориентировочная протяженность ЛЭП 0,015 км)»
</t>
  </si>
  <si>
    <t>Строительство участка ВЛИ-0,4 кВ от опоры №4/10 ВЛ-0,4 кВ №1 КТП-8595/100 кВА ВЛ-6 кВ №5 ПС 35/6 кВ Романовская для присоединения жилого дома Ярославцева В.М., расположенного по адресу: Ростовская область, Волгодонской район, станица Романовская, пер. Кожанова, д.86а, к.н.61:08:0070107:176 (ориентировочная протяженность ЛЭП 0,058 км)</t>
  </si>
  <si>
    <t>Строительство участка ВЛИ-0,4 кВ от опоры №1 ВЛ-0,4 кВ №2 КТП-8114/250 кВА ВЛ-10 кВ №5 ПС 35/10 кВ Виноградная для присоединения деревообрабатывающей мастерской Мутидзе Т.Б. (ориентировочная протяженность ЛЭП 0,109 км)</t>
  </si>
  <si>
    <t>Строительство участка ВЛИ-0,4 кВ от опоры №1 ВЛИ-0,4 кВ №1 КТП-8377/250 кВА ВЛ-6 кВ №2 ПС 35/6 кВ Потаповская для присоединения магазина ИП Мухина С.С., расположенного по адресу: Ростовская область, Волгодонской район, х. Потапов, ул. Комсомольская, д.47-д,к.н. 61:08:0040109:268 (ориентировочная протяженность ЛЭП 0,095 км)</t>
  </si>
  <si>
    <t>Строительство участка ВЛИ-0,4 кВ от опоры №13 ВЛ-0,4 кВ №2 КТП-1359/100 кВА по ВЛ-10 кВ №7 ПС 110/10 кВ Искра для присоединения жилого дома Кучкина С.А., расположенного по адресу: Ростовская область, Цимлянского район, х. Паршиков, ул. Заречная, д. 13-б, к.н. 61:41:0050404:125 (ориентировочная протяженность ЛЭП 0,03 км)</t>
  </si>
  <si>
    <t>Строительство участка ВЛИ-0,4 кВ от опоры №2 ВЛ-0,4 кВ №1 КТП-1323/160 кВА по ВЛ-10 кВ №5 ПС 110/35/10 кВ Цимлянская для присоединения жилого дома Орехова А.В., расположенного по адресу: Ростовская область, Цимлянский район, г. Цимлянск, СОНТ «Винзавод», земельный участок 3, к.н. 61:41:0010402:52 (ориентировочная протяженность ЛЭП 0,25 км)</t>
  </si>
  <si>
    <t>Строительство участка ВЛИ-0,4кВ от опоры №10 ВЛИ-0,4кВ №1 КТП-1509/250кВА ВЛ-10кВ №5 ПС 35/10кВ Лозновская для присоединения жилого дома Нишкомаева В.В. (ориентировочная протяженность ЛЭП 0,015км)</t>
  </si>
  <si>
    <t>Строительство ВЛИ-0,4 кВ от РУ-0,4 кВ КТП-1654/100 кВА ВЛ-10 кВ №2 ПС 35/10 кВ ЖБИ для присоединения жилого дома Епишова А.Б., расположенного по адресу: Ростовская область, Цимлянский район, станица Красноярская, ул. Полевая, д. 2-б, к.н. 61:41:0020127:204 (ориентировочная протяженность ЛЭП 0,105 км)</t>
  </si>
  <si>
    <t>Строительство участка ВЛИ-0,4кВ от опоры №7 ВЛ-0,4кВ №4 КТП-1336/400кВА по ВЛ-10кВ №5 ПС 110/35/10кВ Цимлянская для присоединения жилого помещения Карпеевой Г.И., расположенного по адресу: Ростовская область, Цимлянский район, с/п Саркеловское, п.Саркел, пер. Западный, д.4, кв.2, комната №1-8, №9-10, к.н. 61:41:0011107:59 (ориентировочная протяженность ЛЭП 0,15км)</t>
  </si>
  <si>
    <t xml:space="preserve">Строительство участка ВЛИ-0,4 кВ от опоры №1/7 ВЛ-0,4 кВ №1 КТП-6568/250 кВА ВЛ-10 кВ №6 ПС 35/10 кВ Рассвет для присоединения квартиры Ридванова С.С., расположенной по адресу: Ростовская область, Мартыновский район, п. Малая Горка, ул. Социалистическая, д. 16, кв.2, к.н. 61:20:20601:1259 (ориентировочная протяженность ЛЭП 0,018 км) </t>
  </si>
  <si>
    <t xml:space="preserve">Строительство участка ВЛИ-0,4 кВ от опоры №5/2 ВЛ-0,4 кВ №1 КТП-6604/100 кВА ВЛ-6 кВ №6 ПС 110/35/6 кВ Обливная для присоединения нежилого здания (храма) Саввиди Х.И., расположенного по адресу: Ростовская область, Мартыновский район, х. Денисов, ул. Школьная, д.8/2, к.н.61:20:0060201:3459 (ориентировочная протяженность ЛЭП 0,023 км)
</t>
  </si>
  <si>
    <t>Строительство участка ВЛИ-0,4 кВ от опоры №7 ВЛ-0,4 кВ №1 КТП-6502/100 кВА ВЛ-10 кВ №2 ПС 35/10 кВ Рассвет для присоединения жилого дома Савченко В.П., расположенного по адресу: Ростовская область, Мартыновский район, п. Зеленолугский, ул. Школьная, д. 4, к.н. 61:20:0020401:3221 (ориентировочная протяженность ЛЭП 0,16 км)</t>
  </si>
  <si>
    <t>Строительство участка ВЛИ-0,4 кВ от опоры №2/1 ВЛ-0,4кВ №3 КТП-6517/160кВА ВЛ-10 кВ №12 ПС 110/35/10 кВ Комаровская для присоединения складских объектов Игришина А.В., расположенных по адресу: Ростовская область, Мартыновский район, слобода Большая Орловка, пер. Заводской, д. 2, к.н. 61:20:0020101:12979 (ориентировочная протяженность ЛЭП 0,025 км)</t>
  </si>
  <si>
    <t>Строительство участка ВЛИ-0,4 кВ от опоры №21 ВЛ-0,4 кВ №1 КТП-6555/160 кВА ВЛ-10 кВ №6 ПС 110/10 кВ Несмеяновская для присоединения скважины Шаманова И.Ш., расположенной по адресу: Ростовская область, Мартыновский район, х. Малоорловский, ул. Новая, д.46, к.н.61:20:0060101:5249 (ориентировочная протяженность ЛЭП 0,015 км)</t>
  </si>
  <si>
    <t>Строительство участка ВЛИ-0,4 кВ от опоры №11ВЛ-0,4кВ №2 КТП-6549/160кВА ВЛ-10 кВ №7 ПС 110/35/10 кВ Комаровская для присоединения скважины Азалханова Б.С., расположенной по адресу: Ростовская область, Мартыновский район, п. Четырехъярский, ул. Степная, д. 65, к.н. 61:20:0600011:779 (ориентировочная протяженность ЛЭП 0,008 км)</t>
  </si>
  <si>
    <t>Строительство участка ВЛИ-0,4 кВ от опоры  №1 ВЛ-0,4 кВ №2 КТП-7382/250 кВА по ВЛ-10 кВ №11 ПС 35/10 кВ Мариинская для присоединения склада Недорубова А.А. (ориентировочная протяженность ЛЭП 0,2 км)</t>
  </si>
  <si>
    <t>Строительство участка ВЛИ-0,4 кВ от опоры вновь построенной ВЛИ-0,4 кВ (по договору ТП №61-1-17-00346197 от 19.01.2018г) от опоры №19 ВЛ-0,4 кВ №2 КТП-7034/160 кВА по ВЛ-10 кВ №2 ПС 35/10 кВ Нижне-Журавская для присоединения жилого дома Кучугова А.Д. (ориентировочная протяженность ЛЭП 0,06 км)</t>
  </si>
  <si>
    <t>Строительство участка ВЛИ-0,4 кВ от опоры №5/2 ВЛ-0,4 кВ №2 КТП-7034/160 кВА ВЛ-10 кВ №2 ПС 35/10 кВ Нижне-Журавская для присоединения жилого дома Пасиковой З.А., расположенного по адресу: Ростовская область, Константиновский район, х. Авилов, ул. Луговая, д.9, к.н.61:17:020101:0064 (ориентировочная протяженность ЛЭП 0,035 км)</t>
  </si>
  <si>
    <t>Строительство ВЛИ-0,4 кВ от КТП-5177/25 кВА по ВЛ-10 кВ №1 ПС 35/10 кВ Отары для присоединения нежилого здания Иванчи Е.И.(ориентировочная протяженность ЛЭП 0,38 км)</t>
  </si>
  <si>
    <t>Строительство участка ВЛ-10 кВ от опоры №28 ВЛ-10 кВ №4 ПС 110/10 кВ Вербовая, с установкой ТП-10/0,4 кВ и строительство ВЛИ-0,4 кВ от РУ-0,4 кВ вновь установленной ТП-10/0,4 кВ  для присоединения рыбцеха ООО «АКВАТОРИЯ», расположенного по адресу: Ростовская область, Дубовский район, х. Вербовый Лог, ул. Овражная, д. 1а, к.н. 61:09:0130101:1648 (ориентировочная протяженность ЛЭП 0,22 км, ориентировочная мощность трансформатора 100 кВА)</t>
  </si>
  <si>
    <t>Строительство участка ВЛИ-0,4 кВ от опоры №2 ВЛИ-0,4 кВ №1 КТП-8194/100 кВА ВЛ-10 кВ №1 ПС 35/10 кВ Рябичевская для присоединения жилого дома Макарова А.Л., расположенного по адресу: Ростовская область, Волгодонской район, х. Рябичев, ул. Юбилейная, д.48, к.н.61:08:0600501:413 (ориентировочная протяженность ЛЭП 0,02 км)</t>
  </si>
  <si>
    <t>Строительство участка ВЛИ-0,4кВ от опоры №11 ВЛ-0,4кВ №2 КТП-8133/100кВА ВЛ-10кВ №3 ПС 110/35/10кВ Большовская для присоединения жилого дома Алексеевой Л.В., расположенного по адресу: Ростовская область, Волгодонской район, х. Морозов, пер. Восточный, д.2, к.н.61:08:0020203:42 (ориентировочная протяженность ЛЭП 0,095км)</t>
  </si>
  <si>
    <t>Строительство участка ВЛИ-0,4 кВ от опоры №6 ВЛ-0,4 кВ №2 КТП-7212А/100 кВА по ВЛ-10 кВ №17 ПС 110/35/10 кВ Константиновская для присоединения жилого дома Ипполитова В.А. (ориентировочная протяженность ЛЭП 0,460 км)</t>
  </si>
  <si>
    <t>Строительство участка ВЛИ-0,4 кВ от опоры №7 ВЛ-0,4 кВ №2 КТП-7375/250 кВА по ВЛ-10 кВ №11 ПС 35/10 кВ Мариинская для присоединения склада №1 ИП главы К(Ф)Х Недорубова А.А., расположенного по адресу: Ростовская область, Константиновский  район, 0,2 км севернее станицы Мариинская, к.н. 61:17:0600016:2266 (ориентировочная протяженность ЛЭП 0,14 км)</t>
  </si>
  <si>
    <t>Строительство участка ВЛИ-0,4кВ от опоры №8 ВЛ-0,4кВ №2 КТП-7427/250кВА ВЛ-10кВ №4 ПС 35/10кВ Николаевская для присоединения жилого дома Лаврухина А.И., расположенного по адресу: Ростовская область, Константиновский район, ст. Николаевская, ул. Гагарина, д.27 к.н. 61:17:0050101:1473 (ориентировочная протяженность ЛЭП 0,07км)</t>
  </si>
  <si>
    <t>Строительство участка ВЛИ-0,4 кВ от опоры №19 ВЛ-0,4 кВ №3 КТП-8168/250 кВА ВЛ-10 кВ №5 ПС 35/10 кВ Виноградная для присоединения жилого дома Ан И.Р., расположенного по адресу: Ростовская область, Волгодонской район, п. Победа, пер. Западный, д. 17, к.н. 61:08:0601201:567 (ориентировочная протяженность ЛЭП 0,025 км)</t>
  </si>
  <si>
    <t>Строительство участка ВЛИ-0,4 кВ от опоры №24 ВЛ-0,4 кВ №2 КТП-8397/100 кВА ВЛ-6 кВ №11 ПС 35/6 кВ Шлюзовая для присоединения жилого дома Искендерова С.М., расположенного по адресу: Ростовская область, Волгодонской район, х. Лагутники, ул. Ленина, д. 62 а, к.н. 61:08:0070202:218 (ориентировочная протяженность ЛЭП 0,009 км)</t>
  </si>
  <si>
    <t>Строительство ВЛИ-0,4 кВ от КТП-8073/100 кВА ВЛ-10 кВ №3 ПС 110/35/10 кВ Дубенцовская для присоединения квартиры Леоновой В.С., расположенной по адресу: Ростовская область, Волгодонской район, х. Пирожок, ул. Молодежная, д.16, кв./оф. 1, к.н.61:08:0020307:44 (ориентировочная протяженность ЛЭП 0,31 км)</t>
  </si>
  <si>
    <t xml:space="preserve">Строительство участка ВЛИ-0,4 кВ от опоры №5 ВЛ-0,4 кВ №1 КТП-8487/250 кВА ВЛ-6 кВ №5 ПС 35/6 кВ Романовская для присоединения жилого дома Орловой О.Н., расположенного по адресу: Ростовская область, Волгодонской район, станица Романовская, пер. Союзный, д.65, к.н.61:08:0070118:489 (ориентировочная протяженность ЛЭП 0,35 км) </t>
  </si>
  <si>
    <t xml:space="preserve">Строительство участка ВЛИ-0,4 кВ от опоры №4 ВЛИ-0,4 кВ №2 КТП-8465/160 кВА ВЛ-6 кВ №5 ПС 35/6 кВ Романовская для присоединения жилого дома Гориной С.В., расположенного по адресу: Ростовская область, Волгодонской район, станица Романовская, пер. Алферовский, д.93-а, к.н.61:08:0070125:411 (ориентировочная протяженность ЛЭП 0,16 км) </t>
  </si>
  <si>
    <t>Строительство участка ВЛИ-0,4 кВ от опоры №5 ВЛ-0,4 кВ №1 КТП-1365/250 кВА ВЛ-10 кВ №1 ПС 35/10 кВ ЖБИ для присоединения жилого дома Корчагина П.М., расположенного по адресу: Ростовская область, Цимлянский район, станица Красноярская, ул. Советская, д.65-а, к.н.61:41:0020113:585 (ориентировочная протяженность ЛЭП 0,02 км)</t>
  </si>
  <si>
    <t>Строительство участка ВЛИ-0,4кВ от опоры №1 ВЛ-0,4кВ №2 КТП-6455/100кВА по ВЛ-10кВ №7 ПС 110/35/10кВ Мартыновская для присоединения нежилого помещения ИП Украинцевой И.А., расположенного по адресу: Ростовская область, Мартыновский район, слобода Большая Орловка, ул. Дорожная, д.18-б, к.н. 61:20:0020101:13031 (ориентировочная протяженность ЛЭП 0,041км)</t>
  </si>
  <si>
    <t xml:space="preserve">Строительство участка ВЛИ-0,4 кВ от опоры №9 ВЛ-0,4 кВ №1 КТП-8599/160 кВА ВЛ-6 кВ №5 ПС 35/6 кВ Романовская для присоединения жилого дома Асланова Ю.И., расположенного по адресу: Ростовская область, Волгодонской район, станица Романовская, ул. Заречная, д.19а, к.н. 61:08:0070114:675 (ориентировочная протяженность ЛЭП 0,024 км) </t>
  </si>
  <si>
    <t>Строительство участка ВЛИ-0,4 кВ от опоры №17 ВЛ-0,4 кВ №1 КТП-8499А/250 кВА по ВЛ-6 кВ №7 ПС 35/6 кВ Романовская для присоединения жилого дома Журавлева В.В. (ориентировочная протяженность ЛЭП 0,1 км)</t>
  </si>
  <si>
    <t>Строительство участка ВЛИ-0,4 кВ от опоры №1/3 ВЛ-0,4 кВ №3 КТП-1366/160 кВА по ВЛ-10 кВ №1 ПС 35/10 кВ ЖБИ для присоединения жилого дома Щеглова В.В., расположенного по адресу: Ростовская область, Цимлянский район, станица Красноярская, ул. Советская, д.45а, к.н. 61:41:0020113:526 (ориентировочная протяженность ЛЭП 0,025 км)</t>
  </si>
  <si>
    <t>Строительство участка ВЛИ-0,4кВ от опоры №2/3 ВЛ-0,4кВ №1 КТП-6411/100кВА ВЛ-10кВ №5 ПС 110/35/10кВ Комаровская для присоединения пруда ИП главы К(Ф)Х Девятовского В.А., расположенного по адресу: Ростовская область, Мартыновский район, х. Комаров, участок находится примерно в 0,92км от ориентира по направлению на северо-запад, к.н. 61:20:0600014:66 (ориентировочная протяженность ЛЭП 0,127км</t>
  </si>
  <si>
    <t>Строительство ВЛИ-0,4 кВ от РУ-0,4 кВ КТП-6104/25 кВА ВЛ-10 кВ №9 ПС 110/35/10/6 кВ Октябрьская для присоединения пруда ИП Коцарева А.В., расположенного по адресу: Ростовская область, Мартыновский район, х. Новый, северо-западнее х. Новый, к.н. 61:20:0600020:2 (ориентировочная протяженность ЛЭП 0,16 км)</t>
  </si>
  <si>
    <t>Строительство участка ВЛИ-0,4 кВ от опоры №5/5 ВЛ 0,4кВ №1 КТП 6113/250кВА ВЛ-10 кВ №11 ПС 110/35/10/6 кВ Октябрьская для присоединения сарая Кибаровой Н.А., расположенного по адресу: Ростовская область, Мартыновский район, п. Типчаковый, ул. Западная, д.7а, к.н. 61:20:0080901:817 (ориентировочная протяженность ЛЭП 0,025 км)</t>
  </si>
  <si>
    <t>Строительство участка ВЛИ-0,4 кВ от опоры №1/1 ВЛ-0,4 кВ  №1 КТП-2822/63 кВА ВЛ-10 кВ №16 ПС 220/110/10 кВ Зимовники  для фельдшерско-акушерского пункта муниципального бюджетного учреждения здравоохранения «Центральная районная больница» Зимовниковского района Ростовской области, расположенного по адресу: Ростовская область, Зимовниковский район, х. Майкопский, ул. Центральная, д.18А, к.н. 61:13:0130104:61 (ориентировочная протяженность ЛЭП 0,07 км)</t>
  </si>
  <si>
    <t>Строительство участка ВЛИ-0,4 кВ от опоры №2 ВЛ-0,4 кВ  №1 КТП-7215/100 кВА для присоединения дома отдыха ИП Макаренко Е.П., расположенного по адресу: Ростовская область, Константиновский район, г. Константиновск, ул. Правобережная, д.23-а, к.н. 61:17:0600017:572 (ориентировочная протяженность ЛЭП 0,05 км)</t>
  </si>
  <si>
    <t>Строительство участка ВЛИ-0,4 кВ от вновь установленной опоры вновь построенной ВЛИ-0,4 кВ от опоры №2 ВЛ-0,4 кВ №1 КТП-7215/100 кВА по ВЛ-10 кВ №24 ПС 110/35/10 кВ КГУ (по договору №61-1-19-00470761 от 07.10.2019 г) для присоединения дома отдыха ИП Еловских В.В., расположенного по адресу: Ростовская область, Константиновский район, г. Константиновск, ул. Правобережная, д.23б, к.н. 61:17:0600017:571 (ориентировочная протяженность ЛЭП 0,02 км)</t>
  </si>
  <si>
    <t xml:space="preserve">Строительство участка ВЛИ-0,4 кВ от опоры №1/7 ВЛ-0,4 кВ №2 КТП-7382/250 кВА по ВЛ-10 кВ №11 ПС 35/10 кВ Мариинская для присоединения модульного здания фельдшерско-акушерского пункта Муниципального бюджетного учреждения здравоохранения "Центральная районная больница Константиновского района Ростовской области", расположенного по адресу: Ростовская область, Константиновский район, станица Мариинская, ул. Зеленая, д.2-а, к.н. 61:17:0050301:855 (ориентировочная протяженность ЛЭП - 0,06 км) </t>
  </si>
  <si>
    <t>Строительство участка ВЛИ-0,4 кВ от опоры №27 ВЛ-0,4 кВ №2 КТП-8034/63 кВА ВЛ-10 кВ №1 ПС 35/10 кВ Рябичевская для присоединения станции технического обслуживания Капкановой Э.Э., расположенной по адресу: Ростовская область, Волгодонской район, х. Рябичев, ул. Юбилейная, д.51б, к.н.61:08:0030107:588 (ориентировочная протяженность ЛЭП 0,033 км)</t>
  </si>
  <si>
    <t xml:space="preserve">Строительство участка ВЛИ-0,4 кВ от опоры №22 ВЛ-0,4 кВ №2 КТП-1468/63 кВА по ВЛ-10 кВ №11 ПС 35/10 кВ Камышевская для присоединения жилого дома Орловой Н.А., расположенного по адресу: Ростовская область, Цимлянский район, х. Рынок-Каргальский, ул. Полевая, д.5, к.н. 61:41:0040401:6 (ориентировочная протяженность ЛЭП 0,23 км)»
</t>
  </si>
  <si>
    <t>Строительство участка ВЛИ-0,4 кВ от опоры №1/15 ВЛ-0,4 кВ №3 КТП-6132/400 кВА ВЛ-10 кВ №15 ПС 110/35/10 кВ Мартыновская для присоединения МТФ ИП главы КФХ Мурадова А.Х., расположенной по адресу: Ростовская область, Мартыновский район, п. Новоберезовка, Мартыновское сельское поселение, к.н.61:20:0600025:4097 (ориентировочная протяженность ЛЭП 0,126 км)</t>
  </si>
  <si>
    <t>Строительство участка ВЛИ-0,4 кВ от опоры №2/7 ВЛ-0,4 кВ №2 КТП-6484/315 кВА ВЛ-10 кВ №1 ПС 35/10 кВ Рассвет для присоединения зернохранилища ИП главы К(Ф)Х Бессарабова П.В., расположенного по адресу: Ростовская область, Мартыновский район, п. Абрикосовый, ул. Западная, д.17, к.н. 61:20:0020201:1355 (ориентировочная протяженность ЛЭП 0,328 км)</t>
  </si>
  <si>
    <t>Строительство участка ВЛИ-0,4 кВ от опоры №22 ВЛ-0,4 кВ №2 КТП-7331/250 кВА ВЛ-10 кВ №5 ПС 110/35/10 кВ Стычная для присоединения здания магазина ИП Шульги А.В., расположенного по адресу: Ростовская область, Константиновский район, п. Стычновский, ул. Центральная, д.15, к.н. 61:17:0070101:413 (ориентировочная протяженность ЛЭП 0,02 км)»</t>
  </si>
  <si>
    <t xml:space="preserve">Строительство участка ВЛИ-0,4 кВ от опоры №8 ВЛ-0,4 кВ №3 КТП-8489/250 кВА ВЛ-6 кВ №14 ПС 35/6 кВ Романовская для присоединения жилого дома Бережного В.И., расположенного по адресу: Ростовская область, Волгодонской район, станица Романовская, пер. Советский, д.111, к.н.61:08:070107:0022 (ориентировочная протяженность ЛЭП 0,18 км) </t>
  </si>
  <si>
    <t>Строительство ВЛИ-0,4кВ от вновь установленной ТП-6/0,4кВ по ВЛ-6кВ №1 ПС 35/6кВ НС-12 (по договорам ТП №61-1-18-00388977 от 20.08.2018 и №61-1-18-00392457 от 04.09.2018) для присоединения жилого дома Лобанова А.А. (ориентировочная протяженность ЛЭП 0,05км)</t>
  </si>
  <si>
    <t>Строительство участка ВЛИ- 0,4 кВ от опоры №21 ВЛ-0,4 кВ №3 КТП-8478/160 кВА ВЛ-6 кВ №14 ПС 35/6 кВ Романовская для присоединения жилого дома Новосельцева Н.И., расположенного по адресу: Ростовская область, Волгодонской район,станица Романовская, пер.Гагарина,д.53а, к.н. 61:08:0000000:1302 (ориентировочная протяженность ЛЭП 0,032 км)</t>
  </si>
  <si>
    <t>Строительство участка ВЛИ-0,4 кВ от опоры №12 ВЛ-0,4 кВ №3 ТП-1409/250 кВА ВЛ-10 кВ №17 ПС 110/35/10 кВ Цимлянская для присоединения жилого дома Тарасенко Н.И., расположенного по адресу: Ростовская область, Цимлянский район, станица Красноярская, ул. Гагарина, д.46, к.н. 61:41:0020121:86 (ориентировочная протяженность ЛЭП 0,04 км)</t>
  </si>
  <si>
    <t>Строительство участка ВЛИ-0,4 кВ от опоры №1/10 ВЛ-0,4 кВ №1 КТП-1323/160 кВА ВЛ-10 кВ №5 ПС 110/35/10 кВ Цимлянская для присоединения жилого дома Лаера А.Р., расположенного по адресу: Ростовская область, Цимлянский район, Цимлянское городское поселение, г.Цимлянск, СОНТ «Винзавод», земельный участок 2а, к.н. 61:41:0010402:60 (ориентировочная протяженность ЛЭП 0,09 км)</t>
  </si>
  <si>
    <t>Строительство участка ВЛИ-0,4 кВ от опоры  №7 ВЛ-0,4 кВ №1 КТП-7192/100 кВА ВЛ-10 кВ №24 ПС 110/35/10 кВ КГУ для присоединения жилого дома Антонова А.Д. (ориентировочная протяженность ЛЭП 0,132 км)</t>
  </si>
  <si>
    <t>Строительство участка ВЛИ-0,4 кВ от опоры №23 ВЛ-0,4 кВ №2 ЗТП-7125/160 кВА ВЛ-10 кВ №1 ПС 35/10 кВ Богоявленская для присоединения жилого дома Гурбановой В.В., расположенного по адресу: Ростовская область, Константиновский район, х. Упраздно-Кагальницкий, ул. Степная, д.16-а, к.н. 61:17:0030401:796 (ориентировочная протяженность ЛЭП 0,22 км)</t>
  </si>
  <si>
    <t>Строительство участка ВЛИ-0,4 кВ от опоры №2/7 ВЛ-0,4 кВ №1 КТП-4664/160 кВА ВЛ-10 кВ №17 ПС 35/10 кВ Киевская для присоединения жилого дома Алиева М.М., расположенного по адресу: Ростовская область, Ремонтненский район, с. Киевка, ул. Октябрьская, д.19, к.н. 61:32:0050101:339 (ориентировочная протяженность ЛЭП 0,13 км)</t>
  </si>
  <si>
    <t>Строительство участка ВЛИ-0,4 кВ от опоры №6 ВЛ-0,4 кВ №2 КТП-6551/160 кВА ВЛ-10 кВ №6 ПС 110/10 кВ Несмеяновская для присоединения жилого дома Коваленко А.Г., расположенного по адресу: Ростовская область, Мартыновский район, х. Малоорловский, ул. Новая, к.н. 61:20:0060101:2916 (ориентировочная протяженность ЛЭП 0,232 км)</t>
  </si>
  <si>
    <t>Строительство участка ВЛИ-0,4 кВ от опоры №6/1 ВЛ-0,4 кВ №2 КТП-2036/40 кВА по ВЛ-10 кВ №14 ПС 220/110/10 кВ Зимовники для присоединения Базовой станции сотовой связи №2278 ООО «Т2 Мобайл», расположенной по адресу: Ростовская область, Зимовниковский район, х Николаевский, к.н. 61:13:0600007 (ориентировочная протяженность ЛЭП 0,2 км)</t>
  </si>
  <si>
    <t>Строительство участка ВЛ-10 кВ от опоры №283 ВЛ-10 кВ №7 ПС 35/10 кВ Железнодорожная, с установкой ТП-10/0,4 кВ и строительство ВЛИ-0,4 кВ от РУ-0,4 кВ вновь установленной ТП-10/0,4 кВ  для присоединения жилого дома Закаева Р.С., расположенного по адресу: Ростовская область, Дубовский район, х. Лесной, Барабанщиковское сельское поселение в границах кадастрового квартала 61;09:0600004:1331, к.н. 61:09:0600004:1331 (ориентировочная протяженность ЛЭП 0,04 км, ориентировочная мощность трансформатора 25 кВА)</t>
  </si>
  <si>
    <t>Строительство участка ВЛИ-0,4 кВ от опоры №8 ВЛ-0,4 кВ №2 КТП-3404/160 кВА ВЛ-10 кВ №22 ПС 110/10 кВ Жуковская для присоединения жилого дома Кругликовой В.Д., расположенного по адресу: Ростовская область, Дубовский район, станица Жуковская, ул. Кирова, д.56, к.н. 61:09:0030101:821 (ориентировочная протяженность ЛЭП 0,07 км)</t>
  </si>
  <si>
    <t>Строительство участка ВЛИ-0,4 кВ от  опоры №6 ВЛ-0,4 кВ №1 КТП-3422/160 кВА по ВЛ-10 кВ №7 ПС 35/10 кВ Железнодорожная ддя присоединения квартиры Магомедовой Д.М., расположенной по адресу: Ростовская область, Дубовский район, х.Щеглов, ул.Школьная, д.16, кв.1, к.н. 61:09:14015:478 (ориентировочная протяженность ЛЭП 0,22 км)</t>
  </si>
  <si>
    <t>Строительство участка ВЛИ-0,4 кВ от опоры №9 ВЛ-0,4 кВ №1 КТП-3262/250 кВА ВЛ-10 кВ №2 ПС 35/10 кВ Присальская для присоединения квартиры в жилом доме Петрова О.А., расположенной по адресу: Ростовская область, Дубовский район, х. Присальский, ул. Победы, д.3, кв.2, к.н. 61:09:0070101:1700 (ориентировочная протяженность ЛЭП 0,03 км)</t>
  </si>
  <si>
    <t>Строительство участка ВЛИ-0,4 кВ от опоры №27 ВЛ-0,4 кВ №3 КТП-8484/160 кВА по ВЛ-6 кВ №5 ПС 35/6 кВ Романовская для присоединения жилого дома Галкиной Т.Б., расположенного по адресу: Ростовская область, Волгодонской район, станица Романовская, ул. Ленина, д.97а, к.н. 61:08:0070128:923 (ориентировочная протяженность ЛЭП 0,06 км)</t>
  </si>
  <si>
    <t>Строительство участка ВЛИ-0,4 кВ от опоры №1/1 ВЛ-0,4 кВ №2 КТП-8459/160 кВА ВЛ-6 кВ №14 ПС 35/6 кВ Романовская для присоединения жилого дома Дьяченко А.Г., расположенного по адресу: Ростовская область, Волгодонской район, станица Романовская, ул. Каргальская, д.60, к.н. 61:08:0070114:772 (ориентировочная протяженность ЛЭП 0,035 км)</t>
  </si>
  <si>
    <t xml:space="preserve">Строительство участка ВЛИ-0,4 кВ от опоры №13 ВЛ-0,4 кВ №1 
КТП-8550/160 кВА ВЛ-6 кВ №11 ПС 35/6 кВ Шлюзовая для присоединения жилого дома Абалымовой Н.А., расположенного по адресу: Ростовская область, Волгодонской район, х. Лагутники, ул. Молодежная, д. 2б, к.н. 61:08:0070203:431 (ориентировочная протяженность ЛЭП 0,145 км)
</t>
  </si>
  <si>
    <t>Строительство участка ВЛИ-0,4 кВ от опоры №12б ВЛ-0,4 кВ №1 КТП-6092/100 кВА ВЛ-10 кВ №12 ПС 110/35/10 кВ Мартыновская для присоединения сарая Айвазовой Х.К., расположенного по адресу: Ростовская область, Мартыновский район, х. Новониколаевский, ул. Центральная, д.10-б, к.н. 61:20:0080501:492 (ориентировочная протяженность ЛЭП 0,029 км)</t>
  </si>
  <si>
    <t>Строительство участка ВЛ-6 кВ от опоры №3/145 ВЛ-6 кВ №1 ПС 110/6 кВ Северный Портал, с установкой ТП-6/0,4 кВ, и строительство ВЛИ-0,4 кВ от вновь установленной ТП-6/0,4 кВ  для присоединения сторожевого дома ИП Ализаде Ю.Р., расположенного по адресу: Ростовская область, Мартыновский район, х. Рубашкин, Рубашкинское сельское поселение, к.н. 61:20:0600009:1887 (ориентировочная протяженность ЛЭП 0,42 км, ориентировочная мощность трансформатора 25 кВА)</t>
  </si>
  <si>
    <t>Строительство участка ВЛИ-0,4кВ от опоры №9 ВЛ-0,4кВ №2 КТП-6583/100кВА ВЛ-10кВ №12 ПС 110/35/10кВ Комаровская для присоединения нежилого помещения ИП Тищенко А.Ю., расположенного по адресу: Ростовская область, Мартыновский район, слобода Большая Орловка, ул. Сальская, д.8, к.н. 61:20:0020101:1622 (ориентировочная протяженность ЛЭП 0,019км)</t>
  </si>
  <si>
    <t>Строительство участка ВЛ-10 кВ от опоры №10 ВЛ-10 кВ №13  ПС 35/10 кВ Андреевская, с установкой ТП-10/0,4 кВ и строительство ВЛИ-0,4 кВ от РУ-0,4 кВ вновь установленной ТП-10/0,4 кВ  для присоединения нежилого помещения ИП Магомедова Р.Д. и жилого помещения Синько Е.В., расположенных по адресам: Ростовская область, Дубовский район, станица Андреевская, примерно центральная часть Дубовского района, в границах кадастрового округа ЗАО а/ф Андреевская, к.н. 61:09:0000000:791 и Андреевское с.п., в границах кадастрового квартала 61:09:0600011, к.н. 61:09:0600011:324 (ориентировочная протяженность ЛЭП 0,51км, ориентировочная мощность трансформатора 160 кВА)</t>
  </si>
  <si>
    <t>Строительство ВЛИ-0,4 кВ от КТП-3176/63 кВА по ВЛ-10 кВ №1 ПС 35/10кВ Эркетиновская для присоединения бригадного дома КФХ Абдулвахабова У., расположенного по адресу: Ростовская область, Дубовский район, х. Ивановка, ул. Дорожная, д. 11б, к.н. 61:09:0600011:301 (ориентировочная протяженность ЛЭП 0,24 км)</t>
  </si>
  <si>
    <t>Строительство участка ВЛИ-0,4 кВ от опоры №1 ВЛИ-0,4 кВ №1 КТП-8240/63 кВА ВЛ-6 кВ №2 ПС 35/6 кВ НС-15 для присоединения жилого дома Жданенко О.В., расположенного по адресу: Ростовская область, Волгодонской район, х. Фролов, ул. Восточная, д. 2, к.н. 61:08:04:17:13:00 (ориентировочная протяженность ЛЭП 0,48 км)</t>
  </si>
  <si>
    <t>Строительство участка ВЛИ-0,4 кВ от вновь установленной опоры вновь построенной ВЛИ-0,4 кВ от опоры №4 ВЛ-0,4 кВ №2 КТП-8465/160 кВА ВЛ-6 кВ №5 ПС 35/6 кВ Романовская (по договору ТП от 07.03.2019 №61-1-19-00429205) для присоединения жилого дома Чудинович Л.Н., расположенного по адресу: Ростовская область, Волгодонской район, станица Романовская, пер. Алферовский, д.90, к.н. 61:08:0070117:48 (ориентировочная протяженность ЛЭП 0,03 км)</t>
  </si>
  <si>
    <t>Строительство ВЛИ-0,4кВ от вновь установленной опоры вновь построенной ВЛИ-0,4 от вновь установленной ТП-6/0,4кВ по ВЛ-6кВ №1 ПС 35/6кВ НС-12 (по договорам ТП "61-1-18-00388977 от 20.08.2018 и №61-1-18-00395029 от 27.08.2018) для присоединения жилого дома Страховой Т.И. (ориентировочная протяженность ЛЭП - 0,365км)</t>
  </si>
  <si>
    <t>Строительство участка ВЛИ-0,4 кВ от опоры №3 ВЛ-0,4 кВ №2 КТП-8459/250 кВА ВЛ-6 кВ №14 ПС 35/6 кВ Романовская для присоединения жилого дома Костенко С.М., расположенного по адресу: Ростовская область, Волгодонской район, станица Романовская, ул. Каргальского, д.53, к.н. 61:08:0070114:773 (ориентировочная протяженность ЛЭП 0,065 км)</t>
  </si>
  <si>
    <t>Строительство ВЛИ-0,4 кВ от РУ-0,4 кВ КТП-7206/63кВА по ВЛ-10 кВ №1 ПС 35/10 кВ Савельевская для присоединения склада ИП Лукьяновой М.В., расположенного по адресу: Ростовская область, Константиновский район, 0,5 км юго-западнее х. Гапкин, к.н. 61:17:0600008:1883 (ориентировочная протяженность ЛЭП 0,08 км)</t>
  </si>
  <si>
    <t>Строительство участка ВЛЗ-10кВ от опоры №108 ВЛ-10кВ №11 ПС 35/10кВ Николаевская для присоединения объекта незавершенного строительства Гончара П.В. (ориентировочная протяженность ЛЭП 0,35км)</t>
  </si>
  <si>
    <t>Строительство ВЛИ-0,4 кВ от РУ-0,4 кВ КТП-3157/100 кВА ВЛ-10 кВ №12 ПС 35/10 кВ Гуреевская для присоединения объектов сельскохозяйственного назначения ИП Ермоченко В.Н., расположенных по адресу:  Ростовская область, Дубовский район, х. Гуреев, территория земель Гуреевского сельского поселения, примерно 0,7 км по направлению на северо-восток от ориентира х. Гуреев, к.н.61:09:0600008:728 (ориентировочная протяженность ЛЭП 0,37 км)</t>
  </si>
  <si>
    <t xml:space="preserve">Строительство участка ВЛ-10 кВ от опоры №124 ВЛ-10 кВ №5 ПС 35/10 кВ Мирная, с установкой ТП-10/0,4 кВ и строительство ВЛИ-0,4 кВ от РУ-0,4 кВ вновь установленной ТП-10/0,4 кВ  для присоединения бригадного дома ИП Мерзоханова И.С-Э. расположенного по адресу: Ростовская область, Дубовский район, х. Мирный, в границах кадастрового квартала 600014, к.н. 61:09:0600014:921 (ориентировочная протяженность ЛЭП 0,29 км, ориентировочная мощность трансформатора 25 кВА) </t>
  </si>
  <si>
    <t>Строительство ВЛИ-0,4кВ от РУ-0,4кВ КТП-2560/40кВА по ВЛ-10кВ №3 ПС 35/10кВ Ново-Кировская для присоединения жилого дома Фисакова Ю.Ф., расположенного по адресу:  Ростовская область, Зимовниковский район, х. Калинин, ул. Дружбы, д. 4А, к.н. 61:13:0110201:32 (ориентировочная протяженность ЛЭП 0,23км)</t>
  </si>
  <si>
    <t>Строительство участка ВЛИ-0,4 кВ от опоры №28 ВЛ-0,4 кВ №3 КТП-1464/160 кВА ВЛ-10 кВ №11 ПС 35/10 кВ Камышевская для присоединения жилого дома Поповой С.Н., расположенного по адресу: Ростовская область, Цимлянский район, станица Лозновская, ул. Центральная, д. 51, к.н. 61:41:0040203:23 (ориентировочная протяженность ЛЭП 0,15 км)</t>
  </si>
  <si>
    <t>Строительство участка ВЛИ-0,4 кВ от опоры №1/14 ВЛ-0,4 кВ №2 КТП-1372/160 кВА ВЛ-10 кВ №17 ПС 110/35/10 кВ Цимлянская для присоединения жилого дома Солодковой Е.А., расположенного по адресу: Ростовская область, Цимлянский район, станица Красноярская, ул. Развильная, д.21, к.н. 61:41:0020124:59 (ориентировочная протяженность ЛЭП 0,2 км)</t>
  </si>
  <si>
    <t>Строительство участка ВЛ-10 кВ от опоры №7 ВЛ-10 кВ№19 ПС 35/10 кВ Лозновская, с установкой ТП-10/0,4 кВ и строительство ВЛИ-0,4 кВ от РУ-0,4 кВ вновь установленной ТП-10/0,4 кВ для присоединения коровника (МТФ №5) ИП главы К(Ф)Х Родина В.Я., расположенного по адресу: Цимлянский район, с/п Лозновское, х. Лозной, ул. Советская, 1,4 км восточнее жилого дома №1, к.н. 61:41:0600011:988 и здания стандарта №1 ИП Анпилоговой В.В., расположенного по адресу: Цимлянский район, х. Лозной, (МТК), к.н. 61:41:0600011:990  (ориентировочная протяженность ЛЭП 0,17 км, ориентировочная мощность трансформатора 40 кВА)</t>
  </si>
  <si>
    <t>Строительство участка ВЛИ-0,4 кВ от опоры №1 ВЛ-0,4 кВ №2 КТП-8105/250 кВА ВЛ-10 кВ №4 ПС 35/10 кВ Виноградная для присоединения квартиры Снежко В.Н, расположенной по адресу: Ростовская область, Волгодонской район, п. Виноградный, ул. Юбилейная, д.18, кв./оф. 2, к.н. 61:08:0050202:19 (ориентировочная протяженность ЛЭП 0,16 км)</t>
  </si>
  <si>
    <t>Строительство ВЛИ-0,4 кВ от РУ-0,4 кВ КТП-8003/160 кВА по ВЛ-10 кВ №7 ПС 35/10 кВ Рябичевская для присоединения жилого дома Пискуна С.Н., расположенного по адресу: Ростовская область, Волгодонской район, х. Рябичев, ул. Пушкина, д. 1г, к.н. 61:08:0600501:309 (ориентировочная протяженность ЛЭП 0,21 км)</t>
  </si>
  <si>
    <t>Строительство участка ВЛИ-0,4 кВ от опоры №3/5 ВЛ-0,4 кВ №1 КТП-8481/100 кВА ВЛ-6 кВ №5 ПС 35/6 кВ Романовская для присоединения жилого дома Северенчук Н.В., расположенного по адресу: Ростовская область, Волгодонской район, станица Романовская, ул. 50 лет Победы, д.125а, к.н. 61:08:0070131:936 (ориентировочная протяженность ЛЭП 0,035 км)</t>
  </si>
  <si>
    <t>Строительство участка ВЛИ-0,4 кВ от опоры №8 ВЛ-0,4 кВ №1 КТП-8109/250 кВА ВЛ-10 кВ №5 ПС 35/10 кВ Виноградная для присоединения жилого дома Федерального государственного бюджетного учреждения «Управление мелиорации земель и сельскохозяйственного водоснабжения по Ростовской области», расположенного по адресу: Ростовская область, Волгодонской район, п. Победа,  ул. Юбилейная, д.5, к.н. 61:08:0060103:787 (ориентировочная протяженность ЛЭП 0,18 км)</t>
  </si>
  <si>
    <t xml:space="preserve">Строительство участка ВЛИ-0,4 кВ от опоры №1 ВЛ-0,4 кВ №3 КТП-7041/160 кВА ВЛ-10 кВ №18 ПС 110/35/10 Константиновская для присоединения производственной базы ИП главы К(Ф)Х Бирюкова В.И., расположенной по адресу: Ростовская область, Константиновский район, 1,3 км севернее г. Константиновск, к.н.:  61:17:0600010:3718 (ориентировочная  протяженность ЛЭП 0,24 км) </t>
  </si>
  <si>
    <t>Установка ТП-10/0,4 кВ от опоры №105 ВЛ-10 кВ №19 ПС 110/35/10 кВ Заветинская и строительство ВЛИ-0,4 кВ от вновь установленной ТП-10/0,4 кВ для присоединения жилого дома Тихоненко С.А., расположенного по адресу: Ростовская область, Заветинский район, с. Заветное, проезд Западный, д.3, к.н. 61:11:0600008:615 (ориентировочная протяженность ЛЭП 0,085 км, ориентировочная мощность трансформатора 25 кВА)</t>
  </si>
  <si>
    <t>Строительство участка ВЛ-10 кВ от опоры №1/73 ВЛ-10 кВ №7 ПС 35/10 кВ Кичкинская, с установкой ТП-10/0,4 кВ и строительство ВЛИ-0,4 кВ от РУ-0,4 кВ вновь установленной ТП-10/0,4 кВ  для присоединения нежилого здания ИП главы К(Ф)Х Мироненко О.В. расположенного по адресу: Ростовская область, Заветинский район, с. Кичкино, к.н. 61:11:0600010:754 (ориентировочная протяженность ЛЭП 0,025 км, ориентировочная мощность трансформатора 25 кВА)</t>
  </si>
  <si>
    <t>Реконструкция участка ВЛ-0,4 кВ №2 КТП-1372/160 кВА по ВЛ-10 кВ №17 ПС 110/35/10 кВ Цимлянская, в пролетах опор №1/3-№1/4, для присоединения жилого дома Ковалевой Н.Н., расположенного по адресу: Ростовская область, Цимлянский район, станица Красноярская, ул. Развильная, д. 9, к.н. 61:41:0020125:46 (ориентировочная протяженность ЛЭП 0,035 км)</t>
  </si>
  <si>
    <t>Строительство участка ВЛИ-0,4 кВ от опоры №1 ВЛ-0,4 кВ №3 КТП-8452/250 кВА по ВЛ-6 кВ №1 ПС 35/6 кВ Романовская для присоединения жилых домов ИП Кошаташяна А.А., расположенных по адресам: Ростовская область, Волгодонской район, х. Погожев, ул. Гладкова, д. 32,  к.н.:  61:08:0600601:4650 и ул. Гладкова, д. 34,  к.н.:  61:08:0600601:4551 (ориентировочная  протяженность ЛЭП 0,25 км)</t>
  </si>
  <si>
    <t>Строительство участка ВЛИ-0,4кВ от опоры №2/1 ВЛ-0,4кВ №1 КТП-8355/100кВА ВЛ-6кВ №1 ПС 35/6кВ Потаповская для присоединения жилого дома Ванюковой Н.Е., расположенного по адресу: Ростовская область, Волгодонской район, х. Потапов, ул. Речная, д.1, к.н.61:08:04:00:10:00 (ориентировочная протяженность ЛЭП 0,39 км)</t>
  </si>
  <si>
    <t>Строительство участка ВЛИ-0,4кВ от опоры №1 ВЛ-0,4кВ №2 КТП-8493/250кВА ВЛ-6кВ №5 ПС 35/6кВ Романовская для присоединения нежилого помещения Дома быта Частного Учреждения Профессионального Образования Дополнительного Профессионального и Дополнительного Образования "Семь Гор",  расположенного по адресу: Ростовская область, Волгодонской район, станица Романовская, ул. Ленина, д. 32, к.н.:  61:08:0070106:210 (ориентировочная  протяженность ЛЭП 0,255км)</t>
  </si>
  <si>
    <t>Строительство участка ВЛИ-0,4 кВ от опоры №4 ВЛ-0,4 кВ №2 КТП-7402/160 кВА ВЛ-10 кВ №11 ПС 35/10 кВ Николаевская для присоединения жилого дома Гордеевой Н.Г., расположенного по адресу: Ростовская область, Константиновский район, станица Николаевская ул. Победы, д.22, к.н. 61:17:0050101:2125 (ориентировочная протяженность ЛЭП 0,075 км)</t>
  </si>
  <si>
    <t xml:space="preserve">Строительство ВЛИ-0,4 кВ от РУ-0,4 кВ КТП-7289/160 кВА ВЛ-10 кВ №24 ПС 110/35/10 кВ КГУ для присоединения здания склада ИП Магомедова И.Ш., расположенного по адресу: Ростовская область, Константиновский район, г. Константиновск, промзона КГУ-1, к.н.61:17:010231:5 (ориентировочная протяженность ЛЭП 0,118 км)
</t>
  </si>
  <si>
    <t>Строительство участка ВЛИ-0,4 кВ от опоры №5 ВЛИ-0,4 кВ №2 КТП-7191/63 кВА по ВЛ-10 кВ №24 ПС 110/35/10 кВ КГУ для присоединения жилого дома Гончарова В.П., расположенного по адресу: Ростовская область, Константиновский район, х. Ведерников, ул. Донская, д. 15, кв.2, к.н: 61:17:0010503:349 (ориентировочная  протяженность ЛЭП 0,022 км)</t>
  </si>
  <si>
    <t xml:space="preserve">Строительство участка ВЛИ-0,4 кВ от опоры №5 ВЛИ-0,4 кВ №1 КТП-7027/100 кВА ВЛ-10 кВ №24 ПС 110/35/10 кВ КГУ для присоединения жилых домов Азовой Т.И., Иванова М.Ю. и Осипова С.Ю., расположенных по адресам: Ростовская область, Константиновский район, х. Ведерников, ул. Вольная, д.1, к.н. 61:17:0010605:103 и д.5, к.н. 61:17:0010603:106 и д.17, к.н. 61:17:0010605:102 (ориентировочная протяженность ЛЭП 0,223 км)
</t>
  </si>
  <si>
    <t>Строительство участка ВЛИ-0,4 кВ от опоры №9 ВЛ-0,4 кВ №2 КТП-6435/250 кВА ВЛ-10 кВ №7 ПС 110/35/10 кВ Комаровская для присоединения скважины Яхшиева Б.Х., расположенной по адресу: Ростовская область, Мартыновский район, п. Крутобережный  пер. Новый, д. 1-з, к.н. 61:20:0020501:2887 (ориентировочная протяженность ЛЭП 0,016 км)</t>
  </si>
  <si>
    <t>Строительство участка ВЛИ-0,4 кВ от опоры №10 кВ №2 КТП-6549/160 кВА ВЛ-10 кВ №7 ПС 110/35/10 кВ Комаровская для присоединения жилого дома Мавлюдова А.М., расположенного по адресу: Ростовская область, Мартыновский район, п. Четырехъярский, ул. Степная, участок №63,к.н. 61:20:0000000:3063 (ориентировочная протяженность ЛЭП 0,013 км)</t>
  </si>
  <si>
    <t>Строительство ВЛИ-0,4 кВ от РУ-0,4 кВ КТП-6166/160кВА ВЛ-10 кВ №4 ПС 110/10 кВ Несмеяновская для присоединения весовой ИП Ермоченко В.Н., расположенной по адресу: Ростовская область, Мартыновский район, х. Несмеяновка, ул. Несмеяновская, д. 119 б, к.н:  61:20:0070701:1489 (ориентировочная  протяженность ЛЭП 0,248 км)</t>
  </si>
  <si>
    <t>Строительство ВЛИ-0,4 кВ от РУ-0,4 кВ КТП-5047/40 кВА ВЛ-10 кВ №19 ПС 110/35/10 кВ Заветинская для присоединения жилого дома Деревянкина Е.В., расположенного по адресу: Ростовская область, Заветинский район, с. Заветное, ул. Низолина, д.23, к.н. 61:11:0010101:3089 (ориентировочная протяженность ЛЭП 0,17 км)</t>
  </si>
  <si>
    <t>Строительство ВЛ 0,4кВ от опоры №11/5 ВЛ 0,4кВ №1 КТП 10/0,4кВ №14 по ВЛ 10кВ №1 ПС 35/10кВ "Волошинская", для технологического присоединения ВРУ 0,4кВ, для электроснабжения световых огней вертолетной площадки заявителя Федеральная служба безопасности РФ, расположенной в Ростовской области, Миллеровский р-н, Волошинское сельское поселение (61:22:0600017:717) (ориентировочная протяженность ЛЭП 0,17км)</t>
  </si>
  <si>
    <t>Строительство ВЛ 0,4 кВ от ВЛ 0,4 кВ №3 КТП 10/0,4 кВ №432 ВЛ 10 кВ №4 ПС 35/10 кВ «Покровская» для технологического присоединения магазина заявителя ИП Касаткина Н.В.: Ростовская область, Неклиновский район, с. Покровское, пер. Степной, 21-а, к.н. 61:26:0050102:30 (ориентировочная протяженность ЛЭП 0,165 км)</t>
  </si>
  <si>
    <t>Строительство участка ВЛ-0,4 кВ от опоры № 13, ВЛ-0,4 кВ № 2, КТП № 36, ВЛ-10 кВ №5, ПС 110/35/10 кВ «Милютинская» для подключения  жилого дома Шинкаревой А.А., расположенного по адресу: Ростовская обл., Милютинский р-н, х. Сулинский, ул. Нагорная, д.6 (ориентировочная протяженность ЛЭП – 0,465 км)</t>
  </si>
  <si>
    <t>Строительство участка ВЛ-0,4 кВ от опоры № 4, ВЛ-0,4 кВ №1, КТП №256, ВЛ-10 кВ № 6, ПС 35/10 кВ «Селивановская» для подключения  ВРУ-0,4кВ нежилых зданий (полурамников) ООО «Ростовская зерновая компания «Ресурс», расположенного по адресу: Ростовская обл., Милютинский р-н, х. Севостьянов, примерно в 2,6 км от ориентира х. Севастьянов по направлению на восток, к.н. 61:23:0600004:31 (ориентировочная протяженность ЛЭП – 0,280 км)</t>
  </si>
  <si>
    <t>Строительство участка ВЛ-0,4 кВ от оп.№51 ВЛ-0,4 кВ № 1, КТП № 47, ВЛ-10 кВ № 3, ПС 35/10 кВ «Войковская» для подключения  строящегося жилого дома Буркацкого Е.И., расположенного по адресу: Ростовская обл., Тарасовский р-н, х. Маноцкий, ул. Лесная, д. 35а (ориентировочная протяженность ЛЭП – 0,075 км)</t>
  </si>
  <si>
    <t>Строительство участка ВЛ-0,4 кВ от  КТП № 151, ВЛ-10 кВ № 5, ПС 35/10 кВ «Обливская-2» для подключения  пункта убоя скота Магомедовой Р.С., расположенного по адресу: Ростовская обл., Обливский р-н, п. Каштановский, в границах ОАО «Обливский» к.н. 61:27:0600003:729 (ориентировочная протяженность ЛЭП – 0,300 км)</t>
  </si>
  <si>
    <t>Строительство участка ВЛИ-0,4кВ от оп.№2/7 ВЛ-0,4 кВ №1, КТП №21, ВЛ-10 кВ №2,  ПС 35/10 кВ «Кустоватовская» для подключения ВРУ-0,4 кВ жилого дома Цыганкова С.П., расположенного по адресу: Ростовская область, Тацинский район, х. Кустоватов, ул. Пролетарская, д. 11 (ориентировочная протяженность ЛЭП – 0,33 км)</t>
  </si>
  <si>
    <t>Строительство участка ВЛ-0,22кВ от опоры № 12, ВЛ-0,4кВ №1, КТП №155, ВЛ-10кВ №6, ПС 35/10кВ «Вишневецкая»,  для подключения строящегося жилого дома Цехова Е.В. расположенного по адресу: Ростовская обл.,Каменский р-н, х. Филиппенков, ул. Кирова, д. № 40 (ориентировочная протяженность ЛЭП – 0,190км)</t>
  </si>
  <si>
    <t>Строительство участка ВЛ-0,4кВ от опоры №18, ВЛ-0,4кВ №2, КТП №641, ВЛ-6кВ "Победа", ПС 35/6кВ ОАО "Апанасовское" КРУ 6кВ "АКУ" для подключения жилого дома Енина О.В., расположенного по адресу: Ростовская обл., Белокалитвенский р-н, х. Апансовка, пер. Мостовой, д.12 (ориентировочная протяженность ЛЭП-0,235км)</t>
  </si>
  <si>
    <t>Строительство участка ВЛ-0,4кВ от опоры №81, ВЛ-0,4кВ №2, ТП №1, ВЛ-10кВ № 3, ПС 110/35/10/6кВ «К - 4» для подключения строящейся хозяйственной постройки Шишкалова Н.Г. расположенной по адресу: корп. А, д. 1, ул. Шолохова, х. Старая Станица, р-н Каменский, обл. Ростовская (ориентировочная протяженность ЛЭП – 0,240км)</t>
  </si>
  <si>
    <t>Строительство участка ВЛ-0,4 кВ от опоры № 29 ВЛ-0,4кВ №2 КТП № 66, ВЛ-10 кВ № 3, ПС 35/10 кВ «Элеватор» для подключения  жилых домов Ратникова П.М., Ануфриенко В.А., расположенных по адресу: Ростовская обл., Морозовский р-н, х. Вознесенский, ул. Строителей 1, 2 (ориентировочная протяженность ЛЭП – 0,175 км)</t>
  </si>
  <si>
    <t>Строительство участка ВЛ-0,4 кВ от РУ-0,4 кВ , КТП № 184,  ВЛ-10 кВ № 2, ПС 35/10 кВ «Литвиновская» для подключения БС№ 61-01941 ПАО «Мобильные ТелеСистемы», расположенного по адресу: Ростовская обл., Белокалитвинский р-н, с. Литвиновка, пер. Солнечный, д. 2б, (ориентировочная протяженность ЛЭП – 0,367 км)</t>
  </si>
  <si>
    <t>Строительство участка ВЛ-0,4 кВ от АВ-0,4 кВ № 2, КТП № 167, ВЛ-10 кВ № 1, ПС 35/10 кВ «Литвиновская» для подключения  жилого дома Бакановой Н.А., расположенного по адресу: Ростовская обл., Белокалитвинский р-н, х. Титов, ул. Лесная, д. 9 (ориентировочная протяженность ЛЭП – 0,697 км)</t>
  </si>
  <si>
    <t>Строительство участка ВЛ-0,4 кВ от КТП №29 ВЛ-10 кВ №6 ПС 110/35/10 кВ «Б-11» для подключения строящейся гостиницы Ануфриенко Л.Н., расположенной по адресу: Ростовская обл., Морозовский р-н, г. Морозовск, ул. Халтурина, 316 е (ориентировочная протяженность ЛЭП – 0,033 км)</t>
  </si>
  <si>
    <t>Строительство участка ВЛ-0,4 кВ от опоры № 17, ВЛ-0,4 кВ №1, КТП №85, ВЛ-10кВ №7, ПС 110/35/10 кВ «Милютинская» для подключения жилого дома Долженко М.М., расположенного по адресу: Ростовская обл., Милютинский р-н, х. Агропролетарский, ул. Молодежная 7 (ориентировочная протяженность ЛЭП – 0,366 км)</t>
  </si>
  <si>
    <t>Строительство участка ВЛ-0,4кВ от опоры №13, ВЛ-0,4кВ №1, КТП №678, ВЛ-6кВ "Восход", ПС 110/6кВ "Б-1" для подключения жилого дома Финаева А.И., расположенного по адресу: Ростовская обл., Белокалитвенский р-н, х. Поцелуев, ул. Солнечная, д.9 (ориентировочная протяженность ЛЭП-0,196км)</t>
  </si>
  <si>
    <t>Строительство участка ВЛ-0,4кВ от опоры № 18 ВЛ-0,4кВ №1, КТП №125, ВЛ-10кВ  №2, ПС 110/35/10/6кВ «К-4»,  для подключения жилого дома с пристройкой Аксенова А.Г. расположенного по адресу: Ростовская обл., Каменский р-н, х. Красновка, ул. Октябрьская, д. № 38 (ориентировочная протяженность ЛЭП – 0,125км)</t>
  </si>
  <si>
    <t>Строительство участка ВЛ-0,4кВ от опоры № 24, ВЛ-0,4кВ №1, КТП №529, ВЛ-10кВ  №1, ПС 35/10кВ «Первомайская»,  для подключения жилого дома Мозоль М.П. расположенного по адресу: Ростовская обл., Каменский р-н, х. Исаев, ул. Бригадная, д. № 7 (ориентировочная протяженность ЛЭП – 0,240км)</t>
  </si>
  <si>
    <t>Строительство участка ВЛ-0,22кВ от опоры № 51, ВЛ-0,4кВ №2, КТП №120, ВЛ-10кВ №2, ПС 35/10кВ «Каменская СХТ» для подключения строящегося жилого дома Родионовой Т.Н., расположенного по адресу: Ростовская обл., Каменский р-н, х. Старая Станица, ул. Ломоносова, д. №167, корп. А (ориентировочная протяженность ЛЭП – 0,045км)</t>
  </si>
  <si>
    <t>Строительство участка ВЛ-0,4кВ от опоры № 11, ВЛ-0,4кВ №2, ТП № 172, ВЛ-10кВ №1, ПС 35/10кВ «Глубокинская» для подключения жилого дома Кобытченко И.В., расположенного по адресу: Ростовская обл., Каменский р-он, х. Березовый, пер. Титова, д. №10 (ориентировочная протяженность ЛЭП – 0,300км)</t>
  </si>
  <si>
    <t>Строительство участка ВЛ-0,4 кВ от опоры №9, ВЛ-0,4 кВ №3,  КТП №221  ВЛ-10 кВ №1  ПС 110/10 кВ «Обливская ПТФ»  для подключения «строящегося жилого дома»  Спицак Н.М., расположенного по адресу: Ростовская обл., Обливский р-н, п. Средний Чир, ул. Новоселов, д.4, к.н. № 61:27:0070602:657 (ориентировочная протяженность ЛЭП – 0,050 км)</t>
  </si>
  <si>
    <t>Строительство участка ВЛ-0,4 кВ от опоры №47, ВЛ-0,4 кВ №2, КТП №102, ВЛ-10 кВ  №5, ПС 35/10кВ «Войковская»,  для подключения  жилого дома (литер Г) Веденеевой Н.Т. расположенного по адресу: Ростовская обл., Тарасовский р-н, ст. Митякинская, ул. Фрунзе, д.51, к.н. 61:37:0100101:4322 (ориентировочная протяженность ЛЭП – 0,015км)</t>
  </si>
  <si>
    <t>Строительство участка ВЛ-0,4 кВ от опоры №17, ВЛ-0,4 кВ №3, КТП №95, ВЛ-10 кВ №5, ПС 35/10кВ «Войковская», для подключения торгового павильона некапитального типа ИП Веденеевой Н.Т., расположенного по адресу: Ростовская обл., Тарасовский р-н, ст. Митякинская, ул. Менжинского, д.20а, к.н. 61:37:0100101:4362 (ориентировочная протяженность ЛЭП – 0,015км)</t>
  </si>
  <si>
    <t>Строительство участка ВЛ-0,4кВ от РУ 0,4кВ КТП №330, ВЛ-10кВ №1, ПС 35/10кВ «Знаменская», для подключения ВРУ-0,4 кВ нежилого здания, расположенного по адресу: Ростовская область, Милютинский район, 1200 м на запад от сл. Маньково-Березовская, к.н.: 61:23:0600006:776 (ориентировочная протяженность ЛЭП – 0,030км)</t>
  </si>
  <si>
    <t>Строительство участка ВЛ-0,4кВ от опоры  №1, ВЛ 0,4кВ № 2 КТП № 885, ВЛ-10кВ №3, ПС 35/10кВ «Грушевская», ВЛ-0,4кВ от опоры  №1, ВЛ 0,4кВ № 3 КТП № 885, ВЛ-10кВ №3, ПС 35/10кВ «Грушевская» для подключения строящихся и жилых домов Барышева А.И., Жмуриной Н.И., Колядиной Т.Н., Костылевой Л.М., Семерниковой Е.Н., Шапкиной М.П.,  расположенных по адресу: Ростовская обл., Белокалитвинский р-н, х.Семимаячный, ул. Коммуна д.40, ул. Набережная д. 24, 5, 4, 9, 40 (ориентировочная протяженность ЛЭП – 2,069 км)</t>
  </si>
  <si>
    <t>Строительство участка ВЛ-0,4кВ от РУ-0,4кВ ТП №63, ВЛ-6кВ «Атлас», ПС 110/35/10/6кВ «К-4» для подключения БС №61-02523 ПАО «МТС» расположенных по адресу: Ростовская обл., Каменский р-он, 918км +400м автомагистрали М-4 «Дон», справа по ходу километража «Москва-Ростов» КН 61:15:602101:0343 (ориентировочная протяженность ЛЭП – 0,115км)</t>
  </si>
  <si>
    <t>Строительство участка ВЛ 0,4 кВ от опоры № 1 ВЛ 0,4 кВ №1 КТП № 922, ВЛ 10 кВ №4 ПС 35/10 кВ «Грушевская» для подключения коровника Индивидуального предпринимателя Талахадзе Л.П. (ориентировочная протяженность ЛЭП – 0,284 км)</t>
  </si>
  <si>
    <t>Строительство участка ВЛ-0,4 кВ от опоры № 1, ВЛ-0,4 кВ №1, КТП № 352, ВЛ-6 кВ «Курский карьер», ПС 110/35/6 кВ «Б-2» для подключения  строящегося СТО  Толмачева А.Ю., расположенного по адресу: примерно на расстоянии 50 метров по направлению на северо-восток от ориентира: Ростовская обл., Белокалитвинский р-н, х. Крутинский, ул. Родниковая, 60, к.н. 61:04:0130104:293 (ориентировочная протяженность ЛЭП – 0,880 км)</t>
  </si>
  <si>
    <t>Строительство участка ВЛ-0,4 кВ от АВ-0,4 кВ № 2, КТП № 113, ВЛ-10 кВ № 4, ПС 110/10 кВ «Головокалитвинская» для подключения  склада Синебрюхова Д.И., расположенного по адресу: Ростовская обл., Белокалитвинский р-н, х. Демишев, ул. Кирпичная, д. 3 (ориентировочная протяженность ЛЭП – 0,600 км)</t>
  </si>
  <si>
    <t>Строительство участка ВЛ-0,4кВ от опоры №2, ВЛ-0,4кВ №1, КТП №52 ВЛ-10кВ №3 ПС 35/10кВ «Войковская», для подключения базовой станции сотовой связи ЗАО «Русские башни», расположенной по адресу: Ростовская обл., Тарасовский р-н, х. Можаевка примерно в 30м на северо-восток от дома № 19 по ул. Мира, к.к. № 61:37:0110101 (ориентировочная протяженность ЛЭП-0,02км)</t>
  </si>
  <si>
    <t>Строительство участка ВЛ-0,4 кВ от опоры № 3, ВЛ-0,4 кВ № 3 , КТП № 426, ВЛ-10 кВ № 3, ПС 35/10 кВ «Нижнепоповская » для подключения строящегося  жилого дома Хижнякова П.С., расположенного по адресу: Ростовская обл., Белокалитвинский р-н, п. Сосны, ул. Сосновая, д.32, (ориентировочная протяженность ЛЭП – 0,166 км)</t>
  </si>
  <si>
    <t>Строительство участка ВЛ-0,4кВ от опоры №7, ВЛ-0,4кВ №1, КТП №204, ВЛ-10кВ №4, ПС 110/35/10кВ «Б-11», для подключения жилого дома Дущенко Л.Н., расположенного по адресу: Ростовская обл., Морозовский р-н, г. Морозовск, ул. Каруна, д. 8/60, к.н. 61:24:0014007:203 (ориентировочная протяженность ЛЭП–0,17км)</t>
  </si>
  <si>
    <t>Строительство участка ВЛ-0,4 кВ от опоры № 3, ВЛ-0,4 кВ № 2, КТП  № 456, ВЛ-10 кВ № 1, ПС 35/10 кВ «Колушкинская», для подключения «нежилого здания (крытый ток)» ИП главы К(Ф)Х Бородавченко В.Н., установленного относительно ориентира, расположенного в границах участка, адрес ориентира: Ростовская область, Тарасовский район, сл. Ефремово-Степановка, к.н. 61:37:0600006:1 (ориентировочная протяженность ЛЭП – 0,540 км)</t>
  </si>
  <si>
    <t>Строительство участка ВЛ-0,4 кВ от КТП №172, ВЛ-6 кВ «Кирова», ПС 35/6 кВ «Б-6», для подключения строящегося здания Гнилорыбова А.А, расположенного по адресу: Ростовская обл., Тацинский р-н, п. Жирнов примерно в 0,6 км на восток от ул. Мичурина, 82, к.н. № 61:38:0600008:1582 (ориентировочная протяженность ЛЭП – 0,325 км)</t>
  </si>
  <si>
    <t>Строительство участка ВЛ-0,4кВ от опоры №18, ВЛ-0,4кВ №1,  КТП №251 ВЛ-10 кВ №5 ПС 110/10 кВ «Обливская ПТФ» для подключения «склада травяного» Гаврилова М.М., расположенного по адресу: Ростовская обл., Обливский р-н, х. Солонецкий, пер.Луговой, д. 4В, к.н. № 61:27:0600016:68 (ориентировочная протяженность ЛЭП – 0,280км)</t>
  </si>
  <si>
    <t>Строительство участка ВЛ-0,4кВ от опоры №1, ВЛ-0,4 кВ №1, КТП № 575, ВЛ-10кВ №3, ПС 35/10кВ «Краснодонецкая» для подключения жилого дома Барвенко С.Г., расположенного по адресу: Ростовская обл., Белокалитвинский р-н, х. Нижнесеребряковский, ул. Центральная, д. 14 (ориентировочная протяженность ЛЭП – 0,365 км)</t>
  </si>
  <si>
    <t>Строительство участка ВЛ-0,22кВ от АВ 0,4кВ №1, КТП№884, ВЛ-10кВ №3, ПС 35/10кВ «Грушевская», для подключения ГРП для объекта «Межпоселковый газопровод к х. Семимаячный, х. Грушевка, х. Дубовой с отводами на х. Постовой и х. Чернышев» ООО «Газпроммежрегионгаз» расположенного по адресу: Ростовская обл., Белокалитвинский р-н, х. Семимаячный, к.н. 61:04:0000000:5440 (ориентировочная протяженность ЛЭП – 0,206км)</t>
  </si>
  <si>
    <t>Строительство участка ВЛ-0,4 кВ от опоры № 1, ВЛ-0,4 кВ №2 , КТП №517, ВЛ-10кВ №2 Л-СП-3, ПС 110/10 кВ «Богатовская ПТФ» для подключения жилого дома Радченко Л.В., расположенного по адресу: Ростовская обл., Белокалитвинский р-н, х. Богатов, ул. Песчаная д.14 кв.3. (ориентировочная протяженность ЛЭП – 0,547 км)</t>
  </si>
  <si>
    <t>Строительство участка ВЛ-0,4 кВ от опоры № 3, ВЛ-0,4 кВ №3 , КТП№517, ВЛ-10кВ №2 Л-СП-3, ПС 110/10 кВ «Богатовская ПТФ», для подключения жилого дома Титова Ф.И., расположенного по адресу: Ростовская обл., Белокалитвинский р-н, х. Богатов, ул. Набережная д.33. (ориентировочная протяженность ЛЭП – 0,280 км)</t>
  </si>
  <si>
    <t>Строительство участка ВЛ-0,4кВ от АВ 0,4кВ №1, КТП№516, ВЛ-10кВ №2 Л-СП-3, ПС 110/10кВ «Богатовская ПТФ», для подключения жилых домов Лашиной А.А., Назарова А.Н., Панфиловой Е.С., расположенных по адресу: Ростовская обл., Белокалитвинский р-н, х. Богатов, ул. Набережная к.н. 61:04:0080201:199, ул. Набережная д. 11, ул. Сосновая д.10 (ориентировочная протяженность ЛЭП – 0,616 км)</t>
  </si>
  <si>
    <t>Строительство участка ВЛ-0,4 кВ от опоры № 1, ВЛ-0,4 кВ №1 , КТП №278 ВЛ-6кВ "Горняцкий" ПС 110/35/6кВ Б-2, для подключения  жилого дома Корольковой З.В., расположенного по адресу: Ростовская обл., Белокалитвинский р-н, х. Рудаков, д. 50а (ориентировочная протяженность ЛЭП – 0,634км)</t>
  </si>
  <si>
    <t>Строительство участка ВЛ-0,4кВ от опоры № 1, ВЛ-0,4кВ №2, КТП №60 ВЛ-10кВ №2 ПС 110/10кВ «Головокалитвинская», для подключения  жилого дома Фисунова С.Я., расположенного по адресу: Ростовская обл., Белокалитвинский р-н, х. Ильинка, ул. Первомайская, к.н. № 61:04:0140103:99 (ориентировочная протяженность ЛЭП – 0,339 км)</t>
  </si>
  <si>
    <t>Строительство участка ВЛ-0,4 кВ от опоры № 1, ВЛ-0,4 кВ №2 , КТП№191 ВЛ-10кВ №2 ПС 35/10 кВ «Литвиновская», для подключения  жилого дома Гуреева И.Г., расположенного по адресу: Ростовская обл., Белокалитвинский р-н, с. Литвиновка, пер. Лесной 6 (ориентировочная протяженность ЛЭП – 0,196 км)</t>
  </si>
  <si>
    <t>Строительство участка ВЛ-0,4 кВ от опоры №20, ВЛ-0,4 кВ №1, КТП №123,  ВЛ-10 кВ №4, ПС 35/10 кВ «Семёновская» для подключения  жилого дома Полога Н.В., расположенного по адресу: Ростовская обл., Милютинский р-он, х. Орлов, ул. Садовая, д. 8, к.н. № 61-23-0060101:21 (ориентировочная протяженность ЛЭП – 0,170 км)</t>
  </si>
  <si>
    <t>Строительство участка ВЛ-0,4 кВ от опоры № 17, ВЛ-0,4 кВ № 1, КТП № 258, ВЛ-10 кВ №6, ПС 35/10 кВ «Селивановская» для подключения  жилого дома Холошенко А.И., расположенного по адресу: Ростовская обл., Милютинский р-н, х. Севостьянов, ул. Центральная, д.15 (ориентировочная протяженность ЛЭП – 0,120 км)</t>
  </si>
  <si>
    <t>Строительство участка ВЛ-0,4 кВ от опоры № 6, ВЛ-0,4 кВ № 1, КТП № 82, ВЛ-10 кВ № 7, ПС 110/35/10 кВ «Милютинская», для подключения жилого дома Фильцева А.А., расположенного по адресу: Ростовская обл., Милютинский р-н, х. Юдин, ул. Черёмушки д. 67, к.н. 61:23:0030101:2204 (ориентировочная протяженность ЛЭП – 0,45 км)</t>
  </si>
  <si>
    <t>Строительство участка ВЛ-0,4 кВ от РУ-0,4 кВ, КТП №239, ВЛ-10 кВ №9, ПС 35/10 кВ "Селивановская" для подключения нежилого здания (телятника) Гривенного А.А., расположенного по адресу: Ростовская область, Милютинский р-н, х. Новодмитриевский, ул. Комаровка, д. 27, к.н. №61:23:0050401:20 (ориентировочная протяженность ЛЭП 0,520 км)</t>
  </si>
  <si>
    <t>Строительство участка ВЛ-0,4кВ от опоры №28 ВЛ-0,4кВ №1, КТП№51, ВЛ-10кВ №6, ПС 110/35/10 кВ «Обливская-1», для подключения строящегося полевого дома Арисян А.А., расположенного по адресу: Ростовская обл., Обливский р-н, х. Лобачев, в границах ОАО «Лобачевский», к.н. № 61:27:06000011:430 (ориентировочная протяженность ЛЭП-0,400км)</t>
  </si>
  <si>
    <t>Строительство участка ВЛ-0,4кВ от опоры №8, ВЛ-0,4кВ №1 , КТП №290 ВЛ-10кВ №2 ПС 110/35/10 кВ «Тарсовская», для подключения строящегося жилого дома Морозова И.Н., расположенного по адресу: Ростовская обл., Тарасовский р-н, п. Тарасовский, ул. Пушкина 79 (ориентировочная протяженность ЛЭП – 0,03 км)</t>
  </si>
  <si>
    <t>Строительство участка ВЛ-0,4 кВ от РУ-0,4кВ, КТП№454 ВЛ-10кВ №1 ПС 35/10 кВ «Колушкинская» для подключения жилых домов Хорошевского Ю.Н.; Липинского М.А., расположенных по адресу: Ростовская обл., Тарасовский р-н, сл. Ефремово-Степановка, ул. Первомайская, д.3 и д.7 (ориентировочная протяженность ЛЭП – 0,188 км)</t>
  </si>
  <si>
    <t>Строительство участка ВЛ-0,4 кВ от опоры № 4, ВЛ-0,4 кВ №2, КТП№222, ВЛ-10кВ №1 ПС 35/10 кВ «Митякинская» для подключения  жилого дома Минаева Ю.А., расположенного по адресу: Ростовская обл., Тарасовский р-н, х. Верхний Митякин, ул. Заречная, д.41 (ориентировочная протяженность ЛЭП – 0,410 км)</t>
  </si>
  <si>
    <t>Строительство участка ВЛ-0,4 кВ от опоры № 9, ВЛ-0,4 кВ №1 , КТП №379, ВЛ-10 кВ №1, ПС 35/10 кВ «Верхне-Кольцовская», для подключения здания зерносклада ИП Забураева С.А., расположенного по адресу: Ростовская обл., Тацинский р-н, х. Новороссошанский, пер. Кавказский, д. 5, корп. А (ориентировочная протяженность ЛЭП – 0,257 км)</t>
  </si>
  <si>
    <t>Строительство участка ВЛ-0,4 кВ от опоры №25, ВЛ-0,4 кВ №1, КТП №153, ВЛ-10 кВ №3, ПС 35/10 кВ «Широко-Атамановская», для подключения жилого дома Шпак В.В., расположенного по адресу: Ростовская обл., Морозовский р-н, х. Донской, ул. Школьная, д 7, к.н.  61:24:0080301:85 и жилого дома Шпак В.В., расположенного по адресу: Ростовская обл., Морозовский р-н, х. Донской, ул. Школьная, д 11, к.н. 61:24:0080301:101 (ориентировочная протяженность ЛЭП – 0,22 км)</t>
  </si>
  <si>
    <t>Строительство участка ВЛ-0,4кВ от РУ-0,4кВ, КТП №184, ВЛ-10кВ №3, ПС 35/10кВ «Семёновская», для подключения артскважины «Муниципального унитарного пассажирского автотранспортного предприятия Милютинского района», расположенного по адресу: Ростовская обл., Милютинский р-н, п. Доброполье, ул. пер. Мирный,  д 5, ПТО ЗАО «Каменное» к.н. 61:23:0060201:238 (ориентировочная протяженность ЛЭП–0,085км)</t>
  </si>
  <si>
    <t>Строительство участка ВЛ-0,4кВ от опоры №13, ВЛ-0,4кВ № 2, КТП №153, ВЛ-10кВ №3, ПС 35/10кВ «Каменская СХТ», для подключения строящегося жилого дома Пылева Н.Е. расположенного по адресу: Ростовская область, Каменский район, х. Лесной, ул. Лермонтова, д. №7, кв./оф.1, к.н. 61:15:0130501:1646 (ориентировочная протяженность ЛЭП-0,049км)</t>
  </si>
  <si>
    <t>Строительство участка ВЛ-0,4кВ от опоры №4, ВЛ-0,4кВ №1, КТП №147, ВЛ-10кВ  №2, ПС 110/35/10/6кВ «К-4»,  для подключения жилого дома Макаровой С.И. и строящегося жилого дома Мирошниченко М.Н. расположенных по адресу:Ростовская область, Каменский район, х. Масаловка, ул. Гагарина, дом № 4 к.н. 61:15:0080201:1497 и дом №9 к.н. 61:15:00802016:1473 (ориентировочная протяженность ЛЭП – 0,124км)</t>
  </si>
  <si>
    <t>Строительство участка ВЛ-0,4 кВ от опоры №19 ВЛ 0,4 кВ №1 КТП №386, ВЛ-10 кВ №2, 10/0,4 ПС 35/10 кВ "Курнолиповская", для подключения здания телятника Костоева Х.Х., расположенного по адресу: Ростовская область, Тарасовский район, в  0,55 км на северо-запад от х. Новоалексеевка, к.н. №61:37:06000015:794 (ориентировочная протяженность ЛЭП 0,38 км)</t>
  </si>
  <si>
    <t>Строительство участка ВЛ-0,4кВ от опоры № 5, ВЛ-0,4кВ №1, КТП №3, ВЛ-10кВ №3, ПС 35/10кВ «Вольно-Донская» для подключения жилого дома Шадманова А.А., расположенного по адресу: Ростовская обл., Морозовский р-н, х. Семеновка,  д. № 16 (ориентировочная протяженность ЛЭП – 0,13км)</t>
  </si>
  <si>
    <t>Строительство участка ВЛ-0,4 кВ от опоры № 1, ВЛ-0,4 кВ №1 , КТП№289 ВЛ-10кВ №5 ПС 35/10 кВ «Селивановская», для подключения нежилого здания (склада) Аникеенко А.П., расположенного по адресу: Ростовская обл., Милютинский р-н, х. Решетняков, пер. Речной, строение 1 (ориентировочная протяженность ЛЭП – 0,168 км)</t>
  </si>
  <si>
    <t>Строительство участка ВЛ-0,4кВ от опоры № 10, ВЛ-0,4кВ №1, КТП №63, ВЛ-10 кВ №3, ПС 35/10кВ «Широко-Атамановская», для подключения нежилого здания (склада) ИП Главы КФХ Ноздрина В.И., расположенного по адресу: Ростовская обл., Морозовский р-н, территория реорганизованного колхоза им. Дзержинского 530 м на юго-запад от ул. Покровская, д.26 х. Покровский к.н. 61:24:0600010:349 (ориентировочная протяженность ЛЭП – 0,39км)</t>
  </si>
  <si>
    <t>Строительство участка ВЛ-0,4 кВ от опоры № 9, ВЛ-0,4 кВ №1, КТП№19 ВЛ-10кВ №2, ПС 110/35/10 кВ «Обливская-1» для подключения  жилого дома Мельниковой Н.В., расположенного по адресу: Ростовская обл., Обливский р-н, х. Сеньшин, ул. Березовая, д.67 (ориентировочная протяженность ЛЭП – 0,21 км)</t>
  </si>
  <si>
    <t>Строительство участка ВЛ-0,4 кВ от опоры № 38, ВЛ-0,4 кВ №2, КТП № 75, ВЛ-10 кВ №5, ПС 110/10 кВ «Волченская ПТФ» для подключения жилого дома Погребецкой А.Д. расположенного по адресу: Ростовская обл., Каменский р-н, х. Малая Каменска ул. Октябрьская, д. 23 корп.А., к.н.з.у. 61:15:0090101:3989 (ориентировочная протяженность ЛЭП – 0,103 км)</t>
  </si>
  <si>
    <t>Строительство участка ВЛ-0,4кВ от опоры №9, ВЛ-0,4кВ №1, КТП №153, ВЛ-10кВ №3, ПС 35/10кВ «Каменская СХТ», для подключения строящегося жилого дома Барабаш Ю.Г. расположенного по адресу: Ростовская область, Каменский район, х. Лесной, ул. Лермонтова, дом № 16 к.н. 61:15:0130501:2025 (ориентировочная протяженность ЛЭП – 0,075км)</t>
  </si>
  <si>
    <t>Строительство ТП 10/0,4 кВ, ВЛ 10 кВ, ВЛ 0,4 кВ от ВЛ 10 кВ №706 ПС 35 кВ АС7 для электроснабжения складского помещения ООО “Фирма Элмика” на участке с КН 61:02:0600008:435 в п. Рассвет Аксайского района Ростовской области (ориентировочная мощность трансформатора 0,160 МВА, ориентировочная протяжённость ЛЭП 0,684 км)</t>
  </si>
  <si>
    <t>Строительство ВЛ 0,4 кВ от ВЛ 0,4 кВ №1 КТП №426 ВЛ 10 кВ №1109 ПС 110 кВ АС11 для электроснабжения ВРУ 0,4 кВ жилого дома Краснова В. П. по ул. Мира, 59 в х. Веселый Аксайского района Ростовской области (ориентировочная протяжённость ЛЭП 0,180 км)</t>
  </si>
  <si>
    <t>Строительство ВЛ 0,4 кВ от ВЛ 0,4 кВ №1 КТП №148 ВЛ 6 кВ №802 ПС 35 кВ АС8 для электроснабжения ВРУ 0,23 кВ жилого дома Машичева В. В. на участке с КН 61:02:500601:118 в п. Опытный Аксайского района Ростовской области (ориентировочная протяжённость ЛЭП 0,162 км)</t>
  </si>
  <si>
    <t>Строительство ВЛ 0,4 кВ от ВЛ 0,4 кВ №1 КТП №737 ВЛ 10 кВ №105 ПС 110 кВ АС1 для электроснабжения ВРУ 0,4 кВ жилого дома Толстяковой Е. О. по ул. Красноармейская, 235/2 в ст-це Ольгинская Аксайского района Ростовской области (ориентировочная протяжённость ЛЭП 0,225 км)</t>
  </si>
  <si>
    <t>Строительство ВЛ 0,4кВ от ВЛ 0,4кВ №1, КТП №25, ВЛ 10кВ №653, ПС 110 кВ АС6 для электроснабжения ВРУ 0,4кВ жилого дома Луговик Н.А. по ул. Полевая, 7 в ст-це Старочеркасская Аксайского района, Ростовской области (ориентировочная протяжённость ЛЭП 0,095км)</t>
  </si>
  <si>
    <t>Строительство ВЛ 0,4кВ от ВЛ 0,4кВ №1 КТП №490 ВЛ 10кВ №1103 ПС 110 кВ АС11 для электроснабжения ВРУ 0,4кВ жилого дома Гоптаревой В.Г. по ул. Азовская, 18А в х. Александровка Аксайского района Ростовской области (ориентировочная протяжённость ЛЭП 0,080км)</t>
  </si>
  <si>
    <t>Строительство ВЛ 0,4 кВ от ВЛ 0,4 кВ №1 КТП №406 ВЛ 10кВ №1003 ПС 110 кВ АС10 для электроснабжения ВРУ 0,4 кВ жилого дома Наумова А.А. на участке с КН 61:02:0030103:399 в ст-це Грушевская Аксайского района Ростовской области (ориентировочная протяжённость ЛЭП 0,092км)</t>
  </si>
  <si>
    <t>Строительство ВЛ 0,4кВ от ВЛ 0,4кВ №2 КТП №138 ВЛ 6кВ №807 ПС 35кВ АС8 для электроснабжения ВРУ 0,4кВ жилого дома Колесниковой С.П. по ул. Калинина, 37А в х. Большой Лог Аксайского района Ростовской области (ориентировочная протяжённость ЛЭП 0,030км)</t>
  </si>
  <si>
    <t>Строительство ВЛ 0,4кВ от проектируемой КТПН 6/0,4кВ (по договору №61-1-17-00338449 от 09.10.2017г.) ВЛ 6кВ №806 ПС 35кВ АС8 для электроснабжения ВРУ 0,23кВ жилого дома Мирошникова С.В. на участке с КН 61:02:503501:0045 в п. Опытный Аксайского района Ростовской области (ориентировочная протяжённость ЛЭП 0.067км)</t>
  </si>
  <si>
    <t>Строительство ВЛ 0,4 кВ от ВЛ 0,4 кВ №2 КТП №115 ВЛ 10 кВ №3 ПС 35 кВ Б. Салы для электроснабжения ВРУ 0,4 кВ жилого дома Бросалина С. А. на участке с КН 61:02:0600005:9829 в пос. Темерницкий Аксайского района Ростовской области (ориентировочная протяжённость ЛЭП 0,115 км)</t>
  </si>
  <si>
    <t>Строительство ВЛ 0,4 кВ от ВЛ 0,4 кВ №2 КТП №11 ВЛ 10 кВ №655 ПС 110 кВ АС6 для электроснабжения ВРУ 0,4 кВ жилого дома Таишевой Т. В. по ул. Аксайская, 5А в ст-це Старочеркасская Аксайского района Ростовской области (ориентировочная протяжённость ЛЭП 0,050 км)</t>
  </si>
  <si>
    <t>Строительство ВЛ 0,4 кВ от ВЛ 0,4 кВ №1 КТП №82 ВЛ 10 кВ №1208 ПС 110 кВ АС12 для электроснабжения ВРУ 0,4 кВ жилого дома Гетманова В. В. на участке с КН 61:02:0600006:5415 в п. Щепкин Аксайского района Ростовской области (ориентировочная протяжённость ЛЭП 0,036 км)</t>
  </si>
  <si>
    <t>Строительство ВЛ 0,4 кВ от ВЛ 0,4 кВ №2 КТП №740 ВЛ 10 кВ №101 ПС 110 кВ АС1 для электроснабжения ВРУ 0,4 кВ жилого дома Торопова Е. Э. на участке с КН 61:02:0600015:5874 в х. Махин Аксайского района Ростовской области (ориентировочная протяжённость ЛЭП 0,070 км)</t>
  </si>
  <si>
    <t>Строительство ВЛ 0,4кВ от ВЛ 0,4кВ №1 КТП №8 ВЛ 10кВ №657 ПС 110кВ АС6 для электроснабжения ВРУ 0,4кВ жилого дома Маянцева А.Г. по ул. Булавина, 5Б в ст. Старочеркасская Аксайского района Ростовской области (ориентировочная протяженность ЛЭП 0,150км)</t>
  </si>
  <si>
    <t>Строительство ВЛ 0,4 кВ от ВЛ 0,4 кВ №2 КТП №107 ВЛ 10 кВ №1208 ПС 110 кВ АС12 для электроснабжения ВРУ 0,4 кВ жилого дома Пидуст А. А. по ул. Первомайская, 66А в п. Щепкин Аксайского района Ростовской области (ориентировочная протяжённость ЛЭП 0,1км)</t>
  </si>
  <si>
    <t>Строительство ВЛ 0,4 кВ от ВЛ 0,4 кВ №1 КТП №704 ВЛ 10 кВ №405 ПС 110 кВ АС4 для электроснабжения ВРУ 0,4 кВ жилого дома Казимова В. С. по ул. Истомина, 52 в х. Истомино Аксайского района Ростовской области (ориентировочная протяжённость ЛЭП 0,1км)</t>
  </si>
  <si>
    <t>Строительство ВЛ 0,4 кВ от проектируемого КТП 10/0,4 кВ (по договору № 61-1-18-00373877 от 10.05.2018 г.)  по ВЛ 10 кВ №3  ПС 35 кВ Б. Салы для электроснабжения жилых домов по ул. Печерского,  22, 28 в пос. Темерницкий Аксайского района Ростовской области (ориентировочная протяжённость ЛЭП 0,1 км)</t>
  </si>
  <si>
    <t>Строительство ВЛ 0,4 кВ от ВЛ 0,4 кВ №1 КТП №607 ВЛ 10 кВ №105 ПС 110 кВ АС1 для электроснабжения ВРУ 0,4 кВ жилого дома Чеботаревой Н. В. на участке с КН 61:02:0090103:3017 в ст-це Ольгинская Аксайского района Ростовской области (ориентировочная протяжённость ЛЭП 0,053 км)</t>
  </si>
  <si>
    <t>Строительство ВЛ 0,4 кВ от ВЛ 0,4 кВ №2 КТП №494 ВЛ 10 кВ №1101 ПС 110 кВ АС11 для электроснабжения ВРУ 0,4 кВ храма на участке с КН 61:02:0070201:1140 в ст-це Мишкинская Аксайского района Ростовской области (ориентировочная протяжённость ЛЭП 0,090 км)</t>
  </si>
  <si>
    <t>Строительство ВЛ 0,4 кВ от ВЛ 0,4 кВ №3 КТП №253 ВЛ 10 кВ №2 ПС 35 кВ Б. Салы для электроснабжения ВРУ 0,4 кВ жилого дома Бублеева С. В. по ул. Платова, 1 в пос. Темерницкий Аксайского района Ростовской области (ориентировочная протяжённость ЛЭП 0,111 км)</t>
  </si>
  <si>
    <t>Строительство ВЛ 0,4кВ от РУ 0,4кВ КТП №683 ВЛ-10кВ №255 ПС 110кВ БГ2 для электроснабжения земельного участка сельскохозяйственного назначения Метелева Н.Н. по адресу: Ростовская область, Аксайский район, х. Слава Труда, установлено относительно ориентира, расположенного в границах участка, к.н. 61:02:0600019:1316 (ориентировочная протяженность ЛЭП 0,05км)</t>
  </si>
  <si>
    <t>Строительство ВЛ 0,4кВ от опоры №45 ВЛ 0,4кВ №2 КТП 10/0,4кВ №126 ВЛ 10кВ №307 ПС 35кВ БГ3 для электроснабжения жилого дома Сулейманова М.С. по адресу: Ростовская область, Багаевский район, х. Кудинов, ул. Школьная, д.41-а, к.н. 61:03:0030201:1155 (ориентировочная протяжённость ЛЭП 0,135км)</t>
  </si>
  <si>
    <t>Строительство ВЛ 0,4 кВ от опоры № 9 ВЛ 0,4 кВ №3 КТП 10/0,4 кВ №144 ВЛ 10 кВ №108 ПС 110 кВ БГ1 для электроснабжения личного подсобного хозяйства Галатова А.А. по адресу:  Ростовская область, Багаевский район, х. Елкин, ул. Кооперативная, д. 3-а, к.н. 61:03:0030141:21(ориентировочная протяжённость ЛЭП 0,07 км)</t>
  </si>
  <si>
    <t>Строительство ВЛ 0,4кВ от ВЛ 0,4кВ №1, КТП 10/0,4кВ №4, ВЛ 10кВ №151, ПС 110 кВ В1 для электроснабжения здания ИП Шаповалова А.Н. на участке с КН 61:06:0010305:126 в х.Каракашев, ул. Старая, д. 39, Веселовского района, Ростовской области (ориентировочная протяжённость ЛЭП 0,04км)</t>
  </si>
  <si>
    <t xml:space="preserve">Строительство ВЛ 0,4 кВ  по ВЛ 0,4 кВ № 1,  КТП 10/0.4 кВ № 93, ВЛ 10 кВ №158  ПС 110  кВ  В1 для электроснабжения жилого дома Акопян Р. А. на участке с КН 61:06:0010139:490 в п. Веселый, ул. Мира, д. 43, Веселовского района, Ростовской области и жилого дома Черных Н. В. на участке с КН 61:06:0010139:489 в п. Веселый, ул. Мира, д. 41  Веселовского района, Ростовской области </t>
  </si>
  <si>
    <t>Строительство ВЛ 0,4кВ по ВЛ 0,4кВ №2 КТП 10/0,4кВ №91 ВЛ 10кВ №160 ПС 110 кВ В1 для электроснабжения жилого дома Фомичева В.В. на участке с КН 61:06:0010108:182 в п. Веселый, ул. Береговая, д. 14а, Веселовского района, Ростовской области (ориентировочная протяжённость ЛЭП 0,03км)</t>
  </si>
  <si>
    <t>Строительство ВЛ 0,4 кВ  по ВЛ 0,4 кВ № 1,  КТП 10/0.4 кВ № 111, ВЛ 10 кВ №405  ПС 35  кВ  В4 для электроснабжения храма Святого Великомученика Пантелеимона Местной религиозной организации православного Прихода храма Успения Пресвятой Богородицы п. Веселый Веселовского района Ростовской области Религиозной организации «Волгодонская Епархия Русской Православной Церкви (Московский патриархат)»на участке с КН 61:06:0060102:129 в х. Позднеевка, ул. Мира,  д. 11-а, Веселовского района, Ростовской области (ориентировочная протяжённость ЛЭП 0,025 км)</t>
  </si>
  <si>
    <t>Строительство ВЛ 0,4кВ от опоры №1 ВЛ 0,4кВ №2 КТП №294 ВЛ 10кВ №208 ПС 110кВ СМ2 для электроснабжения ВРУ 0,4кВ на земельном участке сельскохозяйственного назначения заявителя ИП Глава КФХ Савельев Г.П. по адресу: Ростовская обл., р-н Семикаракорский, х. Жуков, примерно в 145м по направлению на юго-восток, кадастровый номер земельного учатска 61:35:0600007:640 (ориентировочная протяжённость ЛЭП 0,04км)</t>
  </si>
  <si>
    <t>Строительство  ВЛ 0,4 кВ от опоры № 24 ВЛ 0,4 кВ № 2 КТП 10/0,4 кВ № 434  ВЛ 10 кВ № 402 ПС 110 СМ-4 для электроснабжения земельного участка заявителя ИП Исаева В.Ю.  расположенного по адресу Ростовская область Семикаракорский район х. Сусат ул. Дорожная д. 6 примерно в 49 м на северо-запад   (ориентировочная протяжонность ЛЭП 0,035 км)</t>
  </si>
  <si>
    <t>Строительство ВЛ 0,4 кВ от ВЛ 0,4 кВ №3 КТП №691 ВЛ 10 кВ №405 ПС 110 кВ АС4 для электроснабжения ВРУ 0,4 кВ жилого дома Борисова Н. по пер. Дачный, 23/3 в х. Истомино Аксайского района Ростовской области (ориентировочная протяжённость ЛЭП 0,260 км)</t>
  </si>
  <si>
    <t>Строительство ВЛ 0,4 кВ от ВЛ 0,4 кВ №3 КТП №233 ВЛ 10 кВ №414 ПС 220 кВ Р4 для электроснабжения помещения и нежилого здания на участке с КН 61:02:0600010:12172, 61:02:0600010:12170 в п. Янтарный Аксайского района Ростовской области  (I этап)</t>
  </si>
  <si>
    <t>Строительство ВЛ 0,4 кВ от опоры № 119 ВЛ 0,4 кВ №1 КТП 10/0,4 кВ №163 ВЛ 10 кВ №605 ПС 110 кВ БГ6 для электроснабжения жилого дома Кисель А.И. по адресу:  Ростовская область, Багаевский район, х. Карповка, ул. Зеленая, д. 1-г, к.н. 61:03:0600001:454</t>
  </si>
  <si>
    <t>Строительство ВЛ 0,4 кВ от РУ 0,4кВ КТП №83 ВЛ 10кВ №107 ПС 110кВ АС1 для электроснабжения ВРУ 0,4кВ нежилого здания Кудрявцевой Н.С. по ул. Верхне-Луговая, 140Д в ст-це Ольгинская Аксайского района Ростовской области (ориентировочная протяженность ЛЭП – 0,075км)</t>
  </si>
  <si>
    <t>Строительство ВЛ 0,4кВ от ВЛ 0,4кВ №1 КТП №260 ВЛ 10кВ №3 ПС 35кВ Б. Салы для электроснабжения ВРУ 0,4кВ жилого дома Пигарева Р.К. на участке с КН 61:02:0600005:8544 в х. Нижнетемерницкий Аксайского района, Ростовской области (ориентировочная протяжённость ЛЭП 0,050км)</t>
  </si>
  <si>
    <t>Строительство ВЛ 0,4 кВ от ВЛ 0,4 кВ №2 КТП №105 ВЛ 6 кВ №807 ПС 35 кВ АС8 для электроснабжения ВРУ 0,4 кВ жилого дома Федоряка М. С. на участке с КН 61:02:0010201:6825 в х. Большой Лог Аксайского района Ростовской области (ориентировочная протяжённость ЛЭП 0,051 км)</t>
  </si>
  <si>
    <t>Строительство ВЛ 10кВ, ВЛ 0,4кВ, КТП 10/0,4кВ от опоры №94 ВЛ 10кВ №402 ПС 35кВ БГ4 для электроснабжения овощехранилища  Аскарова М.Г. по адресу: Ростовская обл., Багаевский р-н, установлено относительно ориентира, расположенного за пределами участка. Ориентир п. Отрадный. Участок находится примерно 3500м о ориентира по направлению на северо-восток (в бывших границах ЗАО "Орошаемое") (ориентировочная протяженность ЛЭП 1,845км, ориентировочная мощность трансформатора 0,1МВА)</t>
  </si>
  <si>
    <t>Строительство ВЛ 10кВ, ВЛ 0,4кВ, КТП 10/0,4кВ от опоры №185 ВЛ-10кВ №108 ПС 110кВ БГ-1 для электроснабжения жилых домов Петрова С.А., Будко В.Г. по адресу: Ростовская обл., Багаевский р-н, х. Елкин, пер. Северный, д.31 (ориентировочная протяжённость ЛЭП 0,12км, ориентировочная мощность трансформатора 0,063МВА)</t>
  </si>
  <si>
    <t>Строительство ВЛ 10 кВ, ВЛ 0,4 кВ, КТП 10/0,4 кВ от опоры №291 ВЛ 10 кВ № 257 ПС 110 кВ БГ2  для электроснабжения земельного участка сельскохозяйственного назначения ООО «Усьман» по адресу: Ростовская обл., Багаевский р-н, примерно в 260 м по направлению на юго-запад от перекрестка а/д Ольгинская-Волгодонск-поворот на п. Веселый, к.н. 61:03:0600009:242   (ориентировочная протяженность ЛЭП 1,015 км, ориентировочная мощность трансформатора 0,025МВА)</t>
  </si>
  <si>
    <t>Строительство ВЛ 0,4 кВ от ВЛ 0,4кВ №1 КТП 10/0,4 кВ № 147 по ВЛ 10 кВ №307 ПС 35 кВ БГ3 для электроснабжения теплицы Акимова Р.А. по адресу:  Ростовская область, Багаевский район, Елкинское сельское поселение, к.н. 61:03:0600002:651 (ориентировочная протяжённость ЛЭП 0,01 км)</t>
  </si>
  <si>
    <t>Строительство  ВЛ-0,4 кВ от ВЛ 0,4 кВ №2 КТП №653 ВЛ 10 кВ №403 ПС 110 кВ АС4 для электроснабжения ВРУ 0,4 кВ жилого дома Алексеева М.Н. по ул. Платова, 2 в х. Ленина Аксайского района Ростовской области (ориентировочная протяженность ЛЭП 0,052 км)</t>
  </si>
  <si>
    <t>Строительство ВЛ 0,4 кВ от ВЛ 0,4 кВ №2 КТП №434 ВЛ 10 кВ №1103 ПС 110 кВ АС11 для электроснабжения ВРУ 0,23 кВ жилого дома Антоновой Е. Н. по ул. Новодевичья, 19 в ст-це Мишкинская Аксайского района Ростовской области (ориентировочная протяжённость ЛЭП 0,098 км)</t>
  </si>
  <si>
    <t>Строительство ВЛ 0,4 кВ от ВЛ 0,4 кВ №4 КТП №219 ВЛ 10 кВ №441 ПС 220 кВ Р4 для электроснабжения жилого дома Барзыкина В. С. на участке с КН 61:02:0010401:769 в х. Камышеваха Аксайского района Ростовской области (ориентировочная протяжённость ЛЭП 0,040 км)</t>
  </si>
  <si>
    <t>Строительство ВЛ 0,4кВ от ВЛ 0,4кВ №3 КТП №147 ВЛ10кВ №125 ПС 110кВ СМ 1 для электроснабжения жилого дома заявителя Борисова Д.В. по адресу: Ростовская обл., Семикаракорский р-н, х. Чебачий, пер. Восточный, д.3, к.н.:61:35:0060201:2505. (ориентировочная протяжённость ЛЭП 0,02км)</t>
  </si>
  <si>
    <t>Строительство ВЛ 0,4 кВ от ВЛ 0,4 кВ №1 КТП 10/0,4 кВ №76 ВЛ 10 кВ №255 ПС 110 кВ БГ2 для электроснабжения жилого дома Волохова В.Ю. по адресу:Ростовская область, Багаевский район, п. Ясный, пер. Восточный, д. 24, к.н. 61:03:040406:0003 (ориентировочная протяжённость ЛЭП 0,1 км)</t>
  </si>
  <si>
    <t>Строительство ВЛ 0,4 кВ от проектируемой ВЛ 0,4 кВ техперевооружаемой КТП №254 (по договору №61-1-19-00491201 от 17.01.2020г) ВЛ 10 кВ №1208 ПС 110 кВ АС12 для электроснабжения ВРУ 0,4 кВ нежилого помещения Губарева В.Ю. на участке с КН61:02:0600006:5865 в п. Щепкин Аксайского района Ростовской области (ориентировочная протяженность ЛЭП 0,050 км).</t>
  </si>
  <si>
    <t>Строительство ВЛ 0,4кВ от РУ 0,4кВ КТП №204 ВЛ 10кВ №3 ПС 35кВ Б. Салы для электроснабжения детского сада на 220 мест на участке с КН 61:02:0081101:2978 в пос. Темерницкий Аксайского района Ростовской области (ориентировочная протяжённость ЛЭП 0,030км)</t>
  </si>
  <si>
    <t>Строительство ВЛ 0,4 кВ от ВЛ 0,4 кВ №1 КТП №11 ВЛ 10 кВ №655 ПС 110 кВ АС6 для электроснабжения ВРУ 0,4 кВ жилого дома Дубовниковой Н. И. на участке с КН 61:02:0110102:3574 в ст-це Старочеркасская Аксайского района Ростовской области (ориентировочная протяжённость ЛЭП 0,1 км)</t>
  </si>
  <si>
    <t>Строительство ВЛ 0,4кВ от ВЛ 0,4кВ №1 КТП 10/0,4кВ №39 ВЛ 10кВ №263 ПС 110кВ БГ2 для электроснабжения склада ИП Евсюкова Г.А. по адресу: Ростовская область, Багаевский район, Манычское сельское поселение, к.н. 61:03:0600007:1255 (ориентировочная протяжённость ЛЭП 0,16 км)</t>
  </si>
  <si>
    <t>Строительство  ВЛ 0,4 кВ от опоры № 8 ВЛ 0,4 кВ № 1 КТП 10/0,4 кВ № 635  ВЛ 10 кВ № 608 ПС 35 СМ-6 для электроснабжения ВРУ-0,23 кВ нежилого здания  заявителя Зарубина С.В.  расположенного по адресу Ростовская область Семикаракорский район х. Маломечетной примерно в 20 м на запад   ( ориентировочная протяжонность ЛЭП 0,1 км)</t>
  </si>
  <si>
    <t>Строительство ВЛ 0,4 кВ по ВЛ 0,4 кВ №1, КТП 10 №460, ВЛ 10 кВ №608 ПС 35 кВ В6 для электроснабжения жилого дома Ильдимиркина А.В. на участке с КН 61:06:0020810:25 в п. Чаканиха, ул. Молодежная, 27 Веселовского района, Ростовской области (ориентировочная протяженность ЛЭП – 0,06 км)</t>
  </si>
  <si>
    <t>Строительство ВЛ 0,4 кВ от ВЛ 0,4 кВ №2 КТП №129 ВЛ 10 кВ №1212 ПС 110 кВ АС12 для электроснабжения ВРУ 0,4 кВ жилого дома Калининой Н. В. по ул. Солнечная, 8/1Б в п. Октябрьский Аксайского района Ростовской области (ориентировочная протяжённость ЛЭП 0,075 км)</t>
  </si>
  <si>
    <t>Строительство КТПН 10/0,4 кВ, ВЛ 0,4 кВ, ВЛ 10 кВ от ВЛ 10 кВ №403 ПС 110 кВ АС4 для электроснабжения ВРУ 0,4 кВ жилого дома Карапетян Г. Н. на участке с КН 61:02:0060101:3792 в х. Ленина Аксайского района Ростовской области (ориентировочная мощность трансформатора 0,025 МВА, ориентировочная протяжённость ЛЭП 0,380 км)</t>
  </si>
  <si>
    <t>Строительство ВЛ 0,4 кВ от опоры №2/3 ВЛ 0,4 кВ №4 КТП 10/0,4 кВ №506 ВЛ 10 кВ №402 ПС 35 кВ БГ4 для электроснабжения жилого дома Корниенко С.А. по адресу: Ростовская область, Багаевский район, х. Тузлуков, ул. Береговая, д. 2-ц, к.н. 61:03:0600011:915(ориентировочная протяженность ЛЭП 0,305 км)</t>
  </si>
  <si>
    <t>Строительство ВЛ 0,4 кВ от проектируемой ВЛ 0,4 кВ проектируемой КТПН 10/0,4 кВ (по договорам № 61-1-17-00302075, 61-1-17-00302085, 61-1-17-00302069, от 16.03.2017 г.) ВЛ 6 кВ №807 ПС 35 кВ АС8 для электроснабжения жилых домов по адресу: Ростовская обл., Аксайский р-н, п. Российский, ул. Космическая, д.15, д.22, д.36</t>
  </si>
  <si>
    <t>Строительство ВЛ- 0,4 кВ от ВЛ 0,4 кВ №4 КТП №664 ВЛ 10 кВ №403 ПС 110 кВ АС4 для электроснабжения ВРУ 0,23 кВ жилого дома Лакетко А.Г. по ул. Зеленая, 1А в х. Ленина Аксайского района Ростовской области (ориентировочная протяженность ЛЭП 0,070км)</t>
  </si>
  <si>
    <t>Строительство ВЛ 0,4 кВ от ВЛ-0,4 кВ №1 КТП №450 ВЛ 10 кВ №1103 ПС 110 кВ АС11 для электроснабжения ВРУ 0,4 кВ жилого дома Макаровой О.И. на участке с КН 61:02:060000:2829 в ст-це Мишкинская Аксайского района Ростовской области (ориентировочная протяженность ЛЭП 0,100 км)</t>
  </si>
  <si>
    <t>Строительство ВЛ 0,4 кВ от ВЛ 0,4 кВ №2 КТП №260 ВЛ 10 кВ №3 ПС 35 кВ Б. Салы для электроснабжения ВРУ 0,4 кВ жилого дома Пигарева Р. К. на участке с КН 61:02:0600005:10199 в х. Нижнетемерницкий Аксайского района Ростовской области (ориентировочная протяжённость ЛЭП 0,100 км)</t>
  </si>
  <si>
    <t>Строительство ВЛ 0,4 кВ от ВЛ 0,4 кВ №1 КТП №6 ВЛ 10 кВ №657 ПС 110 кВ АС6 для электроснабжения ВРУ 0,23 кВ жилого дома Поцелуева А. А. по ул. Запроточная, 33А в ст-це Старочеркасская Аксайского района Ростовской области (ориентировочная протяжённость ЛЭП 0,040 км)</t>
  </si>
  <si>
    <t>Строительство  ВЛ 0,4 кВ от опоры № 29 ВЛ 0,4 кВ № 3 КТП 10/0,4 кВ № 289  ВЛ 10 кВ № 208 ПС 110 СМ-2 для электроснабжения ВРУ-0,23 кВ строящегося жилого дома  заявителя Расулова Д.Х.  расположенного по адресу Ростовская область Семикаракорский район х. Жуков ул. Ветеранов д. 20.   ( ориентировочная протяжонность ЛЭП 0,075 км)</t>
  </si>
  <si>
    <t>Строительство ВЛ-0,4 кВ от опоры №2/6 ВЛ 0,4 кВ №4 КТП 10/0,4 кВ №506 ВЛ 10 кВ №402 ПС 35 кВ БГ4 для электроснабжения жилого дома Рудакова П.П. по адресу: Ростовская область, Багаевский район, х.Тузлуков, ул. Береговая, д.1-ж, к.н. 61:03:0600011:963 (ориентировочная протяженность ЛЭП 0,03 км)</t>
  </si>
  <si>
    <t>Строительство  ВЛ 0,4 кВ от ВЛ 0,4 кВ № 1 КТП № 148  ВЛ 10 кВ № 125 ПС 110 СМ-1 для электроснабжения  жилого дома  заявителя Садчикова А.С.  расположенного по адресу Ростовская область Семикаракорский район ст. Новозолотовская ул. Чкалова д. 29 А.   ( ориентировочная протяжонность ЛЭП 0,02 км)</t>
  </si>
  <si>
    <t>Строительство ВЛ 0,4 кВ от ВЛ 0,4кВ №1 КТП 10/0,4 кВ № 577 по ВЛ 10 кВ №704 ПС 35 кВ БГ7 для электроснабжения личного подсобного хозяйства Сафаровой М.Б. по адресу: Ростовская область, Багаевский район, х. Красный, ул. Степная, д. 11-а, к.н. 61:03:0060103:135 (ориентировочная протяжённость ЛЭП 0,055 км)</t>
  </si>
  <si>
    <t>Строительство ВЛ 0,4 кВ от ВЛ 0,4 кВ №2 КТП №130 ВЛ 10 кВ №1513 ПС 110 кВ АС15 для электроснабжения ВРУ 0,4 кВ жилого дома Свиридова Ю. Н. по ул. Степная, 18 в п. Водопадный Аксайского района Ростовской области (ориентировочная протяжённость ЛЭП 0,050 км)</t>
  </si>
  <si>
    <t>Строительство ВЛ 0,4 кВ от ВЛ 0,4 кВ №3 КТП №496 ВЛ 10 кВ №1101 ПС 110 кВ АС11 для электроснабжения ВРУ 0,4 кВ жилого дома Сердюкова П. С. по ул. Комсомольская, 82 в ст-це Мишкинская Аксайского района Ростовской области (ориентировочная протяжённость ЛЭП 0,060 км)</t>
  </si>
  <si>
    <t>Строительство ВЛ 0,4 кВ от ВЛ 0,4 кВ №1 КТП №62 ВЛ 6 кВ №804 ПС 35 кВ АС8 для электроснабжения ВРУ 0,4 кВ Титовой Е. В. на участке с КН 61:02:0600010:12300 в х. Большой Лог Аксайского района Ростовской области (ориентировочная протяжённость ЛЭП 0,134 км)</t>
  </si>
  <si>
    <t>Строительство ВЛ 0,4кВ от ВЛ 0,4кВ №2 КТП №498 ВЛ 10кВ №1101 ПС 110кВ АС11 для электроснабжения ВРУ 0,4 кВ жилых домов по ул. Платова, 52, 54 в ст-це Мишкинская Аксайского района Ростовской области (ориентировочная протяжённость ЛЭП 0,060км)</t>
  </si>
  <si>
    <t>Строительство ВЛ 0,4 кВ от ВЛ 0,4 кВ №2 КТП №434 ВЛ 10 кВ №1103 ПС 110 кВ АС11 для электроснабжения ВРУ 0,4 кВ жилых домов по ул. им. Пугачева Л. Я., 4, 6, 8 в ст-це Мишкинская Аксайского района Ростовской области (ориентировочная протяжённость ЛЭП 0,090 км)</t>
  </si>
  <si>
    <t>Строительство ВЛ 0,4 кВ от ВЛ 0,4кВ №1 КТП 10/0,4 кВ № 147 по ВЛ 10 кВ №307 ПС 35 кВ БГ3 для электроснабжения теплицы Цема О.И. по адресу: Ростовская область, Багаевский район, Елкинское сельское поселение, к.н. 61:03:0600002:548 (ориентировочная протяжённость ЛЭП 0,18 км)</t>
  </si>
  <si>
    <t>Строительство, ВЛ 0,4 кВ от опоры № 4  ВЛ 0,4 кВ № 1  КТП № 686  ВЛ 10 кВ №610   ПС 35 кВ  СМ6  для электроснабжения  ВРУ-0,4 кВ на земельном участке  заявителя Шамуратова Рустама Тимуровича в лице Шамуратовой Фатмы Каримовны  по адресу:   Российская Федерация, Ростовская обл., р-н. Семикаракорский, п. Зеленая Горка, в 17 м по направлению на северо-восток от ориентира, расположенного по адресу: п. Зеленая Горка, кадастровый номер земельного участка: 61:35:0600007:451. (ориентировочная протяжённость ЛЭП 0,225км)</t>
  </si>
  <si>
    <t>Строительство ВЛ 0,4 кВ от ВЛ 0,4 кВ №3 КТП №60 ВЛ 10 кВ от КЛ 10 кВ №3Ф5 РП3 КЛ 10 кВ №1532 и №1546 ПС 110 кВ АС15 для электроснабжения ВРУ 0,4 кВ жилого дома Абдурахманова З. Г. по ул. Речников, 23 в г. Аксае Аксайского района Ростовской области (ориентировочная протяжённость ЛЭП 0,054 км)</t>
  </si>
  <si>
    <t>Строительство ВЛ 0,4 кВ от РУ 0,4 кВ КТП №708 ВЛ 10 кВ №101 ПС 110 кВ АС1 для электроснабжения ВРУ 0,4 кВ жилого дома Бабушкиной Л. В. по ул. Ленина, 88 в ст-це Ольгинская Аксайского района Ростовской области (ориентировочная протяжённость ЛЭП 0,160 км)</t>
  </si>
  <si>
    <t>Строительство ВЛ 0,4 кВ от ВЛ 0,4 кВ №2 КТП №454 ВЛ 10 кВ №1004 ПС 110 кВ АС10 для электроснабжения ВРУ 0,4 кВ жилого дома Канашина С. А. на участке с КН 61:02:0000000:6901 в ст-це Грушевская Аксайского района Ростовской области (ориентировочная протяжённость ЛЭП 0,070 км)</t>
  </si>
  <si>
    <t>Строительство ВЛ 0,4 кВ от ВЛ 0,4 кВ №3 КТП №60 ВЛ 10 кВ от КЛ 10 кВ 3ф5 РП3 КЛ 10 кВ №1532 и №1546 ПС 110 кВ АС15 для электроснабжения ВРУ 0,4 кВ жилого дома Канашкова В. А. на участке с КН 61:02:0600010:5741 в х. Большой Лог Аксайского района Ростовской области</t>
  </si>
  <si>
    <t>Строительство ВЛ 0,4 кВ от ВЛ 0,4 кВ № 2 КТП 10/0,4 кВ № 1 ВЛ 10 кВ № 151 ПС 110 кВ В1 для электроснабжения жилого дома на участке с КН 61:06:0600012:1131 в х. Каракашев, ул. Старая, д. 66-б, Веселовского района, Ростовской области (ориентировочная протяжённость ЛЭП 0,03 км)</t>
  </si>
  <si>
    <t>Строительство ВЛ 0,4 кВ от ВЛ 0,4 кВ № 5 КТП 10/0,4 кВ № 70 ВЛ 10 кВ № 158 ПС 110 кВ В1 для электроснабжения жилого дома  Козак Р. Р. на участке с КН 61:06:0010138:686 в п. Веселый, ул. Садовая,11, Веселовского района, Ростовской области (ориентировочная протяжённость ЛЭП 0,04 км)</t>
  </si>
  <si>
    <t>Строительство ВЛ 0,4 кВ от проектируемой ВЛ 0,4 кВ проектируемой КТПН 6/0,4 кВ (по договору №61-1-19-00471233 от 20.09.2019 г.) ВЛ 6 кВ №3 РП-6 КЛ 6 кВ №340 ПС 110 кВ БТ3 для электроснабжения ВРУ 0,4 кВ жилого дома Козунова А. В. по ул. Есенина, 41Б в п. Красный Сад Азовского района Ростовской области</t>
  </si>
  <si>
    <t>Строительство ВЛ 0,4 кВ от ВЛ 0,4 кВ №2 КТП №434 ВЛ 10 кВ №1103 ПС 110 кВ АС11 для электроснабжения ВРУ 0,4 кВ жилого дома Кравцовой О. И. по ул. Благовещенская, 1 в ст-це Мишкинская Аксайского района Ростовской области (ориентировочная протяжённость ЛЭП 0,170 км)</t>
  </si>
  <si>
    <t>«Строительство ВЛ 0,4 кВ от ВЛ 0,4 кВ №1 КТП №253 ВЛ 10 кВ №2 ПС 35 кВ Б. Салы для электроснабжения ВРУ 0,4 кВ жилого дома Мартиросян Э. С. по ул. Платова, 55 в п. Темерницкий Аксайского района Ростовской области (ориентировочная протяжённость ЛЭП 0,060 км)»</t>
  </si>
  <si>
    <t>Строительство ВЛ 0,4 кВ от проектируемой ВЛ 0,4 кВ проектируемой КТПН 10/0,4 кВ (по договору №61-1-19-00426411 от 14.02.2019 г.) ВЛ 10 кВ №706 ПС 35 кВ АС7 для электроснабжения ВРУ 0,4 кВ жилого дома Мириманова Р. Н. по ул. Станичная, 33 в п. Красный Колос Аксайского района Ростовской области (ориентировочная протяжённость ЛЭП 0,120 км)</t>
  </si>
  <si>
    <t>Строительство ВЛ 0,4кВ от ВЛ 0,4кВ №2 КТП №260 ВЛ 10кВ №3 ПС 35кВ Б.Салы для электроснабжения ВРУ 0,4кВ жилых домов по ул. 2-я Озерная в х. Нижнетемерницкий Аксайского района Ростовской области (ориентировочная протяжённость ЛЭП 0,200 км)</t>
  </si>
  <si>
    <t>Строительство участка ВЛ 0,4кВ от ВЛ 0,4кВ №2, КТП 10/0.4кВ №401, ВЛ 10кВ №708, ПС 35кВ  В7 для электроснабжения магазина Павловой Н.И. на участке с КН 61:06:0020106:592 в х. Верхнесоленый, ул. Молодежная, д. 21-б, Веселовского района, Ростовской области (ориентировочная протяжённость ЛЭП 0,120км)</t>
  </si>
  <si>
    <t>Строительство ВЛ 0,4 кВ от ВЛ 0,4 кВ № 1 КТП 10/0,4 кВ № 117 ВЛ 10 кВ № 411 ПС 35 кВ В4 для электроснабжения жилого дома Петровой Ю. Ю.  на участке с КН 61:06:0060105:16 в х. Позднеевка, ул. Мира, д. 33-а, Веселовского района, Ростовской области (ориентировочная протяжённость ЛЭП 0,02 км)</t>
  </si>
  <si>
    <t>Строительство ВЛ 0,4 кВ от ВЛ 0,4 кВ №1 КТП 10/0,4 кВ №80 ВЛ 10 кВ №3 ПС 35 кВ Б. Салы для электроснабжения жилого дома Полужникова К. С. на участке с КН 61:02:0600005:8913 в пос. Темерницкий Аксайского района Ростовской области (ориентировочная протяжённость ЛЭП 0,06 км)</t>
  </si>
  <si>
    <t xml:space="preserve">Строительство ВЛ 0,4 кВ от ВЛ-0,4 кВ № 3 КТП №152 ВЛ 10 кВ №125 ПС 110 кВ СМ 1 для электроснабжения ВРУ-0,4 кВ ФАП ст-ца Новозолотовская заявителя Муниципальное бюджетное учреждение здравоохранения «Центральная районная больница» Семикаракорского р-на по адресу: Ростовская обл., р-н. Семикаракорский, ст-ца Новозолотовская, ул. Октябрьская, д.50 к.н.:61:35:0060101:3846 </t>
  </si>
  <si>
    <t>Строительство ВЛ 0,4кВ от ВЛ 0,4кВ 33 КТП №152 ВЛ 10кВ №414 ПС 220кВ Р4 для электроснабжения ВРУ 0,4кВ строящегося жилого дома Редькова Ф.Н. по пер. Доломановский, 14 в х. Камышеваха Аксайского района Ростовской области (ориентировочная протяженность ЛЭП 0,021км)</t>
  </si>
  <si>
    <t>Строительство ВЛ 0,4 кВ от ВЛ 0,4 кВ №1 КТП №117 ВЛ 10 кВ №434 ПС 220 кВ Р4 для электроснабжения сооружения связи ЗАО “Русские башни” в п. Янтарный Аксайского района Ростовской области (ориентировочная протяжённость ЛЭП 0,190 км)</t>
  </si>
  <si>
    <t>Строительство ВЛ 0,4 кВ от ВЛ 0,4 кВ №1 КТП №136А ВЛ 10кВ №414 ПС 220кВ Р4 для электроснабжения строительной базы ИП Рябых О.Н. по ул. Светлая, 2Г в х. Камышеваха Аксайского района Ростовской области (ориентировочная протяжённость ЛЭП 0,263км)</t>
  </si>
  <si>
    <t>Строительство ВЛ-0,4кВ от ВЛ-0,4кВ №1 КТП №622 ВЛ-10кВ №105 ПС 110кВ АС-1 для электроснабжения жилого дома Стороженко Н.Н. на участке с КН 61:02:0020201:356 в х. Верхнеподпольный Аксайского района Ростовской области (ориентировочная протяженность ЛЭП 0,150 км)</t>
  </si>
  <si>
    <t>Строительство ВЛ 0,4 кВ от проектируемой ВЛ 0,4 кВ проектируемой КТПН 10/0,4 кВ (по договору №61-1-19-00483001 от 20.11.2019 г.) ВЛ 10 кВ №403 ПС 110 кВ АС4 для электроснабжения ВРУ 0,4 кВ жилого дома Шульга С. В. по ул. Пионерская, 5 в х. Ленина Аксайского района Ростовской области</t>
  </si>
  <si>
    <t>Строительство ВЛ 0,4 кВ от ВЛ 0,4 кВ №2 КТП №450 ВЛ 10 кВ №1103 ПС 110 кВ АС11 для электроснабжения ВРУ 0,4 кВ жилого дома Шутько А. А. на участке с КН 61:02:0600009:1059 в КСП им. М. Горького Аксайского района Ростовской области (ориентировочная протяжённость ЛЭП 0,080 км)</t>
  </si>
  <si>
    <t>Строительство ВЛ 0,4 кВ от ВЛ 0,4 кВ №2 КТП №220 ВЛ 10 кВ №414 ПС 220 кВ Р4 для электроснабжения ВРУ 0,4 кВ жилого дома Щаренской Д. Л. по пер. Минеральный, 1А в х. Камышеваха Аксайского района Ростовской области (ориентировочная протяжённость ЛЭП 0,040 км)</t>
  </si>
  <si>
    <t>Строительство ВЛ 0,4кВ от ВЛ 0,4кВ №3, КТП №613 ВЛ 10кВ №101 ПС 110кВ АС1 для электроснабжения ВРУ 0,4кВ жилого дома Калашниковой О.П. на участке с КН 61:02:0090102:3603 в ст-це Ольгинская Аксайского района Ростовской области (ориентировочная протяженность ЛЭП 0,180км)</t>
  </si>
  <si>
    <t>Строительство ВЛ 0,4 кВ от ВЛ 0,4 кВ №3 КТП №497 ВЛ 10 кВ №1101 ПС 110 кВ АС11 для электроснабжения ВРУ 0,4 кВ жилого дома Морозова А. Н. по ул. Дружбы, 27Б в ст-це Мишкинская Аксайского района Ростовской области (ориентировочная протяжённость ЛЭП 0,120 км)</t>
  </si>
  <si>
    <t>Строительство ТП 10/0,4 кВ, ВЛ 0,4 кВ, ВЛ 10 кВ от ВЛ 10 кВ №1208 ПС 110 кВ АС12 для электроснабжения автомобильной газозаправочной станции и нежилого здания на участке с КН 61:02:0600006:6671, 61:02:0600006:6671 в п. Щепкин Аксайского района Ростовской области (ориентировочная мощность трансформатора 0,400 МВА, ориентировочная протяжённость ЛЭП 0,210 км)</t>
  </si>
  <si>
    <t>Строительство ВЛ 0,4 кВ от ВЛ 0,4кВ №3 КТП 10/0,4 кВ № 117 по ВЛ 10 кВ №307 ПС 35 кВ БГ3 для электроснабжения жилого дома Ашрафова Д.Ф. по адресу:  Ростовская область, Багаевский район, х. Елкин, ул. Стадионная 2, д. 27, к.н. 61:03:0030154:182 (ориентировочная протяжённость ЛЭП 0,305 км)</t>
  </si>
  <si>
    <t>Строительство ВЛ 0,4кВ от проектируемой ВЛ 0,4кВ (по договору №61-1-19-00464091 от 15.08.2019) проектируемой КТПН 10/0,4кВ ВЛ 10кВ №107 ПС 110кВ АС1 для электроснабжения ВРУ 0,4кВ жилого дома Володяевой Н.Г. по пер. Хрустальный, 16 в ст-це Ольгинская Аксайского района Ростовской области (ориентировочная протяженность ЛЭП 0,030км)</t>
  </si>
  <si>
    <t>Строительство ВЛ 0,4 кВ от ВЛ 0,4 кВ №1 КТП №237 ВЛ 10 кВ №1208 ПС 110 кВ АС12 для электроснабжения ВРУ 0,4 кВ жилого дома Галочкина Д. Б. по ул. Рассветная, 20 в п. Октябрьский Аксайского района Ростовской области (ориентировочная протяжённость ЛЭП 0,065 км)</t>
  </si>
  <si>
    <t>Строительство ВЛ 0,4 кВ от ВЛ 0,4 кВ №1 КТП №638 ВЛ 10 кВ №101 ПС 110 кВ АС1 для электроснабжения ВРУ 0,4 кВ жилого дома Герасимова Е. Б. по пер. 8-й, 1Г в ст-це Ольгинская Аксайского района Ростовской области</t>
  </si>
  <si>
    <t>Строительство ВЛ 0,4 кВ от ВЛ 0,4 кВ №1 КТП №117 ВЛ 10 кВ №434 ПС 220 кВ Р4 для электроснабжения жилого дома Грицай А. С. на участке с КН 61:02:0011001:936 в п. Янтарный Аксайского района Ростовской области (ориентировочная протяжённость ЛЭП 0,2 км)</t>
  </si>
  <si>
    <t>Строительство ВЛ 0,4 кВ от опоры № 4 ВЛ 0,4 кВ №2 КТП 10/0,4 кВ №8 ВЛ 10 кВ №657 ПС 110/10 кВ АС 6 для электроснабжения жилого дома Жеухина О.А. по адресу РО, Аксайский район, ст. Старочеркасская, ул. Речная, д.19, к.н. 61:02:0110102:3844. (ориентировочная протяжённость ЛЭП 0,11 км) (учет 1 шт)</t>
  </si>
  <si>
    <t>Строительство ВЛ 0,4 кВ от проектируемой ВЛ 0,4 кВ (по договору №61-1-19-00445519 от 23.05.2019 г.) проектируемого КТПН 10/0,4 кВ ВЛ 10 кВ №107 ПС 110 кВ АС1 для электроснабжения ВРУ 0,4 кВ жилого дома Зайцевой К. В. по пер. Хрустальный, 14 в ст-це Ольгинская Аксайского района Ростовской области</t>
  </si>
  <si>
    <t>Строительство ВЛ 0,4 кВ от проектируемой ВЛ 0,4 кВ проектируемой КТПН 10/0,4 кВ (по договору №61-1-18-00397451 от 15.10.2018 г.) ВЛ 10 кВ №706 ПС 35 кВ АС7 для электроснабжения ВРУ 0,4 кВ жилых домов по ул. Казачья, ул. Абрикосовая в п. Красный Колос Аксайского района Ростовской области</t>
  </si>
  <si>
    <t>Строительство ВЛ 0,4 кВ от проектируемой ВЛ 0,4 кВ (по договору №61-1-19-00444581 от 03.06.2019 г.) КТП №72 ВЛ 6 кВ №804 ПС 35 кВ АС8 для электроснабжения ВРУ 0,4 кВ жилого дома Калинина А. В. по ул. Барбарисовая, 21 в п. Российский Аксайского района Ростовской области</t>
  </si>
  <si>
    <t>Строительство ВЛ 0,4 кВ от РУ 0,4 кВ КТП №727 ВЛ 10 кВ №105 ПС 110 кВ АС1 для электроснабжения ВРУ 0,4 кВ нежилого здания Коломойцева Д. А. на участке с КН 61:02:0600015:7394 в х. Нижнеподпольный Аксайского района Ростовской области (ориентировочная протяжённость ЛЭП 0,080 км)</t>
  </si>
  <si>
    <t>Строительство ВЛ 0,4 кВ от проектируемой ВЛ 0,4 кВ проектируемой КТПН 10/0,4 кВ (по договору №61-1-19-00445553 от 23.05.2019 г.) ВЛ 10 кВ №107 ПС 110 кВ АС1 для электроснабжения ВРУ 0,4 кВ жилых домов Колущинской Т. Н. в ст-це Ольгинская Аксайского района Ростовской области</t>
  </si>
  <si>
    <t>Строительство ВЛ 0,4кВ от ВЛ 0,4кВ №2 КТП №173 ВЛ 10кВ №1208 ПС 110кВ АС12 с заменой силового трансформатора КТП №173 ВЛ 10кВ №1208 ПС 110кВ АС12 для электроснабжения ВРУ 0,4кВ жилого дома Коханова Ю. Ю. на участке с КН 61:02:0080502:1172 в п. Щепкин Аксайского района Ростовской области (ориентировочная мощность трансформатора 0,250МВА, ориентировочная протяжённость ЛЭП 0,060км)</t>
  </si>
  <si>
    <t>Строительство ВЛ 0,4 кВ от ВЛ 0,4кВ №1 КТП 10/0,4 кВ № 575 по ВЛ 10 кВ №704 ПС 35 кВ БГ7 для электроснабжения жилого дома Леоновой А.И. по адресу: Ростовская область, Багаевский район, х. Красный, ул. Заречная, д. 4-б, к.н. 61:03:0060109:191 (ориентировочная протяжённость ЛЭП 0,3 км)</t>
  </si>
  <si>
    <t>Строительство ВЛ 0,4 кВ от ВЛ 0,4 кВ № 2 КТП 10/0,4 кВ № 122 ВЛ 10 кВ № 307 ПС 35 кВ В3 для электроснабжения дома рыболова и охотника Ли И. О.  на участке с КН 61:06:0600007:247 в х. Свобода, Позднеевское сельское поселение, примерно в 1,0 км на запад от х. Свобода. Веселовского района, Ростовской области</t>
  </si>
  <si>
    <t>Строительство ВЛ 0,4 кВ от проектируемой ВЛ 0,4 кВ (по договору №61-0-19-00424593 от 04.02.2019 г.) проектируемой КТПН 10/0,4 кВ жилого дома по ул. Мелиховская, 33 в п. Красный Колос Аксайского района Ростовской области (ориентировочная протяженность ЛЭП 0,100 км)</t>
  </si>
  <si>
    <t>Строительство ВЛ 0,4 кВ от проектируемой ВЛ 0,4 кВ проектируемой КТПН 10/0,4 кВ (по договору №61-1-18-00413967 от 03.12.2018 г.) ВЛ 10 кВ №1203 ПС 110 кВ АС12 для электроснабжения ВРУ 0,4 кВ жилого дома Рахмонова И. Ю. на участке с КН 61:33:0600015:652 в Родионово-Несветайском районе Ростовской области</t>
  </si>
  <si>
    <t>«Строительство ВЛ 0,4 кВ от ВЛ 0,4 кВ №2 КТП №626 ВЛ 10 кВ №111 ПС 110 кВ АС1 для электроснабжения ВРУ 0,4 кВ жилых домов по пер. Садовый, 5, ул. Северная, 18 в п. Дорожный Аксайского района Ростовской области (ориентировочная протяжённость ЛЭП 0,182 км)»</t>
  </si>
  <si>
    <t>Техническое перевооружение КТП №175 ВЛ 10 кВ №1208 ПС 110 кВ АС12 с заменой силового трансформатора и строительством ВЛ 0,4 кВ для электроснабжения ВРУ 0,4 кВ жилого дома Самойленко Е. Г. по ул. Первомайская, 187 в п. Щепкин Аксайского района Ростовской области</t>
  </si>
  <si>
    <t xml:space="preserve">Строительство ВЛ 0,4 кВ от РУ 0,4 кВ проектируемой КТПН 10/0,4 кВ (по договору №61-1-19-00453759 от 01.07.2019 г.) ВЛ 10 кВ №3 ПС 35 кВ Б. Салы для электроснабжения ВРУ 0,4 кВ жилого дома Стародубовой И. В. на участке с КН 61:02:0600005:9717 в п. Темерницкий Аксайского района Ростовской области </t>
  </si>
  <si>
    <t>Строительство ВЛ 0,4 кВ от ВЛ-0,4 кВ № 1 КТП №294 ВЛ 10 кВ №208 ПС 110 кВ СМ 2 для электроснабжения ВРУ-0,4 кВ жилого дома заявителя Филимонова Е.Н. по адресу РО, Семикаракорский р-н, х. Жуков, пер. Донской,1 к.н.:61:35:0040201:256. (ориентировочная протяжённость ЛЭП 0,14 км)</t>
  </si>
  <si>
    <t>Строительство ТП 10/0,4 кВ, ВЛ 0,4 кВ, ВЛ 10 кВ от ВЛ 10 кВ №608 ПС 35 кВ СМ6 для электроснабжения ВРУ-0,23 кВ жилого здания заявителя Щукиной О.Г. по адресу: Ростовская обл., р-н. Семикаракорский, ст-ца. Новозолотовская, примерно в 5 км по направлению на северо-восток от ориентира, кадастровый номер земельного участка: 61:35:0600005:646</t>
  </si>
  <si>
    <t>Строительство участка ВЛИ-0,4 кВ от опоры №14, ВЛИ-0,4 кВ, №1 КТП №212, ВЛ-10 кВ №3, ПС 35/10 кВ «Быстрянская», для подключения жилого дома Дудченко В.А., расположенного по адресу: Ростовская обл., Тацинский р-н, х. Ковылкин, ул. Советская, д. 7, к.н. № 61:38:110101:31 (ориентировочная протяженность ЛЭП – 0,12 км)</t>
  </si>
  <si>
    <t>Строительство участка ВЛИ-0,4кВ от оп.37-25 ВЛ-0,4кВ №2 КТП 10/0,4 кВ №37 ВЛ-10 кВ №217 ПС 110 кВ Егорлыкская для   электроснабжения модульного ФАПа МБУЗ «ЦРБ» х.Ютин Егорлыкского района Ростовской области. (ориентировочная протяженность ЛЭП – 0,040 км</t>
  </si>
  <si>
    <t>Строительство участка ВЛИ 0,4кВ от оп.145-6 ВЛ 0,4кВ №1 КТП 10/0,4кВ №145 ВЛ 10кВ №802 ПС 110кВ Роговская для электроснабжения свинарника Галечян В.С Ростовская область, Егорлыкский район, ст. Новороговская (ориентировочная протяженность ЛЭП 0,040км)</t>
  </si>
  <si>
    <t>Строительство участка ВЛИ-0,4кВ от оп. №35-37 ВЛ-0,4кВ №2 КТП 10/0,4кВ №35 ВЛ 10кВ №1501 ПС 110/10кВ ЗР-15 для подключения ЛПХ заявителя Радченко А.А. п. Экспериментальный Зерноградский район Ростовская область (ориентировочная протяженность ЛЭП 0,04км)</t>
  </si>
  <si>
    <t>Строительство участка ВЛИ-0,4кВ от РУ-0,4кВ кВ  МТП 10/0,4кВ №183 ВЛ-10 кВ №313 ПС 35/10 кВ «КГ-3» для подключения офисного здания заявителя Адиханян А.А. ст-ца. Кировская, Кагальницкий район, Ростовская область (ориентировочная протяженность ЛЭП – 0,150 км)</t>
  </si>
  <si>
    <t>Строительство участка ВЛ-0,4кВ для подключения жилого дома заявителя Манакова А.И. п.Овощной Азовский район, Ростовская область</t>
  </si>
  <si>
    <t>Строительство ВЛ-0,4 кВ от РУ-0,4 кВ КТП 10/0,4 кВ №146 ВЛ-10кВ №1904 РП-19 ПС 110/35/10 кВ Самарская для подключения коровника заявителя Пилипенко В.Ф. с. Новотроицкое, Азовский район, Ростовская область (ориентировочная протяженность ЛЭП-0.120км)</t>
  </si>
  <si>
    <t>Строительство ВЛ-0,4кВ от ВЛ-0,4кВ №2 КТП 10/0,4кВ №78 ВЛ-10кВ №613 ПС 35/10кВ А-6 для подключения жилого дома заявителя Третьяковой В.Ф. с. Новомаргаритово, Азовский район, Ростовская область (ориентировочная протяженность ЛЭП - 0,075км)</t>
  </si>
  <si>
    <t>Строительство участка ВЛИ-0,4кВ для подключения ГРС со станцией катодной защиты заявителя ООО "ЛЕГИОН ГРУПП" Азовский район, Ростовская область (ориентировочная протяженность ЛЭП 0,250км)</t>
  </si>
  <si>
    <t>Строительство ВЛ-0,4кВ от ВЛ-0,4кВ №2 КТП 10/0,4кВ №40 ВЛ-10кВ №1802 ПС 35/10кВ А-18 для подключения садового дома заявителя Нелипа В.А. х. Рогожкино, Азовский район, Ростовская область (ориентировочная протяженность ЛЭП-0,100км)</t>
  </si>
  <si>
    <t xml:space="preserve">Строительство участка ВЛИ-0,4кВ от оп.211-69 ВЛ-0,4кВ №3 КТП 10/0,4 кВ №211 ВЛ-10 кВ №612 ПС 35/10 кВ «Е-6» для подключения жилого дома заявителя Геносян А.А.  х.Шаумяновский, Егорлыкский район, Ростовская область (ориентировочная протяженность ЛЭП – 0,070 км) </t>
  </si>
  <si>
    <t xml:space="preserve">Строительство участка ВЛИ 0,4кВ от РУ 0,4кВ КТП 10/0,4кВ №53 ВЛ 10кВ №1407 ПС 110/35/10кВ ЗР-14 для подключения здания корпуса заявителя Восканова В.Г. х. Гуляй-Борисовка Зерноградский район Ростовская область (ориентировочная протяженность ЛЭП - 0,06км) </t>
  </si>
  <si>
    <t>Строительство участка ВЛИ-0,4 кВ для подключения жилого дома заявителя Филоновой И.А. ст-ца Кировская Кагальницкий район Ростовская область (ориентировочная протяженность ЛЭП– 0,4 км)</t>
  </si>
  <si>
    <t>Строительство участка ВЛИ 0,4кВ от оп. №211-39 ВЛ 0,4кВ №5 КТП 10/0,4кВ №211 ВЛ 10кВ №910 ПС 35/10кВ "А-9" для подключения дома заявителя Эскандерова Е.В., Азовский район, Ростовская область (ориентировочная протяженность ЛЭП - 0,09км)</t>
  </si>
  <si>
    <t>Строительство ВЛ 0,4 кВ от проектируемой опоры ВЛ 0,4 кВ вновь установленной ТП 10/0,4 кВ (по договору №61-1-17-00310081 от 14.09.2017г.) по ВЛ 10 кВ №202Н ПС 110/10/6 кВ НС-2 для подключения жилого дома заявителя Шаровой О.А. с. Кулешовка, Азовский район Ростовская область (ориентировочная протяженность ЛЭП - 0.270 км)</t>
  </si>
  <si>
    <t>Строительство ВЛ-0,4 кВ от ВЛ 0,4 кВ №2 КТП 10/0,4 кВ №152 ВЛ-10кВ №1901 РП-19 ПС 110/35/10 кВ Самарская для подключения фермы заявителя Тамояна Д.Р., Азовский район, Ростовская область (ориентировочная протяженность ЛЭП - 0.267 км)</t>
  </si>
  <si>
    <t>Строительство ВЛ-0,4кВ от ВЛ-0,4кВ №2 КТП 10/0,4кВ №38 ВЛ-10кВ №106Н ПС 110/6/10кВ "НС-1" для подключения жилого дома заявителя Годиной Т.И. п. Овощной, Азовский район, Ростовская область (ориентировочная протяженность ЛЭП0-0,06км)</t>
  </si>
  <si>
    <t>Строительство ВЛ 0,4кВ от ВЛ-0,4 кВ №1 КТП 10/0,4кВ №31 ВЛ-10кВ №2907 РП-29 ПС 35/10кВ А-18 для подключения жилого дома заявителя Литвиненко В.В. ст-ца Елизаветинская, Азовский район, Ростовская область (ориентировочная протяженность ЛЭП-0.130км)</t>
  </si>
  <si>
    <t>Строительство ВЛ-0,4 кВ от ВЛ-0,4 кВ №5 КТП 10/0,4 кВ №211 ВЛ-10кВ №910 ПС 35/10 кВ А-9 для подключения дома заявителя Шляхта А.Д., Азовский район, Ростовская область (ориентировочная протяженность ЛЭП - 0.140 км)</t>
  </si>
  <si>
    <t>Строительство участка ВЛИ-0,4кВ от ВЛ-0,4кВ №1 КТП 10/0,4 кВ №164 ВЛ-10 кВ №1101 ПС 35/10 кВ «А-11» для подключения жилого дома заявителя Ольховской И.Н., с. Кагальник Азовский район, Ростовская область (ориентировочная протяженность ЛЭП – 0,06 км)</t>
  </si>
  <si>
    <t>Строительство участка ВЛИ 0,4кВ от оп. 104-5 ВЛ 0,4кВ №1 КТП 10/0,4кВ №104 ВЛ 10кВ №3113 ПС 110/35/10кВ "А-31" для подключения жилого дома заявителя Троенко Е.В., с. Пешково Азовский район, Ростовская область (ориентировочная протяженность ЛЭП - 0,07км)</t>
  </si>
  <si>
    <t xml:space="preserve">Установка ТП 10/0,4 кВ ВЛ-10 кВ 3105 ПС 110/35/10 «А-31, строительство ВЛИ-0,4 кВ для подключения вагончика заявителя Канивец Т.Н., Азовский район, Ростовская область (ориентировочная протяженность ЛЭП - 0.03 км, ориентировочная трансформаторная мощность – 0.025 МВА) </t>
  </si>
  <si>
    <t>Строительство участка ВЛИ-0,4кВ от ВЛ-0,4кВ №4 КТП-10/0,4 кВ №115 ВЛ-10 кВ 3125 ПС 110/35/10 «А-31» для подключения жилого дома заявителя Шинкевич Л.Л., с. Пешково Азовский район, Ростовская область (ориентировочная протяженность ЛЭП – 0,05 км)</t>
  </si>
  <si>
    <t>Строительство участка ВЛИ-0,4кВ от проектируемой опоры ВЛ-0,4кВ (по договору № 61-1-18-00383027 от 05.07.2018г.) КТП 10/0,4кВ №226 по ВЛ-10 №2608 от ПС 110/10/10 «А-26» для подключения жилого дома заявителя Шупляк М.В., Азовский район, Ростовская область (ориентировочная протяженность ЛЭП – 0,05 км)</t>
  </si>
  <si>
    <t>Строительство участка ВЛИ-0,4кВ от проектируемой опоры ВЛ-0,4кВ проектируемой ТП 10/0,4кВ (по договору №61-1-17-00348487от 17.01.2018г.) по ВЛ-10 кВ №1106 ПС 35/10 кВ «А-11» для подключения объекта заявителя Верещагиной Е.Н., Азовский район, Ростовская область (ориентировочная протяженность ЛЭП – 0,04 км)</t>
  </si>
  <si>
    <t>Строительство участка ВЛИ-0,4кВ от ВЛ-0,4кВ №2 КТП 10/0,4 кВ №233 ВЛ-10 кВ №1815 ПС 35/10 кВ «А-18» для подключения хоз.постройки заявителя Бруйко Д.Б., х. Курган Азовский район, Ростовская область (ориентировочная протяженность ЛЭП – 0,05 км)</t>
  </si>
  <si>
    <t>Строительство участка ВЛИ-0,4кВ от ВЛ-0,4кВ №2 КТП 10/0,4 кВ №233 ВЛ-10 кВ №1815 ПС 35/10 кВ «А-18» для подключения жилого дома заявителя Карпун И.В., х. Курган Азовский район, Ростовская область (ориентировочная протяженность ЛЭП – 0,05 км)</t>
  </si>
  <si>
    <t>Строительство учатска ВЛИ 0,4кВ от опоры №112-32 ВЛ 0,4кВ №1 КТП 10/0,4кВ №112 ВЛ 10кВ №3113 ПС 110/35/10кВ А-31 для электроснабжения жилого дома заявителя Надтока Т.Г. с. Пешково Азовский район, Ростовская область (ориентировочная протяженность ЛЭП-0,07км)</t>
  </si>
  <si>
    <t>Строительство участка ВЛИ-0,4 кВ от РУ-0,4 кВ КТП-10/0,4 кВ № 32 ВЛ-10 кВ № 313 ПС 35/10 кВ КГ-3 для подключения объекта сельско-хозяйственного назначения заявителя ИП Шульженко А.В. ст-ца Кировская Кагальницкий район Ростовская область (ориентировочная протяженность ЛЭП– 0,180 км)  СХД - 4858</t>
  </si>
  <si>
    <t>Строительство участка ВЛИ 0,4кВ от оп. №100-58 ВЛ 0,4кВ №2 КТП 10/0,4кВ №100 ВЛ 10кВ 1210 ПС 110/10кВ "Манычская" для подключения ангара заявителя ИП К(ф)Х Нерода П.А. п. Сорговый Зерноградский район Ростовская область (ориентировочная протяженность ЛЭП - 0,075км)  СХД - 4859</t>
  </si>
  <si>
    <t>Строительство участка ВЛИ-0,4 кВ от РУ-0,4 кВ КТП-10/0,4 кВ № 182 ВЛ-10 кВ № 805 ПС 110/10 кВ «БОС» для подключения жилого дома заявителя Бондаренко А.В. п. Мокрый Батай Кагальницкий район Ростовская область (ориентировочная протяженность ЛЭП – 0,300 км)</t>
  </si>
  <si>
    <t>Строительство ВЛ-10 кВ от оп. №140  ВЛ-10 кВ №1102 ПС 35/10 кВ ЗР-11, строительство ТП-10/0,4 кВ, строительство участка ВЛИ-0,4 кВ для подключения дачного домика Антоненко Н.Г., Зерноградский район Ростовская область (ориентировочная протяженность ЛЭП – 3,33 км, ориентировочная трансформаторная мощность – 0,025 МВА)</t>
  </si>
  <si>
    <t>Строительство участка ВЛИ-0,4 кВ от оп.№405-4 ВЛ-0,4 кВ №1 КТП 10/0,4 кВ №405 ВЛ-10 кВ №904 ПС 110/35/10 кВ Балко-Грузская для подключения ларька заявителя ИП Барсегян М.Х. х. Балко-Грузский, Егорлыкский район, Ростовская область (ориентировочная протяженность ЛЭП - 0,030 км )</t>
  </si>
  <si>
    <t xml:space="preserve">Строительство участка ВЛИ- 0,4 кВ от оп. №249-6 ВЛ-0,4 кВ №1 КТП 10/0,4 кВ №249 ВЛ-10 кВ №402 ПС 35/6 кВ Е-4 для подключения нежилого здания (склада) заявителя ИП Пешеходько А.И. х. Лисичкин, Егорлыкский район, Ростовская область (ориентировочная протяженность ЛЭП 0,090км) </t>
  </si>
  <si>
    <t>Строительство участка ВЛИ-0,4кВ для подключения жилого дома заявителя Саламатина А.А. ДНТ "Задонье", Азовский район, Ростовская область (ориентировочная протяженность ЛЭП-0,07км)</t>
  </si>
  <si>
    <t>Строительство участка ВЛИ-0,4кВ от ВЛ-0,4кВ КТП 10/0,4 кВ №17 ВЛ-10 кВ №2409 ПС 35/10 кВ «А-24» для подключения жилого дома заявителя Бурый В.В., п. Топольки Азовский район, Ростовская область (ориентировочная протяженность ЛЭП – 0,07 км)</t>
  </si>
  <si>
    <t>Строительство участка ВЛИ 0,4кВ от РУ 0,4кВ КТП 10/0,4кВ №236 ВЛ 10кВ №2608 ПС 110/10кВ А-26 для электроснабжения Прихода храма Георгия Победоносца с.Кулешовка Азовский район, Ростовская область (ориентировочная протяженность ЛЭП - 0,100км)</t>
  </si>
  <si>
    <t>Строительство участка ВЛИ-0,4кВ от оп. №45-34 ВЛ 0,4кВ №2 ЗТП-10/0,4кВ №45 ВЛ-10кВ №211 ПС 35/10кВ «А-2» для подключения жилого дома заявителя Казаковой Л.А. х. Новоалександровка Азовский район Ростовская область (ориентировочная протяженность ЛЭП-0,03км)</t>
  </si>
  <si>
    <t>Строительство участка ВЛИ-0,4кВ от опоры №33-20 ВЛ 0,4 кВ №1 КТП 10/0,4кВ №33 по ВЛ-10 кВ № 2907 РП-29 ПС 35/10 кВ «А-18» для подключения дома заявителя Гоценко Н.В., х. Коса Азовский район, Ростовская область (ориентировочная протяженность ЛЭП – 0,200 км)</t>
  </si>
  <si>
    <t xml:space="preserve">Строительство участка ВЛИ 0,4кВ от РУ 0,4кВ КТП 10/0,4кВ №91 ВЛ 10кВ №211 ПС 35/10кВ "А-2" для подключения комплекса природного обслуживания заявителя ИП Гаспарян Т.Н., с. Кулешовка Азовский район, Ростовская область (ориентировочная протяженность ЛЭП-0,230км)  </t>
  </si>
  <si>
    <t>Строительство участка ВЛИ-0,4кВ от РУ-0,4кВ КТП 10/0,4кВ №94 ВЛ 10кВ №306 ПС 110/10кВ ЗР-3 для подключения холодильного оборудования заявителя Овчаренко А.В. ст-ца Мечетинская Зерноградский район Ростовская область (ориентировочная протяженность ЛЭП-0,07км)</t>
  </si>
  <si>
    <t>Строительство участка ВЛИ 0,4кВ от оп. №29-11 ВЛ 0,4кВ №1 КТП 10/0,4кВ №29 ВЛ 10кВ №313 ПС 35/10кВ "КГ-3" для подключения дома заявителя Седых Л.П. ст-ца Кировская Кагальницкий район Ростовская область (ориентировочная протяженность ЛЭП - 0,035км)</t>
  </si>
  <si>
    <t>Строительство ВЛ-0,4 кВ от ВЛ-0,4 кВ №1 КТП 10/0,4 кВ №326 ВЛ-10кВ №202Н ПС 110/6/10 кВ НС-2 для подключения жилого дома заявителя Яковлевой Т.А. с. Кулешовка, Азовский район, Ростовская область (ориентировочная протяженность ЛЭП - 0.180 км)</t>
  </si>
  <si>
    <t>Строительство ВЛ-0,4 кВ от ВЛ-0,4 кВ №2 КТП 10/0,4 кВ №87 ВЛ-10кВ №107Н ПС 110/6/10 кВ НС-1 для подключения склада заявителя ООО «СпецТех» п.Овощной, Азовский район, Ростовская область (ориентировочная протяженность ЛЭП - 0.100 км)</t>
  </si>
  <si>
    <t>Строительство участка ВЛИ 0,4кВ от проектируемой опоры ВЛ 0,4кВ проектируемой ТП 10/0,4кВ (по договору №61-1-18-00390121 от 28.08.2018) по ВЛ 10кВ №107Н ПС 110/6/10кВ "НС-1" для подключения жилого дома заявителя Пащенко Т.П., Азовский район, Ростовская область (ориентировочная протяженность ЛЭП-0,03км)</t>
  </si>
  <si>
    <t xml:space="preserve">Строительство участка ВЛИ-0,4кВ от опоры №44-86 ВЛ 0,4 кВ №2  КТП 10/0,4 кВ №44 ВЛ-10 кВ №803 ПС 35/10кВ «А-8» для электроснабжения жилого дома заявителя Красновой И.М. с. Семибалки, Азовский район, Ростовская область (ориентировочная протяженность ЛЭП-0,09км) </t>
  </si>
  <si>
    <t>Строительство учатска ВЛИ-0,4 кВ от РУ-0,4 кВ КТП 10/0,4 кВ №190 ВЛ-10 кВ ПС 110/35/10 кВ "Самарская" для электроснабжения базовой станции сотовой связи заявителя ПАО "МТС" Азовский район, Ростовская область (ориентировочная протяженность ЛЭП - 0,100 км)</t>
  </si>
  <si>
    <t>Строительство учатска ВЛИ 0,4кВ от проектируемой опоры ВЛ 0,4кВ проектируемой ТП 6/0,4кВ (по договору №61-1-19-00425429 от 08.02.2019) ВЛ 6кВ №207Н ПС 110/6/10кВ НС-2 для электроснабжения хозяйственной постройки заявителя Яковенко В.И. Азовский район, Ростовская область (ориентировочная протяженность ЛЭП - 0,08км)</t>
  </si>
  <si>
    <t>Строительство участка ВЛИ-0,4кВ от опоры №136-37 ВЛ 0,4кВ КТП 10/0,4кВ №136 ВЛ 10кВ №3113 ПС 110/35/10кВ "А-31" для электроснабжения жилого дома Скачко А.В. с. Пешково Азовский район, Ростовская область (ориентировочная протяженность ЛЭП - 0,04км)</t>
  </si>
  <si>
    <t>Строительство участка ВЛИ-0,4кВ от ВЛ-0,4кВ №1 ЗТП-10/0,4кВ №28 ВЛ-10кВ №313 ПС 35/10кВ "КГ-3" для подключения жилого дома заявителя Гудым А.А. ст-ца Кировская Кагальницкий район Ростовская область (ориентировочная протяженность ЛЭП-0,07км)</t>
  </si>
  <si>
    <t>Строительство ВЛИ-0, 4кВ для подключения базовой станции БС №61-01847 заявителя ПАО "Мобильные ТелеСистемы" ст-ца Кировская Кагальницкий район Ростовская область (ориентировочная протяженность ЛЭП – 0,07км)</t>
  </si>
  <si>
    <t>Строительство участка ВЛИ-0,4кВ от РУ-0,4кВ КТП-10/0,4кВ №50 ВЛ-10кВ №501 ПС 35/10кВ «ЗР-5» для подключения ЛПХ заявителя Клювак П.П. х. Гуляй-Борисовка Зерноградский район Ростовская область (ориентировочная протяженность ЛЭП-0,1км)</t>
  </si>
  <si>
    <t>Строительство ВЛ-0,4кВ от ВЛ 0,4кВ №1 КТП 10/0,4кВ №8 ВЛ 10кВ №1014 ПС 110/35/10кВ Самарская для подключения бытового домика заявителя Швецовой А.С. с. Самарское, Азовский район, ростовская область (ориентировочная протяженность ЛЭП-0,400км)</t>
  </si>
  <si>
    <t>Строительство участка ВЛИ 0,4кВ от РУ 0,4кВ КТП 10/0,4кВ №234 ВЛ 10кВ №105Н ПС 110/6/10кВ "НС-1" для подключения жилого дома заявителя Сальникова Ю.А., х. Усть-Койсуг Азовский район, Ростовская область (ориентировочная протяженность ЛЭП-0,04км)</t>
  </si>
  <si>
    <t>Строительство участка ВЛИ 0,4кВ от оп.№136-38 ВЛ 0,4кВ №1 КТП 10/0,4кВ №136 ВЛ 10кВ №803 ПС 35/10кВ "А-8" для электроснабжения дачного дома заявителя Ильясовой С.К. с. Семибалки Азовский район, Ростовская область (ориентировочная протяженность ЛЭП 0,1км)</t>
  </si>
  <si>
    <t>Строительство учатска ВЛИ-0,4кВ от опоры №334-8 ВЛ 0,4кВ №1 КТП 10/0,4кВ №334 ВЛ 10кВ 202Н ПС 110/6/10кВ "НС-2" для электроснабжения жилого дома заявителя Шевченко Ю.И. Азовский район, Ростовская область (ориентировочная протяженность ЛЭП - 0,08км)</t>
  </si>
  <si>
    <t>Строительство участка ВЛИ-0,4 кВ от проетируемой опоры проектируемой ВЛ-0,4 кВ (по договору № 61-1-19-00474939 от 23.10.2019) от КТП №350 ВЛ-6 кВ №207Н ПС 110/6/10 "НС-2" для электроснабжения участка заявителя Баикиной А.С. Азовский район, Ростовская область (ориентировочная протяженность ЛЭП 0,110 км)</t>
  </si>
  <si>
    <t>Строительство участка ВЛИ 0,4 кВ от проектируемой опоры проектируемой  ВЛ 0,4 кВ (по договору №61-1-19-00474939 от 23.10.2019 г.) от КТП №350 ВЛ-6 кВ №207Н ПС 110/6/10 кВ "НС-2" для электроснабжения участка заявителя Игнатовой Н.А. Азовский район, Ростовская область (ориентировочная протяженность ЛЭП – 0,04 км)</t>
  </si>
  <si>
    <t>Строительство участка ВЛИ-0,4 кВ от проектируемой опоры ВЛ-0,4 кВ проектируемой ТП 10/0,4 кВ (по договору ТП №61-1-19-00421615 от 17.01.2019 г.) ВЛ-10 кВ №1815 ПС 35/10 кВ "А-18" для электроснабжения жилого дома заявителя Середина А.А. Азовский район, Ростовская область (ориентировочная протяженность ЛЭП - 0,045 км)</t>
  </si>
  <si>
    <t>Строительство участка ВЛИ-0,4 кВ от проектируемой опоры ВЛ-0,4 кВ  проектируемой ТП 6/0,4 кВ (по договору №61-1-19-00473659 от 23.10.2019) ВЛ-6 кВ №207Н ПС 110/6/10 "НС-2" для электроснабжения участка заявителя Захарчук Т.В. СНТ "Квант" Азовский район, Ростовская область (ориентировочная протяженность ЛЭП - 0,06 км)</t>
  </si>
  <si>
    <t>Строительство учатска ВЛИ 0,4кВ от проектируемой опоры ВЛ 0,4кВ проектируемой ТП 10/0,4кВ (по договору №61-1-19-00428929 от 14.03.2019) ВЛ 10кВ №107Н ПС 110/6/10кВ НС-1 для электроснабжения жилого дома заявителя Валовой Г.Н. Азовский район, Ростовская область (ориентировочная протяженность ЛЭП - 0,06км)</t>
  </si>
  <si>
    <t>Строительство участка ВЛИ-0,4 кВ от проектируемой опоры ВЛ 0,4кВ проектируемой ТП 10/0,4кВ (по договору №61-1-19-00409567 от 12.12.2018) ВЛ 10кВ №1815 ПС 35/10 кВ "А-18" для подключения жилого дома заявителя Ситковского А.П. Азовский район Ростовская область (ориентировочная протяженность ЛЭП 0,030км)</t>
  </si>
  <si>
    <t>Строительство ВЛ-10 кВ от оп. № 22 ВЛ-10 кВ № 205 ПС 35/10 кВ КГ-2, строительство ТП-10/0,4 кВ, строительство участка ВЛ-0,4 кВ для подключения полигона ТБО Заявителя ООО «УЮТ», Кагальницкий район Ростовская область (ориентировочная протяженность ЛЭП– 0,1 км, ориентировочная трансформаторная мощность– 0,025 МВА)</t>
  </si>
  <si>
    <t>Строительство участка ВЛИ-0,4кВ от оп. №188-52 ВЛ-0,4кВ №1 КТП 10/0,4кВ №188 ВЛ-10кВ №3125 ПС 110/35/10кВ «А-31» для подключения жилого дома заявителя Мухамедовой Л.У. с.Пешково Азовский район Ростовская область (ориентировочная протяженность ЛЭП– 0,07км)</t>
  </si>
  <si>
    <t>Строительство участка ВЛИ-0,4 кВ от оп. №113-31 по ВЛ-0,4кВ №1 от КТП 10/0,4кВ №113 по ВЛ-10кВ №3113 ПС 110/35/10 кВ «А-31» для подключения жилого дома заявителя Иванова А.В. с. Пешково Азовский р-он, Ростовская область (ориентировочная протяженность ЛЭП– 0,150 км)</t>
  </si>
  <si>
    <t>Строительство участка ВЛИ-0,4кВ от опоры №329-42 ВЛ 0,4кВ №2 КТП 10/0,4кВ №329 ВЛ 10кВ №106Н ПС 110/6/10кВ "НС-1" для электроснабжения жилого дома Прудниковой А.Г. Азовский район, Ростовская область (ориентировочная протяженность ЛЭП - 0,03км)</t>
  </si>
  <si>
    <t>Строительство ВЛИ-0,4 кВ от оп. 181-38 ВЛ-0,4 кВ №2КТП 10/0,4 кВ №181 ВЛ -10 кВ 3113 ПС 110/35/10 кВ «А-31» для электроснабжения пункта весового контроля заявителя Министерство транспорта Ростовской области, автодорога г. Азов-с. Александровка -ст. Староминская (ориентировочная протяженность ЛЭП– 0,850 км.</t>
  </si>
  <si>
    <t>Строительство участка ВЛИ-0,4кВ от оп. №20-18 ВЛ-0,4 кВ №2 КТП 10/0,4 кВ №20 ВЛ-10 №3016 ПС 220/110/10 «А-30» для электроснабжения хоз.постройки Грудько А.Ю. с. Кугей Азовский район, Ростовская область (ориентировочная протяженность ЛЭП – 0,500 км)</t>
  </si>
  <si>
    <t xml:space="preserve">Строительство участка ВЛИ-0,4кВ от оп. №21-27 ВЛ-0,4кВ №2 КТП-10/0,4кВ №51 ВЛ-10кВ №318 ПС 35/10кВ "КГ-3" для подключения павильона "Диспетчерская такси" заявителя Оганян Л.А. ст-ца Кировская Кагальницкий район Ростовская область (ориентировочная протяженность ЛЭП-0,05км) </t>
  </si>
  <si>
    <t>Строительство участка ВЛИ-0,4кВ от проектируемой опоры ВЛ-0,4 кВ проектируемой ТП 10/0,4кВ (по договору № 61-1-18-00397065 от 10.09.2018г.) ВЛ-10 кВ №3127 ПС 110/35/10 «А-31» для электроснабжения жилого дома заявителя Кобыляцкого В.Ю., Азовский район, Ростовская область (ориентировочная протяженность ЛЭП – 0,210 км)</t>
  </si>
  <si>
    <t>Строительство участка ВЛИ-0,4 кВ от оп. №233-59 ВЛ-0,4 кВ №2 КТП 10/0,4 кВ №233 ВЛ-10 кВ 1815 ПС "А-18" для электроснабжения жилого вагончика заявителя Буравлева А.А. Рыболовецкий колхоз им. Ленина, Азовский район, Ростовская область (ориентировочная протяженность ЛЭП – 0,05 км)</t>
  </si>
  <si>
    <t>«Строительство участка ВЛИ-0,4кВ от опоры №93-34 по ВЛ 0,4 кВ №2  КТП 10/0,4 кВ №93 ВЛ-10 кВ №202Н ПС 110/6/10 кВ «НС-2» для подключения жилого дома заявителя Кубалыева Н.Г., Азовский район, Ростовская область (ориентировочная протяженность ЛЭП-0,150км)»</t>
  </si>
  <si>
    <t>Техническое перевооружение КТП 10/0,4 кВ №383 ВЛ-10 кВ № 801 ПС 110/35/10 кВ Роговская, строительство ВЛИ- 0,4 кВ для электроснабжения зернохранилища ИП Решетько В.А., п.Роговский Егорлыкский район, Ростовская область (ориентировочная протяжённость ЛЭП- 0,01 км, ориентировочная трансформаторная мощность - 0,16 МВА)</t>
  </si>
  <si>
    <t>Строительство участка ВЛИ-0,4кВ от оп. №121-67 ВЛ-0,4кВ №3 КТП-10/0,4кВ №121 ВЛ-10кВ №122 ПС 220/110/35/10кВ «Зерновая" для электроснабжения жилого дома заявителя Сухова Г.Н., х. Ракитный, Зерноградский район, Ростовская область (ориентировочная протяженность ЛЭП– 0,04км)</t>
  </si>
  <si>
    <t>Строительство участка ВЛИ-0,4 кВ от оп. №35-21 ВЛ-0,4 кВ №1 КТП 10/0,4 кВ №35 ВЛ-10 №1501 ПС 110/10 кВ "ЗР-15" для электроснабжения жилого дома заявителя Гудовских  А.В. п. Экспериментальный, Зерноградский район, Ростовская область  (ориентировочная протяженность ЛЭП 0,1 км)</t>
  </si>
  <si>
    <t>Строительство участка ВЛИ-0,4 кВ от проетируемой опоры ВЛ-0,4 кВ проектируемой ТП 10/0,4 кВ (по договору № 61-1-19-00437243 от 23.04.2019) ВЛ-10 кВ 3113 ПС 110/35/10 кВ "А-31" для жилого дома заявителя Добрынин Д.Г., с.Пешково, Азовский район, Ростовская область (ориентировочная протяженность ЛЭП 0,035 км)</t>
  </si>
  <si>
    <t>Строительство участка ВЛИ-0,4 кВ от проектируемой опоры проектируемой ВЛ-0,4 кВ (по договору № 61-1-19-00474939 от 23.10.2019) от КТП №350 ВЛ-6 кВ №207Н ПС 110/6/10 "НС-2" для электроснабжения участка заявителя Востриковой Л.Н. СНТ "Квант" Азовский район, Ростовская область (ориентировочная протяженность ЛЭП  - 0,05 км)</t>
  </si>
  <si>
    <t>Строительство участка ВЛИ-0,4кВ от опоры №98-9 по ВЛ 0,4кВ №1 от КТП 10/0,4кВ №98 по ВЛ 10кВ №3127 ПС 110/35/10кВ А-31 для электроснабжения жилого дома заявителя Яковлевой В.В., с. Займо-Обрыв Азовский район, Ростовская область (ориентировочная протяженность ЛЭП – 0,150км)</t>
  </si>
  <si>
    <t>Строительство участка ВЛИ-0,4 кВ от проектируемой опоры ВЛ-0,4 кВ проектируемой ТП 6/0,4 кВ (по договору №61-1-19-00474735 от 23.10.2019г.) ВЛ-6 кВ №207Н ПС 110/6/10 "НС-2" для электроснабжения участка заявителя Глумова А.О. СНТ "Квант" Азовский район, Ростовская область (ориентировочная протяженность ЛЭП - 0,120 км )</t>
  </si>
  <si>
    <t>Строительство участка ВЛИ-0,4кВ от проектируемой ВЛ 0,4кВ (по договорам №61-1-19-00465629 от 23.10.2019, №61-1-19-00473701 от 23.10.2019) для электроснабжения участка заявителя Шевченко А.А. СНТ «Квант» Азовский район, Ростовская область (ориентировочная протяженность ЛЭП – 0,05км)</t>
  </si>
  <si>
    <t xml:space="preserve">Строительство участка ВЛИ-0,4кВ от проектируемой ВЛ 0,4кВ (по договору №61-1-19-00479885 от 05.11.2019) КТП 10/0,4кВ №351 ВЛ 6кВ №207Н ПС 110/6/10 "НС-2" для электроснабжения участка заявителя Лепяховой В.П. СНТ «Квант» Азовский район, Ростовская область (ориентировочная протяженность ЛЭП – 0,07км) </t>
  </si>
  <si>
    <t>Строительство участка ВЛИ-0,4кВ от оп. 350-44/7 ВЛ-0,4кВ №1 КТП №350 ВЛ-6кВ №207Н ПС 110/6/10 «НС-2» для электроснабжения участков заявителей Люшина А.Н., Герман Н.В. СНТ «Квант» Азовский район, Ростовская область (ориентировочная протяженность ЛЭП – 0,270км)</t>
  </si>
  <si>
    <t>Строительство участка ВЛИ-0,4 кВ от проектируемой ВЛ 0,4кВ тех.перевооружаемого КТП 6/0,4 кВ №352 (по договору ТП № 61-1-20-00496883 от 12.02.2020 г.) ВЛ 6 кВ №207Н ПС 110/6/10кВ «НС -2» для электроснабжения участка заявителя Колесниковой Л.И., СНТ "Квант", Азовский район, Ростовская область (ориентировочная протяженность ЛЭП - 0,04км)</t>
  </si>
  <si>
    <t>Строительство участка ВЛИ-0,4 кВ от оп.№14-142 ВЛ-0,4 кВ №4 КТП-10/0,4 кВ №14 ВЛ-10 кВ №106Н ПС 110/6/10 кВ "НС-1" для подключения жилого дома заявителя Масневой Н.Ю. п. Овощной, Азовский район Ростовская область (ориентировочная протяженность ЛЭП 0,130 км)</t>
  </si>
  <si>
    <t>Строительство участка ВЛИ-0,4 кВ от оп. №68-20 ВЛ-0,4 кВ №1 КТП 10/0,4 кВ №68 ВЛ-10 кВ №1509 ПС 35/10 кВ А-15 для подключения жилого дома заявителя Каменевой Г.В. Х. Марков, Азовский район, Ростовская область (ориентировочная протяженность ЛЭП 0,490 км)</t>
  </si>
  <si>
    <t>Строительство участка ВЛИ-0,4кВ РУ-0,4кВ проектируемой ТП 10/0,4кВ (по договору № 61-1-19-00429009 от 28.03.2019г.) ВЛ-10 кВ №107Н ПС 110/6/10 «НС-1» для электроснабжения жилых домов заявителей Наумовой Г.М., Кошель Н.С. Азовский район, Ростовская область (ориентировочная протяженность ЛЭП-0,200км</t>
  </si>
  <si>
    <t>Строительство участка ВЛИ-0,4кВ от ВЛ-0,4кВ №1 КТП 10/0,4 кВ №225 ВЛ-10 кВ №605 ПС 35/10 кВ «Е-6» для электроснабжения корпуса ИП Чугуй В.А. Ростовская область, Егорлыкский район, х. Кавалерский (ориентировочная протяженность ЛЭП – 0,250 км)</t>
  </si>
  <si>
    <t>Строительство участка ВЛИ-0,4кВ от оп. №317-26 ВЛ 0,4кВ №2 КТП 10/0,4кВ №317 ВЛ 10кВ №612 ПС 35/10кВ Е-6 для электроснабжения жилого дома заявителя  Манукян Э.С., х. Шаумяновский, Ростовская область (ориентировочная мощность ЛЭП - 0,040км)</t>
  </si>
  <si>
    <t>Строительство участка ВЛИ-0,4 кВ от РУ-0,4 кВ ЗТП-10/0,4 кВ №36 ВЛ-10 кВ №803 ПС 35/10 кВ "ЗР-8" для подключения магазина заявителя ИП Адамян Л.А. Ростовская область Зерноградский район, ст. Мечетинская х. Донской (ориентировочная протяженность  ЛЭП - 0,45 км)</t>
  </si>
  <si>
    <t>Строительство участка ВЛИ-0,4кВ от проектируемой опоры ВЛ-0,4кВ проектируемой ТП-10/0,4кВ (по договору №61-1-20-00497267 от 14.04.2020, №61-1-20-00467279 от 14.04.2020) по ВЛ-10кВ №1507 ПС 110/10кВ «ЗР-15» для электроснабжения участка заявителя Виноградовой В.Т. Ростовская область, Зерноградский район, СНТ "Дружба" (ориентировочная протяженность ЛЭП – 0,04км)</t>
  </si>
  <si>
    <t>Строительство участка ВЛИ-0,4 кВ от оп.№182-23 ВЛ-0,4 кВ №2 МТП-10/0,4 кВ №182 ВЛ-10кВ №805 ПС 110/10кВ "БОС" для электроснабжения жилого дома заявителя Демина И.М., п. Мокрый Батай, Кагальницкий район, Ростовская область (ориентировочная протяженность ЛЭП 0,03км)</t>
  </si>
  <si>
    <t>Строительство учатска ВЛИ 0,4кВ от проектируемой опоры проектируемой ВЛ 0,4кВ (по договору №61-1-19-00446409 от 30.05.2019) от КТП 10/0,4 кВ №128 по ВЛ-10 кВ №313 от ПС 35/10 "КГ-3" для электроснабжения жилого дома заявителя Бондаренко С.Н., ст. Кировская, Кагальницкий район, Ростовская область (ориентировочная протяженность ЛЭП - 0,15 км)</t>
  </si>
  <si>
    <t>Строительство ВЛИ-0,4 кВ от опоры №63-38 ВЛ-0,4 кВ №1 КТП-10/0,4 кВ №63 по ВЛ-10 кВ №1205 от ПС 110/10 кВ "Манычская" для электроснабжения ангара заявителя ИП Полуян С.А. х. Средние Хороли, Зерноградский район, Ростовская область (ориентировочная протяженность ЛЭП 0,125 км)</t>
  </si>
  <si>
    <t>Строительство участка ВЛИ-0,4 кВ от РУ-0,4 кВ КТП-10/0,4 кВ № 119 ВЛ-10 кВ № 1608 ПС 35/10 кВ «ЗР-16» для подключения базовой станции заявителя ПАО «МегаФон» п. Крайний Зерноградский район Ростовская область (ориентировочная протяженность ЛЭП – 0,12 км)</t>
  </si>
  <si>
    <t>Строительство участка ВЛИ-0,4 кВ от оп. № 96-21 ВЛ-0,4 кВ № 2 КТП-10/0,4 кВ № 96 ВЛ-10 кВ № 1501 ПС 110/10 кВ «ЗР-15» для подключения жилого дома заявителя Звездиной О.С. п. Экспериментальный Зерноградский район Ростовская область (ориентировочная протяженность ЛЭП– 0,15 км)</t>
  </si>
  <si>
    <t>Строительство участка ВЛИ 0,4кВ от оп. №211-131 ВЛ 0,4кВ №5 КТП 10/0,4кВ №211 ВЛ 10кВ №910 ПС 35/10кВ "А-9" для подключения жилого дома заявителя Красноперовой М.Е., Азовский район, Ростовская область (ориентировочная протяженность ЛЭП - 0,04км)</t>
  </si>
  <si>
    <t>Строительство участка ВЛИ-0,4кВ от оп. №217-24/1 по ВЛ-0,4кВ №1 от КТП 10/0,4кВ №217 по ВЛ-10кВ №1107 ПС 35/10кВ "А-11" для электроснабжения жилого дома заявителя Колесниченко И.М. с.Кагальник, Азовский район, Ростовская область (ориентировочная протяженность ЛЭП– 0,05км)</t>
  </si>
  <si>
    <t>Строительство ВЛИ-0,4 кВ от РУ 0,4 кВ КТП 10/0,4 кВ №233 по ВЛ 10 №1815 ПС 35/10 кВ «А-18» для электроснабжения некапитального строения заявителя ИП Карпун И.В. Азовский район, х.Колузаево (ориентировочная протяженность ЛЭП– 0,300 км.)</t>
  </si>
  <si>
    <t>Строительство участка ВЛИ-0,4 кВ от проектируемой опоры проектируемой ВЛ-0,4 кВ вновь смонтированной ТП 10/0,4 кВ (по договору №61-1-19-00365671 от 24.04.2018) по ВЛ-10 кВ №3105 ПС 110/35/10 кВ "А-31", для электроснабжения станции катодной защиты подземного газопровода заявителя ГБУ "Ростоблгазификация" Азовский район, Ростовская область   (ориентировочная протяженность ЛЭП - 0,070 км)</t>
  </si>
  <si>
    <t>Строительство участка ВЛИ-0,4кВ от проектируемой ВЛ 0,4кВ (по договорам №61-1-19-00465629 от 23.10.2019, №61-1-19-00474939 от 23.10.2019) для электроснабжения участка заявителя Юрина Д.М. СНТ СНТ «Квант» Азовский район, Ростовская область (ориентировочная протяженность ЛЭП – 0,05км)</t>
  </si>
  <si>
    <t>Строительство участка ВЛИ-0,4кВ от проектируемой ВЛ 0,4кВ (по договору №61-1-19-00482101 от 13.11.2019) КТП №350 ВЛ-6кВ №207Н ПС 110/6/10кВ «НС-2» для электроснабжения участков заявителей Хариной Е.Е., Гринько В.Г., Опрышко Л.В., Трубчанин Л.М. СНТ "Квант" Азовский район, Ростовская область (ориентировочная протяженность ЛЭП – 0,215км</t>
  </si>
  <si>
    <t>Строительство ТП 10/0,4кВ от оп. №16-141 по ВЛ-10кВ №802 ПС 35/10кВ «А-8», ВЛИ-0,4кВ от проектируемой ТП 10/0,4кВ для электроснабжения жилого дома заявителя Журавлева С.Г. х. Павло-Очаково, Азовский район Ростовская область (ориентировочная протяженность ЛЭП– 0,130км, ориентировочная трансформаторная мощность - 0,025МВА)</t>
  </si>
  <si>
    <t>Строительство участка ВЛИ 0,4кВ от оп. №10-18 ВЛ 0,4кВ №1 КТП 10/0,4кВ №10 ВЛ 10кВ №3125 ПС 110/35/10кВ "А-31" для электроснабжения жилого дома заявителя Едрышова И.Ю., с. Пешково, Азовский район, Ростовская область (ориентировочная протяженность ЛЭП - 0,08км)</t>
  </si>
  <si>
    <t>Строительство участка ВЛИ 0,4кВ от РУ 0,4кВ КТП 10/0,4кВ №326 ВЛ 10кВ №202Н ПС 110/6/10кВ "НС-2" для электроснабжения жилого дома заявителя Шаровой Е.В., с. Кулешовка, Азовский район, Ростовская область (ориентировочная протяженность ЛЭП - 0,05км)</t>
  </si>
  <si>
    <t>Строительство участка ВЛИ 0,4кВ от проектируемой ВЛ 0,4кВ вновь построенной ТП-10/0,4кВ (по договору №61-1-18-00374505 от 07.06.2018г.) ВЛ 10кВ №202Н ПС 110/6/10кВ "НС-2" для электроснабжения жилого дома заявителей Японова А.В. и Японовой Е.А., ЗАО "Обильное" Азовский район, Ростовская область (ориентировочная протяженность ЛЭП - 0,03км)</t>
  </si>
  <si>
    <t>Строительство участка ВЛИ 0,4кВ от оп. №32-15 ВЛ 0,4кВ №1 КТП 10/0,4кВ №32 ВЛ 10кВ №2907 РП 29 ПС 35/10кВ "А-18" для электроснабжения жилого дома заявителя Наркевич А.Н., х. Коса Азовский район, Ростовская область (ориентировочная протяженность ЛЭП - 0,110км</t>
  </si>
  <si>
    <t>Строительство участка ВЛИ-0,4 кВ от оп. №44-28 по ВЛ 0,4кВ №3 от КТП 10/0,4кВ №44 ВЛ 10кВ №1107 ПС 35/10кВ «А-11» для электроснабжения жилого дома заявителя Саяпиной З.И. с. Кагальник Азовский район, Ростовская область (ориентировочная протяженность ЛЭП - 0,200км)</t>
  </si>
  <si>
    <t>Строительство участка ВЛИ-0,4 кВ от оп. №334-11 ВЛ 0,4кВ №1 КТП 10/0,4кВ №334 ВЛ 10кВ №202Н ПС 110/6/10кВ «НС-2» для электроснабжения жилого дома заявителя Соболев А.Ю., ЗАО "Обильное" Азовский район, Ростовская область (ориентировочная протяженность ЛЭП - 0,08км)</t>
  </si>
  <si>
    <t>Строительство участка ВЛИ-0,4кВ от оп. №25-37 ВЛ-0,4кВ №2 КТП-10/0,4 кВ №25 ВЛ-10 кВ №1815 ПС 35/10 «А-18» для электроснабжения жилого дома заявителя Нефедовой М.Н., х.Колузаево Азовский район, Ростовская область (ориентировочная протяженность ЛЭП – 0,07 км)</t>
  </si>
  <si>
    <t>Строительство ЛЭП-0,4 кВ от опоры №48-41 ВЛ 0,4 кВ №1 КТП-10/0,4 кВ №48 ВЛ-10 кВ №1518 от ПС 35/10 кВ А-18 для электроснабжения автомойки заявителя ИП Ким Р.Р. Ростовская область Азовский район, к юго-востоку от СНТ «Надежда 4» (ориентировочная протяженность ЛЭП– 0,310 км)</t>
  </si>
  <si>
    <t xml:space="preserve">Строительство участка ВЛИ-0,4кВ от оп. №173-103 по ВЛ-0,4кВ №2 от КТП 10/0,4кВ №173 по ВЛ-10кВ №902 ПС 35/10 кВ «А-9» для электроснабжения жилого дома заявителя Фальченко Н.И., х. Павловка Азовский район, Ростовская область (ориентировочная протяженность ЛЭП – 0,035 км) </t>
  </si>
  <si>
    <t>Строительство участка ВЛИ-0,4 кВ от оп. №38-28 ВЛ-0,4 кВ №1 КТП 10/0,4 кВ №38 ВЛ-10 кВ №106Н ПС 110/6/10 кВ «НС-1» для подключения садового дома заявителя Латышевой И.В. Азовский район Ростовская область (ориентировочная протяженность ЛЭП– 0,200 км)</t>
  </si>
  <si>
    <t xml:space="preserve">Строительство участка ВЛИ-0,4кВ от проектируемой ВЛ-0,4 кВ (по договору ТП № 61-1-19-00464275 от 13.09.2019 г.) проектируемой ТП-10/0,4 кВ по ВЛ-10 кВ 3113 ПС 110/35/10 кВ «А-31» для электроснабжения жилого дома заявителя Моисеенко Л.А., с. Пешково, Азовский район, Ростовская область (ориентировочная протяженность ЛЭП – 0,130 км) </t>
  </si>
  <si>
    <t>Строительство ВЛ 0,4 кВ от проектируемой опоры ВЛ-0,4 кВ (по договору №61-1-18-00379371 от 18.06.2018г.) от вновь построенной ТП 10/0,4 кВ  по ВЛ 10 кВ №1020 ПС 110/35/10 кВ Самарская для подключения 6-ти жилых домов с. Самарское, Азовский район Ростовская область (ориентировочная протяженность ЛЭП - 0.275 км)</t>
  </si>
  <si>
    <t>Строительство участка ВЛИ-0,4кВ от оп. 350-32 ВЛ-0,4 кВ №2 КТП №352 ВЛ-6 кВ №207Н ПС 110/6/10 «НС-2» для электроснабжения 5 участков заявителей СНТ «Квант» Азовский район, Ростовская область (ориентировочная протяженность ЛЭП – 0,650 км)</t>
  </si>
  <si>
    <t>Строительство участка ВЛИ-0,4кВ от проектируемой ВЛ-0,4 кВ (по договору № 61-1-19-00465629 от 23.10.2019 г.) КТП №350 ВЛ-6 кВ №207Н ПС 110/6/10 «НС-2» для электроснабжения 9 участков заявителей СНТ «Квант» Азовский район, Ростовская область (ориентировочная протяженность ЛЭП – 0,630 км)</t>
  </si>
  <si>
    <t>Строительство участка ВЛИ 0,4кВ от РУ 0,4кВ КТП 10/0,4кВ №2 ВЛ 10кВ №606 ПС 35/10кВ А-6 для электроснабжения распределительного щита заявителя ПУ ФСБ России по Ростовской области, с. Порт-Катон Азовский район, Ростовская область (ориентировочная протяженность ЛЭП - 0,230км)</t>
  </si>
  <si>
    <t>Строительство ВЛИ-0,4кВ от РУ-0,4кВ КТП-1687/400кВА ВЛ-10кВ №5 ПС 35/10кВ Лозновская для присоединения жилого дома Радькова А.А., расположенного по адресу: Ростовская область, Цимлянский район, с/п Красноярское, п. Дубравный, ул. Садовая, д.19, к.н.61:41:0030402:64 (ориентировочная протяженность ЛЭП 0,26км)</t>
  </si>
  <si>
    <t xml:space="preserve">Строительство участка ВЛЗ-6 кВ от опоры №61 ВЛ-6 кВ №1 ПС 35/6 кВ Потаповская, с установкой ТП-6/0,4 кВ, и строительство ВЛИ-0,4 кВ от вновь установленной ТП-6/0,4 кВ для присоединения фермы Эм И.Д. (ориентировочная протяженность ЛЭП 1,474 км, ориентировочная мощность трансформатора 160 кВА)»
</t>
  </si>
  <si>
    <t>Строительство ВЛИ-0,4кВ от РУ-0,4кВ КТП-4281/40кВА ВЛ-10кВ №6 ПС 35/10кВ Валуевская для присоединения жилого дома СПК «Победа», расположенного по адресу: Ростовская область, Ремонтненский район, с. Валуевка, ул. Восточная, д. 16 к.н. 61:32:0600002:4192 (ориентировочная протяженность ЛЭП 0,954км)</t>
  </si>
  <si>
    <t>Строительство ВЛИ-0,4 кВ от вновь установленной ТП-6/0,4 кВ по ВЛ-6 кВ №1 ПС 35/6 кВ НС-12 (по договору  ТП №61-1-18-00388977 от 20.08.2018г) для присоединения жилого дома Ксантополу Л.Б. (ориентировочная протяженность ЛЭП 0,605 км)</t>
  </si>
  <si>
    <t>Строительство ВЛИ-0,4кВ от вновь установленной ТП-6/0,4кВ по ВЛ-6кВ №1 ПС 35/6кВ НС-12 (по договору ТП №61-1-18-00388977 от 20.08.2018) для присоединения жилого дома Патовой Н.В. (ориентировочная протяженность ЛЭП 0,662км)</t>
  </si>
  <si>
    <t xml:space="preserve">Строительство участка ВЛИ-0,4 кВ от вновь установленной опоры вновь построенной ВЛИ-0,4 от вновь установленной ТП-6/0,4 кВ по ВЛ-6 кВ №1 ПС 35/6 кВ НС-12 (по договорам №61-1-18-00388977 от 20.08.2018г  и №61-1-18-00392457 от 04.09.2018г) для присоединения жилого дома Сомченко И.С. (ориентировочная протяженность ЛЭП 0,205 км) </t>
  </si>
  <si>
    <t>Строительство ВЛИ-0,4 кВ от КТП-1543/160 кВА ВЛ-10 кВ №13 ПС 110/10 кВ Искра для присоединения здания ИП Иванова В.А. ориентировочная протяженность ЛЭП 0,295 км)</t>
  </si>
  <si>
    <t xml:space="preserve">Строительство участка ВЛ-10 кВ от опоры №3/2 ВЛ-10 кВ №6 ПС 110/10 кВ Большеремонтненская, с установкой ТП-10/0,4 кВ, и строительство ВЛИ-0,4 кВ от вновь установленной ТП-10/0,4 кВ  для присоединения гранулятора со складами ИП главы К(Ф)Х Натхина А.В., расположенного по адресу: Ростовская область, Ремонтненский район, с. Большое Ремонтное, к.н. 61:32:0600009:1298 (ориентировочная протяженность ЛЭП 0,018 км, ориентировочная мощность трансформатора 250 кВА)»
</t>
  </si>
  <si>
    <t>Строительство участка ВЛИ-0,4 кВ от опоры №12 ВЛ-0,4 кВ №2 КТП-8597/100 кВА ВЛ-6 кВ №5 ПС 35/6 кВ Романовская для присоединения жилых домов Поляковой Т.Н. и Карпенко П.М., расположенных по адресам: Ростовская область, Волгодонской район, станица Романовская, пер. Колхозный, д.150, к.н. 61:08:0070126:495, и д.152, к.н. 61:08:0070126:518 (ориентировочная протяженность ЛЭП 0,22 км)</t>
  </si>
  <si>
    <t>Строительство участка ВЛЗ-6 кВ от опоры №60 ВЛ-6 кВ №1 ПС 35/6 кВ НС-12, с установкой ТП-6/0,4 кВ, и строительство ВЛИ-0,4 кВ от вновь установленной ТП-6/0,4 кВ  для присоединения жилого дома Коваль Е.В. (ориентировочная протяженность ЛЭП 3,82 км, ориентировочная мощность трансформатора 100 кВА)</t>
  </si>
  <si>
    <t>Строительство участка ВЛИ-0,4 кВ от опоры №1 ВЛ-0,4 кВ №2 КТП-8116/63 кВА по ВЛ-10 кВ №6 ПС 35/10 кВ Виноградная для присоединения сооружения для полива Мартиросяна А.А., расположенного по адресу: Ростовская область, Волгодонской район, п. Прогресс, к.н. 61:08:0601401:147 (ориентировочная протяженность ЛЭП 0,22 км)</t>
  </si>
  <si>
    <t>Строительство ВЛИ-0,4кВ от КТП-7284/25кВА по ВЛ-10кВ №15 ПС 110/35/10кВ Константиновская для присоединения скважины Тарелкиной В.Г., расположенной по адресу: Ростовская область, Константиновский район, г. Константиновск, в границах АО «Ленинский путь» 3,7км на северо-запад от г. Константиновск, к.н. 61:17:0600010:3626 (ориентировочная протяженность ЛЭП 0,53км)</t>
  </si>
  <si>
    <t>Строительство ВЛИ-0,4 кВ от РУ-0,4 кВ КТП-6012/100 кВА ВЛ-6 кВ №6 ПС 110/6 кВ НС-1 для присоединения нежилого здания Иванова В.С., расположенного по адресу: Ростовская область, Мартыновский район, примерно в 763 м от х. Ильинов по направлению на северо-запад, к.н. 61:20:0040101:2201 (ориентировочная протяженность ЛЭП 0,91 км)</t>
  </si>
  <si>
    <t>Строительство участка ВЛ-10 кВ от опоры №2/9 ВЛ-10 кВ №24 ПС 110/35/10 кВ Цимлянская, с установкой ТП-10/0,4 кВ, и строительство ВЛИ-0,4 кВ от вновь установленной ТП-10/0,4 кВ  для присоединения склада рыбзавода Кузнецова М.А, расположенного по адресу: Ростовская область, Цимлянский район, станица Хорошевская, в границах станицы Хорошевская Хорошевской (рыбцех), к.н. 61:41:0600009:186 (ориентировочная протяженность ЛЭП 0,8 км, ориентировочная мощность трансформатора 160 кВА)</t>
  </si>
  <si>
    <t>Строительство участка ВЛИ-0,4 кВ от опоры №1/2 ВЛ-0,4 кВ №2 КТП-8108/160 кВА ВЛ-10 кВ №4 ПС 35/10 кВ Виноградная для присоединения квартиры Кирсановой М.Т, расположенной по адресу: Ростовская область, Волгодонской район, п. Виноградный, ул. Молодежная, д.28, кв./оф. 2, к.н.61:08:0050201:86 (ориентировочная протяженность ЛЭП 0,640 км)»</t>
  </si>
  <si>
    <t>Строительство участка ВЛИ-0,4 кВ от опоры №1/8 ВЛ-0,4 кВ №1 КТП-8129/100 кВА по ВЛ-10 кВ №3 ПС 110/35/10 кВ Большовская для присоединения жилого дома Подгайного С.П, расположенного по адресу: Ростовская область, Волгодонской район, х. Морозов, пер. Тенистый, д.6, к.н. 61:08:0020205:13 (ориентировочная протяженность ЛЭП 0,45 км)</t>
  </si>
  <si>
    <t>Строительство участка ВЛИ-0,4 кВ от вновь установленной опоры вновь построенной ВЛИ-0,4 кВ от вновь установленной ТП-6/0,4 кВ по ВЛ-6 кВ №1 ПС 35/6 кВ НС-12 (по договорам ТП №61-1-18-00388977 от 20.08.2018г и №61-1-18-00392457 от 04.09.2018г) для присоединения жилого дома Ильиной Е.П., расположенного по адресу: Ростовская область. Волгодонской район. с/т. Юбилейное, д.1, ул. Светлая, к.н.61:08:0601901:1284(ориентировочная протяженность ЛЭП 0,108 км)</t>
  </si>
  <si>
    <t>Строительство ВЛ 0,4кВ от КТП 10/0,4кВ №54 по ВЛ 10кВ №4 ПС 110/35/10кВ "Чертковская" для электроснабжения ьепличного комплекса заявителя, ИП Глава КФХ Матвиенко М.В., расположенного в Ростовской области, Чертковский р-н, 150м на северо-запад от земельного участка по ул. Горобцовка 53, (61:42:0600006:320) (ориентировочная протяженность ЛЭП 0,3км)</t>
  </si>
  <si>
    <t>Строительство ВЛ-10 кВ от опоры №4/65 по ВЛ-10 кВ №1 ПС 110/27,5/10 кВ "Старая Станица"с установкой КТП и строительством  ВЛ- 0,4 кВ, для электроснабжения нежилого здания заявителя, ООО "Агродон", расположенного в Ростовской области, Миллеровский р-н, х. Верхнеталовка (61:22:0600026:519) (ориентировочная протяженность ЛЭП- 1,26 км., ориентировочная мощность ТП- 0,25 МВА)»</t>
  </si>
  <si>
    <t>Строительство ВЛ-10 кВ от опоры № 58 по ВЛ-10 кВ № 1 ПС 35/10 кВ «Криворожская» с установкой КТП и строительством ВЛ-0,4 кВ», для технологического присоединения нежилого строения заявителя,  ИП Глава КФХ Локтев С.Ю., расположенного в Ростовской области, Миллеровский р-н, сл. Криворожье,  (61:422:600024:0037) (ориентировочная   протяженность ЛЭП – 5,025 км, ориентировочная мощность ТП – 0,025 МВА)</t>
  </si>
  <si>
    <t>Строительство ВЛ 0,4 кВ, строительство КТП 10/0,4 кВ, строительство ВЛ 10 кВ от  проектируемой ВЛ 10 кВ   (по договору № 61-1-19-00429907 от 28.02.2019г.)    от опоры №58 по ВЛ 10 кВ №1 ПС 35/10 кВ «Криворожская», для технологического присоединения нежилого строения заявителя,  ИП Глава КФХ Локтев С.Ю., расположенного в Ростовской области, Миллеровский р-н, сл. Криворожье,  (61:22:0600024:61), (ориентировочная   протяженность ЛЭП – 0,045 км, ориентировочная мощность ТП – 0,025 МВА)</t>
  </si>
  <si>
    <t>Строительство ВЛ-10 кВ от опоры № 14 по ВЛ-10 кВ № 2 ПС 35/10 кВ «Криворожская» с установкой КТП и строительством ВЛ-0,4 кВ», для технологического присоединения нежилого строения заявителя,  ИП Глава КФХ Локтев С.Ю., расположенного в Ростовской области, Миллеровский р-н, сл. Криворожье,  (61:22:0600024:460) (ориентировочная   протяженность ЛЭП – 3,125 км, ориентировочная мощность ТП – 0,025 МВА)</t>
  </si>
  <si>
    <t>Строительство ВЛ- 0,4 кВ от РУ 0,4 кВ КТП- 10/0,4 №427 по ВЛ10 кВ №6 ПС 35/10 кВ "Маньковская", для электроснабжения  щита учета для строительства  автозаправочной газовой станции, заявителя ООО "Донсервисгаз"., расположенного в Ростовской области, Чертковский р-н, с. Маньково- Калитвенское, (61:42:0600007:822), (ориентировочная протяженность ЛЭП 0,09 км)</t>
  </si>
  <si>
    <t>Строительство ВЛ-10 кВ от опоры № 145 по ВЛ-10 кВ № 4 ПС 110/35/10 кВ «Ал. Лозовская» с установкой КТП и строительством ВЛ-0,4 кВ», для технологического присоединения придорожного комплекса заявителя,  ИП Глава КФХ Кунакова Т.Б., расположенного в Ростовской области, Чертковский р-н, п. Чертково,  (61:42:0600018:678) (ориентировочная   протяженность ЛЭП – 2.02 км, ориентировочная мощность ТП – 0,160 МВА)</t>
  </si>
  <si>
    <t>Строительство ВЛ-0,4 кВ от РУ 0,4 кВ КТП-10/0,4 кВ №58 по ВЛ-10 кВ №1 ПС 110/35/10 кВ «Ал. Лозовская»,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склада заявителя, ООО «Белая Балка», расположенного Ростовская область, Чертковский р-н, в 120 м на Северо-Запад от х. Белая Балка, (к.н.з.у. 61:42:0600011:439) (ориентировочная протяженность ЛЭП – 0,175 км)</t>
  </si>
  <si>
    <t>Строительство ВЛ 0,4 кВ от ВЛ 0,4 кВ №1 КТП №105 ВЛ 6 кВ №807 ПС 35 кВ АС8 для электроснабжения ВРУ 0,4 кВ жилого дома Березовской А. В. на участке с КН 61:02:0010201:6798 в х. Большой Лог Аксайского района Ростовской области (ориентировочная протяжённость ЛЭП 0,065 км)</t>
  </si>
  <si>
    <t>Строительство ВЛ 0,4 кВ от РУ 0,4 кВ КТП №260 ВЛ 10 кВ №3 ПС 35 кВ Б. Салы для электроснабжения ВРУ 0,4 кВ жилого дома Харжиева В. С. на участке с КН 61:02:0600005:8846 в х. Нижнетемерницкий Аксайского района Ростовской области (ориентировочная протяжённость ЛЭП 0,525км)</t>
  </si>
  <si>
    <t>Строительство ВЛ 0,4кВ от ВЛ 0,4кВ №2 КТП №253 ВЛ 10кВ №2 ПС 35кВ Б.Салы для электроснабжения ВРУ 0,4кВ жилого дома Караченцева О.Е. на участке с КН 61:02:0600005:7249 в пос. Темерницкий Аксайского района Ростовской области (ориентировочная протяженность ЛЭП 0,258км)</t>
  </si>
  <si>
    <t>Строительство ВЛ-0,4кВ от РУ-0,4кВ КТП №740 ВЛ-10кВ №101 ПС 110кВ АС-1 для электроснабжения ВРУ-0,4кВ жилого дома в х. Махин, квартал 8, участок 8, к.н. 61:02:060015:5730, Аксайского района, Ростовской области (ориентировочная протяженность ЛЭП 0,3км)</t>
  </si>
  <si>
    <t>Строительство ВЛ-0,4кВ от ВЛ-0,4кВ №2 КТП №734 ВЛ-10кВ №103 ПС 110кВ АС1 для электроснабжения ВРУ-0,4кВ жилого дома Картовицкого А.А. на участке с КН 61:02:0050201:960 в х. Островского Аксайского района Ростовской области (ориентировочная протяженность ЛЭП 0,243км)</t>
  </si>
  <si>
    <t>Строительство ВЛ-0,4 кВ от РУ-0,4 кВ проектируемой КТП 10/0,4 кВ (по договору №61-1-19-00434389 от 29.03.2019) ВЛ 10 кВ №125 ПС 110 кВ СМ1 для электроснабжения земельных участков Мораш С.В., Мироновой Г.Ф., Разореновой Н.М., Рожковой Е.В., Сергеева М.С., Торопцовой Т.И. по адресу: Ростовская обл, Семикаракорский район, х. Чебачий, (ориентировочная протяженность ЛЭП 0,66 км)</t>
  </si>
  <si>
    <t>Строительство ВЛ 0,4кВ от РУ 0,4кВ КТП №520 ВЛ 6кВ №3 РП6 КЛ 6кВ №340 ПС 110кВ БТ3 для электроснабжения ВРУ 0,4кВ жилых домов Марченко А.Г. в п. Красный Сад Азовского района Ростовской области (ориентировочная протяжённость ЛЭП 1,020км)</t>
  </si>
  <si>
    <t>Строительство ВЛ 0,4 кВ от РУ 0,4 кВ РП 6 кВ №6 КЛ 6 кВ №340 ПС 110 кВ БТ3 для электроснабжения МБОУ Красносадовская СОШ по ул. Лунева, 1А в п. Красный Сад Азовского района Ростовской области (ориентировочная протяжённость ЛЭП 0,900 км)</t>
  </si>
  <si>
    <t>Строительство ВЛ0,4 кВ от проектируемой ВЛ 0,4 кВ проектируемой КТПН 10/0,4 кВ (по договору №61-1-19-00426411 от 14.02.2019 г.) ВЛ 10 кВ №706 ПС 35 кВ АС7 для электроснабжения ВРУ 0,4 кВ жилого дома Филатова Н.А. по ул. Станичная, 49 в п. Красный Колос Аксайского района Ростовской области (ориентировочная протяженность ЛЭП - 0,390 км )</t>
  </si>
  <si>
    <t>Строительство участка ВЛИ-0,4кВ для подключения жилого дома заявителя Королькова А.В. г. Зерноград Зерноградский район, Ростовская область (ориентировочная протяженность ЛЭП - 0.2 км)</t>
  </si>
  <si>
    <t>Строительство ВЛ-10кВ от оп. №43  ВЛ-10кВ №910 ПС 35/10кВ А-9, установка ТП-10/0,4кВ, строительство участка ВЛ-0,4 кВ для подключения жилых домов заявителей Коваленко Н.Н., Аразян К.М. Азовский район Ростовская область (ориентировочная протяженность ЛЭП-0,120км, ориентировочная трансформаторная мощность -0,025МВА)</t>
  </si>
  <si>
    <t>Строительство участка ВЛИ-0,4кВ от вновь смонтированного ТП 10/0,4 кВ (по договору ТП № 61-1-17-00340835 от 20.11.2017г.) для подключения жилого дома заявителя Афян С.Т. Азовский район, Ростовская область (ориентировочная протяженность ЛЭП - 0.225 км)</t>
  </si>
  <si>
    <t>Строительство ВЛ-0,4 кВ от РУ-0,4 кВ КТП 10/0,4 кВ №136 ВЛ-10кВ №803 ПС 35/10 кВ А-8 для подключения жилого дома заявителя Симень А.Н. с. Семибалки, Азовский район, Ростовская область (ориентировочная протяженность ЛЭП - 0.200 км)</t>
  </si>
  <si>
    <t>Строительство участка ВЛИ-0,4кВ от РУ-0,4кВ КТП 10/0,4кВ №17 ВЛ-10кВ 1913 РП 10кВ №19 по ВЛ 10кВ №1011 ПС 110/35/10кВ Самарская для подключения кемпинга заявителя Подратчян К.Д., х. Ельбузд Азовский район, Ростовская область (ориентировочная протяженность ЛЭП - 0,03км)</t>
  </si>
  <si>
    <t>Строительство участка ВЛИ-0,4кВ от РУ-0,4кВ МТП-10/0,4кВ №182 ВЛ-10кВ №805 ПС 110/10кВ «БОС» для подключения жилого дома заявителя Габдрахимова С.М. п. Мокрый Батай Кагальницкий район Ростовская область (ориентировочная протяженность ЛЭП-0,4км)</t>
  </si>
  <si>
    <t>Строительство участка ВЛИ-0,4кВ от проектируемой ВЛ-0,4 кВ (по договорам № 61-1-19-00465629 от 23.10.2019 г., № 61-1-19-00474939 от 23.10.2019г.) для электроснабжения участка заявителя Шереметова Г.Г. СНТ «Квант» Азовский район, Ростовская область (ориентировочная протяженность ЛЭП – 0,405 км)</t>
  </si>
  <si>
    <t>Строительство участка ВЛИ-0,4кВ от проектируемой ВЛ-0,4 кВ (по договорам № 61-1-19-00465629 от 23.10.2019 г., №61-1-19-00473661 от 25.10.2019 г.) для электроснабжения участка заявителя Зарайской Т.Ф. СНТ «Квант», Азовский район, Ростовская область (ориентировочная протяженность ЛЭП – 0,310 км)</t>
  </si>
  <si>
    <t>Строительство участка ВЛИ-0,4кВ от оп. 350-64 ВЛ-0,4 кВ №3 КТП №350 ВЛ-6 кВ №207Н ПС 110/6/10 «НС-2» для электроснабжения 8 участков заявителей СНТ «Квант» Азовский район, Ростовская область (ориентировочная протяженность ЛЭП – 0,640 км)</t>
  </si>
  <si>
    <t>Строительство участка ВЛИ-0,4кВ от оп. 352-32 ВЛ-0,4 кВ №2 КТП №352 ВЛ-6 кВ №207Н ПС 110/6/10 «НС-2» для электроснабжения участков заявителей Ломоносовой С.В., Михайленко В.И. СНТ «Квант» Азовский район, Ростовская область (ориентировочная протяженность ЛЭП – 0,505 км)</t>
  </si>
  <si>
    <t>Строительство участка ВЛИ 0,4кВ от РУ 0,4кВ ТП 10/0,4кВ №164 ВЛ 10кВ №1101 ПС 35/10кВ А-11 для электроснабжения складского помещения заявителя ИП Алавердовой Т.Г. с. Кагальник, Азовский район, Ростовская область (ориентировочная протяженность ЛЭП - 0,100км</t>
  </si>
  <si>
    <t>Строительство участка ВЛИ-0,4кВ от оп. № 211-248 ВЛ 0,4 кВ №5 КТП 10/0,4 кВ №211 ВЛ-10 кВ №910 ПС 35/10 кВ «А-9» для электроснабжения жилого дома Бражникова С.И., Азовский район, Ростовская область (ориентировочная протяженность ЛЭП – 0,230 км)</t>
  </si>
  <si>
    <t>Строительство участка ВЛИ-0,4 кВ для подключения жилых домов заявителей Лозовой О.А. и Дорофеевой Н.И., Кагальницкий район, п. Новонатальин (ориентировочная протяженность ЛЭП– 0,2 км)</t>
  </si>
  <si>
    <t xml:space="preserve">Строительство участка ВЛИ-0,4кВ от оп. №160-15 ВЛ 0,4 кВ №1  КТП 10/0,4кВ №160 ВЛ-10 кВ №1904 РП-19 ПС 110/35/10кВ «Самарская" для электроснабжения гаражного сервиса заявителя Мироненко А.М. с. Новотроицкое, Азовский район, Ростовская область (ориентировочная протяженность ЛЭП-0,1км)  </t>
  </si>
  <si>
    <t xml:space="preserve">Строительство участка ВЛИ-0,4кВ от РУ-0,4кВ КТП-10/0,4 кВ №163 ВЛ-10 кВ 1904 РП-19 ПС 110/35/10 «Самарская» для подключения жилого дома заявителя Бугаенко Г.В., с. Новотроицкое Азовский район, Ростовская область (ориентировочная протяженность ЛЭП – 0,430 км) </t>
  </si>
  <si>
    <t>Техническое перевооружение КТП 6/0,4кВ №350 ВЛ-6кВ № 207Н ПС 110/6/10кВ «НС-2» с заменой силового трансформатора, строительство ВЛИ- 0,4кВ от проектируемой ВЛ-0,4кВ (по договору ТП №61-1-19-00465629 от 23.10.2019) КТП 6/0,4кВ №350 ВЛ-6кВ №207Н ПС 110/6/10кВ «НС-2» для электроснабжения участков Долгуновой Г.А., Иванюк Е.П., Березниченко Л.П., Гребенниковой А.В., Урсул Т.Е., СНТ «Квант» Азовский района, Ростовская область (ориентировочная протяжённость ЛЭП 0,165км, ориентировочная мощность трансформатора 1,000МВА)</t>
  </si>
  <si>
    <t>Строительство участка ВЛИ-0,4кВ от опоры №329-37 ВЛ-0,4 кВ №2 КТП 10/0,4 кВ №329 ВЛ-10 кВ №106Н ПС 110/6/10 кВ «НС-1» для подключения жилого дома заявителя Чеботаревой Л.П., Азовский район, Ростовская область (ориентировочная протяженность ЛЭП – 0,275 км)</t>
  </si>
  <si>
    <t xml:space="preserve">Строительство участка ВЛ-10 кВ от опоры №30 ВЛ-10 кВ №16 ПС 110/35/10 кВ Василевская для присоединения электрооборудования автомобильной газонаполнительной компрессорной станции ООО «Газпром газомоторное топливо», расположенного по адресу: Ростовская область, Зимовниковский район, п. Зимовники, ул. Железнолорожная,  д. 109, к.н. 61:13?61:13:0010363:31  (ориентировочная протяженность ЛЭП 0,72 км)
</t>
  </si>
  <si>
    <t>Строительство участка ВЛ-10кВ от опоры №4/8 по ВЛ-10кВ №6 РП-10/10кВ "Маркинская" для присоединения устройств освещения и устройства автоматики железнодорожного переезда ОАО "РЖД"</t>
  </si>
  <si>
    <t>Строительство участка ВЛ-10 кВ от опоры №24 ВЛ-10кВ №13 ПС 110/10кВ Искра  для присоединения железнодорожного переезда ОАО «РЖД», расположенного по адресу: Российская Федерация, Ростовская область, Цимлянский район, г. Цимлянск, перегон Черкасская-Цимлянская, 1,1 км от железнодорожного переезда 75 км в сторону станции Черкасская, к.н. 61:41:0000000:23 (ориентировочная протяженность ЛЭП 0,055 км)</t>
  </si>
  <si>
    <t>Строительство участка ВЛ-10 кВ от опоры №3/2 ВЛ-10 кВ №6 ПС 110/10 кВ Большеремонтненская, с установкой ТП-10/0,4 кВ, и строительство ВЛИ-0,4 кВ от вновь установленной ТП-10/0,4 кВ  для присоединения гранулятора со складами ИП главы К(Ф)Х Натхина А.В., расположенного по адресу: Ростовская область, Ремонтненский район, с. Большое Ремонтное, к.н. 61:32:0600009:1298 (ориентировочная протяженность ЛЭП 0,018 км, ориентировочная мощность трансформатора 250 кВА)»</t>
  </si>
  <si>
    <t>Строительство участка ВЛ-10 кВ от опоры №73 ВЛ-10 кВ №8 ПС 35/10 кВ Комиссаровская для присоединения производственной базы отделения №4 ООО АПК «РусАгроАльянс», расположенной по адресу: Ростовская область, Дубовский район, СПК племколхоз «Комиссаровский», контур №318, к.н. 61:09:0600012:162 (ориентировочная протяженность ЛЭП 1,2 км)</t>
  </si>
  <si>
    <t>Строительство ВЛ 10кВ от ВЛ 10кВ №3 ПС 110/10кВ «Лиманная» для технологического присоединения оросительной системы ООО «Раздолье» по адресу: Ростовская область, Неклиновский район, с. Андреево-Мелентьево, ЗАО «Сармат», юго-восточнее х. Лотошники к.н. 61:26:060013:1740 (ориентировочная протяженность ЛЭП 0,5км)</t>
  </si>
  <si>
    <t>Строительство ВЛ 10кВ от оп. №165 ВЛ 10кВ №313 ПС 35/10кВ "КГ-3" для электроснабжения пункта весового контроля заявителя Министерство транспорта Ростовской области, Кагальницкий район Ростовская область (ориентировочная протяженность ЛЭП - 0,06км)</t>
  </si>
  <si>
    <t xml:space="preserve">Строительство участка ВЛЗ-10 кВ от опоры №56 ВЛ-10 кВ №13 ПС 110/35/10 кВ Мартыновская, с установкой ТП-10/0,4 кВ, для присоединения зернохранилища Магомедова Р.К. (ориентировочная протяженность ЛЭП 0,012 км, ориентировочная мощность трансформатора 25 кВА) </t>
  </si>
  <si>
    <t>Строительство ВЛ-10 кВ от опоры № 15/273 по ВЛ-10 кВ № 3 ПС 110/35/10 кВ «Ал. Лозовская» с установкой КТП и строительством ВЛ-0,4 кВ, для электроснабжения автоматизированной системы весового и габаритного контроля заявителя, Министерство транспорта Ростовской области, расположенного в Ростовской области, Чертковский р-н, х. Гусев, «Магистраль «Дон»,  (61:422:0000000:38:37:0000000) (ориентировочная   протяженность ЛЭП – 2,715 км, ориентировочная мощность ТП – 0,025 МВА)</t>
  </si>
  <si>
    <t>Строительство ВЛ 10 кВ от отпайки на ТП 10/0,4 кВ №171 по ВЛ 10 кВ №8 ПС 35/10 кВ «Покровская» для технологического присоединения административно-бытового корпуса полигона ТБО, заявителя ИП Хаишбашян М.А. по адресу: Ростовская область, Неклиновский р-н, к.н. 61:26:0600006:1404, 61:26:0600006:1406 (ориентировочная протяженность ЛЭП 1 км)</t>
  </si>
  <si>
    <t>Строительство ВЛ 10 кВ от отпайки на ТП 10/0,4 кВ №62 по ВЛ 10 кВ №4 ПС 35/10 кВ «Куйбышево-1» для электроснабжения участка сельскохозяйственного назначения, заявителя ИП Калюжная Ю.И. по адресу: Ростовская область, Куйбышевский р-н, северо-западнее с.Новиковка 3400м, к.н. 61:19:0600006:803 (ориентировочная протяженность ЛЭП 2,55 км)</t>
  </si>
  <si>
    <t>2.3.2.4.1.1.</t>
  </si>
  <si>
    <t>3.1.1.1.1.1</t>
  </si>
  <si>
    <t>Строительство КВЛ 10кВ от ВЛ 10кВ №702 ПС 35кВ НГ7 для электроснабжения АГНС (ООО «Метан инвест»), расположенной по адресу: Ростовская область, Аксайский район, ст-ца Грушевская, Новочеркасское шоссе, КН 61:02:0505001:1707 (ориентировочная протяжённость ЛЭП 0,48км)</t>
  </si>
  <si>
    <t>Строительство КЛ 10 кВ от КЛ 10 кВ №1532 ПС 110 кВ АС15 для электроснабжения складов ИП Овчаренко И. Н. на участке с КН 61:02:0120101:26305 в г. Аксае Аксайского района Ростовской области (ориентировочная протяжённость ЛЭП 0,100 км)</t>
  </si>
  <si>
    <t>Строительство ТП-10/0,4кВ, КВЛ-10кВ от ВЛ-10кВ №1407 ПС 35кВ АС-14 для электроснабжения производственных баз ООО "Гранд-Парк" на участках с КН 61:02:0600010:5229, 61:02:0600010:13147 в с/х АО "Аксайское" Аксайского района Ростовской области (ориентировочная мощность трансформатора 0,400МВА, ориентировочная протяженность ЛЭП 2,567км)</t>
  </si>
  <si>
    <t>3.6.1.1.4.2</t>
  </si>
  <si>
    <t>4.1.2.</t>
  </si>
  <si>
    <t>Строительство ВЛ-10кВ от оп. №43  ВЛ-10кВ №910 ПС 35/10кВ А-9, установка ТП-10/0,4кВ, строительство участка ВЛ-0,4 кВ для подключения жилых домов заявителей Коваленко Н.Н., Аразян К.М. Азовский район Ростовская область (ориентировочная протяженность ЛЭП-0,120км, ориентировочная трансформаторная мощность -0,025МВА</t>
  </si>
  <si>
    <t xml:space="preserve">Строительство отпайки ВЛЗ-10 кВ, установка ТП-10/0,4 кВ, для подключения складского помещения заявителя Есаян Ф.С. п. Овощной Азовский район Ростовская область (ориентировочная протяженность ЛЭП – 0,03 км, ориентировочная трансформаторная мощность – 0,025 МВА) </t>
  </si>
  <si>
    <t>Строительство участка ВЛЗ-6 кВ от опоры №200 по ВЛ-6 кВ №11 ПС 35/6 кВ Шлюзовая, с установкой ТП-6/0,4 кВ, для присоединения Сельскохозяйственного производства Ким И.Т. (ориентировочная протяженность ЛЭП 1,53 км, ориентировочная мощность трансформатора 63 кВА)»</t>
  </si>
  <si>
    <t>Строительство двух ТП 10/0,4 кВ, КЛ 0,4 кВ, ВЛ 10 кВ от ВЛ 10 кВ №105 ПС 110 кВ АС1, ВЛ 10 кВ №104 ПС 110 кВ АС1 для электроснабжения объекта коммунального обслуживания ООО "Ростовпак" на участке с КН 61:02:0600015:7021 в ст-це Ольгинская Аксайского района ростовской области</t>
  </si>
  <si>
    <t xml:space="preserve">Строительство ВЛ-10 кВ от оп. №9  ВЛ-10 кВ №211 ПС 35/10 кВ "КГ-2", ТП-10/0,4 кВ, ВЛИ-0,4 кВ для электроснабжения складского помещения заявителя ИП Сахно В.С. ст. Кагальницкая, Кагальницкий район, Ростовская область (ориентировочная протяженность ЛЭП-0,050 км, ориентировочная трансформаторная мощность - 0,250 МВА)  </t>
  </si>
  <si>
    <t xml:space="preserve">Строительство ВЛ-10 кВ от оп. № 6-36 ВЛ-10 кВ № 313 ПС 35/10 кВ   КГ-3, строительство ТП-10/0,4 кВ, строительство участка ВЛ-0,4 кВ для подключения производственной базы ИП Скрынникова Д.Ф., Кагальницкий район Ростовская область </t>
  </si>
  <si>
    <t xml:space="preserve">Строительство ВЛ-10 кВ от вновь установленной опоры в пролёте опор №1-00/6 и №1-00/5 ВЛ-10 кВ Л-1 Мелькомбинат, строительство КТП 10/0,4 и КЛ- 0,4 кВ для электроснабжения объекта – производственная база, расположенного по адресу: РФ, Ростовская область, г. Сальск, ул. Фабричная, д. 2/1, к.н. 61:57:0010817:46, заявитель ИП Нурбагандов О.Г.» (Ориентировочная протяженность ЛЭП - 0,045 км, ориентировочная мощность ТП – 0,16 МВА) </t>
  </si>
  <si>
    <t>Строительство двух ТП 6/0,4 кВ с подключением от опор №7 и №16 по ВЛ-6 кВ №207Н ПС 110/6/10 кВ, ВЛИ-0,4 кВ; строительство ВЛИ-0,4 кВ от опор №350-12, №350-44 по ВЛ-0,4 кВ №1, №350-53, №350-57, по ВЛ-0,4 кВ №2, №350-62 по ВЛ-0,4 кВ №3, №350-38 по ВЛ-0,4 кВ №4  от КТП 6/0,4 кВ №350 ВЛ-6 кВ №207Н ПС 110/6/10 кВ НС-2 для электроснабжения 33 участков заявителей СНТ «Квант», Азовский район, Ростовская область (ориентировочная протяженность ЛЭП– 4,4 км, ориентировочная трансформаторная мощность –1 х 0,160 МВА, 1 х 0,250МВА</t>
  </si>
  <si>
    <t>Строительство ВЛ-10 кВ от проектируемой опоры ВЛ-10 кВ №1020 ПС 110/35/10 кВ Самарское (по договору ТП №61-1-18-00366999 от 14.05.2018г.), установка ТП-10/0,4 кВ, строительство участка ВЛ-0,4 кВ для подключения 22 жилых домов с. Самарское,  Азовский район Ростовская область (ориентировочная протяженность ЛЭП – 0,695 км, ориентировочная трансформаторная мощность – 0,4 МВА)</t>
  </si>
  <si>
    <t>110/35 кВ</t>
  </si>
  <si>
    <t>Строительство ПС 110/35кВ Заря с двумя трансформаторами мощностью не менее 62,9МВА каждый</t>
  </si>
  <si>
    <t>8.2.2.</t>
  </si>
  <si>
    <r>
      <t>Обеспечение средствами коммерческого учета электрической энергии (мощности) (C</t>
    </r>
    <r>
      <rPr>
        <b/>
        <vertAlign val="subscript"/>
        <sz val="14"/>
        <color indexed="8"/>
        <rFont val="Times New Roman"/>
        <family val="1"/>
        <charset val="204"/>
      </rPr>
      <t>8,i</t>
    </r>
    <r>
      <rPr>
        <b/>
        <sz val="14"/>
        <color indexed="8"/>
        <rFont val="Times New Roman"/>
        <family val="1"/>
        <charset val="204"/>
      </rPr>
      <t>)</t>
    </r>
  </si>
  <si>
    <r>
      <t>Строительство  кабельных  линий  (C</t>
    </r>
    <r>
      <rPr>
        <b/>
        <vertAlign val="subscript"/>
        <sz val="14"/>
        <color indexed="8"/>
        <rFont val="Times New Roman"/>
        <family val="1"/>
        <charset val="204"/>
      </rPr>
      <t>3,i</t>
    </r>
    <r>
      <rPr>
        <b/>
        <sz val="14"/>
        <color indexed="8"/>
        <rFont val="Times New Roman"/>
        <family val="1"/>
        <charset val="204"/>
      </rPr>
      <t>)</t>
    </r>
  </si>
  <si>
    <r>
      <t>Строительство пунктов секционирования  (C</t>
    </r>
    <r>
      <rPr>
        <b/>
        <vertAlign val="subscript"/>
        <sz val="14"/>
        <color indexed="8"/>
        <rFont val="Times New Roman"/>
        <family val="1"/>
        <charset val="204"/>
      </rPr>
      <t>4,i</t>
    </r>
    <r>
      <rPr>
        <b/>
        <sz val="14"/>
        <color indexed="8"/>
        <rFont val="Times New Roman"/>
        <family val="1"/>
        <charset val="204"/>
      </rPr>
      <t>)</t>
    </r>
  </si>
  <si>
    <r>
      <t>Строительство трансформаторных подстанций (ТП), за исключением распределительных трансформаторных подстанций (РТП), с уровнем напряжения до 35 кВ (C</t>
    </r>
    <r>
      <rPr>
        <b/>
        <vertAlign val="subscript"/>
        <sz val="14"/>
        <color indexed="8"/>
        <rFont val="Times New Roman"/>
        <family val="1"/>
        <charset val="204"/>
      </rPr>
      <t>5,i</t>
    </r>
    <r>
      <rPr>
        <b/>
        <sz val="14"/>
        <color indexed="8"/>
        <rFont val="Times New Roman"/>
        <family val="1"/>
        <charset val="204"/>
      </rPr>
      <t>)</t>
    </r>
  </si>
  <si>
    <t>пообъектная расшифровка *</t>
  </si>
  <si>
    <t xml:space="preserve">* -  пообъектная расшифровка доступна в формате Excel при нажатии " + " </t>
  </si>
  <si>
    <t>Номер обосновывающих документов представленых в электронном виде 
на DVD-диске</t>
  </si>
  <si>
    <t>1627_</t>
  </si>
  <si>
    <t>1990_</t>
  </si>
  <si>
    <t>2388_</t>
  </si>
  <si>
    <t>2501_</t>
  </si>
  <si>
    <t>2570_</t>
  </si>
  <si>
    <t>2036_</t>
  </si>
  <si>
    <t>4105_</t>
  </si>
  <si>
    <t>3927_</t>
  </si>
  <si>
    <t>722_</t>
  </si>
  <si>
    <t>825_</t>
  </si>
  <si>
    <t>1215_</t>
  </si>
  <si>
    <t>1115_</t>
  </si>
  <si>
    <t>1407_</t>
  </si>
  <si>
    <t>1948_</t>
  </si>
  <si>
    <t>Обеспечение коммерческим учетом электрической энергии (мощности) в точке поставки и установка шкафа 0,22 кВ с коммутационным аппаратом, для освещения Памятника участникам ВОВ, заявителя Главы Треневского с. п. Гаплевской И.П., расположенного по адресу: Ростовская область, Миллеровский район, х. Треневка, пер. Школьный, к.н. 61:22:0061101:482</t>
  </si>
  <si>
    <t>6 мес. 2020г.(с 01.07.2020г.)</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</si>
  <si>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Коляда Е.Ю., расположенного по адресу: Ростовская область,Кашарский  район, сл. Верхнемакеевка, ул. Октябрьская, д. 58, к.н.з.у. 61:16:0030104:76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</si>
  <si>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уличного освещения Заявителя, Администрация Первомайского сельского поселения., расположенного по адресу: Ростовская область, Миллеровский  район, с. Фоминка, ул. Хлеборобная</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</si>
  <si>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Надтока М.В., расположенного по адресу: Ростовская область, Миллеровский район, сл. Колодези, ул. Молодежная, д. 5</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</si>
  <si>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Овсянниковой Е.С., расположенного по адресу: Ростовская область, Миллеровский район, сл. Колодези, п. Долотинка, д. 23, к.н. 61:22:060101:0013</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</si>
  <si>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Попова В.Е., расположенного по адресу: Ростовская область, Миллеровский район, х.Банниково- Александровский, ул. Студенческая 76</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</si>
  <si>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Чигридова А.С., расположенного по адресу: Ростовская область, Кашарский район, с. Усть- Мечетка, ул. Вербовая, д.9, к.н. 61:16:0160401:324</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</si>
  <si>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объекта сельскохозяйственного использования, заявителя Сорокина В.В., расположенного по адресу: Ростовская область, Кашарский район, Верхнесвечниковское с.п.,  к.н. 61:16:0600018:360</t>
  </si>
  <si>
    <t>Обеспечение коммерческим учетом электрической энергии(мощности) в точке поставки и установка шкафа 0,4 кВ с коммутационным аппаратом для электроснабжения жилого дома заявителя Бирюкова Б..Д.,расположенного по адресу:Ростовская область,Кашарский район,х.Вяжа,ул.Набережная,д.16,к.н.з.у. 61:16:0050101:77"</t>
  </si>
  <si>
    <t>Обеспечение коммерческим учетом электрической энергии(мощности) в точке поставки и установка шкафа 0,4 кВ с коммутационным аппаратом для электроснабжения жилого дома заявителя, Зайцева А.Ф., расположенного по адресу: Ростовская область,Кашарский  район, с. Первомайское, пер. Мостовой, д. 4, к.н.з.у. 61:16:0110102:731"</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</si>
  <si>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Овсянникова С.А., расположенного по адресу: Ростовская область, Миллеровский район, п. Долотинка, ул. Садовая, д. 44.</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</si>
  <si>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Чернышева Ю.А., расположенного по адресу: Ростовская область, Миллеровский  район, сл. Волошино, к.н.з.у. 61:22:0020101:3054</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</si>
  <si>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гостевого дома Апонович К.С., расположенного по адресу: Ростовская область, Чертковский район, с. Алексеево- Лозовское, к.н. 61:42:00101016:4464</t>
  </si>
  <si>
    <t>Установка коммерческого учета электрической энергии (мощности) на границе земельного участка, подключенного от опоры №1-42 ВЛ-0,4 кВ №3 КТП 10/0,4 кВ №1 ВЛ-10 кВ №301Н ПС 110/35/6/10 кВ "НС-3", для электроснабжения жилого дома заявителя Коровка Н.Л., х. Еремеевка,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</si>
  <si>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№14-120 ВЛ-0,4 кВ №4 КТП-10/0,4 кВ №14  ВЛ-10 кВ №106Н ПС 110/6/10 кВ "НС-1", для электроснабжения жилого дома заявителя Кошкиной В.А., п. Овощной,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</si>
  <si>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№24-48 ВЛ-0,4 кВ №1 КТП-10/0,4 кВ №24 по ВЛ-10 кВ №1815 ПС 35/10 кВ "А-18", для электроснабжения жилого дома заявителя Джура Л.В., х. Колузаево, Ростовская область</t>
  </si>
  <si>
    <t>Обеспечение коммерческим учетом электрической энергии (мощности) в точке поставки по присоединению жилого дома Коротковой Г.М.., расположенной по адресу: 346645 Российская Федерация, Ростовская обл., р-н. Семикаракорский, х. Золотаревка, ул. Р. Ф. Горожаевой, д. 40, кадастровый номер земельного участка: 61:35:0050101:53</t>
  </si>
  <si>
    <t>Обеспечение коммерческим учетом электрической энергии (мощности) в точке поставки по присоединению жилого дома Згоняйко В.В., расположенного по адресу: Ростовская область, Багаевский район, х. Арпачин, ул. Подтелкова, д. 12-б, к.н. 61:03:0040201:389</t>
  </si>
  <si>
    <t>Обеспечение коммерческим учетом электрической энергии (мощности) в точке поставки по присоединению жилого дома Латыпова К.У., расположенного по адресу: Ростовская область, Багаевский район, х. Усьман, ул. Луговая, д. 32-б, к.н. 61:03:0060401:306</t>
  </si>
  <si>
    <t>Обеспечение коммерческим учетом электрической энергии (мощности) в точке поставки по присоединению ВРУ-0,23кВ строящегося жилого здания Лесничева Д.А., расположенной по адресу: 346651 Российская Федерация, Ростовская обл., р-н. Семикаракорский, х. Костылевка, пер. 1-й, д. 1А, к.н.: 61:35:0090201:465</t>
  </si>
  <si>
    <t>Обеспечение коммерческим учетом электрической энергии (мощности) в точке поставки по присоединению нежилого помещения Главы КФХ Мажиева Х.М., расположенного по адресу: Ростовская область, Дубовский район, х. Мирный, ул. Магистральная, д. 31, к.н. 61:09:0100101:633</t>
  </si>
  <si>
    <t>Обеспечение коммерческим учетом электрической энергии (мощности) в точке поставки по присоединению жилого дома Голубова В.А., расположенного по адресу: Ростовская область,Багаевский район, х.Арпачин, ул Береговая, д.22-Е, к.н. 61:03:0040215:142</t>
  </si>
  <si>
    <t>Обеспечение коммерческим учетом электрической энергии (мощности) в точке поставки по присоединению жилого дома Добрякова И.А., расположенного по адресу: Ростовская область,Багаевский район, х.Арпачин, ул Береговая, д.22-Д, к.н. 61:03:0040215:143</t>
  </si>
  <si>
    <t>Обеспечение коммерческим учетом электрической энергии (мощности) в точке поставки по присоединению жилой дом Куликова Е.В., расположенной по адресу: Ростовская обл., р-н. Семикаракорский, х. Чебачий, ул. Парковая, д. 12-а, к.н.: 61:35:0060201:118</t>
  </si>
  <si>
    <t>Обеспечение коммерческим учетом электрической энергии (мощности) в точке поставки по присоединению жилого дома Марковой С.Ю., расположенного по адресу: Ростовская область, Багаевский район, х.Красный, ул. Кужниковская 1-я, д. 9-а, к.н. 61:03:0060109:187</t>
  </si>
  <si>
    <t>Обеспечение коммерческим учетом электрической энергии (мощности) в точке поставки по присоединению магазина ИП Ризаева Р.Ш., расположенного по адресу: Ростовская область,Багаевский район, х.Белянин, ул Пролетарская, д.17, к.н. 61:03:0010305:9</t>
  </si>
  <si>
    <t>Обеспечение коммерческим учетом электрической энергии (мощности) в точке поставки по присоединению жилого дома Сливной Т.В., расположенного по адресу: Ростовская область, Багаевский район, х. Ажинов, ул. Буденовская, д. 38, к.н. 61:03:0020105:25</t>
  </si>
  <si>
    <t>Обеспечение коммерческим учетом электрической энергии (мощности) в точке поставки по присоединению жилого дома Стрикалова С.А., расположенного по адресу: Ростовская область, Веселовский район, х. Каракашев, ул. Старая, 64м, к.н. 61:06:0600012:1102</t>
  </si>
  <si>
    <t>Обеспечение коммерческим учетом электрической энергии (мощности) в точке поставки по присоединению жилого дома Филимонова М.М., расположенного по адресу: Ростовская область, Багаевский район, х.Арпачин, ул.Береговая, д.20, к.н. 61:03:0040215:120</t>
  </si>
  <si>
    <t xml:space="preserve">Установка коммерческого учета электрической энергии (мощности) на границе земельного участка, подключенного от опоры №201-46 ВЛ- 0,4 кВ №2 КТП-10/0,4 кВ №201 по ВЛ-10 кВ №1019 ПС 110/35/10 кВ "Самарская", для электроснабжения жилого дома заявителя Конышева М.Л., х. Победа, Ростовская область </t>
  </si>
  <si>
    <t>Строительство ВЛ-10 кВ от существующей оп.7 за Р-7 ВЛ-10 кВ «Кутейниково» от   ПС Н-9, с установкой ТП-10/0,4 кВ и ВЛИ-0,4 кВ от вновь установленной ТП-10/0,4 кВ для присоединения ангара ИП Богомазова Е.В. (ориентировочная протяженность ЛЭП 0,085 км, ориентировочная мощность трансформатора 25 кВА)</t>
  </si>
  <si>
    <t>Строительство участка ВЛ-6 кВ от существующей оп. №71 ВЛ-6 кВ «АБЗ» от ПС Ш-15, с установкой ТП-6/0,4 кВ, и строительство ВЛИ-0,4 кВ от вновь установленной ТП-6/0,4 кВ для присоединения автостоянки ИП Афанасьева М.М. (ориентировочная протяженность ЛЭП 0,025 км, ориентировочная мощность трансформатора 25 кВА)</t>
  </si>
  <si>
    <t>Строительство участка ВЛ-6 кВ от существующей оп. №66 ВЛ-6 кВ «АБЗ» от ПС Ш-15, с установкой ТП-6/0,4 кВ, и строительство ВЛИ-0,4 кВ от вновь установленной ТП-6/0,4 кВ для присоединения базовой станции сотовой связи №61-02531 ПАО «Мобильные ТелеСистемы». (ориентировочная протяженность ЛЭП 0,04 км, ориентировочная мощность трансформатора 25 кВА)</t>
  </si>
  <si>
    <t>Строительство участка ВЛ-6 кВ от существующей оп. №104 отпайки на КТП-6/0,4кВ №222 ВЛ-6 кВ «Пушкино» от ПС 110/6 кВ С-2, с установкой ТП-6/0,4 кВ, и строительство ВЛИ-0,4 кВ от вновь установленной ТП-6/0,4 кВ для присоединения нежилого помещения ИП Сахно В.И. (ориентировочная протяженность ЛЭП 0,75 км, ориентировочная мощность трансформатора 25 кВА)</t>
  </si>
  <si>
    <t>Строительство участка ВЛ-6 кВ от существующей оп. №1 ВЛ-6 кВ «Комплекс» от ПС Ш-11, с установкой ТП-6/0,4 кВ, и строительство ВЛИ-0,4 кВ от вновь установленной ТП-6/0,4 кВ для присоединения крановой площадки ГБУ РО «Ростоблгазификация», Красносулинский район, на территории Пролетарского с/п (ориентировочная протяженность ЛЭП 2,75 км, ориентировочная мощность трансформатора 25 кВА)</t>
  </si>
  <si>
    <t>Строительство участка ВЛ-10 кВ от существующей оп. №33 отпайки на КТП№672 ГРС Шахты-2 ВЛ-10 кВ «Родина» от   ПС Ш-42, с установкой ТП-10/0,4 кВ, и строительство ВЛИ-0,4 кВ от вновь установленной ТП-10/0,4 кВ  для присоединения офиса ИП Романченко (ориентировочная протяженность ЛЭП 0,73 км, ориентировочная мощность трансформатора 25 кВА)</t>
  </si>
  <si>
    <t>Строительство ТП-10/0,4, ВЛ-10 кВ от существующей оп. №1 отпайки к КТП 599 по ВЛ 10 кВ Сельхозтехника ПС Ш-39, и ВЛИ-0,4 кВ от вновь установленной ТП-10/0,4 кВ для присоединения объекта придорожного сервиса ИП Серхель Д.М., Октябрьский район, п. Персиановский, ул. Школьная, 43. (ориентировочная протяженность ЛЭП 0,015 км, ориентировочная мощность трансформатора 25 кВА)</t>
  </si>
  <si>
    <t>Строительство ВЛИ 0,4 кВ от ВЛ 0,4кВ КТП 85 ВЛ 10кВ «Мостовой» ПС 35/10кВ Ш18 для электроснабжения   жилого дома в ст.Верхнекундрюченской Усть-Донецкого района Ростовской области (Шабанов С.А.) (ориентировочная протяженность ЛЭП – 0,2 км)</t>
  </si>
  <si>
    <t>Строительство ВЛИ-0,4 кВ от оп. №10 ВЛИ-0,4 кВ №1 КТП №626 ВЛ-6 кВ Прогресс от ПС 35 кВ Ш-41 для электроснабжения жилого дома Киселевой С.В., Октябрьский район, Ростовская область, ст. Бессергеневская, ул. Казачья, д.30. (ориентировочная протяженность ЛЭП – 0,06 км)</t>
  </si>
  <si>
    <t>Строительство ВЛИ-0,4 кВ от вновь сооружаемой ТП 10/0,4кВ по договору ТП № 61-1-20-00502493 от 19.03.2020г. по ВЛ-10В «Жилмасив» ПС Ш-34 с коммерческим учетом электрической энергии (мощности) в точке поставки для электроснабжения рыбной фермы ИП Ажогин А.А., в ст. Мелиховская, Усть-Донецкого р-на, (ориентировочная протяженность ЛЭП 0,07 км)</t>
  </si>
  <si>
    <t>Строительство ВЛИ-0,4 кВ от строящейся ВЛ-0,4 кВ, строящейся ТП-10/0,4кВ строящейся ВЛ-10 кВ от опоры № 112 ВЛ-10 кВ «Огиб» ПС Ш-26 по договору ТП № № 61-1-19-00442519 от 05.06.2019 для присоединения Азово-Черноморское территориальное управление Федерального агенства по рыболовству в ст. Усть-Быстрянской, Усть-Донецкого района (ориентировочная протяженность ЛЭП 0,08 км)</t>
  </si>
  <si>
    <t xml:space="preserve"> Строительство ВЛИ-0,4 кВ от оп. №25 ВЛ-0,4 кВ №1 КТП №179 ВЛ-6 кВ СТФ от ПС 35 кВ Ш-20 для электроснабжения жилого дома Емельяновой Т.Ю. Ростовская область, Октябрьский район, п. Атюхта, ул. Вербная, д.7а. (ориентировочная протяженность ЛЭП – 0,07 км)</t>
  </si>
  <si>
    <t xml:space="preserve"> Строительство ВЛ 0,4 кВ от существующей оп. №6 ВЛИ 0,4 кВ №1 от КТП №375 по ВЛ 6- кВ Пролетарка от ПС С-2 для присоединения нежилого здания. Ростовская область, Красносулинский район, х. Малая Гнилуша, ул. Центральная, д. 1а (Администрация Пролетарского СП) (ориентировочная протяженность ЛЭП-0,095 км)</t>
  </si>
  <si>
    <t>Строительство ВЛИ-0, 4 кВ от оп. №3 ВЛ-0,4 кВ №1 от ЗТП №131 по ВЛ-6кВ «Южно-Горьковская» от ПС Н-6 для электроснабжения базовой станции БС№61-01939 (ПАО «МТС») (ориентировочная протяженность ЛЭП – 0,09 км)</t>
  </si>
  <si>
    <t>Строительство ВЛИ-0, 4 кВ от оп. №1 ВЛ-0,4 кВ №1 от КТП №66 по ВЛ-6кВ «Совхоз-10» от ПС Ш-12 для электроснабжения базовой станции БС№61-02533 (ПАО «МТС») (ориентировочная протяженность ЛЭП – 0,075 км)</t>
  </si>
  <si>
    <t>Строительство ВЛИ-0,4 кВ от КТП №239 ВЛ-6 кВ Орошение от ПС 110/35/6 кВ Н-8 для электроснабжения нежилого здания ИП Петросян Н.Э. Красносулинский район, г. Красный Сулин, ул. Прибрежная, д.52. (ориентировочная протяженность ЛЭП – 0,34 км)</t>
  </si>
  <si>
    <t>Строительство ВЛИ-0,23 кВ от оп.36 по ВЛ-0,4кВ № 2от КТП 10/0,4кВ  № 15 по ВЛ-10кВ «Юдино» ПС Н-19 для электроснабжения жилого дома Лесниковой Н.П. Родионово-Несветайский р-н х. Юдино, ул. Нагорная,  д. 18 (ориентировочная протяженность ЛЭП – 0,070 км)</t>
  </si>
  <si>
    <t>Строительство ВЛИ-0,4 кВ от РУ 0,4кВ КТП 10/0,4кВ № 501 по ВЛ-10кВ «Ростовский» ПС Н-9, для электроснабжения жилого дома Шульги Е.Ю. Родионово-Несветайский р-н х. Веселый, ул. Новая, д. 26 (ориентировочная протяженность ЛЭП – 0,08 км)</t>
  </si>
  <si>
    <t>Строительство ВЛИ-0,4 кВ от МТП № 361 ВЛ-10В «Жилмасив» ПС Ш-34 с коммерческим учетом электрической энергии (мощности) в точке поставки для электроснабжения нежилых зданий ИП Кононов В.В., ИП Мащенко И.Ю., в ст. Мелиховская, Усть-Донецкого р-на, (ориентировочная протяженность ЛЭП 0,22 км)</t>
  </si>
  <si>
    <t>Строительство ВЛИ-0,4 кВ от оп. №9 ВЛИ-0,4 кВ №1 МТП №802 ВЛ-10 кВ Красюковка ПС Ш-39 для электроснабжения жилого дома Вербицкой Е.Н. (ориентировочная протяженность ЛЭП – 0,06 км)</t>
  </si>
  <si>
    <t>Строительство ВЛИ-0,4 кВ от оп. №28 ВЛ-0,4 кВ №2 КТП №135 ВЛ-10 кВ Летний Гурт-Горняк ПС Ш-48 для электроснабжения жилого дома Васильева Б.Ю. Ростовская обл., Октябрьский р-н, х. Ягодинка, ул. Степная, д.34 (ориентировочная протяженность ЛЭП – 0,05 км)</t>
  </si>
  <si>
    <t>Строительство ВЛИ-0,4 кВ от оп. №22 ВЛИ-0,4 кВ №3 КТП №5 ВЛ-10 кВ Комсомолец ПС Ш-35 для электроснабжения жилого дома Калинина Р.Г., Ростовская обл., Октябрьский р-н, п. Новозарянский, ул. Крупской, д.2-а. (ориентировочная протяженность ЛЭП – 0,05 км)</t>
  </si>
  <si>
    <t>Строительство ВЛИ-0,4 кВ от ВЛ-0,4кВ №2 КТП № 323 ВЛ-10кВ «КРС» ПС Ш-34 для электроснабжения жилого дома Косаревой Н.В.: ул. Октябрьская, д. 75, ст. Раздорская, Усть-Донецкого р-на, (ориентировочная протяженность ЛЭП 0,05 км)</t>
  </si>
  <si>
    <t>Строительство ВЛИ-0,4 кВ от оп.3 ВЛ 0,4 кВ № 1 от МТП 10/0,4кВ  № М-2  по ВЛ-10кВ «Маяки» ПС Н-15, для электроснабжения жилого дома Семенова А.А.по адресу: р-н. Родионово-Несветайский, х. Атамано-Власовка, ул. Чапаева,  д. 3,  (ориентировочная протяженность ЛЭП – 0,040 км)</t>
  </si>
  <si>
    <t>Строительство ВЛИ-0,4 кВ от оп.19 ВЛ 0,4 кВ №2 от КТП 10/0,4кВ  № А-21 по ВЛ-10кВ «Аграфеновка» ПС Н-15 для электроснабжения жилого дома Назикян С.А. Родионово-Несветайский р-н сл. Аграфеновка, ул.Кирова д. 6г (ориентировочная протяженность ЛЭП – 0,070 км)</t>
  </si>
  <si>
    <t>Строительство ТП-10/0,4, ВЛ-10 кВ от существующей оп. №92 ВЛ 10 кВ «Россия» ПС Н-17, и ВЛИ-0,4 кВ от вновь установленной ТП-10/0,4 кВ для присоединения жилого дома Кан В.А. сл. Большекрепинская, ул. Рассвет, д.1 (ориентировочная протяженность ЛЭП 0,09 км, ориентировочная мощность трансформатора 25 кВА)</t>
  </si>
  <si>
    <t>Строительство ВЛ 0,4 кВ от существующей оп. №10 ВЛ 0,4 кВ №1 от КТП №228 по ВЛ 6- кВ Платово от ПС Г-2 для присоединения жилого дома. Ростовская область, Красносулинский район, х. Верхняя Ковалевка, ул. Садовая, д. 71 (Александрова И.П) (ориентировочная протяженность ЛЭП-0,115 км)</t>
  </si>
  <si>
    <t>Строительство ВЛ 0,4 кВ от существующей оп. №5 ВЛ 0,4 кВ №1 от КТП №436 по ВЛ 6- кВ Ударник от ПС Г-7 для присоединения РЩ-0,4 кВ Ростовская область, Красносулинский район, Киселевское сельское поселение, х. Бобров, в 64,5 м. на запад от дома № 45 по улице Бургустинская (Государственное казенное учреждение субъектов Росийской Федерации Федеральное государственное казенное учреждение «Пограничное управление федеральной службы безопасности Российской Федерации по Ростовской области») (ориентировочная протяженность ЛЭП-0,13 км)</t>
  </si>
  <si>
    <t>Строительство ВЛ-0,4 кВ от РУ 0,4 кВ вновь установленной ТП 10/0,4 кВ, строительство участка ВЛ-10 кВ от опоры № 71, ВЛ-10 кВ № 2 Л-СП-3, ПС 110/10 кВ «Богатовская ПТФ», для электроснабжения строящегося коровника Абрамяна В.Ю., расположенного по адресу: Ростовская обл., Белокалитвинский р-н, Краснодонецкое сельское поселение, к.н. 61:04:0600016:916. (ориентировочная протяженность ЛЭП – 0,056 км, ориентировочная мощность ТП – 0, 025 МВА)</t>
  </si>
  <si>
    <t>Строительство участка ВЛ-10 кВ от опоры № 197,  ВЛ-10 кВ№2, ПС 110/35/10 кВ «Тарасовская», ТП 10/0,4 кВ, ВЛ-0,4кВ от РУ проектируемой ТП 10/0,4 для подключения зерносклада СТФ Андросюк Г.А., расположенного по адресу: Ростовская обл., Тарасовский р-н, х. Россошь, 160 м на восток от жилого дома по ул. Песчаная, №29 к.н. №61:37:0600005:1143 (ориентировочная протяженность ЛЭП – 0,250 км, ориентировочная мощность ТП 0,025 МВА)</t>
  </si>
  <si>
    <t>Строительство участка ВЛ-10 кВ от опоры № 194 ВЛ-10 кВ № 6, ПС 110/10 кВ «Волченская ПТФ», ТП 10/0,4 кВ и ВЛ-0,4 кВ от РУ-0,4 кВ новой ТП 10/0,4 кВ для подключения хозпостройки не капитального типа Кобилевой С.И., расположенного по адресу: Ростовская обл., Каменский р-н, х. Светлый, АКХ «Восход» пашня р.у. №35, пашня р.у. №36, пашня р.у. №1, пастбище р.у. №1-1 к.н. 61:15:0602901:956 (ориентировочная протяженность ЛЭП – 0,585км, ориентировочная трансформаторная мощность 0,025 мВА)</t>
  </si>
  <si>
    <t>Строительство ВЛ-10 кВ от опоры №198, ВЛ-10 кВ №4, ПС 35/70 кВ  Курнолиповская, ТП 10/0,4 кВ и участка ВЛ -0,4 кВ  от РУ-0,4 кВ новой ТП 10-0,4 кВ, для подключения строящегося карьера ООО «Легион», расположенного по адресу: Ростовская область, Тарасовский район, х. Ерофеевка, к.н.:61:37:0600022:391 (ориентировочная протяженность ЛЭП-1,29км, ориентировочная мощность ТП-0,16МВА)</t>
  </si>
  <si>
    <t>Строительство участка ВЛ-10 кВ от опоры № 44, ВЛ-10 кВ № 3, ПС 35/10 кВ «Митякинская», ТП 10/0,4 кВ и участка ВЛ-0,4 кВ от РУ-0,4 кВ новой ТП 10/0,4 кВ, для электроснабжения строящегося склада, кашара Киреева А.В., расположенного по адресу: Ростовская обл., Тарасовский р-н, х. Каюковка, участок находится примерно в 0,8 км по направлению на северо-запад от ориентира, х. Каюковка, к.н.з.у. 61:37:600012:931 (ориентировочная протяженность ЛЭП – 3,200 км, ориентировочная мощность ТП – 0, 025» МВА)</t>
  </si>
  <si>
    <t>'Строительство участка ВЛ-6 кВ от опоры № 55/68, ВЛ-6 кВ «Михайловка-1», ПС 110/35/6 кВ «Б-8», ТП-6/0,4 кВ, ВЛ-0,4 кВ от ТП-6/0,4 кВ для подключения строящегося здания Андреева С.В., расположенного по адресу: Ростовская обл., Тацинский р-н, х. Михайлов, примерно в 1,2 км на север от ул. Ленина, 126, к.н. № 61:38:0600006:1373 (ориентировочная протяженность ЛЭП – 0,15 км, ориентировочная мощность ТП – 0,025 МВА)</t>
  </si>
  <si>
    <t>Строительство участка ВЛ-10 кВ от опоры № 4 Л-430, ВЛ-10 кВ № 2, ПС 35/10 кВ «Глубокинская», ТП 10/0,4 кВ и участка ВЛ-0,4кВ от РУ-0,4кВ проектируемого ТП 10/0,4 кВ для подключения охотничьего домика Степанова А.С., расположенного по адресу: Ростовская обл., Каменский р-н, р.п.  Глубокий, кадастровый номер земельного участка: 61:15:0600901:3050 (ориентировочная протяженность ЛЭП – 0,307 км, ориентировочная мощность ТП – 0,063МВА)</t>
  </si>
  <si>
    <t>Строительство участка ВЛ-10кВ от опоры № 43, ВЛ-10 кВ № 2, отпайка Л -286, ПС 110/35/10/6 кВ «К - 4»,  ТП 10/0,4кВ и участка ВЛ-0,4кВ от РУ-0,4кВ проектируемого ТП 10/0,4кВ для подключения строящегося магазина Матиевской Н.Н., расположенного по адресу: Ростовская обл., Каменский р-н, х. Красновка,  ул. Профильная, д. 132А, кадастровый номер земельного участка 61:15:0080108:1893 (ориентировочная протяженность ВЛ-10кВ – 0,025 км, ориентировочная протяженность ВЛ-0,4кВ – 0,005км,  ориентировочная мощность ТП – 0,100МВА)</t>
  </si>
  <si>
    <t>Строительство участка ВЛ-10 кВ от опоры № 77, ВЛ-10 кВ Кирова-2, ПС 110/35/10 кВ «Б-4», для подключения хозяйственного строения Абрамян В.Г., расположенного по адресу: Ростовская обл., Каменский р-н, СПК им. Кирова, р. уч. 25, к.н. 61:15:0602501:1005 (ориентировочная протяженность ЛЭП – 0,515 км)</t>
  </si>
  <si>
    <t>Строительство участка ВЛ-10 кВ от опоры № 4, Л-227, ВЛ-10 кВ №2, ПС 35/10 кВ «Вольно-Донская», ТП 10/0,4 кВ для подключения строящегося склада ИП Курак И.В., расположенного по адресу: Ростовская обл., Морозовский р-н, х. Вишневка, 525 м западнее от ул. Прудовая, 15, к.н. 61:24:0600011:328 (ориентировочная протяженность ЛЭП – 0,01 км, ориентировочная трансформаторная мощность 0,100 мВА)</t>
  </si>
  <si>
    <t>Строительство участка ВЛ-6кВ от опоры №19, Л-751, ВЛ-6кВ «х. Чапаев», ПС 110/35/6кВ «Ясногорская», установка ТП 6/0,4кВ и участка ВЛ-0,4кВ от проектируемого ТП 6/0,4кВ для подключения строящегося склада ИП Мураль Н.М., расположенного по адресу: Ростовская обл., Белокалитвинский р-н, х. Чапаева, к.н. 61:04:0600015:525, (ориентировочная протяженность ЛЭП – 0,050 км, ориентировочная трансформаторная мощность-25кВА)</t>
  </si>
  <si>
    <t>Строительство участка ВЛ-10 кВ от опоры № 7, ВЛ-10 кВ № 1, ПС 35/10 кВ «Советская-1», ТП 10/0,4 кВ и участка ВЛ-0,4кВ от РУ-0,4кВ проектируемого ТП 10/0,4 кВ для подключения строящегося свинарника Елисеев Сергей Анатольевич, расположенного по адресу: Ростовская обл., Советский   р-н, примерно в 0,51 км на север от ориентира х. Русаков, к.н.: 61:36:0600002:416 (ориентировочная протяженность ЛЭП – 0,09 км, ориентировочная мощность ТП – 0,025МВА)</t>
  </si>
  <si>
    <t>Строительство участка ВЛ-10 кВ от опоры № 198, ВЛ-10 кВ № 3, ПС 35/10 кВ «Калач-Куртлакская», ТП 10/0,4 кВ и участка ВЛ-0,4кВ от РУ-0,4кВ проектируемого ТП 10/0,4 кВ для подключения жилого дома Абдулжалилова Н.С., расположенного по адресу: Ростовская обл., Советский р-н, х. Средняя Гусынка, ул. Речная д. 5, к.н.: 61:36:0040201:28 (ориентировочная протяженность ЛЭП – 0,06 км, ориентировочная мощность ТП – 0,025МВА)</t>
  </si>
  <si>
    <t>Строительство участка ВЛ-10кВ от опоры № 5, отпайка Л-102 ВЛ-10 кВ №5, ПС 35/10 кВ «Войковская»,  ТП 10/0,4кВ и участка ВЛ-0,4кВ от РУ-0,4кВ проектируемого ТП 10/0,4кВ для подключения производственного участка ООО «Газпром добыча Краснодар», расположенного по адресу: Ростовская обл., Тарасовский р-н, ст. Митякинская,  ул. Седова, д. №28, КН земельного участка 61:37:0100101:4330 (ориентировочная протяженность ЛЭП – 0,035 км, ориентировочная мощность ТП – 0,063МВА)</t>
  </si>
  <si>
    <t>Строительство участка ВЛ-10 кВ от опоры № 27, ВЛ-10 кВ № 6, ПС 35/10 кВ «Вишневецкая», ТП 10/0,4 кВ и участка ВЛ-0,4  кВ от РУ-0,4 кВ новой ТП 10/0,4 кВ, для подключения производственного здания ИП Рудакова Д.В., расположенного по адресу: Ростовская обл.,Каменский р-н, АКХ «Колос», пастбище р.у. 6, к.н.з.у. 61:15:0602101:2532 (ориентировочная протяженность ЛЭП – 0,054 км, трансформаторная мощность – 0,160 МВА, прибор учёта электроэнергии - 1 шт.)</t>
  </si>
  <si>
    <t>Строительство участка ВЛ-10 кВ от опоры № 34, ВЛ-10 кВ № 6, ПС 35/10 кВ «Вишневецкая», ТП 10/0,4 кВ и участка ВЛ-0,4 кВ от РУ-0,4 кВ новой ТП 10/0,4 кВ, для подключения производственного здания ИП Рудакова Д.В., расположенного по адресу: Ростовская обл., Каменский р-н, АКХ «Колос», участки № 54, № 6 к.н.з.у. 61:15:0602101:1359 (ориентировочная протяженность ЛЭП – 0,062 км, трансформаторная мощность – 0,160 МВА, прибор учёта электроэнергии - 1 шт.)</t>
  </si>
  <si>
    <t>Строительство участка ВЛ-10 кВ от опоры № 364, ВЛ-10 кВ №3, ПС 35/10 кВ «Скосырская», ТП-10/0,4 кВ и участка  ВЛ-0,4 кВ от РУ 0,4 кВ проектируемого ТП -10/0,4 кВ для подключения жилого дома Гуровой Е.Ф., расположенного по адресу: Ростовская обл., Тацинский р-н, х. Качалин, ул. Свободы, д.46, к.н. № 61:38:0070501:44 (ориентировочная протяженность  ЛЭП – 0,398 км, ориентировочная мощность ТП – 0,025 МВА)</t>
  </si>
  <si>
    <t>Строительство участка ВЛ-10 кВ от опоры № 192 ВЛ-10 кВ № 6, ПС 35/10 кВ «Вишневецкая», ТП 10/0,4 кВ и ВЛ-0,4 кВ от РУ-0,4 кВ новой ТП 10/0,4 кВ, для подключения строящегося жилого дома Абрамова В.В., расположенного по адресу: Ростовская обл., Каменский р-н, х. Филиппенков, ул. Кирова, д. № 2 корп. б, 620 м северо-восточнее, к.н.з.у. 61:15:0080501:1940 (ориентировочная протяженность ЛЭП – 0,092км, ориентировочная трансформаторная мощность 0,040 мВА)</t>
  </si>
  <si>
    <t>40</t>
  </si>
  <si>
    <t xml:space="preserve">«Строительство участка ВЛ-10кВ от опоры № 31, ВЛ-10кВ № 3, ПС 35/10кВ «Калитвенская»,  КТП 10/0,4кВ и участка ВЛ-0,4кВ от РУ-0,4кВ проектируемого КТП 10/0,4кВ для подключения здания телятника МТФ № 4 ИП Кудиновой Е.В. расположенного по адресу: Ростовская обл., Каменский р-н, ст. Калитвенская, ООО «Донские зори» МТФ-4 (ориентировочная протяженность ЛЭП – 0,956км,трансформаторная мощность – 0,040МВА)»
</t>
  </si>
  <si>
    <t>30</t>
  </si>
  <si>
    <t>Строительство ВЛ 10 кВ от опоры №1-00/19 по ВЛ 10 кВ Л-1 Мелькомбинат, строительство КТП 10/0,4 и ВЛ 0,4 кВ для электроснабжения объекта – нежилое здание, расположенного по адресу: РФ, Ростовская область, Сальский р-н, п. Рыбасово, в кадастровом квартале  61:34:0600012 с условным центром в п. Рыбасово, к.н. 61:34:0600012:1577, заявитель  Бутько С.И.» (Ориентировочная протяженность ЛЭП - 0,02 км, ориентировочная мощность ТП – 0,063 МВА)</t>
  </si>
  <si>
    <t>Строительство ВЛ 0,4 кВ от опоры №2-00/2 ВЛ 0,4 кВ Л-2 КТП 10/0,4 кВ №388 по ВЛ 10 кВ Л-1 Островянская для электроснабжения объекта – «жилой дом», расположенного по адресу: РФ, Ростовская область, Орловский район, х. Островянский, ул. Коммунистическая,47», к.н. 61:29:0070101:292, заявитель Абрамцева Елена Александровна»(Ориентировочная протяженность ЛЭП - 0,14 км)</t>
  </si>
  <si>
    <t>Строительство ВЛ 0,4 кВ от опоры №1-00/3 ВЛ 0,4 кВ Л-1                               КТП-10/0,4 кВ №323 по ВЛ 10 кВ Л-1 Летницкая для электроснабжения объекта – «амбулатория», расположенного по адресу: РФ, Ростовская область, Песчанокопский район, с. Летник, ул. Кирова, д. 5, к.н. 61:30:0060101:49, заявитель МБУЗ «ЦРБ» Песчанокопского района. (Ориентировочная протяженность ЛЭП - 0,120 км)</t>
  </si>
  <si>
    <t>Строительство ВЛ 0,4 кВ от КТП 10/0,4 кВ №119 по ВЛ 10 кВ Л-2 РП 21 С  для электроснабжения объекта – «нежилое здание (склад)», расположенного по адресу: РФ, Ростовская область, Сальский район, п. Конезавод имени Будённого, в кадастровом квартале 61:34:0600006 с условным центром в п. Конезавод имени Будённого, к.н. 61:34:0600006:601, заявитель Клевзоник Е.П.» (Ориентировочная протяженность ЛЭП – 0,08 км).</t>
  </si>
  <si>
    <t>Строительство ВЛИ 0,4 кВ от опоры №3-00/5 ВЛ 0,4 кВ Л-3 КТП 10/0,4 кВ №232 по ВЛ 10 кВ Л-5 Северная для электроснабжения объекта – теплица, расположенного по адресу: РФ, Ростовская область, Песчанокопский район, с. Николаевка, ул. Кирова, 31-б, к.н.з.у. 61:30:0600003:1475, заявитель ИП Костенко А.А. (Ориентировочная протяженность ЛЭП - 0,025 км)</t>
  </si>
  <si>
    <t>Строительство ВЛ 0,4 кВ от КТП 10/0,4 кВ №251 по ВЛ 10 кВ Л-9 Трубецкая для электроснабжения объекта – «скважина», расположенного по адресу: РФ, Ростовская область, Сальский район, п. Загорье, 300 метров южнее южной окраины поселка Загорье Сальского района, к.н. 61:34:0600005:2731, заявитель ИП Рягузов А.А. (Ориентировочная протяженность ЛЭП - 0,08 км)</t>
  </si>
  <si>
    <t>«Строительство ВЛ 0,4 кВ от КТП 10/0,4 кВ №247 по ВЛ 10 кВ Л-4 КРС для электроснабжения объекта – «БС №70443 РсО Опенки-Поселковая», расположенного по адресу: РФ, Ростовская область, Пролетарский район, п. Опенки, ул. Поселковая, пересечение улиц Поселковая и Центральная,235 метров западнее от дома                                  ул. Центральная 12 (Координаты:46.635529 41:881391), заявитель ПАО «Вымпел-Коммуникации». (Ориентировочная протяженность ЛЭП - 0,4 км).</t>
  </si>
  <si>
    <t>Строительство ВЛ 10 кВ от опоры №1-00/53 по ВЛ 10 кВ Л-1 Сеятель, МТП 10/0,23 кВ и ВЛ 0,23 кВ для электроснабжения объекта – садовый домик, расположенного по адресу: 347627 Российская Федерация, Ростовская обл., Сальский район, п. Сеятель Северный, поле II 2к., участок 5, кадастровый номер земельного участка:61:34:0600020:1185, заявитель Бейдин А.В. (Ориентировочная протяженность ЛЭП-0,05 км, ориентировочная мощность ТП-0,01 МВА).</t>
  </si>
  <si>
    <t>Строительство ВЛ 0,4 кВ от опоры 1-00/2 ВЛ 0,4 кВ Л-1 КТП 10/0,4 кВ №285 по ВЛ 10 кВ Л-1 Юловская для электроснабжения объектов – «жилой дом» заявитель Коростелев И.П. и «жилой дом» заявитель Коростелев С.П., расположенных по адресу: РФ, Ростовская обл., Сальский район, п. Юловский, ул. Заречная д. 9, д. 10, к.н. 61:34:0190101:2719, 61:34:0190101:2718» (Ориентировочная протяженность ЛЭП – 0,1 км)</t>
  </si>
  <si>
    <t>Строительство ВЛ 0,4 кВ от КТП 10/0,4 кВ №389 по ВЛ 10 кВ Л-3 Чапаевская для электроснабжения объекта – «жилой дом», расположенного по адресу: РФ, Ростовская область, Сальский район, с. Романовка, ул. Комсомольская, д.25, к.н. 61:34:100101:0233, заявитель Статов Р.В.» (Ориентировочная протяженность ЛЭП – 0,5 км).</t>
  </si>
  <si>
    <t>Строительство ВЛИ 0,4 кВ от КТП 10/0,4 кВ №254 по ВЛ 10 кВ Л-3 Южная для электроснабжения объекта – Крытый ток, расположенного по адресу: РФ, Ростовская область, Песчанокопский район, п. Раздельный, юго-восточнее участка №98 граф. учета бывшего клх. ОС Развиленский, к.н. 61:30:0600012:48, заявитель Индивидуальный предприниматель глава КФХ Абакумов К.В.» (Ориентировочная протяженность ЛЭП - 0,48 км).</t>
  </si>
  <si>
    <t>Строительство ТП 10/0,4 кВ от опоры №1-00/61-4 ВЛ 10 кВ Л-1 Шаблиевская, строительство ВЛ 0,4 кВ от РУ 0,4 кВ вновь строящейся ТП 10/0,4 кВ для электроснабжения объекта – «нежилое здание (телятник)», расположенного по адресу: Российская Федерация, Ростовская область, Сальский район, с. Шаблиевка, 500м на Юго-Запад с.Шаблиевка, к.н.з.у.: 61:34:0600009:1061, заявитель Темиров К. З. (Ориентировочная протяженность ЛЭП-0,1 км, ориентировочная мощность ТП-0,04 МВА).</t>
  </si>
  <si>
    <t>Строительство ВЛ 0,4 кВ от опоры №1-00/15 ВЛ 0,4 кВ Л-1 КТП 10/0,4 кВ №246 по ВЛ 10 кВ Л-4 Плодородненская, для электроснабжения объекта – «нежилое помещение (склад)», расположенного по адресу: 347773 Российская Федерация, Ростовская обл., р-н Целинский, с. Плодородное, ул. Молодежная, д. 62, кадастровый номер земельного участка: 61:40:0070101:405, заявитель ИП глава КФХ Тарасов Н.В.» (Ориентировочная протяженность ЛЭП-0,06 км)</t>
  </si>
  <si>
    <t>Строительство ВЛ-0,4 кВ от КТП 10/0,4 кВ №901 по ВЛ-10 кВ Л-2 Ганчуковская, для электроснабжения объекта – «склад», расположенного по адресу: РФ, Ростовская область, Пролетарский район, в 400 м восточнее х. Ганчуков, к.н.з.у.:61:31:0500005:1102, заявитель ООО «КХ «Зерновое»(Ориентировочная протяженность ЛЭП – 0,13 км)</t>
  </si>
  <si>
    <t>Строительство ВЛ 0,4 кВ от опоры №6-00/7 ВЛ 0,4 кВ Л-6 КТП-6/0,4 кВ №491 по ВЛ 6 кВ Л-1 Екатериновская для электроснабжения объекта – «коттедж», расположенного по адресу: РФ, Ростовская область, Сальский район, Левый берег реки Маныч, 5 км+500 м северо-западнее от разъезда «Маныч», к.н. 61:34:0600006:621, заявитель Жуков В.М. (Ориентировочная протяженность ЛЭП - 0,04 км)</t>
  </si>
  <si>
    <t>Строительство ВЛ 0,4 кВ от опоры №2-00/8-2 ВЛ 0,4 кВ Л-2 КТП-10/0,4кВ №533 по ВЛ 10 кВ Л-3 Суховская для электроснабжения объекта – «жилой дом», расположенного по адресу: РФ, Ростовская область, Пролетарский район, х. Сухой, ул. Мира, д. 11, к.н. 61:31:0090101:2642, заявитель Ражабова Л.Н. (Ориентировочная протяженность ЛЭП - 0,085 км).</t>
  </si>
  <si>
    <t>Строительство ВЛ 0,4 кВ от опоры №1-00/13 ВЛ 0,4 кВ Л-1 КТП 10/0,4 кВ № 218 по ВЛ 10 кВ Л-6 КРС, для электроснабжения объекта – «жилой дом», расположенного по адресу: РФ, Ростовская область, Пролетарский район,  п. Корсаки, ул. Широкая, д. 11, кв.1, к.н. 61:31:0080401:9, заявитель Доля А.В. (Ориентировочная протяженность ЛЭП – 0,06 км)</t>
  </si>
  <si>
    <t>Строительство ВЛ 0,4 кВ от опоры № 1-00/17 ВЛ 0,4 кВ Л-1 КТП 10/0,4 кВ № 806 по ВЛ 10 кВ Л-4 Будённовская, для электроснабжения объекта – «Базовая станция/оборудование сотовой связи», расположенного по адресу: РФ, Ростовская область, Пролетарский район, х. Мокрая Ельмута, ул. Городовикова, участок в 70 м от дома 27, заявитель АО «ПБК» (Ориентировочная протяженность ЛЭП – 0,50 км)</t>
  </si>
  <si>
    <t>Строительство ВЛ 0,4 кВ от опоры №2-00/5 ВЛ 0,4 кВ Л-2  КТП-10/0,4 кВ №215 по ВЛ 10 кВ Л-4 КРС для электроснабжения объекта – «склад ядохимикатов», расположенного по адресу: РФ, Ростовская область, Пролетарский район, п. Вербный, к.н. 61:31:0600012:677, заявитель Акимова Е.Д. (Ориентировочная протяженность ЛЭП - 0,18 км)</t>
  </si>
  <si>
    <t>Строительство ВЛ 0,4 кВ от опоры № 1-00/13-1-3 ВЛ 0,4 кВ Л-1 КТП 10/0,4 кВ № 10 по ВЛ 10 кВ Л-8 Пролетарская, для электроснабжения объекта – «объект сельскохозяйственного назначения», расположенного по адресу: РФ, Ростовская область, Пролетарский район, ЗАО имени 50-летия СССР, отделение №2, контур 314, к.н.: 61:31:0600008:1700, заявитель ИП глава К(Ф)Х Соцков А.Б.
(Ориентировочная протяженность ЛЭП – 0,075 км)</t>
  </si>
  <si>
    <t>Строительство ВЛ 0,4 кВ от КТП 10/0,4 кВ №517 по ВЛ 10 кВ Л-5 Ивановская для электроснабжения объекта – «склад», расположенного по адресу: Российская Федерация, Ростовская обл., р-н Сальский, с. Ивановка, в кадастровом квартале 61:34:0600018 с условным центром с. Ивановка, кадастровый номер земельного участка: 61:34:0600018:1672, заявитель Доценко А.В. (Ориентировочная протяженность ЛЭП-0,45 км).</t>
  </si>
  <si>
    <t>Строительство ВЛ 0,4 кВ от опоры №2-02/11 ВЛ 0,4 кВ Л-2 КТП 10/0,4 кВ № 280 по ВЛ 10 кВ Л-7 Кундрюченская, для электроснабжения объекта – «жилой дом», расположенного по адресу: РФ, Ростовская область, Орловский район, х. Луганский, ул. 50 лет Октября, д. 1а, к.н. з.у.: 61:29:0010501:2373, заявитель Гайдукова О.А. (Ориентировочная протяженность ЛЭП – 0,045 км)</t>
  </si>
  <si>
    <t>Строительство участка  ВЛИ 0,4 кВ от опоры 2-00/6 ВЛ 0,4 кВ Л-2  КТП 10/0,4 кВ №260 по ВЛ 10 кВ Л-3 Ново-Донская для электроснабжения объекта – «склад», расположенного по адресу: РФ, Ростовская область, Целинский район, с. Средний Егорлык, с к.н. з.у.: 61:40:0080101:1801,  заявитель ИП глава КФХ Савельев Михаил Васильевич (Ориентировочная протяженность ЛЭП-0,035 км)</t>
  </si>
  <si>
    <t>Строительство ВЛ 10 кВ от опоры №4-03/44 ВЛ 10кВ Л-4 Уютная, строительство КТП 10/0,4 и ВЛ 0,4 кВ для электроснабжения объекта – «дачный дом», расположенного по адресу: РФ, Ростовская область, Пролетарский район, СА "Уютная", отделение 3, контур 310, к.н.: 61:31:0600011:938, заявитель Котляров А.А. (Ориентировочная протяженность ЛЭП – 3,81 км, ориентировочная мощность ТП – 0,025 МВА)</t>
  </si>
  <si>
    <t>Строительство ВЛ 10кВ от опоры №5-01/1 ВЛ 10кВ Л-5 ПС АРЗ, строительство КТП 10/0,4 и ВЛ 0,4кВ для электроснабжения объекта – административное здание, расположенного по адресу: Ростовская область, г. Сальск, ул. Карла Маркса, д. 108, корп. Д, к.н. 61:57:0010859:61, заявитель Кондакова Е.В.» (Ориентировочная протяженность ЛЭП-0,02км, ориентировочная мощность ТП-0,04МВА)</t>
  </si>
  <si>
    <t>Строительство ВЛ 0,4 кВ от ВЛ 0,4 кВ №1 ТП 10/0,4 кВ №2-4 ПС 110/35/10 кВ «Чалтырь» для технологического присоединения жилых домов Заявителей (Литвинов С.Ф., Игнатенко А.Р.) по адресу: Ростовская область, Мясниковский район, с. Султан Салы, ул. Суворова, д 10 к.н. №61:25:0030401:0365, ул. Суворова, д 12а к.н. №61:25:0030401:458 (ориентировочная протяженность ЛЭП 0,34 км)</t>
  </si>
  <si>
    <t>Строительство ВЛ 0,4 кВ от ВЛ 0,4 кВ № 2 ТП 10/0,4 кВ №1-16 ПС 110/35/10 кВ Чалтырь, для технологического присоединения магазина Заявителя (Сапонждян С.Н.) по адресу: Ростовская область, Мясниковский район, с. Крым, ул. Большесальская, д.45а к.н. 61:25:0201023:299 (ориентировочная протяженность ЛЭП 0,08 км)</t>
  </si>
  <si>
    <t>Строительство ВЛ 0,4 кВ от ВЛ 0,4 кВ № 1 ТП 10/0,4 кВ №4-32 по ВЛ 10 кВ №4 ПС 110/35/10 кВ Чалтырь, для технологического присоединения жилого дома Заявителя (Баян А.М.) по адресу: Ростовская область, Мясниковский район, с. Крым, ул. 10-я Линия, д.36 к.н.61:25:0201003:20 (ориентировочная протяженность ЛЭП – 0,08 км.)</t>
  </si>
  <si>
    <t>Строительство ВЛ 0,4 кВ от опоры по ВЛ 0,4 кВ №2 ТП 10/0,4 кВ №1-148 ПС 110/35/10 кВ, для технологического присоединения жилых домов заявителя: (Килафян О.В.) по адресу: Ростовская область, Мясниковский район, х.  Ленинаван, ул. 1-я Кольцевая, д. 53. к.н. 61:25:0600401:13468, ул. Алексеевская, д. 1, к.н. 61:25:0600401:13473 (ориентировочная протяженность ЛЭП 0,19 км)</t>
  </si>
  <si>
    <t>Строительство ВЛ 0,4 кВ от новой ТП 10/0,4 кВ, строительство ТП 10/0,4 кВ, строительство ВЛ 10 кВ от ВЛ 10 кВ №3 ПС 110/35/10 кВ «Чалтырь», отпайки на ТП №3-8 ПС 110/35/10 кВ Чалтырь для технологического присоединения магазина Заявителя (ИП Явруян С.О.) по адресу: Ростовская область, Мясниковский район, с. Чалтырь, ул. Социалистическая, д 13 к.н. №61:25:0101205:9 (ориентировочная протяженность ЛЭП 0,11 км; мощность силового трансформатора 100 кВА)</t>
  </si>
  <si>
    <t>Строительство ВЛ 0,4 кВ от ВЛ 0,4 кВ №1 КТП 10/0,4 кВ №171м ВЛ 10 кВ №3 ПС 35/10 кВ «ГСКБ» для технологического присоединения Заявителя (Черипко С.Г.) по адресу: Ростовская область, Неклиновский р-н, п. Дмитриадовка, ул. Транспортная, 1, к.н. 61:26:0180401:1458 (ориентировочная протяженность ЛЭП 0,165 км)</t>
  </si>
  <si>
    <t>Строительство ВЛ 0,4 кВ от ВЛ 0,4 кВ №1 КТП 10/0,4 кВ №667 ВЛ 10 кВ №1/3 ПС 110/35/10 кВ «Троицкая-1» для технологического присоединения жилого дома Заявителя (Свидовская Е.В.) по адресу: Ростовская область, Неклиновский р-н, с. Николаевка, ул. Парковая, 122 А, к.н. 61:26:0110101:7708 (ориентировочная протяженность ЛЭП 0,33 км)</t>
  </si>
  <si>
    <t>Строительство ВЛ 0,4 кВ от ВЛ 0,4 кВ №2 КТП 10/0,4 кВ №51м ВЛ 10 кВ №НС-3 ПС 35/10 кВ «Лакадемоновская» для технологического присоединения личного подсобного хозяйства Заявителя (Деркач Е.А.) по адресу: Ростовская область, Неклиновский р-н, с. Беглица, ул. Приморская, 15, к.н. 61:26:0160401:361 (ориентировочная протяженность ЛЭП 0,23 км)</t>
  </si>
  <si>
    <t>Строительство ВЛ 0,4 кВ от РУ 0,4 кВ новой ТП 10/0,4 кВ, строительство ТП 10/0,4 кВ, строительство ВЛ 10 кВ от ВЛ 10 кВ №1 ПС 110/35/10 кВ Чалтырь, запитанной от ВЛ 10 кВ №13 ПС 110/35/10 кВ Чалтырь, для технологического присоединения питомника по выращиванию растений, заявителя (Ткодян С.Л.) по адресу: Ростовская область, Мясниковский р-н,установлено относительно ориентира, расположенного в границах участка, Красно-Крымское сельское поселение, на Землях колхоза «Дружба» к.н. № 61:25:0600401:3440 (ориентировочная протяженность ЛЭП - 0,033 км, ориентировочная мощность ТП – 25 кВА)</t>
  </si>
  <si>
    <t>Строительство ВЛ 0,4 кВ от ВЛ 0,4 кВ №1 КТП 10/0,4 кВ №300м ВЛ 10 кВ №3 ПС 35/10 кВ «ГСКБ» для технологического присоединения нежилого здания Заявителя (ИП Никушин Н.Н.) по адресу: Ростовская область, Неклиновский р-н, п. Дмитриадовка, ул. Транспортная, 26, к.н. 61:26:0600024:3521 (ориентировочная протяженность ЛЭП 0,28 км)</t>
  </si>
  <si>
    <t>Строительство ВЛ 0,4 кВ от КТП 10/0,4 кВ №244 ВЛ 10 кВ №8 ПС 35/10 кВ «Покровская» для технологического присоединения нежилого здания Заявителя (Бабенко А.В.) по адресу: Ростовская область, Неклиновский район, с. Покровское, ул. О. Кошевого, 1, к.н. 61:26:0050101:198 (ориентировочная протяженность ЛЭП 0,173 км)</t>
  </si>
  <si>
    <t>Строительство ВЛ 0,4 кВ от новой ТП 10/0,4 кВ, строительство ТП 10/0,4 кВ, строительство ВЛ 10 кВ от ВЛ 10 кВ №1 ПС 110/35/10 кВ Чалтырь, для технологического присоединения нежилого здания Заявителя (ИП Бадасян Р.Б.) по адресу: Ростовская область, Мясниковский район, земли колхоза «Дружба» к.н. №61:25:0600401:8030 (ориентировочная протяженность ЛЭП 0,015 км; мощность силового трансформатора 25 кВА)»</t>
  </si>
  <si>
    <t>«Строительство ВЛ 0,4 кВ от опоры проектируемой по договору №61-1-20-00509881 по ВЛ 0,4 кВ №2 ТП 10/0,4 кВ №5-10 по ВЛ 10 кВ №5 ПС 110/27/10 кВ Хапры-Тяговая для технологического присоединения Заявителей (Чалая В.М., Чибичян С.А.) по адресу: Ростовская область, Мясниковский район, х. Калинин, ул. Набережная д.256, д.257 (ориентировочная протяженность ЛЭП 0,1 км)»</t>
  </si>
  <si>
    <t>«Строительство ВЛ 0,4 кВ от новой ТП 10/0,4 кВ, строительство ТП 10/0,4 кВ, строительство ВЛ 10 кВ от ВЛ 10 кВ №7 ПС 110/35/10 кВ Синявская, для технологического присоединения Заявителя (Барабольская Е.И.) по адресу: Ростовская область, Мясниковский район, х. Недвиговка, ул. Молодежная, д.2, корп А, к.н.  №61:25:0070101:1661. (ориентировочная протяженность ЛЭП 0,09 км; мощность силового трансформатора 25 кВА)»</t>
  </si>
  <si>
    <t>Строительство ВЛ 0,4 кВ от ВЛ 0,4 кВ проектируемой по договору № 61-1-19-00425669 от 07.02.19 ТП №6-7 ПС 35/10 кВ Б.Салы для технологического присоединения жилого дома заявителя: (Мирошниченко А.Ю.) по адресу: Ростовская область, Мясниковский район, с. Б. Салы,ул. Счастливая, д 19. к.н. 61:25:0600501:1889 (ориентировочная протяженность ЛЭП 0,18 км)</t>
  </si>
  <si>
    <t>Строительство ВЛ 0,4 кВ от ВЛ 0,4 кВ №1 ТП №6-7 ПС 35/10 кВ Б.Салы для технологического присоединения жилого дома заявителя: (Оганесян В.Ю.) по адресу: Ростовская область, Мясниковский район, с. Б. Салы, ул. Семейная, д 10. к.н. 61:25:0600501:1873 (ориентировочная протяженность ЛЭП 0,18 км)</t>
  </si>
  <si>
    <t>Строительство ВЛ 0,4 кВ от опоры проектируемой ВЛ 0,4 кВ по договору №61-1-19-00433953 от 27.03.2019 г., для технологического присоединения жилого дома Заявителя (Нечаев А.П.) по адресу: Ростовская область, Неклиновский район, х. Красный Десант, ул. Цветочная, 2-в, к.н. 61:26:0600024:1075 (ориентировочная протяженность ЛЭП 0,2 км)</t>
  </si>
  <si>
    <t>Строительство ВЛ 0,4 кВ от новой ТП 10/0,4 кВ, строительство ТП 10/0,4 кВ, строительство ВЛ 10 кВ от опоры по ВЛ 10 кВ №3 ПС 35/10 кВ М-Курганская, для технологического присоединения ЛЭП 0,4 кВ Заявителя (ИП Головко С.И.) по адресу: Ростовская область, Матвеево-Курганский район, п. Матвеев Курган, ул. Московская, д. 93, к.н. 61:21:0010133:63 (ориентировочная протяженность ЛЭП 0,035 км; мощность силового трансформатора 100 кВА)</t>
  </si>
  <si>
    <t>«Строительство ВЛ 0,4 кВ от ВЛ 0,4 кВ №2 КТП №147 ВЛ 10 кВ №4 ПС 110/10 кВ «Самбек» для технологического присоединения ВРУ 0,4 кВ освещения автодороги Заявителя (МКУ НР «УКС») по адресу: Ростовская область, Неклиновский район, с. Самбек, описание местоположения проезд от автомобильной с. Самбек - пос. Матвеев-Курган-с. Куйбышево - г. Снежное (до границы Украины) до ул. Спортивная в с. Самбек, к.н. 61:26:0000000:6222 (ориентировочная протяженность ЛЭП 0,12 км)»</t>
  </si>
  <si>
    <t>Строительство ВЛ 0,4 кВ от РУ 0,4 кВ ТП 10/0,4 кВ №5-3 по ВЛ 10 кВ №5 ПС 35/10 кВ Б.Салы для технологического присоединения производственной базы Заявителя (Гаричева Л.С.) по адресу: Ростовская область, Мясниковский район, с. Б.Салы, ул. Абовяна, д.48 к.н.  №61:25:0040101:5275 (ориентировочная протяженность ЛЭП 0,09 км)</t>
  </si>
  <si>
    <t>Строительство ВЛ 0,4 кВ от ВЛ 0,4 кВ №1 ТП 10/0,4 кВ №1-203 по ВЛ 10 кВ №1 ПС 110/35/10 кВ Чалтырь для технологического присоединения жилого дома Заявителя (Насхулиян Ж.Л.) по адресу: Ростовская область, Мясниковский район, х. Ленинакан, ул. Дзержинского, д. 5-д, к.н. 61:25:0030301:1605., д. 5, к.н. 61:25:0030301:1607. (ориентировочная протяженность ЛЭП 0,08 км)</t>
  </si>
  <si>
    <t>Строительство ВЛ 0,4 кВ от опоры по ВЛ 0,4 кВ №1 ТП 10/0,4 кВ №1-106 по ВЛ 10 кВ №1 ПС 110/35/10 кВ Чалтырь, для технологического присоединения жилого дома Заявителя (Дьягольченко И.А.) по адресу: Ростовская область, Мясниковский район, х. Ленинаван, ул.  Софийская, д. 6, к.н. №61:25:0600401:5547 (ориентировочная протяженность ЛЭП 0,035 км)</t>
  </si>
  <si>
    <t>Строительство ВЛ 0,4 кВ от опоры по ВЛ 0,4 кВ №2 ТП 10/0,4 кВ №8-1 по ВЛ 10 кВ №8 ПС 110/35/10 кВ Синявская, для технологического присоединения жилого дома Заявителя (Геворгян Г.Т.) по адресу: Ростовская область, Мясниковский район, х. Веселый, ул. Ленина, д.77, корп. А, к.н.  №61:25:0060101:2880, (ориентировочная протяженность ЛЭП 0,08 км)</t>
  </si>
  <si>
    <t>Строительство ВЛ 0,4 кВ от опоры по ВЛ 0,4 кВ №1 ТП 10/0,4 кВ №6-1А по ВЛ 10 кВ №6 ПС 35/10 кВ Б. Салы для технологического присоединения жилого дома Заявителя (Машарипова В.А.) по адресу: Ростовская область, Мясниковский район, с. Большие Салы, ул. 26 Бакинских Комиссаров, д. 2, к.н.  №61:25:0040101:1680, (ориентировочная протяженность ЛЭП 0,015 км)</t>
  </si>
  <si>
    <t>Строительство ВЛ 0,4 кВ от опоры по ВЛ 0,4 кВ №2 ТП 10/0,4 кВ №5-10 по ВЛ 10 кВ №5 ПС 110/27/10 кВ Хапры-Тяговая для технологического присоединения жилого дома Заявителя (Беденко А.Г.) по адресу: Ростовская область, Мясниковский район, х. Калинин, ул. Набережная, д. 208, корп. Б, к.н.  №61:25:0050101:6803, (ориентировочная протяженность ЛЭП 0,05 км)</t>
  </si>
  <si>
    <t>Строительство ВЛ 0,4 кВ от ВЛ 0,4 кВ №1 КТП 10/0,4 кВ №50м ВЛ 10 кВ №НС-3 ПС 35/10 кВ «Лакадемоновская» для технологического присоединения жилого дома Заявителя (Кириченко О.В.) по адресу: Ростовская область, Неклиновский район, с. Беглица, ул. Зарайченкова, 88, к.н. 61:26:0160401:769 (ориентировочная протяженность ЛЭП 0,24 км)</t>
  </si>
  <si>
    <t>Строительство ВЛ 0,4 кВ от КТП 10/0,4 кВ №471 ВЛ 10 кВ №3 ПС 110/10 кВ «Самбек» для электроснабжения нежилого здания заявителя (ООО «Донской бизнес») по адресу: Ростовская обл., Неклиновский район, с. Самбек, ул. Молодежная, 31, к.н. 61:26:0020101:1103 (ориентировочная протяженность ЛЭП 0,16 км)</t>
  </si>
  <si>
    <t>Строительство участка ВЛ 0,4 кВ от опоры ВЛ 0,4 кВ №1 КТП 10/0,4 кВ №580 по ВЛ 10 кВ №5 ПС 110/10 кВ «Самбек» до опоры ВЛ 0,4 кВ построенной для технологического присоединения базовой станции сотовой связи №1156 заявителя ООО «Т2 Мобайл» по адресу: Ростовская область, Неклиновский район, с. Бессергеновка, ул. К.Зуева, 34 м к востоку от дома №2, к.н. 61:26:0040201:001 (ориентировочная протяженность ЛЭП 0,19 км)</t>
  </si>
  <si>
    <t>Строительство ВЛ 0,4 кВ от КТП 10/0,4 кВ №369 ВЛ 10 кВ №7 ПС 110/10 кВ «Самбек», для технологического присоединения цеха по розливу воды заявителя (Пахомов М.А.), по адресу: Ростовская область, Неклиновский район, с. Самбек, ул. Морская, 27-в, к.н. 61:26:0020101:1204 (ориентировочная протяженность ЛЭП 0,150 км)</t>
  </si>
  <si>
    <t>Строительство ВЛ 0,4 кВ от ВЛ 0,4 кВ №1 КТП 10/0,4 кВ №494м ВЛ 10 кВ №7/8 ПС 35/10 кВ «Гаевка» для технологического присоединения жилого дома Заявителя (Рамазанов М.А.) по адресу: Ростовская область, Неклиновский район, с. Гаевка, ул. Набережная, 9, к.н. 61:26:0160301:503 (ориентировочная протяженность ЛЭП 0,11 км)</t>
  </si>
  <si>
    <t>Строительство ВЛ 0,4 кВ от ВЛ 0,4 кВ №1 КТП 10/0,4 кВ №50м ВЛ 10 кВ №НС-3 ПС 35/10 кВ «Лакадемоновская» для технологического присоединения ВРУ 0,4 кВ сельскохозяйственного назначения Заявителя (ИП Григоренко Е.А.) по адресу: Ростовская область, Неклиновский район, с. Беглица, СПК рыбколхоз «им. Орлова», поле №11, к.н. 61:26:0600021:360 (ориентировочная протяженность ЛЭП 0,12 км)</t>
  </si>
  <si>
    <t>Строительство ВЛ 0,4 кВ от новой ТП 10/0,4 кВ, строительство ТП 10/0,4 кВ, строительство ВЛ 10 кВ от ВЛ 10 кВ №4 ПС 110/35/10 кВ «Чалтырь», отпайки на ТП 10/0,4 кВ №4-5, для технологического присоединения нежилого помещения Заявителя (ИП Осипян С.С.) по адресу: Ростовская область, Мясниковский район, с. Крым ул. 18-я Линия д. 2-м. к.н. 61:25:0201008:272 (ориентировочная протяженность ЛЭП 0,03 км; мощность силового трансформатора 25 кВА)</t>
  </si>
  <si>
    <t xml:space="preserve">Строительство ВЛ 0,4 кВ от новой ТП 10/0,4 кВ, строительство ТП 10/0,4 кВ, строительство ВЛ 10 кВ от ВЛ 10 кВ № 6 ПС 110/35/10 кВ «Чалтырь» для технологического присоединения склада Заявителя (ИП Хатламаджиян Г.А.) по адресу: Ростовская область, Мясниковский район, 4,3 км на северо-запад от с. Чалтырь участок к.н. №61:25:0600101:13, условный к.н. 61:25:600101:0001:3257/А, и для технологического присоединения ангара Заявителя (ИП Хейгетян В.Х.) по адресу: Ростовская область, Мясниковский район, по адресу: Ростовская область, Мясниковский район, 4,3 км на северо-запад от с. Чалтырь участок №2/3 к.н. №61:25:0600101:130 (ориентировочная протяженность ЛЭП 0,57 км; мощность силового трансформатора 25 кВА)
</t>
  </si>
  <si>
    <t>Строительство ВЛ 0,4 кВ от новой ТП 10/0,4 кВ, строительство ТП 10/0,4 кВ, строительство ВЛ 10 кВ от ВЛ 10 кВ №7 ПС 35/10 кВ «Б. Салы», для технологического присоединения здания столовой, Заявителя (Булгурян М.К.) по адресу: Ростовская область, Мясниковский район, с. Большие Салы ул. 5-я Промышленная 1, к.н. 61:25:0600501:2051 (ориентировочная протяженность ЛЭП 0,61 км; мощность силового трансформатора 40 кВА)</t>
  </si>
  <si>
    <t>Строительство ВЛ 0,4 кВ от новой ТП 10/0,4 кВ, строительство ТП 10/0,4 кВ, строительство ВЛ 10 кВ от ВЛ 10 кВ №3 ПС 35/10 кВ «ГСКБ», для технологического присоединения жилого дома Заявителя (Лещенко О.М.) по адресу: Ростовская область, Неклиновский район, с. Александрова Коса, ул. Мира, 23, к.н. 61:26:0600024:1377 (ориентировочная протяженность ЛЭП 0,310 км; мощность силового трансформатора 25 кВА)</t>
  </si>
  <si>
    <t>Строительство ВЛ 0,4 кВ от ВЛ 0,4 кВ №2 КТП 10/0,4 кВ №303м ВЛ 10 кВ №5 ПС 35/10 кВ «Русский Колодец» для технологического присоединения ВРУ 0,4 кВ сельскохозяйственного назначения Заявителя (Шиленко Н.П.) по адресу: Ростовская область, Неклиновский р-н, к.н. 61:26:0600022:197 (ориентировочная протяженность ЛЭП 0,4 км)</t>
  </si>
  <si>
    <t>Строительство ВЛ 0,4 кВ от КТП 10/0,4 кВ №170м ВЛ 10 кВ №8 ПС 35/10 кВ «Русский Колодец» для технологического присоединения личного подсобного хозяйства Заявителя (Лофиченко Д.А.) по адресу: Ростовская область, Неклиновский р-н, х. Красный Десант, ул. Октябрьская, 17-Б, к.н. 61:26:0070101:681 (ориентировочная протяженность ЛЭП 0,3 км)</t>
  </si>
  <si>
    <t>Строительство ВЛ 0,4 кВ от новой ТП 10/0,4 кВ, строительство ТП 10/0,4 кВ, строительство ВЛ 10 кВ от ВЛ 10 кВ №1 ПС 110/35/10 кВ «Чалтырь» отпайки на ТП 10/0,4 кВ №1-8, для технологического присоединения жилых домов Заявителя (Согомонова О.Ю.) по адресам: Ростовская область, Мясниковский район, х. Ленинакан, ул. Суворова д.113, д.111, д.109, д.107 (ориентировочная протяженность ЛЭП 0,13 км; мощность силового трансформатора 100 кВА)</t>
  </si>
  <si>
    <t>Строительство ВЛ 0,4 кВ от новой ТП 10/0,4 кВ, строительство ТП 10/0,4 кВ, строительство ВЛ 10 кВ от ВЛ 10 кВ № 2 ПС 110/35/10 кВ «Чалтырь», проектируемой по договору №61-1-18-00414343 от 20.12.2018, для технологического присоединения авто спортивного комплекса Заявителя (учебный центр «Развитие») по адресу: Ростовская область, Мясниковский район, земли колхоза «Дружба» уч. №27 к.н. 61:25:0600401:1285 (ориентировочная протяженность ЛЭП 1,26 км; мощность силового трансформатора 63 кВА)</t>
  </si>
  <si>
    <t>Строительство ВЛ 0,4 кВ от новой ТП 10/0,4 кВ, строительство ТП 10/0,4 кВ, строительство ВЛ 10 кВ от ВЛ 10 кВ №2 отпайки на ТП №2-4 ПС 110/35/10 кВ Чалтырь для технологического присоединения нежилого помещения и склада Заявителей (Топалян Г.В., Топалян В.М.) по адресу: Ростовская область, Мясниковский район, с. Султан Салы ул. Селивёрстова, д. 1, д. 1/б к.н. №61:25:0030401:466, №61:25:0030401:465 (ориентировочная протяженность ЛЭП 0,74 км; мощность силового трансформатора 250 кВА)</t>
  </si>
  <si>
    <t>Строительство ВЛ 0,4 кВ от опоры по ВЛ 0,4 кВ №1 ТП 10/0,4 кВ №1-171 по ВЛ 10 кВ №1 ПС 110/35/10 кВ Чалтырь, запитанной от ВЛ 10 кВ №29-35 ПС 110/10 кВ Р-29, для технологического присоединения жилых домов Заявителей (Стрельченко А.А, Михальчук Т.И.) по адресу: Ростовская область, Мясниковский район, х. Ленинаван, ул. Кутузова, д. 28, 28/б, к.н. №61:25:0600401:15448, 61:25:0600401:15447, (ориентировочная протяженность ЛЭП 0,035 км)</t>
  </si>
  <si>
    <t>Строительство ВЛ 0,4 кВ от РУ 0,4 кВ ТП 10/0,4 кВ, строительство ТП 10/0,4 кВ, строительство ВЛ 10 кВ от ВЛ 10 кВ №4 ПС 110/35/10 кВ Чалтырь, для технологического присоединения нежилого здания Заявителя: (ИП Лопатина Т.А.), по адресу: Мясниковский район, с. Крым, ул. 11-я линия, д 1-н (ориентировочная протяженность ЛЭП 0,02 км; мощность силового трансформатора – 160 кВА)</t>
  </si>
  <si>
    <t>Строительство ВЛ 0,4 кВ от КТП 10/0,4 кВ №97 по ВЛ 10 кВ №1 ПС 35/10 кВ Анастасиевская для технологического присоединения базовой станции сотовой связи «Анастасиевка-Центр» Заявителя (ПАО «МегаФон) по адресу: Ростовская область, М-Курганский р-н, с. Марфинка, примерно в 150 м на восток от дома 27 по ул. Молодежная с. Марфинка, к.н. 61:00:00:00000 (ориентировочная протяженность ЛЭП 0,49 км)</t>
  </si>
  <si>
    <t>Строительство ВЛ 0,4 кВ от ВЛ 0,4 кВ №1 КТП №143м ВЛ 10 кВ №2 ПС 110/35/10 кВ «Федоровская» для технологического присоединения жилого дома Заявителя (Варданян Э.О) по адресу: Ростовская область, Неклиновский район, с. Федоровка, ул. Чехова, 11, к.н. 61:26:0140101:4223 (ориентировочная протяженность ЛЭП 0,15 км)</t>
  </si>
  <si>
    <t>Строительство ВЛ 0,4 кВ от ВЛ 0,4 кВ №1 КТП №235м ВЛ 10 кВ №3 ПС 35/10 кВ «Лакадемоновская» для технологического присоединения личного подсобного хозяйства Заявителя (Ефименко Н.И.) по адресу: Ростовская область, Неклиновский район, с. Лакедемоновка, ул. Социалистическая, 64, к.н. 61:26:0160101:2364 (ориентировочная протяженность ЛЭП 0,15 км)</t>
  </si>
  <si>
    <t>Строительство ВЛ 0,4 кВ от ВЛ 0,4 кВ №2 КТП 10/0,4 кВ №52м ВЛ 10 кВ №4 ПС 35/10 кВ «Русский Колодец» для технологического присоединения жилого дома Заявителя (Куцерубов Р.А.) по адресу: Ростовская область, Неклиновский р-н, х. Красный Десант, ул. Цветочная 2 В, к.н. 61:26:0600024:1077 (ориентировочная протяженность ЛЭП 0,2 км)</t>
  </si>
  <si>
    <t>Строительство двух ВЛ 0,4 кВ от РУ 0,4 кВ двух новых ТП 10/0,4 кВ, строительство двух ТП 10/0,4 кВ, строительство ВЛ 10 кВ от ВЛ 10 кВ №6 ПС 110/35/10 кВ «Чалтырь» отпайки на ТП 10/0,4 кВ №5-32А до первой новой ТП 10/0,4 кВ, строительство ВЛ 10 кВ от ВЛ 10 кВ №5 ПС 110/35/10 кВ «Чалтырь до второй новой ТП 10/0,4 кВ для технологического присоединения нежилого помещения Заявителя (ООО «Форель») по адресу: Ростовская область, Мясниковский район, с. Чалтырь, тер. Промзона 2 к.н. №61:25:0101330:58 (ориентировочная протяженность ЛЭП 0,43 км; мощность силового трансформатора 2х100 кВА)</t>
  </si>
  <si>
    <t>Строительство ВЛ 0,4 кВ от новой ТП 10/0,4 кВ, строительство ТП 10/0,4 кВ, строительство ВЛ 10 кВ от ВЛ 10 кВ № 3 ПС 110/35/10 кВ «Чалтырь», для технологического присоединения нежилого помещения Заявителя (ИП Мкртичян Г.А.) по адресу: Ростовская область, Мясниковский район, с. Крым ул. Гаражная д. 121-А к.н.61:25:0201026:112 для технологического присоединения склада Заявителя (Дзреян Х.А.) по адресу: Ростовская область, Мясниковский район, с. Чалтырь ул. Нахичеванская 45 к.н. №61:25:0101232:11 (ориентировочная протяженность ЛЭП 0,19 км; мощность силового трансформатора 100 кВА)</t>
  </si>
  <si>
    <t>Строительство ВЛ 0,4 кВ от ВЛ 0,4 кВ №3 ТП 10/0,4 кВ №443 по ВЛ 10 кВ №2 ПС 35/10 кВ «Троицкая» для технологического присоединения личных подсобных хозяйств Заявителей (Штинов К.А., Багунц М.С.) по адресу: Ростовская область, Неклиновский район, с. Троицкое, ул. Ленина, 91А, к.н. 61:26:0010101:6015, 93А, к.н. 61:26:0010101:6037 (ориентировочная протяженность ЛЭП 0,2 км)</t>
  </si>
  <si>
    <t>Строительство ВЛ 0,4 кВ от ВЛ 0,4 кВ №1 КТП 10/0,4 кВ №784 ВЛ 10 кВ №6 ПС 110/10 кВ «Самбек» для электроснабжения заявителя (Пуглий М.Г.) по адресу: Ростовская обл., Неклиновский район, п. Ореховый, ул. 1-я Строительная, 71, к.н. 61:26:00600014:401 (ориентировочная протяженность ЛЭП 0,23 км)</t>
  </si>
  <si>
    <t>Строительство ВЛ 0,4 кВ от ВЛ 0,4 кВ №1 КТП 10/0,4 кВ №3/8 ВЛ 10 кВ №4 ПС 110/35/10 кВ «Синявская» для технологического присоединения ВРУ 0,4 кВ полевого стана Заявителя (ИП Гавриловская Э.В.) по адресу: Ростовская область, Неклиновский р-н, с. Синявское, в границах СПК колхоз «Синявский», к.н. 61:26:0600017:1089 (ориентировочная протяженность ЛЭП 0,28 км)</t>
  </si>
  <si>
    <t>Строительство ВЛ 0,4 кВ от ВЛ 0,4 кВ №1 КТП 10/0,4 кВ №846 ВЛ 10 кВ №1/3 ПС 110/35/10 кВ «Троицкая-1» для технологического присоединения стоянок автотранспорта Заявителей (Манукян Г.Ш., Варданян Ш.К.) по адресу: Ростовская область, Неклиновский район, к.н. 61:26:0600014:2021, к.н. 61:26:0600014:2022 (ориентировочная протяженность ЛЭП 0,21 км)</t>
  </si>
  <si>
    <t>Строительство ВЛ 0,4 кВ от РУ 0,4 кВ проектируемого ТП 10/0,4 кВ, строительство ТП 10/0,4 кВ, строительство ВЛ 10 кВ от ВЛ 10 кВ №1 ПС 110/35/10 кВ Чалтырь запитанной от ВЛ 10 кВ №29-35 ПС 110/10кВ Р-29, для технологического присоединения индивидуального жилого дома Заявителя: (Оганесян С.Г.) по адресу: Ростовская обл. Мясниковский р-н, х. Ленинаван, ул. Набережная, д 12 к.н. 61:25:0030202:100 (ориентировочная протяженность ЛЭП -0,36 км; мощность силового трансформатора – 100 кВА)</t>
  </si>
  <si>
    <t>Строительство ВЛ 0,4 кВ от новой ТП 10/0,4 кВ, строительство ТП 10/0,4 кВ, строительство ВЛ 10 кВ от ВЛ 10 кВ №6 ПС 110/35/10 кВ «Чалтырь», для технологического присоединения сарая Заявителя (Хейгетян А.М.) по адресу: Ростовская область, Мясниковский район, с. Чалтырь тер. промзона уч. №2 к.н. 61:25:0101330:62 (ориентировочная протяженность ЛЭП 0,06 км; мощность силового трансформатора 40 кВА)</t>
  </si>
  <si>
    <t>Строительство ВЛ 0,4 кВ от ВЛ 0,4 кВ №1 ТП 6/0,4 кВ №299 ВЛ 6 кВ №44 ПС 35/6 кВ Т-8 для технологического присоединения гаража Заявителя (Павлов В.Н.) по адресу: Ростовская область, г. Таганрог, ул. Дачная, к.н. 61:58:0004217:71 (ориентировочная протяженность ЛЭП 0,22 км)</t>
  </si>
  <si>
    <t>Строительство ВЛ 0,4 кВ от ТП 6/0,4 кВ №139 по КЛ 6 кВ №5 ПС 110/6 Т-5, для технологического присоединения нежилого помещения здание-автомойка и пункт технического обслуживания, заявителя (ООО «Аква-Темп») по адресу: Ростовская область, Таганрог, ул. Октябрьская, 24а к.н. 61:58:03003:0017. (ориентировочная протяженность ЛЭП - 0,18 км.)</t>
  </si>
  <si>
    <t>Строительство ВЛ 0,4 кВ от ВЛ 0,4 кВ №3 ТП 6/0,4 кВ №25 по КЛ 6 кВ №11 ПС Т-5 для технологического присоединения: жилого дома заявителя (Лядов К.Е.) по адресу: Ростовская обл., г. Таганрог, ул. Криво-Кузнечная, 30 к.н. № 61:58:0002088:0:7, (ориентировочная протяженность ЛЭП – 0,13 км)</t>
  </si>
  <si>
    <t>Строительство ВЛ 0,4 кВ от ВЛ 0,4 кВ №4 ТП 6/0,4 кВ №91 по КЛ 6 кВ №49 ПС Т-25 для технологического присоединения жилого дома Заявителя (Мерцалов С.А.) по адресу: Ростовская область, г. Таганрог, ул. Крайняя, д.16 к.н. 61:58:5 62 10:28 2/560:5/62/10:1 (ориентировочная протяженность ЛЭП – 0,21 км.)</t>
  </si>
  <si>
    <t>Строительство двух КВЛ 10 кВ от вновь смонтированной ячейки I-ой и II-ой секции шин КРУН 10 кВ ПС Пролетарская для электроснабжения объекта «реконструкция резервуарного парка… ФГУ комбината «Кавказ Росрезерва (3 этап)», расположенного по адресу: Ростовская область, Пролетарский район, г. Пролетарск, к.н.: 61:31:0000000:1» (Ориентировочная протяженность ЛЭП 10 кВ -17,925 км, в том числе КЛ методом ГНБ - 1,386 км)</t>
  </si>
  <si>
    <t>Строительство ВЛ 0,4 кВ от новой ТП 10/0,4 кВ, строительство ТП 10/0,4 кВ, строительство ВЛ 10 кВ от ВЛ 10 кВ №12 ПС 110/35/10 кВ «Чалтырь» для технологического присоединения кафе Заявителя (ИП Бабаджанян А.О.) по адресу: Ростовская область, Мясниковский район, с. Чалтырь, ул.Красноармейская, д 126 к.н. №61:25:0101608:104 (ориентировочная протяженность ЛЭП 0,18 км; мощность силового трансформатора 100 кВА)</t>
  </si>
  <si>
    <t>Строительство ВЛ 0,4 кВ от новой ТП 10/0,4 кВ, строительство ТП 10/0,4 кВ, строительство ВЛ 10 кВ от ВЛ 10 кВ №13 ПС 110/35/10 кВ «Чалтырь» для технологического присоединения Заявителя (Мнацаканян С.А.) по адресу: Ростовская область, Мясниковский район, х. Ленинакан, ул. Южная 12 к.н. №61:25:0600401:1131, ул. Южная 21 к.н. №61:25:0600401:6611 (ориентировочная протяженность ЛЭП 0,045 км; мощность силового трансформатора 400 кВА)</t>
  </si>
  <si>
    <t>Строительство ВЛ 0,4 кВ от новой ТП 10/0,4 кВ, строительство ТП 10/0,4 кВ, строительство ВЛ 10 кВ от ВЛ 10 кВ №1 ПС 110/35/10 кВ «Чалтырь», запитанной от ВЛ 10 кВ №13 ПС 110/35/10 кВ Чалтырь для технологического присоединения нежилого здания Заявителя (Мнацаканян В.А.) по адресу: Ростовская область, Мясниковский район, х. Красный Крым, Краснокрымское сельское поселение, на землях колхоза «Дружба» к.н. №61:25:0600401:3887 (ориентировочная протяженность ЛЭП 0,035 км; мощность силового трансформатора 160 кВА)</t>
  </si>
  <si>
    <t>Строительство ВЛ 0,4 кВ от новой ТП 10/0,4 кВ, строительство ТП 10/0,4 кВ, строительство ВЛ 10 кВ от ВЛ 10 кВ №5 ПС 35/10 кВ Б. Салы, для технологического присоединения нежилых помещений Заявителей (ИП Поповян М.А., ИП Поповян М.А, Григорян С.В., Бугаян А.Г., Бугаян Г.А.) по адресу: Ростовская область, Мясниковский район, с. Большие Салы, северная окраина, уч. 5 к.н. 61:25:0600501:1813, уч. 2 к.н. 61:25:0600501:1812, уч.4 к.н. 61:25:0600501:1814, уч. 3 к.н. 61:25:0600501:1815, уч. 1 к.н. 61:25:0600501:1811 (ориентировочная протяженность ЛЭП 0,36 км; мощность силового трансформатора 100 кВА)</t>
  </si>
  <si>
    <t xml:space="preserve">Строительство ВЛ 0,4 кВ от новой ТП 10/0,4 кВ, строительство ТП 10/0,4 кВ, строительство ВЛ 10 кВ от ВЛ 10 кВ № 7 ПС 35/10 кВ «Б.Салы», для технологического присоединения питомника Заявителя (ИП Вареникова С.Н.) по адресу: Ростовская область, Мясниковский район, с. Большие Салы ул. 4-я Промышленная д. 30. к.н. 61:25:0600501:2054, д. 28. к.н. 61:25:0600501:2056, ул. 5-я Промышленная д. 27. к.н. 61:25:0600501:2025 (ориентировочная протяженность ЛЭП 0,93 км; мощность силового трансформатора 63 кВА)
</t>
  </si>
  <si>
    <t>Строительство ВЛ 0,4 кВ от новой ТП 10/0,4 кВ, строительство ТП 10/0,4 кВ, строительство ВЛ 10 кВ от ВЛ 10 кВ №3 ПС 110/10 кВ «Самбек», для технологического присоединения детского дошкольного учреждения Заявителя (Администрация Неклиновского района) по адресу: Ростовская область, Неклиновский район, с. Самбек, ул. Западная, 22 корп. А, к.н. 61:26:0020101:4060 (ориентировочная протяженность ЛЭП 0,2 км; мощность силового трансформатора 160 кВА)</t>
  </si>
  <si>
    <t>Строительство ВЛ 0,4 кВ от новой ТП 10/0,4 кВ, строительство ТП 10/0,4 кВ, строительство ВЛ 10 кВ от ВЛ 10 кВ №13 ПС 110/35/10 кВ «Чалтырь», для технологического присоединения производственно-складского здания Заявителя (ИП Бабиян К.М.) по адресу: Ростовская область, Мясниковский район, с. Крым ул. Большесальская д. 50 б  к.н. 61:25:0201026:285  (ориентировочная протяженность ЛЭП 0,05 км; мощность силового трансформатора 160 кВА)</t>
  </si>
  <si>
    <t>Строительство ВЛ 0,4 кВ от новой ТП 10/0,4 кВ, строительство ТП 10/0,4 кВ, строительство ВЛ 10 кВ от ВЛ 10 кВ № 7 ПС 110/35/10 кВ «Синявская», для технологического присоединения магазина Заявителя (ИП Бликян Н.Б.) по адресу: Ростовская область, Мясниковский район, х. Недвиговка ул. Ченцова д. 31 к.н. 61:25:0070101:1387 (ориентировочная протяженность ЛЭП 0,38 км; мощность силового трансформатора 100 кВА)</t>
  </si>
  <si>
    <t>Строительство ВЛ 0,4 кВ от новой ТП 10/0,4 кВ, строительство ТП 10/0,4 кВ, строительство ВЛ 10 кВ от ВЛ 10 кВ №1 ПС 110/35/10 кВ «Чалтырь», запитанной от ВЛ 10 кВ №13 ПС 110/35/10 кВ Чалтырь до новой ТП 10/0,4 кВ для технологического присоединения нежилого помещения Заявителя (Петрикин В.А.) по адресу: Ростовская область, Мясниковский район, Краснокрымское сельское поселение, х. Красный Крым, 1-й км автодороги Ростов-Новошахтинск, Промышленная зона, 1-й проезд, уч. 8/а, к.н. 61:25:0600401:13298. (ориентировочная протяженность ЛЭП 0,02 км; мощность силового трансформатора 25 кВА)</t>
  </si>
  <si>
    <t>Строительство ТП 10/0,4 кВ, строительство ВЛ 10 кВ от ВЛ 10 кВ №1 ПС 110/35/10 кВ «Чалтырь»  до новой ТП 10/0,4 кВ для технологического присоединения нежилого помещения Заявителя (ООО «СИНЕРГИЯ») по адресу: Ростовская область, Мясниковский район, 0-й+810 км автодороги Ростов-на-Дону – Новошахтинск, к.н. 61:25:0600401:10433. (ориентировочная протяженность ЛЭП 0,01 км; мощность силового трансформатора 40 кВА)</t>
  </si>
  <si>
    <t>Строительство ВЛ 10 кВ от ВЛ 10 кВ №1 ПС 35/10 кВ Чалтырь отпайки на ТП 10/0,4 кВ №1-133 до новой ТП 10/0,4 кВ, строительство ТП 10/0,4 кВ у границы земельного участка заявителя (Гукова И.А.) (ориентировочная протяженность ЛЭП - 0,11 км, ориентировочная мощность ТП – 100 кВА)</t>
  </si>
  <si>
    <t>Строительство ВЛ 0,4 кВ от новой ТП 10/0,4 кВ, строительство ТП 10/0,4 кВ, строительство ВЛ 10 кВ от ВЛ 10 кВ №6 ПС 35/10 кВ «Б.Салы» для технологического присоединения жилых домов Заявителей по адресу: Ростовская область, Мясниковский район, с. Большие Салы, ул. Бакинская, ул. Тбилисская, ул. Армянская, ул. Ростовская, ул. Ярославская, ул. Белорусская, ул. Московская (ориентировочная протяженность ЛЭП 1,98 км; мощность силового трансформатора 400 кВА)</t>
  </si>
  <si>
    <t>Строительство КЛ-10 кВ от вновь установленной опоры ВЛ-10 кВ «Сельхозтехника» от ПС 35/6 кВ Ш-39, с установкой ТП-10/0,4 кВ, и строительство ВЛИ-0,4 кВ от вновь установленной ТП-10/0,4 кВ  для присоединения нежилого здания Маилян М.С.(ориентировочная протяженность ЛЭП- 0,105 км, ориентировочная мощность трансформатора 160 кВА)</t>
  </si>
  <si>
    <t>Строительство ТП-6/0,4, ВЛ-6 кВ от существующей оп. №63 ВЛ 6 кВ АБЗ ПС Ш-15, и ВЛИ-0,4 кВ от вновь установленной ТП-6/0,4 кВ для присоединения нежилого помещения ИП Маилян М.С. (ориентировочная протяженность ЛЭП 0,015 км, ориентировочная мощность трансформатора 160 кВА)</t>
  </si>
  <si>
    <t>Строительство ТП-10/0,4 кВ, участка ВЛ-10 кВ от существующей оп. №23 ВЛ-10 кВ «Дружба» от ПС С-5 и ВЛИ-0,4 кВ от вновь установленной ТП-10/0,4 кВ для присоединения сельскохозяйственной ярмарки ИП Шумилин Б.А. (ориентировочная протяженность ЛЭП 6,2 км, ориентировочная мощность трансформатора 63 кВА)</t>
  </si>
  <si>
    <t>Строительство ВЛ-10 кВ от оп.17 отпайки на КТП В-5 по ВЛ-10 кВ «Прохоровка» от ПС Н-22, с установкой ТП-10/0,4 кВ и ВЛИ-0,4 для присоединения распределительного щита максимальной мощности 15кВт: Ростовская обл., р-н. Родионово-Несветайский, 2150м северо-восточнее от сл. Алексеево-Тузловка, (ФГКУ «ПУ ФСБ РФ по РО»). (ориентировочная протяженность ЛЭП 2,4 км, ориентировочная мощность трансформатора 25 кВА)</t>
  </si>
  <si>
    <t xml:space="preserve"> Строительство ВЛИ-0,4 кВ от вновь установленной ТП-10/0,4 кВ строящейся ВЛ-10 кВ от существующей оп. №112 ВЛ-10 кВ «Огиб» Ш-26 для присоединения ветеринарно наблюдательного пункта водно биологических ресурсов и аквакультуры в ст.Усть-Быстрянской, Усть-Донецкого района (ориентировочная протяженность ЛЭП 0,630 км, ориентировочная мощность трансформатора 100 кВА)</t>
  </si>
  <si>
    <t>Строительство ТП-6/0,4 кВ,  строительство участка ВЛ-6 кВ от существующей оп. №48  ВЛ-6 кВ «Поселок» от   ПС Ш-41 и строительство ВЛИ-0,4 кВ от вновь установленной ТП-6/0,4 кВ  для присоединения центра гребного спорта ООО «Ростовская областная Федерация Гребли на Байдарках и Каноэ»» (ориентировочная протяженность ЛЭП 0,015 км, ориентировочная мощность трансформатора 25 кВА)</t>
  </si>
  <si>
    <t>Строительство участка ВЛ-6 кВ от существующей оп. №25 отпайки к КТП 6/0,4 кВ №110 по ВЛ-6 кВ «Орошение», с установкой ТП-6/0,4 кВ, и строительство ВЛИ-0,4 кВ от вновь установленной ТП-6/0,4 кВ для присоединения домика охотника и рыболова. Ростовская область, г. Красный Сулин, 1,3 км. на юго-запад от дома №29 по пер. Русский (Мелихов А.В.) (ориентировочная протяженность ЛЭП 0,485 км, ориентировочная мощность трансформатора 63 кВА)</t>
  </si>
  <si>
    <t>Строительство ВЛИ-0,4 кВ от оп.39 по ВЛ-0,4кВ № 1от КТП 10/0,4кВ  № 124 по ВЛ-10кВ «Юдино» ПС Н-19 для электроснабжения жилого дома Васильева Ш.И. Родионово-Несветайский р-н, х. Волошино, ул. Северная, д. 10 (ориентировочная протяженность ЛЭП – 0,160 км)</t>
  </si>
  <si>
    <t>Строительство ВЛИ-0,4 кВ от оп. №39 ВЛ-0,4 кВ №3 КТП №96 ВЛ-10 кВ  «Родина» от ПС 110/10 кВ Ш-42 для электроснабжения садового дома в п. Новосветловский, Октябрьского района Ростовской области ( Черный В.Д.) (ориентировочная протяженность ЛЭП – 0,135 км)</t>
  </si>
  <si>
    <t>Строительство ВЛИ-0,4 кВ от оп. №7 ВЛИ-0,4 кВ №2 КТП №654 ВЛ-10 кВ Совхоз от ПС 110 кВ Ш-16 для электроснабжения блокированных жилых домов Арутюновой В.К. Октябрьский район, п. Каменоломни, ул. Пролетарская, д.71, д.73. (ориентировочная протяженность ЛЭП – 0,26 км)</t>
  </si>
  <si>
    <t>Строительство ВЛИ-0,4 кВ от оп. №6 ВЛИ-0,4 кВ №1 КТП №670 ВЛ-10 кВ Совхоз от ПС 110 кВ Ш-16 для электроснабжения жилого дома Антошкина Е.А. Ростовская область Октябрьский район, п. Красногорняцкий, ул. Кудаченко, д.2. (ориентировочная протяженность ЛЭП – 0,03 км)</t>
  </si>
  <si>
    <t xml:space="preserve"> Строительство участка ВЛЗ-10кВ от ВЛ-10кВ «Жилмасив» ПС 110/35/10кВ Ш-34, с установкой ТП-10/0,4 кВ, и строительство ВЛИ-0,4 кВ от вновь установленной ТП-10/0,4 кВ для присоединения хозяйственных построек Дуванова А.Б. в ст.Мелиховской, Усть-Донецкого района (ориентировочная протяженность ЛЭП 0,245 км, ориентировочная мощность трансформатора 25 кВА)</t>
  </si>
  <si>
    <t>Строительство ВЛИ-0,4 кВ от оп.24 по ВЛ-0,4кВ №1 от КТП 6/0,4 кВ  №228 по ВЛ-6кВ Кривянка ПС Ш-43 для электроснабжения жилого дома Антоновой Н.В. Октябрьский р-н, ст-ца Кривянская, пер. Дальний,  д. 1А. (ориентировочная протяженность ЛЭП – 0,035 км)</t>
  </si>
  <si>
    <t>Строительство ТП-10/0,4, ВЛ-10 кВ от существующей оп.№ 62 за Р-7 ВЛ-10кВ «Кутейниково» ПС Н-9, и ВЛИ-0,4 кВ от вновь установленной ТП-10/0,4 кВ для присоединения площадки водопроводных сооружений: ул.Папанина,5, сл. Родионово-Несветайская, Родионово-Несветайский  район ( Администрация Родионово-Несветайского района) (ориентировочная протяженность ЛЭП 0,185 км, ориентировочная мощность трансформатора 63 кВА)</t>
  </si>
  <si>
    <t>Строительство ТП-6/0,4 кВ, строительство участка ВЛ-6 кВ от существующей оп. №11 ВЛ-6 кВ «Россия» от   ПС Ш-12 и строительство ВЛИ-0,4 кВ от вновь установленной ТП-6/0,4 кВ для присоединения нежилого здания Витковского В.В. Октябрьский район, г. Шахты, ул. Келдыша, д. 1-в (ориентировочная протяженность ЛЭП 0,285 км, ориентировочная мощность трансформатора 25 кВА)</t>
  </si>
  <si>
    <t>Строительство ВЛИ-0,4 кВ от РУ-0,4 кВ КТП 10/0,4 кВ №691 по ВЛ 10 кВ Сельхозтехника ПС Ш-39 для присоединения торгового павильона ИП Ванян А.К. Ростовская область, Октябрьский район, п. Персиановский, ул. Школьная, 37 (ориентировочная протяженность ЛЭП 0,095 км)</t>
  </si>
  <si>
    <t>Строительство ВЛИ-0,4 кВ от оп.17 по ВЛ-0,4кВ №2 от КТП 10/0,4 кВ № 533 по ВЛ-10кВ Красюковка ПС Ш-39 для электроснабжения жилого дома Любохинец Л.В. Ростовская обл., Октябрьский р-н, сл. Красюковская, ул. Вишневая, д. 15 (ориентировочная протяженность ЛЭП – 0,1 км)</t>
  </si>
  <si>
    <t>Строительство участка ВЛ-6 кВ от существующей оп. №2 отпайки на КТП №41 ВЛ-6 кВ «Совхоз-10» от ПС Ш-12, с установкой ТП-10/0,4 кВ, и строительство ВЛИ-0,4 кВ от вновь установленной ТП-10/0,4 кВ для присоединения жилых домов Шишкова И.П. (ориентировочная протяженность ЛЭП 0,2 км, ориентировочная мощность трансформатора 63 кВА)</t>
  </si>
  <si>
    <t>Строительство участка ВЛ-10 кВ от существующей оп. №10 ВЛ-10 кВ «СТФ» от   ПС Ш-38, с установкой ТП-10/0,4 кВ, и строительство ВЛИ-0,4 кВ от вновь установленной ТП-10/0,4 кВ для присоединения жилых домов Михайльо М.М., Колубелова Е.А.  (ориентировочная протяженность ЛЭП 0,13 км, ориентировочная мощность трансформатора 100 кВА)</t>
  </si>
  <si>
    <t>Строительство участка ВЛИ-0,4кВ от ВЛ-0,4кВ КТП №332 ВЛ-10кВ «КРС» ПС 110/35/10кВ Ш-34, для присоединения жилого дома Скопинцева С.Н. в ст. Раздорской Усть-Донецкого района (ориентировочная протяженность ЛЭП 0,125 км)</t>
  </si>
  <si>
    <t>Строительство ВЛИ-0,4 кВ от оп. №107 ВЛИ-0,4 кВ №3 от КТП №227 ВЛ-6 кВ  «Поселок» от ПС 35/6кВ Ш-41 для электроснабжения   жилого дома в ст. Бессергеневская, ул. Песчанная, д. 49-б (Барзыкин С.В) Октябрьского района Ростовской области  (ориентировочная протяженность ЛЭП – 0,205 км)</t>
  </si>
  <si>
    <t>Строительство ВЛИ-0,4 кВ от конечной опоры строящейся ВЛ-0,4 кВ (по договору №61-1-19-00425003 от 14.02.2019) для электроснабжения   жилого дома Выпряжкина Е.И.  в х. Яново-Грушевский, с/т «Электровозостроитель» уч. №1 Октябрьского района Ростовской области (ориентировочная протяженность ЛЭП – 0,23 км)</t>
  </si>
  <si>
    <t>Строительство участка ВЛ-6 кВ от существующей оп. №99 отпайки на КТП №458(на балансе Государственной компании «Автодор») подключенной от оп. №227 по ВЛ-6 кВ «Мир» ПС 35/6 кВ Г-6, с установкой ТП-6/0,4 кВ, и строительство ВЛИ-0,4 кВ от вновь установленной ТП-6/0,4 кВ для присоединения ВРУ-0,4 кВ вышки сотовой связи, Ростовская обл, Красносулинский район, х. Русско-Прохоровский, СПК «Дружба» (ИП Хлопонин И. П) (ориентировочная протяженность ЛЭП 0,05 км, ориентировочная мощность трансформатора 25 кВА)</t>
  </si>
  <si>
    <t>Строительство участка ВЛ-10 кВ от ВЛ-10 кВ «Крымский» ПС Ш14, с установкой ТП-10/0,4 кВ, и строительство ВЛИ-0,4 кВ для присоединения фермы, х. Крымский, Усть-Донецкого района ИП Максименко А.А. (ориентировочная протяженность ЛЭП 0,75 км, ориентировочная мощность трансформатора 0,25 МВА)</t>
  </si>
  <si>
    <t>Строительство ВЛ-0,4 кВ от существующей оп. №7 по ВЛ 0,4 кВ №1 от КТП № 126 по ВЛ-6 кВ «Кадамовка» для присоединения домика фермера Сулименко И.А., расположенного в 2,13 км. На юго-восток от х.Садки (ориентировочная протяженность ВЛ 0,39 км)</t>
  </si>
  <si>
    <t>Строительство участка ВЛ-6 кВ от существующей оп. №72 отпайки к КТП №165 по ВЛ-6 кВ «Платово», с установкой ТП-6/0,4 кВ, и строительство ВЛИ-0,4 кВ для присоединения жилого дома Головешкиной М.В. (ориентировочная протяженность ЛЭП 0,495 км, ориентировочная мощность трансформатора 0,025 МВА)</t>
  </si>
  <si>
    <t>Строительство ВЛИ-0,4 кВ от РУ-0,4 кВ  КТП №188 ВЛ-10 кВ  «Зверпромхоз» от ПС 110/10 кВ Ш-42 для электроснабжения   фермы в сл. Красюковская, Октябрьского района Ростовской области ( Деулин Ю.А) (ориентировочная протяженность ЛЭП – 0,535 км)</t>
  </si>
  <si>
    <t>Строительство ТП-6/0,4 кВ, строительство участка ВЛ-6 кВ от проектируемой опоры по договору №61-1-18-00389177 от 30.07.2019 от оп. №58 отпайки на КТП №66 по ВЛ-6кВ «Совхоз-10» от ПС Ш-12 и строительство ВЛИ-0,4 кВ от вновь установленной ТП-6/0,4 кВ для присоединения ангара ИП Коваленко Д.О. (ориентировочная протяженность ЛЭП 0,03 км, ориентировочная мощность трансформатора 160 кВА)</t>
  </si>
  <si>
    <t>Строительство ВЛИ-0,4 кВ от  оп.2 ВЛ 0,4 кВ № 2 от КТП 10/0,4кВ  № 230 по ВЛ-10кВ «Кутейниково» ПС Н-9 для  электроснабжения жилого дома Белёвой Е.Д. в сл. Родионово-Несветайская. ориентировочная протяженность ЛЭП – 0,500  км</t>
  </si>
  <si>
    <t>Строительство ВЛИ-0,4 кВ от оп. №15 ВЛИ-0,4 кВ №1 КТП №657 ВЛ-6 кВ  Рыбхоз от ПС 35кВ Ш-41 для электроснабжения жилого дома в х. Калинин, пер. Атаманский, д.7, Октябрьского района Ростовской области (Погорелов А.И.) (ориентировочная протяженность ЛЭП – 0,150 км)</t>
  </si>
  <si>
    <t>Строительство участка ВЛЗ-10кВ от ВЛ-10кВ «Апаринка» ПС 110/35/27,5/10кВ Ш-14, с установкой ТП-10/0,4 кВ, и строительство ВЛИ-0,4 кВ от вновь установленной ТП-10/0,4 кВ для присоединения дачных домов  Демьяновой С.В., Заиченко С.Ю., Долотов В.А. в х.Апаринском, Усть-Донецкого района (ориентировочная протяженность ЛЭП 0,140 км, ориентировочная мощность трансформатора 250 кВА)</t>
  </si>
  <si>
    <t>Строительство ВЛИ-0,4кВ от ВЛ-0,4кВ ТП №251 ВЛ-10кВ «Жилмассив» ПС 110/35/10кВ Ш-34 для присоединения жилых домов Нечипоренко Т.И. Кулешовой Я.С. Кулешовой С.С. в п. Донские Зори Усть-Донецкого района (ориентировочная протяженность ЛЭП 0,305 км)</t>
  </si>
  <si>
    <t>Строительство ВЛИ-0,4 кВ от оп. №4 ВЛИ-0,4 кВ №1 КТП №607 по ВЛ-10 кВ «Комсомолец» от ПС 110/35/10кВ Ш-35 для электроснабжения базовой станции сотовой связи №61-01899 в п. Новозарянский Октябрьского района Ростовской области (ПАО «МТС») (ориентировочная протяженность ЛЭП – 0,155 км)</t>
  </si>
  <si>
    <t>Строительство ТП-10/0,4 кВ от существующей оп. №28 ВЛ 10 кВ «Полив» ПС 35/10 кВ Н-19 и ВЛИ-0,4 кВ от вновь установленной ТП-10/0,4 кВ для присоединения фермы: Ростовская обл., р-н. Родионово-Несветайский, х. Волошино, юго-западная окраина х.Волошино,( Глава К(Ф)Х ИП Степаненко А.А.) (ориентировочная протяженность ЛЭП 0,005км, ориентировочная мощность трансформатора 25 кВА)</t>
  </si>
  <si>
    <t>Строительство ВЛИ-0,4 кВ от оп. №9 ВЛ-0,4 кВ № 1 от КТП 10/0,4 кВ № 66 по ВЛ-10 кВ «Молблок» от ПС Н-21 для присоединения БС № 61-02310 (ПАО «МТС») ориентировочная протяженность ЛЭП – 0,250 км</t>
  </si>
  <si>
    <t>Строительство ВЛИ-0,4 кВ от опоры №45 по ВЛ-0,4кВ № 1 от   КТП 10/0,4кВ  № 82 по ВЛ-10кВ «Юдино» ПС Н-19 для электроснабжения жилого дома Ганцовой А.Х. Родионово-Несветайский р-н, х. Юдино, ул. Новоселов,  д. 22А (ориентировочная протяженность ЛЭП – 0,07 км)</t>
  </si>
  <si>
    <t>Строительство ВЛИ-0,4 кВ от оп.13 по ВЛ-0,4кВ № 2 от   КТП 10/0,4кВ № 230 по ВЛ-10кВ «Кутейниково» ПС Н-9 для электроснабжения жилого дома Злогодухова А.С. Родионово-Несветайский р-н сл. Родионово-Несветайская ул. Покрышкина, д. 50А (ориентировочная протяженность ЛЭП – 0,12 км</t>
  </si>
  <si>
    <t>Строительство ВЛИ-0,4 кВ от оп.34 по ВЛ-0,4кВ № 2 от   КТП 10/0,4кВ  № 214 по ВЛ-10кВ «Ростовский» ПС Н-9 для электроснабжения блокированных жилого дома Мирущенко Н.П. Родионово-Несветайский р-н, х. Веселый, ул. Новая,  д. 23 (ориентировочная протяженность ЛЭП – 0,160 км)</t>
  </si>
  <si>
    <t>Строительство ВЛИ-0,23 кВ от РУ 0,4кВ КТП 10/0,4кВ № 508 по ВЛ-10кВ «КРС» ПС Н-9 для электроснабжения жилого дома Серенко Н.А. Родионово-Несветайский р-н сл. Родионово-Несветайская, ул. Сосновая, д. 5А (ориентировочная протяженность ЛЭП – 0,10 км)</t>
  </si>
  <si>
    <t>Строительство ВЛИ-0,4 кВ от оп.31 по ВЛ-0,4кВ №2 от КТП 10/0,4 кВ  №135 по ВЛ-10кВ Летний Гурт-Горняк ПС Ш-48 для электроснабжения нежилого здания ООО «Джамп» Ростовская обл., Октябрьский р-н, автодорога г.Шахты-ст.Раздорская -а/д «Шахты-Цимлянск» 14км+190м (слева) (ориентировочная протяженность ЛЭП – 0,15 км)</t>
  </si>
  <si>
    <t>Строительство ТП-6/0,4, ВЛ-6 кВ от существующей оп. №3 отпайки к КТП №214 по ВЛ 6 кВ Прогресс ПС Ш-41, и ВЛИ-0,4 кВ от вновь установленной ТП-6/0,4 кВ для присоединения девяти жилых домов в ст. Заплавская, Октябрьского района, Ростовской области (ориентировочная протяженность ЛЭП 1,020 км, ориентировочная мощность трансформатора 160 кВА)</t>
  </si>
  <si>
    <t>Строительство участка ВЛ-10 кВ от существующей оп. №43 по ВЛ-10 кВ «Дружба» от ПС С-5, с установкой ТП-10/0,4 кВ, и строительство ВЛИ-0,4 кВ от вновь установленной ТП-10/0,4 кВ для присоединения сельского дома культуры в Красносулинском районе, ст. Владимировская, ул. Ленина, (ориентировочная протяженность ЛЭП 0,337 км, ориентировочная мощность трансформатора 250 кВА)</t>
  </si>
  <si>
    <t>Строительство ВЛИ-0,4 кВ от оп. №24 ВЛИ-0,4 кВ №1 МТП №802 ВЛ-10 кВ Красюковка ПС Ш-39 для электроснабжения двух садовых домов СТ «Электровозостроитель» (Кривцов С.Я., Мельникова Е.Н.) (ориентировочная протяженность ЛЭП – 0,04 км)</t>
  </si>
  <si>
    <t>Строительство ВЛИ-0,4 кВ от оп. №11 ВЛИ-0,4 кВ №1 МТП №802 ВЛ-10 кВ Красюковка ПС Ш-39 для электроснабжения садового дома Коломиец Е.А в СТ «Электровозостроитель» (ориентировочная протяженность ЛЭП – 0,15 км)</t>
  </si>
  <si>
    <t>Строительство ТП-10/0,4, ВЛ-10 кВ от существующей оп. №3 отпайки к КТП 1 по ВЛ 10 кВ Красюковка ПС Ш-39, и ВЛИ-0,4 кВ от вновь установленной ТП-10/0,4 кВ для присоединения дошкольной образовательной организации на 120 мест в сл. Красюковская, Октябрьского района, Ростовской области (ориентировочная протяженность ЛЭП 0,34 км, ориентировочная мощность трансформатора 160 кВА)</t>
  </si>
  <si>
    <t>Строительство ТП-10/0,4, ВЛ-10 кВ от существующей оп. №29 отпайки к КТП 434 по ВЛ 10 кВ Зверпромхоз ПС Ш-42, и ВЛИ-0,4 кВ от вновь установленной ТП-10/0,4 кВ для присоединения шести жилых домов в п. Персиановский, Октябрьского района, Ростовской области (ориентировочная протяженность ЛЭП 1,385 км, ориентировочная мощность трансформатора 100 кВА)</t>
  </si>
  <si>
    <t>Строительство участка ВЛЗ10 кВ от ВЛ10 кВ Жилмассив ПС 110/35/10 Ш34, с установкой ТП 10/0,4 кВ, и строительство ВЛИ 0,4 кВ от вновь установленной ТП 10/0,4 кВ для присоединения ВРУ-0,4 кВ нежилого здания, ИП Кононов В.В. в ст. Мелиховская Усть-Донецкого района (ориентировочная протяженность ЛЭП 0,085 км, ориентировочная мощность трансформатора 0,25 МВА)</t>
  </si>
  <si>
    <t>Строительство ТП-6/0,4, ВЛ-6 кВ от существующей оп. №19 ВЛ 6 кВ Пушкино ПС С-2, и ВЛИ-0,4 кВ от вновь установленной ТП-6/0,4 кВ для присоединения ангара ИП Оверченко Д.Ю., Ростовская область, Красносулинский район, х. Клевцово, с/п «Пролетарское»
(ориентировочная протяженность ЛЭП 0,12 км. ориентировочная мощность трансформатора 250 кВА)</t>
  </si>
  <si>
    <t>Строительство участка ВЛ-6 кВ от оп. №10 ЛЭП 6 кВ строящейся по договору №61-1-20-00511053 от 15.06.2020г. с Мелиховым А.В, по ВЛ-6 кВ «Орошение» ПС 110/35/6 кВ Н-8, с установкой МТП-6/0,4 кВ, и строительство ВЛИ-0,4 кВ от вновь установленной МТП-6/0,4 кВ для присоединения ВРУ-0,4 кВ производственного здания/помещения, Ростовская обл, г.Красный Сулин, Красносулинское городское поселение, ул.Заводская, д.1 (ООО «ЮжСталь) (ориентировочная протяженность ЛЭП 0,04 км, ориентировочная мощность трансформатора 160 кВА)</t>
  </si>
  <si>
    <t>Строительство ВЛИ-0,4 кВ от РУ-0,4 кВ МТП №803 ВЛ-10 кВ Красюковка ПС Ш-39 для электроснабжения пяти жилых домов Ростовская обл., Октябрьский р-н, садоводческое товарищество «Электровозостроитель», уч.111, уч.123, уч.70, уч.69, уч.68 (ориентировочная протяженность ЛЭП – 0,75 км)</t>
  </si>
  <si>
    <t>Строительство ВЛ 0,4 кВ от новой ТП 10/0,4 кВ, строительство ТП 10/0,4 кВ, строительство ВЛ 10 кВ от ВЛ-10 кВ №5 ПС 110/35/10 кВ Алексеевская, для технологического присоединения ВРУ-0,4 кВ жилого дома заявителя (Симонян Е.М.) по адресу: Ростовская обл., р-н М-Курганский, х. Староротовка, ул. Рябиновая 13, к.н. 61:21:0010401:752 (ориентировочная протяжённость ЛЭП 0,09 км; мощность силового трансформатора 250 кВА)</t>
  </si>
  <si>
    <t>Строительство участка ВЛ 0,4 кВ от проектируемой ВЛ-0,4 кВ по договору № 61-1-16-00289471 от 20.12.2016 г. для технологического присоединения ВРУ-0,4 кВ личного подсобного хозяйства заявителя (Корниенко А.А.) по адресу: Ростовская обл., Неклиновский р-н, с. Николаевка, пер. Ломоносовский, д. 39-а, к. н. 61:26:0110101:9259 (ориентировочная протяженность ЛЭП 0,04 км)</t>
  </si>
  <si>
    <t>Строительство ВЛ 0,4 кВ от новой ТП 10/0,4 кВ, строительство ТП 10/0,4 кВ, строительство ВЛ 10 кВ от ВЛ 10 кВ №1 ПС 110/35/10 кВ Чалтырь, отпайки на ТП №1-189А, для технологического присоединения жилых домов Заявителя (Дзиваян С.Х.) по адресу: Ростовская область, Мясниковский район, х. Красный Крым, ул. Российская, д.32 к.н. 61:25:0600401:9953, д.34 к.н. 61:25:0600401:9952, д.3 к.н. 61:25:0600401:9714, д.26 к.н. 61:25:0600401:9743, д.25 к.н. 61:25:0600401:9729 (ориентировочная протяженность ЛЭП 0,07 км; мощность силового трансформатора 250 кВА)</t>
  </si>
  <si>
    <t>Строительство ВЛ 0,4 кВ от новой ТП 10/0,4 кВ, строительство ТП 10/0,4 кВ, строительство ВЛ 10 кВ от ВЛ 10 кВ № 13 ПС 110/35/10 кВ «Чалтырь», для технологического присоединения нежилого помещения Заявителя (ИП Халамбащян А.В.) по адресу: Ростовская область, Мясниковский район, с. Чалтырь земли колхоза имени Мясникяна к.н. 61:25:0000000:6050  (ориентировочная протяженность ЛЭП 0,84 км; мощность силового трансформатора 25 кВА)</t>
  </si>
  <si>
    <t>Строительство ВЛ 0,4 кВ от ВЛ 0,4 кВ №1 КТП №223 ВЛ 10 кВ №3 ПС 110/10 кВ «Некрасовская» для технологического присоединения жилого дома Заявителя (Жерносек А.И.) по адресу: Ростовская область, Неклиновский район, х. Жатва, ул. Полевая, 16, к.н. 61:26:0130701:2 (ориентировочная протяженность ЛЭП 0,25 км)</t>
  </si>
  <si>
    <t xml:space="preserve">Строительство ВЛ 0,4 кВ от ВЛ 0,4 кВ №3 ТП 10/0,4 кВ №1-54 по ВЛ 10 кВ №1 ПС 110/35/10 кВ «Чалтырь» для технологического присоединения жилых домов заявителей (Алейникова Н.Г., Сагамонова О.И.) по адресу: Ростовская область, Мясниковский район, х. Ленинаван ул. Садовая 1/3 к.н.61:25:0030202:4236; ул. Садовая 1/11 к.н .61:25:0030202:4244 (ориентировочная протяженность ЛЭП 0,25 км)
</t>
  </si>
  <si>
    <t>Строительство ВЛ 0,4 кВ от ВЛ 0,4 кВ №1 ТП 10/0,4 кВ №2-4 по ВЛ 10 кВ №2 ПС 110/35/10 кВ Чалтырь для технологического присоединения жилого дома заявителя (Талошный С.В.) по адресу: Ростовская область, Мясниковский район, с. Султан Салы ул. Селиверстова д. 5 г к.н.61:25:0030401:1398 (ориентировочная протяженность ЛЭП 0,37 км)</t>
  </si>
  <si>
    <t>Строительство ВЛ 0,4 кВ от новой ТП 10/0,4 кВ, строительство ТП 10/0,4 кВ, строительство ВЛ 10 кВ от ВЛ 10 кВ №5 ПС 110/10 кВ «Лиманная», для технологического присоединения нежилого помещения Заявителя (ИП Неткачев А.В.) по адресу: Ростовская область, Неклиновский район, х. Павло-Мануйловский, ул. Родниковая, 41-а, к.н. 61:26:0090801:272 (ориентировочная протяженность ЛЭП 0,74 км; мощность силового трансформатора 160 кВА)</t>
  </si>
  <si>
    <t>Строительство ВЛ 0,4 кВ от новой ТП 10/0,4 кВ, строительство ТП 10/0,4 кВ, строительство ВЛ 10 кВ от ВЛ 10 кВ № 3 ПС 35/10 кВ «ГСКБ», для технологического присоединения нежилого помещения Заявителя (ИП Саркисян Б.В.) по адресу: Ростовская область, Неклиновский район, с. Комаровка, ул. Мирная, 1-В к.н. 61:25:0180301:967 (ориентировочная протяженность ЛЭП 0,16 км; мощность силового трансформатора 160 кВА)</t>
  </si>
  <si>
    <t>Строительство ВЛ 0,4 кВ от ВЛ 0,4 кВ проектируемой по договору №61-1-18-00404885 от ТП 10/0,4 кВ №7-21 по ВЛ 10 кВ №7 ПС 110/35/10 кВ Синявская, для технологического присоединения жилых домов Заявителей (Сербин В.В., Гужавин А.В., Сухоносова Е.С.)  по адресу: Ростовская область, Мясниковский район, х. Недвиговка, ул. Успенская (ориентировочная протяженность ЛЭП – 0,38 км.)</t>
  </si>
  <si>
    <t>Строительство ВЛ 0,4 кВ от ВЛ 0,4 кВ №2 ТП 10/0,4 кВ №7-13 по ВЛ 10 кВ №7 ПС 110/35/10 кВ Синявская для технологического присоединения жилых домов Заявителей (Заболотнева А.В., Криволапов И.Е., Мочкаева С.А., Солянкина Э.С.) по адресу: Ростовская область, Мясниковский район, х. Хапры, ул. Гагарина д.45, д.47, пер. Костенко д.11, д.14 (ориентировочная протяженность ЛЭП 0,6 км)</t>
  </si>
  <si>
    <t>Строительство КВЛ 0,4 кВ от КТП 10/0,4 кВ №316 ВЛ 10 кВ №4 ПС 110/10 кВ «Самбек» для технологического присоединения парковой зоны военно-исторического комплекса «Самбекские высоты» Заявителя (Администрация Самбекского с.п.) по адресу: Ростовская область, Неклиновский район, 50 м западнее с. Самбек, к.н. 61:26:0600015:3453 (ориентировочная протяженность ЛЭП 0,24 км)</t>
  </si>
  <si>
    <t>Строительство ВЛ 0,4 кВ от новой ТП 10/0,4 кВ, строительство ТП 10/0,4 кВ, строительство ВЛ 10 кВ от ВЛ 10 кВ №1 ПС 110/35/10 кВ «Чалтырь», отпайки на ТП 10/0,4 кВ №1-8, для технологического присоединения станции техобслуживания, автомойки, АБК Заявителя (ИП Батыжев Р.Х.) по адресу: Ростовская область, Мясниковский район, х. Ленинакан ул. Торговый проспект 19, к.н. 61:25:0600401:10478 (ориентировочная протяженность ЛЭП 0,06 км; мощность силового трансформатора 160 кВА)</t>
  </si>
  <si>
    <t>Строительство ВЛ 0,4 кВ от ВЛ 0,4 кВ №3 ТП 10/0,4 кВ №265м по ВЛ 10 кВ №3 ПС 35/10 кВ «Русский Колодец» для технологического присоединения жилого дома Заявителя (Гуляева Г.А.) по адресу: Ростовская область, Неклиновский район, х. Ключникова Балка, ул. Пушкина, 54, к.н. 61:26:0070501:76 (ориентировочная протяженность ЛЭП 0,12 км)</t>
  </si>
  <si>
    <t>Строительство ВЛ 0,4 кВ от ВЛ 0,4 кВ №2 ТП 10/0,4 кВ №1-133 по ВЛ 10 кВ №1 ПС 110/35/10 кВ «Чалтырь» для технологического присоединения; жилых домов заявителей (Бабиева С.Е., Керимова Л.К., Пегливанов В.Х.) по адресу: Ростовская область, Мясниковский район, х. Ленинаван ул. Мясникяна 74 к.н. 61:25:0600401:11498, ул. 70 лет Победы 19 к.н. 61:25:0600401:11502, ул. 70 лет Победы 22/78 к.н. 61:25:0600401:11497,  (ориентировочная протяженность ЛЭП 0,14 км)</t>
  </si>
  <si>
    <t>Строительство ВЛ 0,4 кВ от ВЛ 0,4 кВ №1 КТП 10/0,4 кВ №134 ВЛ 10 кВ №6 ПС 110/10 кВ «Самбек» для технологического присоединения магазина Заявителя (Шевченко Р.Л.) по адресу: Ростовская область, Неклиновский р-н, с. Вареновка, ул. Партизанская, 2 Б, к.н. 61:26:0600015:984 (ориентировочная протяженность ЛЭП 0,145 км)</t>
  </si>
  <si>
    <t>Строительство ВЛ 0,4 кВ от новой ТП 10/0,4 кВ, строительство ТП 10/0,4 кВ, строительство ВЛ 10 кВ от ВЛ 10 кВ №1 ПС 35/10 кВ «Лакадемоновская» для технологического присоединения жилых домов Заявителя (Чичканова Е.Ю.) по адресу: Ростовская область, Неклиновский район, с. Малофедоровка, ул. Лиманная, 19, 31, 43, 49, 58, 68 (ориентировочная протяженность ЛЭП 0,71 км; мощность силового трансформатора 630 кВА)</t>
  </si>
  <si>
    <t>Строительство ВЛ 0,4 кВ от РУ 0,4 кВ ТП 10/0,4 кВ №1-208 по ВЛ 10 кВ №1 ПС 110/35/10 кВ Чалтырь для технологического присоединения жилых домов Заявителей (Никишов А.С., Борисова А.А., Борисов С.Ю., Борисов Д.С., Горьковая А.Н.) по адресу: Мясниковский район, х. Красный Крым (ориентировочная протяженность ЛЭП 0,45 км)</t>
  </si>
  <si>
    <t>Строительство ВЛ 0,4 кВ от КТП 10/0,4 кВ №849 ВЛ 10 кВ №5/3 ПС 110/35/10 кВ «Троицкая-1» для технологического присоединения нежилого помещения Заявителя (Малахова Е.В.) по адресу: Ростовская область, г. Таганрог, Николаевское шоссе, 14-В, к.н. 61:58:0005268:36 (ориентировочная протяженность ЛЭП 0,28 км)</t>
  </si>
  <si>
    <t>Строительство ВЛ 0,4 кВ от новой ТП 10/0,4 кВ, строительство ТП 10/0,4 кВ, строительство ВЛ 10 кВ от ВЛ 10 кВ №6 ПС 110/10 кВ «Самбек», для технологического присоединения жилого дома Заявителя (Гладких С.В.) по адресу: Ростовская область, Неклиновский район, п. Ореховый, ул. Ростовская, 27, к.н. 61:26:0600014:1512 (ориентировочная протяженность ЛЭП 1,74 км; мощность силового трансформатора 25 кВА)</t>
  </si>
  <si>
    <t>Строительство ВЛ 0,4 кВ от РУ 0,4 кВ ТП 10/0,4 кВ, строительство ТП 10/0,4 кВ, строительство ВЛ 10 кВ от ВЛ 10 кВ №2 отпайки на ТП 10/0,4 кВ №2-6 ПС 110/35/10 кВ Чалтырь для технологического присоединения нежилого помещения Заявителя: (Саркисян С.А.), по адресу: Мясниковский район, земли колхоза «Дружба», ориентир с. Султан Салы, примерно 300м. от ориентира по направлению на северо-восток, к.н. 61:25:0600401:1236 (ориентировочная протяженность ЛЭП 0,21 км; мощность силового трансформатора – 160 кВА)</t>
  </si>
  <si>
    <t>«Строительство ЛЭП 0,4 кВ по ВЛ-0,4 кВ №3 от ЗТП-10/0,4 кВ №328 по ВЛ-10 кВ №3 ПС-35/10 кВ М-Курганская, для технологического присоединения Заявителя (Администрация Матвеево-Курганского сельского поселения) по адресу: Ростовская область, Матвеево-Курганский район, п. Матвеев Курган, ул. Донецкая д.2, примерно 24м в южном направлении (ориентировочная протяженность ЛЭП 0,03 км)»</t>
  </si>
  <si>
    <t>Строительство ВЛ 0,4 кВ от новой ТП 6/0,4 кВ, строительство ТП 6/0,4 кВ, строительство КЛ 6 кВ от ячейки №17 РП 6 кВ №16, для технологического присоединения амбулаторно-поликлиническое учреждение, заявителя (Албатова Е.Н.) по адресу: Ростовская область, Таганрог, ул. Бакинская, д. 56, к.н. 61:58:0004487:70. (ориентировочная протяженность ЛЭП - 0,75 км, мощность силового трансформатора 160 кВА)</t>
  </si>
  <si>
    <t xml:space="preserve">«Строительство ВЛ 0,4 кВ от новой ТП 6/0,4 кВ, строительство КЛ 6 кВ от РУ-6 кВ ТП-6/0,4 кВ проектируемой по договору ТП № 61-1-19-00429155 от 13.03.2019 г. до новой ТП 6/0,4 кВ, строительство новой ТП 6/0,4 кВ для технологического присоединения жилых домов Заявителей (Беликова С.А., Клеветов Ю.В., ООО «СтройИнвест-Девелопмент») по адресу: г. Таганрог, ул. Бакинская (ориентировочная протяженность ЛЭП 1,475 км, ориентировочной мощностью ТП 250 кВА)»
</t>
  </si>
  <si>
    <t>Строительство ВЛ 0,4 кВ от новой ТП 6/0,4 кВ проектируемой по титулу: ««Строительство ВЛ 0,4 кВ от новой ТП 6/0,4 кВ, строительство КЛ 6 кВ от РУ-6 кВ ТП-6/0,4 кВ проектируемой по договору ТП № 61-1-19-00429155 от 13.03.2019 г. до новой ТП 6/0,4 кВ, строительство новой ТП 6/0,4 кВ для технологического присоединения жилых домов Заявителей (Беликова С.А., Клеветов Ю.В., ООО «СтройИнвест-Девелопмент») по адресу: г. Таганрог, ул. Бакинская (ориентировочная протяженность ЛЭП 1,475 км, ориентировочной мощностью ТП 250 кВА)»», для Заявителей (Суворин Д.Н., Мягкая К.С.) по адресу г. Таганрог, ул. Бакинская (ориентировочной протяженностью 0,350 км)</t>
  </si>
  <si>
    <t>Строительство КВЛ 0,4 кВ от РУ 0,4 кВ ТП 6/0,4 кВ №57 по КЛ 6 кВ №1702 ПС 110/6 кВ Т-17 для электроснабжения нежилого здания ИП Лыков М.С. по адресу: РО г. Таганрог ул. Александровская, 60, к.н.61:58:0001094:2. (ориентировочная протяженность ЛЭП – 0,375 км.)</t>
  </si>
  <si>
    <t>Строительство участка ВЛ-6 кВ от существующей оп. №37 отпайки на КТП №696 ВЛ 6 кВ Совхоз-10 от ПС 35/6кВ Ш-12 для присоединения ТП 6/0,4кВ ООО «МАК-Лоджистик» (ориентировочная протяженность ЛЭП 0,12 км)</t>
  </si>
  <si>
    <t>«Строительство участка ВЛ-6 кВ от существующей оп. №25 отпайки к КТП 6/0,4 кВ №110 по ВЛ-6 кВ «Орошение», с установкой ТП-6/0,4 кВ, и строительство ВЛИ-0,4 кВ от вновь установленной ТП-6/0,4 кВ для присоединения домика охотника и рыболова. Ростовская область, г. Красный Сулин, 1,3 км. на юго-запад от дома №29 по пер. Русский (Мелихов А.В.) (ориентировочная протяженность ЛЭП 0,485 км, ориентировочная мощность трансформатора 63 кВА)</t>
  </si>
  <si>
    <t xml:space="preserve"> Строительство ТП-6/0,4 кВ, строительство участка ВЛ-6 кВ от проектируемой опоры по договору №61-1-18-00389177 от 30.07.2019 от оп. №58 отпайки на КТП №66 по ВЛ-6кВ «Совхоз-10» от ПС Ш-12 и строительство ВЛИ-0,4 кВ от вновь установленной ТП-6/0,4 кВ для присоединения ангара ИП Коваленко Д.О. (ориентировочная протяженность ЛЭП 0,03 км, ориентировочная мощность трансформатора 160 кВА)</t>
  </si>
  <si>
    <t>Строительство участка ВЛЗ-10кВ от ВЛ-10кВ «Жилмасив» ПС 110/35/10кВ Ш-34, с установкой ТП-10/0,4 кВ, и строительство ВЛИ-0,4 кВ от вновь установленной ТП-10/0,4 кВ для присоединения хозяйственных построек Дуванова А.Б. в ст.Мелиховской, Усть-Донецкого района (ориентировочная протяженность ЛЭП 0,245 км, ориентировочная мощность трансформатора 25 кВА)</t>
  </si>
  <si>
    <t>«Строительство участка ВЛ-10 кВ от ВЛ-10 кВ «Крымский» ПС Ш14, с установкой ТП-10/0,4 кВ, и строительство ВЛИ-0,4 кВ для присоединения фермы, х. Крымский, Усть-Донецкого района ИП Максименко А.А. (ориентировочная протяженность ЛЭП 0,75 км, ориентировочная мощность трансформатора 0,25 МВА)</t>
  </si>
  <si>
    <t>Строительство ВЛ-6 кВ от существующей оп. №140 по ВЛ 6 кВ Орошение ПС Ш9 для присоединения объекта туристической отрасли ИП Дроздов А.Ю.(ориентировочная протяженность ЛЭП 0,02 км)</t>
  </si>
  <si>
    <t>Строительство ВЛ 10 кВ от ВЛ 10 кВ №1 ПС 110/35/10 кВ «Синявская» для технологического присоединения водопроводной насосной станции первого подъема Заявителя (РУЗКС ЮВО – филиал ФКП «УЗКС МО РФ») по адресу: Ростовская область, Неклиновский район, с. Синявское, СПК колхоз «Синявский», к.н. 61:26:0600017:1084 (ориентировочная протяженность ЛЭП 0,6 км)</t>
  </si>
  <si>
    <t>Строительство ВЛИ-0,4 кВ от РУ вновь установленной ТП 6/0,4 кВ (по договору ТП от 28.06.2019 №61-1-19-00450907) для присоединения котельной Государственного бюджетного учреждения социального обслуживания населения Ростовской области «Романовский специальный дом-интернат для престарелых и инвалидов», расположенной по адресу: Ростовская область, Волгодонской район, станица Романовская, ул. Ленина, д. 53, к.н. 61:08:0070105:24:9 (ориентировочная протяженность ЛЭП 0,056 км)</t>
  </si>
  <si>
    <t>Строительство участка ВЛИ-0,4 кВ от опоры №7 ВЛ-0,4 кВ №3 КТП-8171/250 кВА ВЛ-10 кВ №5 ПС 35/10 кВ Донская для присоединения ВРУ-0,4 кВ БС №61-01924, расположенного по адресу: Ростовская область, Волгодонской район, п. Донской, пер. Донской, д.2, кв./оф. 1, к.н. 61:08:0060201:207 (ориентировочная протяженность ЛЭП 0,012 км)</t>
  </si>
  <si>
    <t>Строительство участка ВЛ-6 кВ от существующей опоры №6/38 ВЛ-6 кВ ПС 35/6 кВ Потаповская, с установкой ТП-6/0,4 кВ, и строительство ВЛИ-0,4 кВ от вновь установленной ТП-6/0,4 кВ  для присоединения животноводческой фермы Попова А.М. (ориентировочная протяженность ЛЭП 1,275 км, ориентировочная мощность трансформатора 25 кВА)</t>
  </si>
  <si>
    <t>Строительство участка ВЛИ-0,4 кВ от опоры №1/4 ВЛ-0,4 кВ №3 КТП-8576/250 кВА ВЛ-6 кВ №6 ПС 35/6 кВ Потаповская для присоединения жилых домов Петровец А.Ф. и Валинтиенко Н.М., расположенных  по адресам: Ростовская область, Волгодонской район, х. Степной, ул. Весенняя, д.3, к.н. 61:08:0040702:180 и д.4, кв./оф. 2, к.н. 61:08:0040702:182 (ориентировочная протяженность ЛЭП 0,35 км)</t>
  </si>
  <si>
    <t xml:space="preserve">Строительство участка ВЛИ-0,4 кВ от вновь установленной опоры вновь построенной ВЛИ-0,4 кВ от вновь установленной ТП-6/0,4 кВ по ВЛ-6 кВ №1 ПС 35/6 кВ НС-12 (по договорам №61-1-18-00388977 от 20.08.2018г и №61-1-18-00395029 от 27.08.2018г.) для присоединения жилых домов Дедогрюк З.И и Кузнецовой Е.В., расположенных по адресам: Ростовская область, Волгодонской район, с/т Юбилейное, к.н. 61:08:0601901:407 и  к.н. 61:08:0601901:871 (ориентировочная протяженность ЛЭП 0,235 км)
</t>
  </si>
  <si>
    <t>Строительство участка ВЛИ-0,4 кВ от опоры № 14 ВЛ-0,4кВ №2 КТП-8560/100кВА ВЛ-6 кВ №1 ПС 35/6 кВ НС-12 для присоединения жилого дома Диановой-Волковой Т.В., расположенного по адресу: Ростовская область, Волгодонской район, станица Романовская, снт. Юбилейное,  кадастровый номер земельного участка:  61:08:0601901:874 (ориентировочная  протяженность ЛЭП 0,025 км</t>
  </si>
  <si>
    <t>Строительство участка ВЛИ-0,4 кВ от опоры №1 ВЛ-0,4 кВ №1 КТП-8306/250 кВА по ВЛ 6 кВ №11 ПС 35/6 кВ Шлюзовая для присоединения фоторадарного комплекса Министерства транспорта Ростовской области, расположенного по адресу: Ростовская область, Волгодонской район, автомобильная дорога общего пользования регионального значения г. Ростов-на-Дону (от магистрали "Дон") - г. Семикаракорск - г. Волгодонск на участке км 96+040-км 203+000 в Волгодонском районе, к.н.: 61:08:0000000:0:69  (ориентировочная протяженность ЛЭП -0,025 км)</t>
  </si>
  <si>
    <t>Строительство участка ВЛИ-0,4 кВ от опоры № 1/15 ВЛ-0,4кВ №1 КТП-8390/160кВА ВЛ-6 кВ №6 ПС 35/6 кВ Потаповская для жилого дома Горячевой О.Н., расположенного по адресу: Ростовская область, Волгодонской район, х. Потапов, ул. 50 лет Победы,  д. 24, кадастровый номер земельного участка:  61:08:0040105:89 (ориентировочная  протяженность ЛЭП 0,015 км)</t>
  </si>
  <si>
    <t>Строительство ВЛИ-0,4 кВ от новой ТП-10/0,4 кВ и строительство ТП 10/0,4 кВ от опоры №4/8 ВЛ-10 кВ №8 ПС 110/35/10 кВ Заветинская для присоединения нежилого здания ИП главы К(Ф)Х Ковганова В.В., расположенного по адресу: Ростовская область, Заветинский район, с. Заветное, к.н. 61:11:0600008:745 (ориентировочная протяженность ЛЭП 0,08 км, ориентировочная мощность трансформатора 25 кВА)</t>
  </si>
  <si>
    <t>Строительство участка ВЛИ-0,4 кВ от опоры №5/7 ВЛ-0,4 кВ №1 КТП-6522/250 кВА ВЛ-10 кВ №2 ПС 35/10 кВ Рассвет для присоединения жилого дома Морозовой Н.В., расположенного по адресу: Ростовская область, Мартыновский район, п. Зеленолугский, ул. Советская, д.13, к.н. 61:20:0020401:468 (ориентировочная протяженность ЛЭП 0,03 км)</t>
  </si>
  <si>
    <t>Строительство ВЛИ-0,4 кВ от РУ-0,4 кВ КТП-8585/63 кВА ВЛ-6 кВ №7 ПС 35/6 кВ Романовская для присоединения складского помещения Сорокина П.В., расположенного по адресу: Ростовская область, Волгодонской район, станица Романовская, ул. Тюхова, д.135а, к.н.61:08:0600601:4349 (ориентировочная протяженность ЛЭП 0,028 км)</t>
  </si>
  <si>
    <t>Строительство участка ВЛИ-0,4 кВ от опоры №11 ВЛ-0,4 кВ №2 КТП-8484/160 кВА ВЛ-6 кВ №5 ПС 35/6 кВ Романовская для присоединения складского помещения Сорокина С.П., расположенного по адресу: Ростовская область, Волгодонской район, станица Романовская, ул. Тюхова, д.96г, к.н.61:08:0070128:956 (ориентировочная протяженность ЛЭП 0,025 км)</t>
  </si>
  <si>
    <t>Строительство участка ВЛИ-0,4 кВ от опоры №12 ВЛ-0,4 кВ №3 КТП-8527/100 кВА ВЛ-6 кВ №1 ПС 35/6 кВ НС-12 для присоединения отделения почтовой связи Федерального государственного унитарного предприятия «Почта России», расположенного по адресу: Ростовская область, Волгодонской район, х. Семенкин, ул. Центральная, д.9, пом. 3, к.н. 61:08:001235:112 (ориентировочная протяженность ЛЭП 0,045 км)»</t>
  </si>
  <si>
    <t>Строительство участка ВЛИ-0,4 кВ от опоры №22 ВЛ-0,4 кВ №3 КТП-8484/160 кВА ВЛ-6 кВ №5 ПС 35/6 кВ Романовская для присоединения жилого дома Лызовой Н.В., расположенного по адресу: Ростовская область, Волгодонской район, станица Романовская, ул. Ленина, д.93, к.н. 61:08:0070128:180 (ориентировочная протяженность ЛЭП 0,11 км)</t>
  </si>
  <si>
    <t>Строительство участка ВЛИ-0,4 кВ от опоры №8 ВЛ-0,4 кВ №4 КТП-1621/160 кВА ВЛ-10 кВ №5 ПС 110/10 кВ Искра, с установкой шкафа 0,4 кВ, и  обеспечение коммерческим учетом электрической энергии (мощности) в точке поставки по присоединению жилого дома Бутова А.И., расположенного по адресу: Ростовская область, Цимлянский район, х. Паршиков, ул. Молодежная, д. 15, кадастровый номер земельного участка. 61:41:0050405:307 (ориентировочная протяженность ЛЭП 0,18 км)</t>
  </si>
  <si>
    <t>Строительство участка ВЛИ-0,4 кВ от опоры №8 ВЛ-0,4 кВ №1 КТП-1464/100 кВА ВЛ-10 кВ №11 ПС 35/10 кВ Камышевская, с установкой шкафа 0,4 кВ, и обеспечение коммерческим учетом электрической энергии (мощности) в точке поставки по присоединению жилого дома Дулимова С.Г., расположенного по адресу: Ростовская область, Цимлянский район, станица Лозновская, ул. Центральная, д.63, кадастровый номер земельного участка 61:41:040201:0004 (ориентировочная протяжённость ЛЭП 0,23 км)</t>
  </si>
  <si>
    <t>Строительство участка ВЛИ-0,4 кВ от опоры №6 ВЛИ-0,4 кВ №1 КТП-1511/250 кВА ВЛ-10 кВ №5 ПС 35/10 кВ Лозновская для присоединения жилого дома Сличенко Ю.Н., расположенного по адресу: Ростовская область, Цимлянский район, х. Лозной, ул. Абрикосовая, д.109, к.н.61:41:0600011:1232 (ориентировочная протяженность ЛЭП 0,02 км</t>
  </si>
  <si>
    <t>Строительство участка ВЛИ-0,4 кВ от опоры №7 ВЛ-0,4 кВ №2 КТП-3409/100 кВА ВЛ-10 кВ №24 ПС 110/10 кВ Жуковская для присоединения полевого стана КФХ Пупкова В.С., расположенного по адресу: Ростовская область, Дубовский район, станица Жуковская, Жуковское сельское поселение, в границах кадастрового квартала 61:09:0600002, к.н. 61:09:0600002:1655 (ориентировочная протяженность ЛЭП 0,32 км)</t>
  </si>
  <si>
    <t>Строительство участка ВЛ-10 кВ от опоры №4/11 ВЛ-10 кВ №13 ПС 35/10 кВ Андреевская, с установкой ТП-10/0,4 кВ, и строительство ВЛИ-0,4 кВ от вновь установленной ТП-10/0,4 кВ  для присоединения помещения-бойни ИП Магомедова Р.Д., расположенного по адресу: Ростовская область, Дубовский район, станица Андреевская, ул. Кольцевая, д.37, к.н. 61:09:002385:11 (ориентировочная протяженность ЛЭП 0,1 км, ориентировочная мощность трансформатора 160 кВА)</t>
  </si>
  <si>
    <t>Строительство участка ВЛИ-0,4 кВ от опоры №9 ВЛ-0,4 кВ №1 КТП-3507/60 кВА ВЛ-10 кВ №22 ПС 110/10 кВ Жуковская, с установкой шкафа 0,4 кВ, и обеспечение коммерческим учетом электрической энергии (мощности) в точке поставки по присоединению нежилого помещения КФХ Муртазалиева М-Р.Б., расположенного по адресу: Ростовская область, Дубовский район, станица Жуковская, 1 км на юго-запад от станицы Жуковская, кадастровый номер земельного участка 61:09:0600002:1652 (ориентировочная протяженность ЛЭП - 0,31 км)</t>
  </si>
  <si>
    <t>Строительство участка ВЛИ-0,4 кВ от опоры №3/2 ВЛИ-0,4 кВ №2 КТП-7398/250 кВА по ВЛ-10 кВ №11 ПС 35/10 кВ Николаевская для присоединения жилого дома Новиковой И.А., расположенного по адресу: Ростовская область, Константиновский район, х. Старая Станица, ул. Новая, д. 10,  к.н.:  61:17:0050501:507 (ориентировочная  протяженность ЛЭП 0,022 км)</t>
  </si>
  <si>
    <t>Строительство участка ВЛИ-0,4 кВ от опоры №7 ВЛ-0,4 кВ №1 ЗТП-7218/400 кВА ВЛ-10 кВ №26 ПС 110/35/10 кВ КГУ для присоединения административно-бытовых корпусов ИП Костромина М.Д. и ИП Болотова Е.С., расположенных по адресам: Ростовская область, Константиновский район, Константиновское городское поселение, 0,45 км восточнее х. Ведерников, к.н.: 61:17:0600017:565 и 0,35 км восточнее х. Ведерников, к.н.: 61:17:0600017:576 (ориентировочная протяженность ЛЭП 0,175 км)</t>
  </si>
  <si>
    <t>Строительство ВЛИ-0,4 кВ от опоры №6 кВ ВЛИ-0,4 кВ №2 КТП-7027/100 кВА по ВЛ-10 кВ №24 ПС 110/35/10 кВ КГУ для присоединения жилого дома Сергеева О.В., расположенного по адресу: Ростовская область, Константиновский район, х. Ведерников, ул. Казачья, д. 2-а, к.н. 61:17:0010603:192 (ориентировочная протяженность ЛЭП 0,19 км)»</t>
  </si>
  <si>
    <t>Строительство участка ВЛИ-0,4 кВ от опоры №11 ВЛ-0,4 кВ №2 КТП-7402/160 кВА ВЛ-10 кВ №11 ПС 35/10 кВ Николаевская, с установкой шкафа 0,4 кВ, и обеспечение коммерческим учетом электрической энергии (мощности) в точке поставки по присоединению нежилого здания-магазина ИП Меджидова Р.З., расположенного по адресу: Ростовская область, Константиновский район, станица Николаевская, ул. Центральная, кадастровый номер земельного участка: 61:17:0050101:6582 (ориентировочная протяженность ЛЭП 0,15 км)</t>
  </si>
  <si>
    <t>Строительство участка ВЛИ-0,4 кВ от опоры №18 ВЛИ-0,4 кВ №1 КТП-7398/250 кВА ВЛ-10 кВ №11 ПС 35/10 кВ Николаевская, с установкой шкафа 0,4 кВ, и  обеспечение коммерческим учетом электрической энергии (мощности) в точке поставки по присоединению жилого дома  АО «Николаевское хлебоприемное», расположенного по адресу: Ростовская область, Константиновский район, х. Старая Станица, ул. Западная, д. 2, кадастровый номер земельного участка. 61:17:0050501:505 (ориентировочная протяженность ЛЭП 0,05 км)»</t>
  </si>
  <si>
    <t>Строительство участка ВЛИ-0,4кВ от опоры №2 ВЛ-0,4кВ №2 КТП-7165/250кВА ВЛ-10кВ №5 ПС 35/10кВ Савельевская, с установкой шкафа 0,4 кВ, и обеспечение коммерческим учетом электрической энергии (мощности) в точке поставки по присоединению нежилого помещения ИП главы К(Ф)Х Гаврилова Ю.А., расположенного по адресу: Ростовская область, Константиновский район, примерно в 200 м от х. Гапкин по направлению на запад, кадастровый номер земельного участка: 61:17:0600008:1913 (ориентировочная протяженность ЛЭП 0,125км)</t>
  </si>
  <si>
    <t>Строительство ВЛИ-0,4 кВ от РУ-0,4 кВ КТП-4320/100 кВА ВЛ-10 кВ №4 ПС 110/10 кВ Денисовская и  установка прибора коммерческого учета электрической энергии (мощности) в точке поставки  для присоединения нежилого помещения ИП главы К(Ф)Х Хамутаева М.Х., расположенного по адресу: Ростовская область, Ремонтненский район, п. Денисовский, ул. Садовая,  д. 15б, кадастровый номер объекта 61:32:0030101:1663 (ориентировочная протяженность ЛЭП 0,217 км)</t>
  </si>
  <si>
    <t>Строительство ВЛИ-0,4 кВ от РУ-0,4 кВ КТП-6623/160 кВА по ВЛ-6 кВ №6 ПС 110/35/6 кВ Обливная для присоединения детского сада Муниципального бюджетного дошкольного учреждения детский сад «Чебурашка» х. Лесной, расположенного по адресу: Ростовская область, Мартыновский район, х. Лесной, пер. Степной, д. 2,  к.н.:  61:20:060401:0901 (ориентировочная  протяженность ЛЭП 0,107 км)</t>
  </si>
  <si>
    <t>Строительство ВЛИ-0,4 кВ от вновь установленной ТП-10/0,4 кВ по ВЛ-10 кВ №11 ПС 35/10 кВ Николаевская  (по договору ТП №61-1-18-00408599 от 20.11.2018г) для присоединения жилого дома Клименко С.А., расположенного по адресу: Ростовская область, Константиновский район, станица Николаевская, ул. 8 Марта, д. 38, к.н. 61:17:050101:1252 (ориентировочная протяженность ЛЭП 0,053 км)</t>
  </si>
  <si>
    <t>Строительство участка ВЛИ-0,4 кВ от опоры №1 ВЛ-0,4 кВ №1 КТП-2884/250 кВА по ВЛ-10 кВ №4 ПС 110/10 кВ Василевская для присоединения базы Холовой Т.Х., расположенной по адресу: Ростовская область, Зимовниковский район, п. Зимовники, ул. Магистральная, д. 63Г,  к.н.: 61:13:0010125:131 (ориентировочная  протяженность ЛЭП 0,08 км)</t>
  </si>
  <si>
    <t>Строительство ВЛИ-0,4 кВ от  РУ-0,4 кВ вновь установленной ТП-6/0,4 кВ по ВЛ-6 кВ №1 ПС 35/6 кВ Романовская (по договорам ТП №61-20-00512427 от 27.05.2020г, №61-20-00514229 от 03.07.2020г, №61-20-00514117 от 03.07.2020г, №61-20-00514159 от 03.07.2020г, №61-20-00514143 от 03.07.2020г, №61-20-00514141 от 03.07.2020г, №61-20-00514453 от 03.07.2020г, №61-20-00514205 от 03.07.2020г, №61-20-00514341 от 03.07.2020г, №61-20-00514339 от 03.07.2020г, №61-20-00514145 от 03.07.2020г, №61-20-00514425 от 03.07.2020г) с установкой шкафа 0,4 кВ, и обеспечение коммерческим учетом электрической энергии (мощности) в точках поставки по присоединению летнего домика ООО "Тема", расположенного по адресу: Ростовская обл., г. Волгодонск, ул. Отдыха, д.39а, кадастровый номер земельного участка 61:48:0020101:60 (ориентировочная протяженность ЛЭП 0,35 км)</t>
  </si>
  <si>
    <t>Строительство участка ВЛИ-0,4 кВ от опоры № 6 ВЛ-0,4 кВ №1 КТП-7401/250 кВА ВЛ-10 кВ №11 ПС 35/10 кВ Николаевская, с установкой шкафа 0,4 кВ, и обеспечение коммерческим учетом электрической энергии (мощности) в точке поставки по присоединению жилого дома Старицкой Ю.С., расположенного по адресу: Ростовская область, Константиновский район, станица Николаевская, ул. 8 Марта, д. 9, кадастровый номер земельного участка: 61:17:0050101:1293 (ориентировочная протяженность ЛЭП 0,03 км)</t>
  </si>
  <si>
    <t>Строительство участка ВЛИ-0,4 кВ от опоры №1/3 ВЛ-0,4 кВ №1 КТП-7390/250 кВА ВЛ-10 кВ №4 ПС 35/10 кВ Николаевская, с установкой шкафа 0,4 кВ, и  обеспечение коммерческим учетом электрической энергии (мощности) в точке поставки по присоединению жилого дома Яркиной А.В., расположенного по адресу: Ростовская область, Константиновский район, станица Николаевская, ул. Максима Горького, д. 21, кадастровый номер земельного участка 61:17:0050101:53 (ориентировочная протяженность ЛЭП 0,04 км)</t>
  </si>
  <si>
    <t>Строительство участка ВЛ-10 кВ от опоры №5/15 ВЛ-10 кВ №12 ПС 35/10 кВ Мариинская, с установкой ТП-10/0,4 кВ, строительство ВЛИ-0,4 кВ от РУ-0,4 кВ вновь установленной ТП-10/0,4 кВ, с установкой шкафа 0,4 кВ, и обеспечение коммерческим учетом электрической энергии (мощности) в точке поставки по присоединению нежилого помещения ИП главы К(Ф)Х Пышняка В.В., расположенного по адресу: Ростовская область, Константиновский район, х. Правда, 88 м на юг от х. Правда, к.н.з.у. 61:17:0600016:2271 (ориентировочная протяженность ЛЭП 0,02 км, ориентировочная мощность трансформатора 63 кВА)</t>
  </si>
  <si>
    <t>Строительство участка ВЛИ-0,4 кВ от вновь установленной опоры в пролете опор №№5-6 ВЛ-0,4 кВ №2 КТП-7375/250 кВА ВЛ-10 кВ №11 ПС 35/10 кВ Мариинская, с установкой шкафа 0,4 кВ, и  обеспечение коммерческим учетом электрической энергии (мощности) в точке поставки по присоединению автогаража с пристройкой ИП главы К(Ф)Х Мищенко В.В., расположенного по адресу: Ростовская область, Константиновский район, севернее станицы Мариинская, кадастровый номер земельного участка 61:17:0600016:2248 (ориентировочная протяженность ЛЭП 0,03 км)</t>
  </si>
  <si>
    <t>Строительство участка ВЛИ-0,4 кВ от опоры №17 ВЛ-0,4 кВ №1 ЗТП-7390/250 кВА ВЛ-10 кВ №4 ПС 35/10 кВ Николаевская, с установкой шкафов 0,4 кВ, и обеспечение коммерческим учетом электрической энергии (мощности) в точках поставки по присоединению жилых домов Костоглод С.С. и Абраменко И.Н, расположенных по адресам: Ростовская область, Константиновский район, станица Николаевская, ул. Центральная, д. 54, кв. 3, кадастровый номер земельного участка 61:17:0050101:6392 и  д. 54-а, кадастровый номер земельного участка 61:17:0050101:6393  (ориентировочная протяженность ЛЭП 0,045 км)</t>
  </si>
  <si>
    <t>Строительство участка ВЛИ-0,4 кВ от опоры №24 ВЛ-0,4 кВ №1 КТП-7135/63 кВА по ВЛ-10 кВ №1 ПС 35/10 кВ Богоявленская, с установкой шкафа 0,4 кВ, и  обеспечение коммерческим учетом электрической энергии (мощности) в точке поставки по присоединению жилого дома Терентьева Ю.И., расположенного по адресу: Ростовская область, Константиновский район, х. Кастырский, ул. Дальняя, д. 34, кадастровый номер земельного участка 61:17:0030301:288 (ориентировочная протяженность ЛЭП 0,08 км)</t>
  </si>
  <si>
    <t>Строительство участка ВЛИ-0,4 кВ от опоры №7 ВЛ-0,4 кВ №1 КТП-7139 ВЛ-10 кВ №3 ПС 35 кВ Богоявленская и установка приборов коммерческого учета электрической энергии (мощности) в точках поставки для присоединения жилых домов Костромина Е.И. и Топилина А.С., расположенных по адресам: Ростовская область, Константиновский район, станица Богоявленская, ул. Парковая,  д. 37 и д. 41, кадастровые номера земельных участков 61:17:0030101:17 и 61:17:0030101:933 (ориентировочная протяженность ЛЭП 0,245 км)</t>
  </si>
  <si>
    <t>Строительство участка ВЛИ-0,4 кВ от опоры №1/4 ВЛ-0,4 кВ №2 КТП-7165 ВЛ-10 кВ №5 ПС 35 кВ Савельевская и установка прибора коммерческого учета электрической энергии (мощности) в точке поставки для присоединения нежилого помещения ИП Главы К(Ф)Х Макарова В.В., расположенного по адресу: Ростовская область, Константиновский район, примерно в 200 м от х. Гапкин по направлению на запад, кадастровый номер земельного участка 61:17:0600008:1911 (ориентировочная протяженность ЛЭП 0,03 км)</t>
  </si>
  <si>
    <t>Строительство участка ВЛИ-0,4 кВ от опоры №19 ВЛ-0,4 кВ №3 КТП 7166 ВЛ-10 кВ №5 ПС 35 кВ Савельевская и установка прибора коммерческого учета электрической энергии (мощности) в точке поставки для присоединения хозяйственной постройки Гамаюновой В.В., расположенной по адресу: Ростовская область, Константиновский район, х. Гапкин, ул. Зеленая, д.36, к.н.з.у. 61:17:0040101:738 ( (количество приборов учета-1шт,ориентировочная протяженность ЛЭП 0,03 км)</t>
  </si>
  <si>
    <t>Реконструкция участка ВЛ-0,4 кВ №3 КТП-8456/100 кВА по ВЛ-6 кВ №14 ПС 35/6 кВ Романовская, в пролетах опор №7-№13,для присоединения жилого дома Власовой И.В., расположенного по адресу: Ростовская область, Волгодонской район, станица Романовская, ул. Тюхова, д. 123, к.н. 61:08:0070130:47 (ориентировочная протяженность ЛЭП 0,18 км)</t>
  </si>
  <si>
    <t>Реконструкция участка ВЛ-0,4 кВ №3 КТП-8132/100 кВА по ВЛ-10 кВ №3 ПС 110/35/10 кВ ПС Большовска, в пролетах опор №1-№8, для присоединения дома культуры на 100 мест Администрации Дубенцовского сельского поселения, расположенного по адресу: Ростовская область, Волгодонской район, х. Морозов, пер. Почтовый, д. 23, к.н. 61:08:0020203:337 (ориентировочная протяженность ЛЭП 0,14 км)</t>
  </si>
  <si>
    <t>Строительство ВЛИ-0,4 кВ от вновь установленной ТП-6/0,4 кВ по ВЛ-6 кВ №1 ПС 35/6 кВ НС-12 (по договору №61-1-18-00388977 от 20.08.2018г.) для присоединения жилого дома Ситниковой Л.Н., расположенного по адресу: Ростовская область, Волгодонской район, с/т Юбилейное, к.н. 61:08:0601901:813 (ориентировочная протяженность ЛЭП 0,25 км)</t>
  </si>
  <si>
    <t>Строительство участка ВЛЗ-6 кВ от опоры №133 ВЛ-6 кВ №1 ПС 35/6 кВ Романовская, с установкой ТП-6/0,4 кВ, строительство ВЛИ-0,4 кВ от РУ-0,4 кВ вновь установленной ТП-6/0,4 кВ и обеспечение коммерческим учетом электрической энергии (мощности) в точке поставки по присоединению спального домика Фирсенкова С.И., расположенного по адресу: Ростовская область, Волгодонской район, г. Волгодонск, ул. Отдыха, д. 67, к.н. 61:48:0020101:1445 (ориентировочная протяженность ЛЭП 0,14 км, ориентировочная мощность трансформатора 25 кВА)</t>
  </si>
  <si>
    <t>Строительство участка ВЛИ-0,4 кВ от опоры №1/9 ВЛ-0,4 кВ №1 КТП-8033/160 кВА ВЛ-10 кВ №1 ПС 35/10 кВ Рябичевская, с установкой шкафа 0,22 кВ, и  обеспечение коммерческим учетом электрической энергии (мощности) в точке поставки по присоединению здания хоз.назначения Никитюк М.В., расположенного по адресу: Ростовская область, Волгодонской район, х. Рябичев, ул. Юбилейная, д. 52, кадастровый номер земельного участка. 61:08:0030107:582 (ориентировочная протяженность ЛЭП 0,035 км)</t>
  </si>
  <si>
    <t>Строительство участка ВЛИ- 0,4 кВ от опоры №6 ВЛ-0,4 кВ №1 КТП-8430/160 кВА ВЛ-6 кВ №11 ПС 35/6 кВ Шлюзовая для присоединения жилого дома Медведевой И.Ю., расположенного по адресу: Ростовская область, Волгодонской район, х. Лагутники, ул. Ленина, д.22д, к.н. 61:08:0070208:274 (ориентировочная протяженность ЛЭП 0,025 км)</t>
  </si>
  <si>
    <t>Строительство участка ВЛИ-0,4 кВ от опоры №4 ВЛ-0,4 кВ №2 КТП-8007/400 кВА ВЛ-10 кВ №7 ПС 35/10 кВ Рябичевская для присоединения магазина ИП Коробкина А.Н., расположенного по адресу: Ростовская область, Волгодонской район, х. Рябичев, ул. Театральная, д. 47, кадастровый номер земельного участка. 61:08:0030102:642 (ориентировочная протяженность ЛЭП 0,035 км)</t>
  </si>
  <si>
    <t>Строительство участка ВЛИ-0,4 кВ от опоры №11 ВЛ-0,4 кВ №1 КТП-8163/160 кВА ВЛ-10 кВ №9 ПС 35/10/6 кВ Донская для присоединения квартиры Шостака В.В., расположенного по адресу: Ростовская область, Волгодонской район, п. Мичуринский, ул. Молодежная, д.29, кв./оф. 1, к.н.61:08:0060401:45 (ориентировочная протяженность ЛЭП 0,32 км)</t>
  </si>
  <si>
    <t>Строительство участка ВЛ-10 кВ от опоры №2/25 ВЛ-10 кВ №5 ПС 110/10 кВ Вербовая, с установкой ТП-10/0,4 кВ и строительство ВЛИ-0,4 кВ от РУ-0,4 кВ вновь установленной ТП-10/0,4 кВ  для присоединения скважины КФХ Алиева М.М., расположенной по адресу: Ростовская область, Дубовский район, х. Агрономов, установлено ориентира в границах КК 600003 Вербовологовского сельского поселения, поле №125, 124, контур №313, расположенного в границах участка, кадастровый номер земельного участка: 61:09:0600003:160 (ориентировочная протяженность ЛЭП 0,03 км, ориентировочная мощность трансформатора 25 кВА)</t>
  </si>
  <si>
    <t>Строительство участка ВЛИ-0,4 кВ от опоры №13  ВЛ-0,4 кВ №2 КТП-3181/63 кВА ВЛ-10 кВ №3 ПС 35/10 кВ Эркетиновская, с установкой шкафа 0,4 кВ, и  обеспечение коммерческим учетом электрической энергии (мощности) в точке поставки по присоединению жилого дома Алиева Р.А., расположенного по адресу: Ростовская область, Дубовский район, станица Эркетиновская, ул. Молодежная, д. 12, кадастровый номер земельного участка. 61:09:0080601:407 (ориентировочная протяженность ЛЭП 0,041 км)</t>
  </si>
  <si>
    <t>Строительство ВЛИ-0,4 кВ от РУ-0,4 кВ КТП-3498/40 кВА ВЛ-10 кВ №5 ПС 110/10 кВ Вербовая, с установкой шкафа 0,4 кВ, и обеспечение коммерческим учетом электрической энергии (мощности) в точке поставки по присоединению БССС №69043 "РсО Вербовый Лог" ПАО "Вымпел-Коммуникации", расположенной по адресу: Ростовская область, Дубовский район, х. Вербовый Лог, ул. Телевизионная, д.1, кадастровый номер земельного участка 61:09:0130101:1501 (ориентировочная протяженность ЛЭП 0,015 км)</t>
  </si>
  <si>
    <t>Строительство участка ВЛИ-0,4 кВ от опоры №10 ВЛ-0,4 кВ №1КТП-3510/400 кВА ВЛ-10 кВ №3 ПС 110/35/10 кВ Дубовская для присоединения МТФ Новиковой Е.В., расположенной по адресу: 
Ростовская область, Дубовский район, х. Романов, в границах кадастрового квартала 60 00 05, с/у-5872га, к.н. 61:09:0600005:1524 
(ориентировочная протяженность ЛЭП 0,4 км)»</t>
  </si>
  <si>
    <t>Строительство участка ВЛИ-0,4 кВ от опоры №1 ВЛ-0,4 кВ №1 КТП-3535 ВЛ-10 кВ №3 ПС 35 кВ Эркетиновская и установка прибора коммерческого учета электрической энергии (мощности) в точке поставки для присоединения нежилого помещения ИП главы К(Ф)Х Мордовцева Н.А., расположенного по адресу: РО, Дубовский район, Андреевское сельское поселение, к.н.з.у. 61:09:0600010:393 (ориентировочная протяженность  ЛЭП 0,05 км, количество приборов учета  - 1 шт.)</t>
  </si>
  <si>
    <t>Строительство ВЛИ-0,4 кВ от РУ-0,4 кВ КТП-3124/40 кВА ВЛ-10 кВ №2 ПС 35/10 кВ Эркетиновская для присоединения жилого дома Дижы А.Н., расположенного по адресу: Ростовская область, Дубовский район, х. Кут-Кудинов, ул. Раздольная, д. 55, к.н. 61:09:0600010:243 (ориентировочная протяженность ЛЭП 0,1 км)</t>
  </si>
  <si>
    <t>Строительство участка ВЛИ-0,4 кВ от опоры №21/1 ВЛ-0,4 кВ №1 КТП-6555/160 кВА ВЛ-10 кВ №6 ПС 110/10 кВ Несмеяновская, с установкой шкафа 0,22 кВ, и  обеспечение коммерческим учетом электрической энергии (мощности) в точке поставки по присоединению скважины для полива огорода Бачатовой Н.И., расположенной по адресу: Ростовская область, Мартыновский район, х. Малоорловский, ул. Новая, д. 48, кадастровый номер земельного участка. 61:20:0060101:5251 (ориентировочная протяженность ЛЭП 0,021 км)</t>
  </si>
  <si>
    <t>Строительство ВЛИ-0,4 кВ от РУ-0,4 кВ КТП-8533/400 кВА ВЛ-6 кВ №5 ПС 35/6 кВ НС-13, с установкой шкафа 0,4 кВ, и  обеспечение коммерческим учетом электрической энергии (мощности) в точке поставки по присоединению складского помещения главы КФХ Крючко М.С., расположенного по адресу: Ростовская область, Волгодонской район, 140 м западнее дома №15 ул. Новоселов, х. Сухая Балка, кадастровый номер земельного участка: 61:08:0600801:887 (ориентировочная протяженность ЛЭП 0,09 км)</t>
  </si>
  <si>
    <t>Строительство участка ВЛИ-0,4 кВ от опоры №17 ВЛ-0,4 кВ №3 КТП-8345/160 кВА ВЛ-6 кВ №6 ПС 35/6 кВ Потаповская, с установкой шкафа 0,4 кВ, и  обеспечение коммерческим учетом электрической энергии (мощности) в точке поставки по присоединению жилого дома Саенко О.В., расположенного по адресу: Ростовская область, Волгодонской район, х. Степной, ул. Набережная, д. 7, кадастровый номер земельного участка. 61:08:0040701:8 (ориентировочная протяженность ЛЭП 0,1 км)</t>
  </si>
  <si>
    <t xml:space="preserve">Строительство участка ВЛИ-0,4 кВ от опоры №23 ВЛ-0,4 кВ №1 КТП-8365/40 кВА по ВЛ-6 кВ №1 ПС 35/6 кВ Потаповская для присоединения бытовки Сардарова К.Н., расположенной по адресу: Ростовская область, Волгодонской район, примерно в 1 км по направлению на юго-восток от х. Потапов, к.н. 61:08:0601501:32 (ориентировочная протяженность ЛЭП 0,115 км)»
</t>
  </si>
  <si>
    <t>Строительство участка ВЛИ-0,4 кВ от вновь установленной опоры вновь построенной ВЛИ-0,4 кВ от вновь установленной ТП 6/0,4 кВ по ВЛ-6 кВ №1 ПС 35/6 кВ Романовская для присоединения спального домика Зюзина А.А., расположенного по адресу: Ростовская область, г. Волгодонск, ул. Отдыха, д. 5а, к.н.:  61:48:20101:1356 (ориентировочная  протяженность ЛЭП 0,03 км)</t>
  </si>
  <si>
    <t>Строительство ВЛИ-0,4 кВ от РУ-0,4 кВ вновь установленной ТП-6/0,4 кВ по ВЛ-6 кВ №1 ПС 35/6 кВ Романовская (по договорам №61-1-19-00441801 от 13.05.2019г и №61-1-19-00437609 от 15.05.2019г) для присоединения базы отдыха «Связь» ООО «Амарант», расположенной по адресу: Ростовская область, г. Волгодонск, ул. Отдыха, д.1, к.н. 61:48:0020101:204 (ориентировочная  протяженность ЛЭП 0,28 км)</t>
  </si>
  <si>
    <t>Строительство участка ВЛИ-0,4 кВ от опоры №3/3 ВЛ-0,4 кВ №1 КТП-8137/250 кВА по ВЛ-10 кВ №3 ПС 110/35/10 кВ Большовская для присоединения здания коровника АО «Родник»., расположенного по адресу: Ростовская область, Волгодонской район, х. Морозов, 1088 м. западнее д. 66 по ул. Школьная, к.н. 61:08:0600301:152 (ориентировочная протяженность ЛЭП 0,15 км)</t>
  </si>
  <si>
    <t>Строительство участка ВЛИ-0,4 кВ от опоры №11 ВЛ-0,4 кВ №1 КТП-1375/40 кВА по ВЛ-10 кВ №2 ПС 35/10 кВ ЖБИ для присоединения жилого дома Шестакова И.О., расположенного по адресу: Ростовская область, Цимлянский район, станица Красноярская, пер. Средний, д.1а, к.н. 61:41:0020127:779 (ориентировочная протяженность ЛЭП 0,07 км)</t>
  </si>
  <si>
    <t>Строительство участка ВЛИ-0,4 кВ от опоры №4 ВЛ-0,4 кВ №1 КТП-1435/63 кВА по ВЛ-10 кВ №5 ПС 110/10 кВ Искра для присоединения коровника ИП главы К(Ф)Х Морозова В.В, расположенного по адресу: Ростовская область, Цимлянский район, 0,1 км южнее станицы Кумшацкой, к.н. 61:41:0600008:681 (ориентировочная протяженность ЛЭП 0,27 км)</t>
  </si>
  <si>
    <t>Строительство участка ВЛИ-0,4 кВ от опоры №20 ВЛ-0,4 кВ №2 КТП-1388 ВЛ-10 кВ №3 ПС 35 кВ Лозновская и установка прибора коммерческого учета электрической энергии (мощности) в точке поставки для присоединения жилого дома Федосеева О.И., расположенного по адресу: Ростовская область, Цимлянский район, х. Лозной, ул. Мира,  д. 45, кадастровый номер земельного участка 61:41:0030109:21 (ориентировочная протяженность ЛЭП 0,075 км)</t>
  </si>
  <si>
    <t>Установка ТП-10/0,4 кВ от опоры №48 ВЛ-10 кВ №6 ПС 110/35/10 кВ Мартыновская, с перезаводом ВЛ-0,4 кВ №1 КТП-10/0,4 кВ №6098 по ВЛ-10 кВ №6 ПС 110/35/10 кВ Мартыновская в РУ-0,4 кВ вновь установленной ТП-10/0,4 кВ  для присоединения нежилого здания (автомойка самообслуживания) Макарова Д.В., расположенного по адресу: Ростовская обл., Мартыновский район, слобода Большая Мартыновка мкр. Аэропорт, д.3, к.н. 61:20:0600019:1193 (ориентировочная мощность трансформатора 63 кВА)</t>
  </si>
  <si>
    <t>Строительство участка ВЛИ-0,4 кВ от опоры №1/5 ВЛ-0,4 кВ №1 КТП-7156 ВЛ-10 кВ №7 ПС 35 кВ Богоявленская и установка прибора коммерческого учета электрической энергии (мощности) в точке поставки для присоединения жилого дома Нехаенко Т.С., расположенного по адресу: Ростовская область, Константиновский район, станица Богоявленская, ул. Кленовая,  д. 63, кадастровый номер земельного участка 61:17:0030101:21 (ориентировочная протяженность ЛЭП 0,04 км)</t>
  </si>
  <si>
    <t>Строительство участка ВЛ-10 кВ от опоры №16/53 ВЛ-10 кВ №6 ПС 110 кВ Ремонтненская,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объектов дорожного хозяйства (светофорные объекты, объекты видеофиксации) Министерства транспорта Ростовской области, расположенных по адресу: Ростовская область, Ремонтненский район, дор. г. Элиста – с. Ремонтное – п. Зимовники,  к.н.з.у. 61:32:0000000:124 (ориентировочная протяженность ЛЭП 0,121 км, ориентировочная мощность трансформатора 25 кВА)</t>
  </si>
  <si>
    <t>Строительство ВЛИ-0,4 кВ от РУ-0,4 кВ КТП 4111 ВЛ-10 кВ №5 ПС 110 кВ Б. Ремонтное и установка прибора коммерческого учета электрической энергии (мощности) в точке поставки для присоединения базовой станции/оборудования сотовой связи АО «Первая Башенная Компания», расположенной по адресу: Ростовская область, Ремонтненский район, с. Большое Ремонтное, ул. Ленина, д. 42, участок в 55м от дома №42, к.н.з.у.;  61:32:0040101 (ориентировочная протяженность ЛЭП 0,03 км)</t>
  </si>
  <si>
    <t>Строительство участка ВЛ-0,4 кВ от опоры № 13, ВЛ-0,4 кВ №2, КТП№453 ВЛ-10кВ №1 ПС 35/10 кВ «Колушкинская» для подключения строящегося жилого дома Морозовой В.Н., расположенного по адресу: Ростовская обл., Тарасовский р-н, сл. Ефремово-Степановка, ул. Первомайская, д.12 (ориентировочная протяженность ЛЭП – 0,04 км)</t>
  </si>
  <si>
    <t>15</t>
  </si>
  <si>
    <t>Строительство участка ВЛ 0,4кВ от опоры №10, ВЛ 0,4кВ №3, КТП 18, ВЛ 10кВ 32, ПС 110/35/10кВ "Обливская-1", для подключения жилого дома Кужатовой А.С., расположенного по адресу: Ростовская область, Обливский р-н, х. Сеньшин, ул. Березовая, дом №38, КН №61:27:0070801:33 (ориентировочная протяженность ЛЭП - 0,170км)</t>
  </si>
  <si>
    <t>Строительство участка ВЛ-10 кВ от опоры № 40 ВЛ-10 кВ № 1, ПС 35/10 кВ «Глубокинская», ТП 10/0,4 кВ и ВЛ-0,4 кВ от РУ-0,4 кВ новой ТП 10/0,4 кВ, для подключения нежилого помещения МУП Каменского р-на «Глубокинское пассажирское автотранспортное предприятие», расположенного по адресу: Ростовская обл., Каменский р-н, р.п. Глубокий, пер. Переездный, д. № 54, к.н. 61:15:0010106:2 (ориентировочная протяженность ЛЭП – 0,264 км, ориентировочная трансформаторная мощность 0,063 мВА)</t>
  </si>
  <si>
    <t>Строительство участка ВЛ-0,4 кВ от опоры № 44, ВЛ-0,4 кВ № 1, КТП № 389, ВЛ-10 кВ №1, ПС 35/10 кВ «ЗСК», для подключения БС № 61-02875 ПАО «Мобильные Теле Системы», расположенной по адресу: Ростовская обл., Каменский р-н, х. Сибилев, пер. Лесной, д. № 6, к.н. 61:15:0120501:431 (ориентировочная протяженность ЛЭП – 0,517 км)</t>
  </si>
  <si>
    <t>10</t>
  </si>
  <si>
    <t>20</t>
  </si>
  <si>
    <t>Строительство участка ВЛ-0,4 кВ от опоры № 4, ВЛ-0,4 кВ № 1, КТП № 518, ВЛ-10 кВ № 3, ПС 35/10 кВ «Первомайская» для подключения жилого дома Юровой Т.Н. расположенного по адресу: Ростовская обл., Каменский р-н, х. Груцинов, ул. Студенческая, д. № 16, к.н.з.у. 61:15:00050101:345 (ориентировочная протяженность ЛЭП – 0,112 км)</t>
  </si>
  <si>
    <t>Строительство участка ВЛ-0,4кВ от опоры № 9/5, ВЛ-0,4кВ №1, КТП №377, ВЛ-10кВ № 3, ПС 110/35/10/6кВ «К-4», для подключения строящегося жилого дома Сергиенко Л.В. расположенного по адресу: Ростовская обл., Каменский р-н, х. Старая Станица, ул. Космонавтов, к.н.  61:15:0130102:2986
(ориентировочная протяженность ЛЭП – 0,038км)</t>
  </si>
  <si>
    <t>5</t>
  </si>
  <si>
    <t>Строительство участка ВЛ-0,4кВ от опоры № 10, ВЛ-0,4кВ №1, КТП №191, ВЛ-10кВ  «Кирова-2», ПС 110/35/10кВ «Б-4»,  для подключения строящегося жилого дома Палкиной Г.Д., расположенного по адресу: Ростовская обл., Каменский р-н, х. Верхнеговейный, ул. Балочная, д. №11 (ориентировочная протяженность ЛЭП – 0,575км)</t>
  </si>
  <si>
    <t>Строительство участка ВЛ-0,4 кВ от опоры № 33, ВЛ-0,4 кВ №3, КТП№99 ВЛ-10кВ №5 ПС 35/10 кВ «Войковская», для подключения БС №61-02326 ПАО «МТС», расположенной по адресу: Ростовская обл., Тарасовский р-н, ст. Митякинская, ул. Ленина, 27 (ориентировочная протяженность ЛЭП – 0,065 км)</t>
  </si>
  <si>
    <t>Строительство участка ВЛ-0,4 кВ от опоры № 10, ВЛ-0,4 кВ №2 , КТП№351 ВЛ-10кВ №1 ПС 35/10 кВ «Тарасовская СХТ», для подключения БС №61-02543 ПАО «МТС», расположенной по адресу: Ростовская обл., Тарасовский р-н, х.Васильевка, ул. Железнодорожная, 31А (ориентировочная протяженность ЛЭП – 0,051 км)</t>
  </si>
  <si>
    <t>Строительство участка ВЛ-0,4 кВ от опоры № 47, ВЛ-0,4 кВ №1, КТП№703, ВЛ-6 кВ «Донец», ПС 110/6 кВ «Б-1», для подключения жилого дома Злобиной А.Г., расположенного по адресу: Ростовская обл., Белокалитвинский р-н, х. Какичев, пер. Лодочный д. 4., к.н. № 61:04:0160502:110. (ориентировочная протяженность ЛЭП – 0,261 км)</t>
  </si>
  <si>
    <t>Строительство участка ВЛ-0,4 кВ от опоры № 5, ВЛ-0,4 кВ № 1,  КТП 428, ВЛ 10 кВ № 3, ПС 35/10 кВ «Нижнепоповская», для подключения строящегося жилого дома Гусейновой В.Г., расположенного по адресу: Ростовская обл., Белокалитвинский р-н, п. Сосны, ул. Крайняя д. 5 а., КН № 61:04:0150405:246 (ориентировочная протяженность ЛЭП – 0,118 км)</t>
  </si>
  <si>
    <t>Строительство участка ВЛ-0,4 кВ от опоры № 1, ВЛ-0,4 кВ № 1, КТП 467, ВЛ 10 кВ Л-28 фид. № 14, ПС 110/35/10 кВ «Б-3» РП-28, для подключения жилого дома Фильцовой В.С., расположенного по адресу: Ростовская обл., Белокалитвинский р-н, х. Дороговский, пер. Мирный д. 3., КН № 61:04:0150301:245 (ориентировочная протяженность ЛЭП – 0,284 км)</t>
  </si>
  <si>
    <t>Строительство участка ВЛ-0,4 кВ от опоры № 18, ВЛ-0,4 кВ №1, КТП № 206, ВЛ-10 кВ №5, ПС 110/10 кВ «Волченская ПТФ» для подключения жилого дома Говорухина В.В. расположенного по адресу: Ростовская обл., Каменский р-н, х. Волченский, ул. Заречная, д. № 65, к.н. 61:15:0040101:584 (ориентировочная протяженность ЛЭП – 0,051 км)</t>
  </si>
  <si>
    <t>Строительство участка ВЛ-0,4 кВ от опоры № 2, ВЛ-0,4 кВ №1, КТП № 15, ВЛ-10 кВ №4, ПС 35/10 кВ «Каменская СХТ» для подключения жилого дома Фомушина Н.А. расположенного по адресу: Ростовская обл., Каменский р-н, х. Диченский ул.Степная, дом № 12 корпус А, к.н. 61:15:130301:0020. (ориентировочная протяженность ЛЭП – 0,070 км)</t>
  </si>
  <si>
    <t>Строительство участка ВЛ-0,4 кВ от опоры № 9/4, ВЛ-0,4 кВ №1, КТП №377, ВЛ-10 кВ №3, ПС 110/35/10/6 кВ «К-4», для подключения строящегося жилого дома Хрипко М.И., расположенного по адресу: Ростовская обл., Каменский  р-н, х. Старая Станица, ул. Космонавтов, к.н. 61:15:0130102:2999 (ориентировочная протяженность ЛЭП – 0,047км)</t>
  </si>
  <si>
    <t>Строительство участка ВЛ-0,4кВ от опоры № 44, ВЛ-0,4кВ №1, КТП №143, ВЛ-10кВ «Кирова-1», ПС 110/35/10кВ «Б-4» для подключения жилого дома Янпольского В.В., расположенного по адресу: Ростовская обл., Каменский р-н,  х. Нижнесазонов, ул. Донская, д. №4(ориентировочная протяженность ЛЭП – 0,273км)</t>
  </si>
  <si>
    <t>Строительство участка ВЛ-0,4кВ от опоры №25, ВЛ-0,4кВ №1, КТП №223, ВЛ-10 кВ №3, ПС 35/10кВ «Селивановская», для подключения водонапорной башни «Муниципального унитарного пассажирского автотранспортного предприятия Милютинского района», расположенного по адресу: Ростовская обл., Милютинский р-н, ст-ца Селивановская, ул. Череватенко,  к.н.з.у. 61:23:0080101:2063 (ориентировочная протяженность ЛЭП–0,17км)</t>
  </si>
  <si>
    <t>«Строительство участка ВЛ-0,4 кВ от опоры № 13, ВЛ-0,4 кВ № 3, КТП № 457, ВЛ- 6 кВ Михайловка-1, ПС 110/35/6 кВ «Б-8», для подключения строящегося коровника ИП Зайцевой Т.А., расположенного по адресу: Ростовская область, Тацинский район, х. Михайлов, из земель СПК Русь пастбище по балке Малокановская, к.н. 61:38:0600006:1424 (ориентировочная протяженность ЛЭП – 0,43 км, прибор учёта электроэнергии - 1шт)»</t>
  </si>
  <si>
    <t>Строительство участка ВЛ-0,4 кВ от РУ 0,4 кВ  КТП №325 ВЛ-10 кВ №2 ПС 35/10 кВ «Скосырская» для подключения жилого дома Романцовой А.В., расположенного по адресу: Ростовская обл., Тацинский р-н, х. Верхнеобливский, ул. Гагарина, д. 9, к.н. № 61:38:0070101:130 (ориентировочная протяженность ЛЭП – 0,362 км)</t>
  </si>
  <si>
    <t>Строительство участка ВЛ-0,4 кВ от опоры № 7, ВЛ-0,4 кВ № 1,  КТП 49, ВЛ 10 кВ № 2, ПС 110/10 кВ «Головокалитвинская», для подключения жилого дома Чекунова С.В., расположенного по адресу: Ростовская обл., Белокалитвинский р-н, х. Ильинка, ул. Советская д. 1., КН № 61:04:0140107:111 (ориентировочная протяженность ЛЭП – 0,473 км)</t>
  </si>
  <si>
    <t>Строительство участка ВЛ-0,4кВ от опоры № 2/3, ВЛ-0,4кВ №1, ЗТП № 8, ВЛ-10кВ № 3, ПС 35/10кВ «Каменская СХТ» для подключения жилого дома Резкого В.М., расположенного по адресу: Ростовская обл., Каменский р-н, х. Старая Станица, ул. 2-я Садовая, д. № 56, корп. А, к.н. 61:15:0130105:1741 (ориентировочная протяженность ЛЭП – 0,110км)</t>
  </si>
  <si>
    <t>Строительство участка ВЛ-0,4 кВ от опоры № 47, ВЛ-0,4 кВ № 1, КТП № 82, ВЛ-10 кВ № 6, ПС 35/10 кВ «Вишневецкая» для подключения жилого дома Казаченко А.Н., расположенного по адресу: Ростовская обл., Каменский р-н, х. Верхнекрасный, ул. Некрасова, д. № 25, к.н. 61:15:0100201:29 (ориентировочная протяженность ЛЭП – 0,300км)</t>
  </si>
  <si>
    <t>Строительство участка ВЛ-10 кВ от опоры № 9, Л-174, ВЛ-10 кВ № 4, ПС 35/10 кВ «Вишневецкая», ТП 10/0,4 кВ и участка ВЛ-0,4кВ от РУ-0,4кВ проектируемого ТП 10/0,4 кВ для подключения распределительного щита ФГКУ «Пограничное управление Федеральной службы безопасности РФ по Ростовской области», расположенного по адресу: Ростовская обл., Каменский р-н, х. Лопуховатый, к.н: 61:15:0140401:9 (ориентировочная протяженность ЛЭП- 0,356 км, ориентировочная мощность ТП – 0,025МВА)</t>
  </si>
  <si>
    <t>70</t>
  </si>
  <si>
    <t>Строительство участка ВЛ-0,4 кВ от опоры № 5, ВЛ-0,4 кВ № 5, ЗТП № 4, ВЛ-10 кВ № 3, ПС 110/35/10/6 кВ «К-4» для подключения «Базовой станции сотовой связи БС-1791» ООО «Т2- Мобайл» расположенной по адресу: Ростовская обл., Каменский р-н, х. Старая Станица, ул. Буденного, д. №112 к.н. 61:15:0130102:2992 (ориентировочная протяженность ЛЭП – 0,139 км)</t>
  </si>
  <si>
    <t>Строительство участка ВЛ-0,4 кВ от РУ-0,4 кВ КТП № 192 Л-192,  ВЛ-10 кВ №1, ПС 35/10 кВ «Каменская СХТ» для подключения жилого дома Попова А.П. расположенного по адресу: Ростовская обл., Каменский р-н, х. Лесной, ул. Лермонтова, д. № 25, корп. 1 (ориентировочная протяженность ЛЭП – 0,040 км)</t>
  </si>
  <si>
    <t>Строительство участка ВЛ-0,22 кВ от опоры № 41/22, ВЛ-0,4 кВ № 1, КТП № 118, ВЛ-10 кВ № 6, ПС 110/10 кВ «Волченская ПТФ» для подключения распределительного щита Федерального государственного казенного учреждения «Пограничное управление Федеральной службы безопасности РФ по Ростовской области», расположенного по адресу: Ростовская обл., Каменский р-н, х. Плешаков, примерно 200 м от ориентира по направлению на запад (ориентировочная протяженность ЛЭП – 1,300 км)</t>
  </si>
  <si>
    <t>Строительство участка ВЛ-0,4 кВ от опоры № 6, ВЛ-0,4 кВ №1, КТП № 582, ВЛ-10 кВ №1, ПС 35/10 кВ «Первомайская» для подключения жилого дома Пискунова П.М. расположенного по адресу: Ростовская обл., Каменский р-н, х. Нижнеерохин ул. Московская, д.29. к.н.з.у. 61:15:0060501:152 (ориентировочная протяженность ЛЭП – 0,566 км)</t>
  </si>
  <si>
    <t>Строительство участка ВЛ-10 кВ от опоры № 6 отпайки Л107, ВЛ-10 кВ №1, ПС 35/10 кВ «Успенская», ТП 10/0,4 кВ и участка ВЛ 0,4 кВ от РУ -0,4 кВ новой ТП10/0,4 кВ, для подключения нежилого здания (склада) Коржова А.А.  и жилого дома Атаева Г.А., расположенных по адресу: Ростовская область Милютинский р-он, п. Аграрный, в 0,9 км на северо-запад от п. Аграрный, к. н. з. у.61:23:0600012:448 и ул. Новая, д.11, кв.1, к.н.з.у. 61:23:010401:149 (ориентировочная протяженность ЛЭП – 0,290 км, ориентировочная мощность ТП 0,04 МВА)</t>
  </si>
  <si>
    <t>Строительство участка ВЛ-0,4кВ от опоры № 6, ВЛ-0,4кВ №1, КТП №175, ВЛ-10кВ №3, ПС 35/10кВ «Семёновская» для подключения нежилого здания (склада) Последова Н.И., расположенного по адресу: Ростовская обл.,  Милютинский р-н, п. Доброполье, 200 м северо-западнее п. Доброполье, к.н.з.у. 61:23:0600009:386. (ориентировочная протяженность ЛЭП – 0,140 км)</t>
  </si>
  <si>
    <t>Строительство участка ВЛ-10 кВ от опоры № 82 ВЛ 10 кВ № 7  ПС 110/35/10 кВ «Милютинская», новой ТП 10/0,4 кВ и участка ВЛ-0,4 кВ от РУ-0,4 кВ новой ТП 10/0,4 кВ для подключения жилых домов  Харитонова И.И. и Калиматова А.Р., расположенных по адресу: Ростовская обл., Милютинский р-н, х. Юдин, ул. Прорва, д.4, 4А, к.н.з.у: 61:23:0030101:157, 61:23:030101:520 (ориентировочная протяжённость ЛЭП- 0,690 км, ориентировочная мощность ТП-0,04 МВА)</t>
  </si>
  <si>
    <t>Строительство участка ВЛ-0,4 кВ от опоры № 7, ВЛ-0,4 кВ №1, КТП №347, ВЛ-10 кВ №3, ПС 35/10 кВ «Знаменская», для подключения жилого дома Калединой Е. В., расположенного по адресу: Ростовская обл., Милютинский р-н, х. Отрадно-Курносовский, ул. Отрадная, д.17, к.н.з.у.  61:23:0020601:23 (ориентировочная протяженность ЛЭП – 0,63 км)</t>
  </si>
  <si>
    <t>50</t>
  </si>
  <si>
    <t>Строительство участка ВЛ-0,4 кВ от опоры № 13, ВЛ-0,4 кВ № 1, КТП 452, ВЛ- 10 кВ №1, ПС 35/10 кВ «Колушкинская», для подключения жилого дома Плешаковой Т.Г., расположенного по адресу: Ростовская обл., Тарасовский р-н, сл. Ефремово-Степановка, ул. Октябрьская, дом №4, КН № 61:37:0080101:242 (ориентировочная протяженность ЛЭП – 0,05 км)</t>
  </si>
  <si>
    <t>Строительство участка ВЛ-0,4 кВ от опоры № 17, ВЛ-0,4 кВ № 2,  КТП 450, ВЛ- 10 кВ №1, ПС 35/10 кВ «Колушкинская», для подключения жилого дома Плешакова Б.Н., расположенного по адресу: Ростовская обл., Тарасовский р-н, сл. Ефремово-Степановка, ул. Розы Люксембург, дом №6, КН № 61:37:0080101:49 (ориентировочная протяженность ЛЭП – 0,08 км)</t>
  </si>
  <si>
    <t>Строительство участка ВЛ-0,4 кВ от РУ-0,4 кВ, КТП № 335, ВЛ-10 кВ №3, ПС 110/35/10 кВ «Тарасовская», для подключения строящегося склада Чаус И.А., расположенного по адресу: Ростовская обл., Тарасовский р-н, 108 м на запад от х. Нижняя Тарасовка, к.н.з.у. 61:37:0600005:1256. (ориентировочная протяженность ЛЭП – 0,242 км)</t>
  </si>
  <si>
    <t>Строительство участка ВЛИ-0,4 кВ от опоры № 1/7, ВЛ-0,4 кВ №1 , КТП №209 ВЛ-10 кВ №3 ПС 35/10 кВ «Быстрянская», для подключения жилого дома Будникова С.М., расположенного по адресу: Ростовская обл., Тацинский р-н, х. Ковылкин, ул. Гагарина, д. 1, к.н. № 61:38:0110101:272 (ориентировочная протяженность ЛЭП – 0,137 км)</t>
  </si>
  <si>
    <t>Строительство участка ВЛ-0,4 кВ от опоры № 12, ВЛ-0,4 кВ № 3,  КТП 213, ВЛ 10 кВ № 1, ПС 35/10 кВ «Элеватор», для подключения стоянки сельскохозяйственной техники ИП Главы К(Ф)Х Кулюк В.В., расположенного по адресу: Ростовская обл., Морозовский р-н, х. Морозов, 250 м северо-восточнее от ул. Заречная, 15, к.н. 61:24:0600009:248 (ориентировочная протяженность ЛЭП – 0,330 км)</t>
  </si>
  <si>
    <t>Строительство участка ВЛ-0,4 кВ от опоры №17 ВЛ-0,4 кВ №1, КТП №4, ВЛ-10 кВ №1, ПС 35/10 Вольно-Донская, для подключения жилого дома, расположенной по адресу Ростовская обл., р-н. Морозовский, х. Сибирьки, ул. Большая Садовая, д. 5, к.н. 61:24:0060601:176 (ориентировочная протяженность ЛЭП – 0,1 км)</t>
  </si>
  <si>
    <t>12</t>
  </si>
  <si>
    <t>Строительство участка ВЛ-0,22 кВ от оп. №15 ВЛ-0,4 кВ №1 КТП  № 113 по ВЛ- 10 кВ №4, ПС 35/10 кВ «Войковская», для подключения строящегося жилого дома Пахомова А.Л.,   расположенного по адресу: Ростовская область, Тарасовский  район, ст. Митякинская, ул. Подлесная, дома  №4,  к.н. 61:37:0100101:40 (ориентировочная протяженность ЛЭП – 0,015 км, прибор учёта электроэнергии–1 шт).</t>
  </si>
  <si>
    <t>Строительство участка ВЛ-0,4 кВ от опоры № 1, ВЛ-0,4 кВ № 1, КТП 516, ВЛ 10 № 2 Л-СП 3, ПС 110/10 кВ «Богатовская ПТФ», для подключения строящегося жилого дома Борисовой А.Н., расположеннго по адресу: Ростовская обл., Белокалитвинский р-н, х. Богатов., ул. Сосновая,  д 32, КН № 61:04:0080201:248 (ориентировочная протяженность ЛЭП – 0,150 км)</t>
  </si>
  <si>
    <t>Строительство участка ВЛ-0,4 кВ от опоры № 10, ВЛ-0,4 кВ № 1, КТП 397, ВЛ 10 кВ № 2, ПС 35/10 кВ «Нижнепоповская», для подключения жилого дома Бородиной Т.И., расположенного по адресу: Ростовская обл., Белокалитвинский р-н, х. Нижнепопов, ул. 2-я д. 3, кв. 2., КН № 61:04:0150204:161 (ориентировочная протяженность ЛЭП – 0,232 км)</t>
  </si>
  <si>
    <t>Строительство участка ВЛИ-0,4 кВ от опоры № 2, ВЛ-0,4 кВ №2, МТП № 64, ВЛ-10 кВ № 3, ПС 35/10 кВ «Каменская СХТ» для подключения строящегося жилого дома Лознева В.В. расположенного по адресу: Ростовская обл., Каменский р-н, х. Старая Станица, ул. 50 лет Победы, дом № 11, КН ЗУ 61:15:0130103:1280 (ориентировочная протяженность ЛЭП – 0,017 км, прибор учёта электроэнергии – 1 шт)</t>
  </si>
  <si>
    <t>Строительство участка ВЛ-0,4 кВ от опоры № 40/2, ВЛ-0,4 кВ № 2, КТП № 120, ВЛ-10 кВ № 2, ПС 35/10 кВ «Каменская СХТ» для подключения строящегося жилого дома Чокати В.Г. расположенного по адресу: Ростовская обл., Каменский р-н, х. Старая Станица, с восточной стороны земельного участка с КН 61:15:0130106:472, КН ЗУ 61:15:0130106:571 (ориентировочная протяженность ЛЭП – 0,050 км, прибор учета электроэнергии – 1шт).</t>
  </si>
  <si>
    <t>Строительство участка ВЛ-0,4кВ от опоры № 23, ВЛ-0,4кВ № 2, КТП № 71, ВЛ-10кВ № 4, ПС 35/10кВ «Каменская СХТ» для подключения строящегося жилого дома Меркуловой Е.А. расположенного по адресу: Ростовская обл., Каменский р-н, х. Абрамовка, ул. Ленина, д. 73, КН 61:15:0602101:2672 (ориентировочная протяженность ЛЭП – 0,116км, прибор учёта электроэнергии - 1шт.)</t>
  </si>
  <si>
    <t>Строительство участка ВЛ-0,4 кВ от проектируемой   ВЛ-0,4 кВ проектируемой КТП 10/04 кВ (по договору № 61-1-20-00513463 от 15.06.2020 г. и договору № 61-1-20-00513501 от 15.06.2020 г.), от опоры № 82, ВЛ-10 кВ № 7, ПС 110/35/10 кВ «Милютинская», для подключения жилого дома Деменко А.В., расположенного по адресу: Ростовская область, Милютинский район, х.Юдин, пер. Тырсовый, д. 7, к.н. 61:23:030101:160 (ориентировочная протяженность ЛЭП – 0,3 км, прибор учёта электроэнергии - 1шт)</t>
  </si>
  <si>
    <t>Строительство участка ВЛ-0,4 кВ от КТП № 189, ВЛ-6 кВ «Кирова», ПС 35/6 кВ «Б-6», для подключения сооружения транспорта и связи ИП Кондакова Е.И., расположенного по адресу: Ростовская обл., Тацинский р-н, п. Жирнов, примерно в 4,1 км на юго-восток от п. Жирнов, к.н. № 61:38:0600008:1410 (ориентировочная протяженность ЛЭП – 0,3 км)</t>
  </si>
  <si>
    <t>Строительство участка ВЛИ-0,4 кВ от РУ-0,4 кВ КТП № 311, ВЛ-10 кВ № 4, ПС 110/10 кВ «Волченская ПТФ», для подключения жилого дома Краснова М.В. расположенного по адресу: Ростовская обл., Каменский р-н, х. Волченский, ул. Садовая, д. № 12, КН 61:15:0040101:450 (ориентировочная протяженность ЛЭП – 0,254 км, прибор учёта электроэнергии - 1шт)</t>
  </si>
  <si>
    <t>Строительство участка ВЛ-0,4 кВ от опоры № 7, ВЛ-0,4 кВ № 1, КТП № 355, ВЛ-10 кВ № 4, ПС 35/10 кВ «Верхне-Кольцовская», для подключения ВРУ-0,4 кВ жилого дома Карасева В.А., расположенного по адресу: Ростовская область, Тацинский район, ст. Ермаковская, пер. Нижний, д. 2, корп. А, к.н. 61:38:0080101:1745 (ориентировочная протяженность ЛЭП – 0,37 км, прибор учёта электроэнергии - 1шт)</t>
  </si>
  <si>
    <t>Строительство участка ВЛ-0,4 кВ от опоры № 12 ВЛ-0,4 кВ №2 КТП № 426, ВЛ-10 кВ № 3, ПС 35/10 кВ «Нижнепоповская», для подключения малоэтажной жилой застройки Буценко Михаила Владимировича, расположенного по адресу: Ростовская обл., Белокалитвинский р-н, п. Сосны, ул. Октябрьская, КНЗУ 61:04:0150415:316 (ориентировочная   протяженность ЛЭП – 0,220 км, прибор учёта электроэнергии - 1шт)</t>
  </si>
  <si>
    <t>Строительство участка ВЛ-0,4 кВ от опоры № 24 ВЛ 0,4 кВ № 2, КТП № 953, ВЛ-10 кВ фид «Западной», ПС 35/10 кВ «Ш-26», для подключения ВРУ-0,4 кВ нежилой застройки Гончарова В.А., расположенного по адресу: Ростовская область, Белокалитвинский р-н, х. Западный, ул. Садовая, д. 40 д, к.н. 61:04:0080301:131 (ориентировочная протяженность ЛЭП – 0,221 км, прибор учёта электроэнергии - 1шт)</t>
  </si>
  <si>
    <t>Строительство участка ВЛ-0,4 кВ от опоры №14, ВЛ-0,4 кВ №1, КТП 378, ВЛ-10 кВ №2, ПС 35/10 кВ "Селивановская", для подключения жилого дома Череватенко А.П., расположенного по адресу: Ростовская область, Милютинский р-н, ст. Селивановская, ул. Заречная, дом №2, КН № 61:23:080101:0378 (ориентировочная протяженность ЛЭП 0,110 км)</t>
  </si>
  <si>
    <t>Строительство участка ВЛ-0,4 кВ от РУ-0,4 кВ, КТП № 93, ВЛ-10 кВ № 1, ПС 35/10 кВ «Успенская», для подключения ВРУ-0,4 кВ жилого дома Овчаренко И.Н., расположенного по адресу: Ростовская область, Милютинский р-н, х. Антоновка, ул. Твердохлебовка, д. 10, к.н. 61:23:0040101:593 (ориентировочная протяженность ЛЭП – 0,32 км, прибор учёта электроэнергии - 1шт)</t>
  </si>
  <si>
    <t>Строительство участка ВЛ-0,4 кВ от опоры №1 ВЛ-0,4кВ №1, КТП № 204, ВЛ-10 кВ № 4, ПС 110/35/10 кВ «Б-11», для подключения жилого дома Шулева С.Г., расположенного по адресу: Ростовская обл., Морозовский р-н,г. Морозовск, ул. Каруна, 8/92, к.н. 61:24:0014007:92 (ориентировочная   протяженность ЛЭП – 0,13 км, прибор учёта электроэнергии - 1шт)</t>
  </si>
  <si>
    <t>Строительство участка ВЛ-0,4 кВ от опоры № 31, ВЛ-0,4 кВ №4, КТП № 73, ВЛ-10 кВ № 3, ПС 35/10 кВ «Советская-1», для подключения сторожевого дома Оберемко В.Н. расположенного по адресу: Ростовская обл., Советский р-н, ст Советская, примерно 0,16 км на восток от ориентира  ст. Советская, КНЗУ 61:36:0600002:443 (ориентировочная протяженность ЛЭП – 0,2 км, прибор учёта электроэнергии - 1шт)</t>
  </si>
  <si>
    <t>Строительство участка ВЛ-10 кВ от опоры № 39, ВЛ-10 кВ № 4, ПС 35/10 кВ «Тацинская СХТ», ТП 10/0,4 кВ и ВЛ-0,4 кВ от РУ-0,4 кВ проектируемой ТП 10/0,4 кВ, для подключения строящегося нежилого здания ИП Громова А.А, расположенного по адресу: Ростовская обл., Тацинский р-н, Тацинское сельское поселение, ст-ца Тацинская, ул. Пролетарская, д. 139-к, КН ЗУ 61:38:0010122:90 (ориентировочная протяженность ЛЭП –0,124 км, трансформаторная мощность – 0,1 МВА, прибор учёта электроэнергии - 1шт.)</t>
  </si>
  <si>
    <t>Строительство участка ВЛ-0,4 кВ от опоры № 1, ВЛ-0,4 кВ № 3, КТП № 259, ВЛ-10 кВ № 3, ПС 35/10 кВ «Алифановская», для подключения ВРУ-0,4 кВ жилого дома Литвинова Н.Г, расположенного по адресу: Ростовская область, Тацинский район, х. Потапов, ул. Мира, д. 3, к.н. 61:38:030901:0097 (ориентировочная протяженность ЛЭП – 0,523 км, прибор учёта электроэнергии - 1шт)</t>
  </si>
  <si>
    <t>Строительство участка ВЛ-0,4 кВ от опоры № 6, ВЛ-0,4 кВ № 2, КТП № 259, ВЛ-10 кВ № 3, ПС 35/10 кВ «Алифановская», для подключения ВРУ-0,4 кВ жилого дома Кононовой Л.В., расположенного по адресу: Ростовская область, Тацинский район, х. Потапов, ул. Набережная, д. 19, к.н. 61:38:0030901:11 (ориентировочная протяженность ЛЭП – 0,295 км, прибор учёта электроэнергии - 1шт)</t>
  </si>
  <si>
    <t>Строительство ВЛ-10 кВ от опоры № 73 по ВЛ-10 кВ № 5 ПС 110/10 кВ «Дегтевская» с установкой КТП и строительством ВЛ-0,4 кВ, для технологического присоединения БС 61-02516 заявителя,  ПАО «Мобильные ТелеСистемы, расположенной в Ростовской области, Миллеровский р-н, сл. Дегтево,  (61:22:0600006:820) (ориентировочная   протяженность ЛЭП – 5,52 км, ориентировочная мощность ТП – 0,04 МВА)</t>
  </si>
  <si>
    <t>Строительство ВЛ-10 кВ от опоры № 42 по ВЛ-10 кВ № 1 ПС 220/110/10 кВ «Вешенская 2» с установкой КТП и строительством ВЛ-0,4 кВ», для технологического присоединения жилых домов заявителей, Симонова М.Ю. и Лапина Е.А., расположенных в Ростовской области, Шолоховский р-н, х. Калининский, ул. Газовиков 30, Газовиков 32 (61:43:0050101:658, (61:43:0050101:720) (ориентировочная   протяженность ЛЭП – 0,51 км, ориентировочная мощность ТП – 0,04 МВА)</t>
  </si>
  <si>
    <t>Строительство ВЛ-0,4 кВ от опоры №2 ВЛ-0,4кВ №2 ТП №606/100 кВА по ВЛ-10 кВ №3 ПС 110/10кВ "Промзона" с установкой на границе земельного участка Заявителя шкафа 0,4 кВ с коммутационным аппаратом для технологического присоединения жилого дома заявителя Орлянский О.И., расположенного в Ростовской области Миллеровский р-н , х. Терновой, пер.Новый д.1 (61:22:0061001:823) (ориентировочная протяженность ЛЭП-0,04км,)</t>
  </si>
  <si>
    <t xml:space="preserve">Строительство ВЛ-0,4 кВ от РУ 0,4 кВ КТП-10/0,4 №221 по ВЛ-10 кВ № 2 ПС 110/35/10 кВ «Вешенская 1», для электроснабжения жилых домов заявителей, Абакумовой Т.В. и Михайловского М.К., расположенных в Ростовской области, Шолоховский р-н, х. Зубковский, ул. Решетовская 28, ул. Решетовская 35, (61:43:0030301:315), (61:43:0030301:117), (ориентировочная протяженность ЛЭП 1,05 км)
</t>
  </si>
  <si>
    <t>Строительство ВЛ-10 кВ от опоры №173 по ВЛ-10 кВ №5 ПС 110/35/10 кВ "ГОК" с установкой КТП и строительством ВЛ-0,4 кВ, для технологического присоединения БС 61-02519 заявителя, ПАО "Мобильные ТелеСистемы, расположенной в Ростовской области, Миллеровский р-н, Верхнеталовское сельское поселение, (61:22:0600023:459), (ориентировочная протяженность ЛЭП- 0,045 км, ориентировочная мощность ТП- 0,025 МВА)</t>
  </si>
  <si>
    <t>Строительство ВЛ-10 кВ от проектируемой ВЛ 10 кВ (строящейся по договору № 61-1-19-00440933 от 13.05.2019г.) от опоры №73 ВЛ-10 кВ №5 ПС 110/10 кВ «Дегтевская» с установкой КТП и строительством ВЛ-0,4 кВ, для электроснабжения придорожного сервиса заявителя, ИП Пятицкой Е.И., расположенного в Ростовской области, Миллеровский р-н, северо-западная сторона сл. Дегтево, (61:22:0600006:820) (ориентировочная   протяженность ЛЭП – 5,52 км, ориентировочная мощность ТП – 0,063 МВА)</t>
  </si>
  <si>
    <t>Строительство ВЛ-10 кВ от опоры №94/110 по ВЛ-10 кВ №1 ПС 110/35/10 кВ "Сулин"с установкой КТП и строительством  ВЛ- 0,4 кВ, для технологического  присоединения распределительного щита заявителя, ФГКУ "Пограничное управление ФСБ РФ по Ростовской области", расположенного в Ростовской области, Миллеровский р-н, Сулинское сельское поселение, (к.н. 61:22:0600018:459) (ориентировочная протяженность ЛЭП- 0,66 км., ориентировочная мощность ТП- 0,025 МВА)</t>
  </si>
  <si>
    <t>Строительство ВЛ-0,4 кВ от КТП 10/0,4 кВ №76 по ВЛ-10 кВ №3 ПС 35/10 кВ "Боковская", для технологического присоединения гаража заявителя Васильева В.М., расположенного в Ростовской области, Боковский р-н, ст. Боковская, ул. Гагарина 8Б,(61:05:0010101:726) (ориентировочная протяженность ЛЭП-0,047км,)»</t>
  </si>
  <si>
    <t>Строительство ВЛ-0,4 кВ от опоры №19 ВЛ-0,4 кВ №2 ТП-10/0,4 кВ №50 по ВЛ-10 кВ №6 ПС 110/35/10 кВ «Кашарская», обеспечение коммерческим учетом электрической энергии (мощности) в точке поставки и установка шкафа 0,4 с коммутационными аппаратами, для технологического присоединения сельскохозяйственного производства заявителя, ИП Решетько В.А., расположенное Ростовская область, Кашарский р-н, с. Лысогорка (к.н. 61:16:0600010:347) (ориентировочная протяженность ЛЭП – 0,077 км)</t>
  </si>
  <si>
    <t>Строительство ВЛ-0,4 кВ от опоры №3 по ВЛ-0,4кВ №3 КТП-10/0,4 кВ №369 по ВЛ-10 кВ №2 ПС 35/10 кВ "Колундаевская"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кухни заявителя, Ильиной Н.Н., расположенной  Ростовская область, Шолоховский р-н, х. Поповский, ул. Школьная, д. 8, (к.н.з.у. 61:43:0090701:162) (ориентировочная протяженность ЛЭП-0,17 км)</t>
  </si>
  <si>
    <t>Строительство ВЛ-0,4 кВ от опоры №4 по ВЛ-0,4кВ №3 КТП-10/0,4 кВ №333 по ВЛ-10 кВ №2 ПС 35/10 кВ "Терновская-2",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жилого дома заявителя, Поповой Н.И., расположенного по адресу:  Ростовская область, Шолоховский р-н, ст-ца. Еланская, ул. Донская, д. 4, (к.н.з.у. 61:43:0020301:141) (ориентировочная протяженность ЛЭП-0,1 км)</t>
  </si>
  <si>
    <t>Строительство ВЛ-0,4 кВ от опоры №19 по ВЛ-0,4кВ №3 КТП-10/0,4 кВ №26 по ВЛ-10 кВ №1 ПС 35/10 кВ "Базковская"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квартиры заявителя, Кисель Н.И., расположенной  Ростовская область, Шолоховский р-н, ст. Базковская, ул. Калинина, д. 62, (к.н.з.у. 61:43:0010102:1415) (ориентировочная протяженность ЛЭП-0,17 км)</t>
  </si>
  <si>
    <t>Строительство ВЛ-10 кВ от опоры №7 по ВЛ-10 кВ №2  ПС 110/35/10 кВ "Калининская" с установкой КТП и строительством ВЛ-0,4 кВ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строящегося склада  заявителя, ИП Глава КФХ Лащенов А.И., расположенного в  Ростовская область, Шолоховский р-н, пс. Межселенная территория, по границе СПК Калининское,  (61:23:0600016:249) (ориентировочная протяженность ЛЭП-0,02 км, ориентировочная мощность ТП- 0,025 МВА)</t>
  </si>
  <si>
    <t>Строительство ВЛ-10 кВ от опоры №72/166 по ВЛ-10 кВ №3  ПС 35/10 кВ "Мальчевская" с установкой КТП и строительством ВЛ-0,4 кВ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гостиници  заявителя, ИП Позигун И.Н., расположенного в  Ростовская область, Миллеровский  р-н,  (61:22:0600008:1226) (ориентировочная протяженность ЛЭП-0,18 км, ориентировочная мощность ТП- 0,160 МВА)</t>
  </si>
  <si>
    <t>Строительство ВЛ-0,4 кВ от опоры №18 по ВЛ-0,4 кВ №1 КТП-10/0,4 кВ №206 по ВЛ-10 кВ №1 ПС 110/35/10 кВ "Вешенская 1",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жилого дома  заявителя, Конышева В.Н., расположенной  Ростовская область, Шолоховский р-н, х. Дубровский, ул. Центральная, д. 4  (к.н.з.у.61:43:0030101:152) (ориентировочная протяженность ЛЭП-0,13 км)</t>
  </si>
  <si>
    <t>Строительство ВЛ-0,4 кВ от опоры №16/13 по ВЛ-0,4 кВ №1 КТП-10/0,4 кВ №220 по ВЛ-10 кВ №2 ПС 110/35/10 кВ «Вешенская 1»,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жилого дома заявителя, Крымцевой Е.Г., расположенного Ростовская область, Шолоховский р-н, х. Зубковский, ул. Заречная, д. 12, (к.н.з.у. 61:43:0030301:205) (ориентировочная протяженность ЛЭП – 0,1 км) (1 шт)</t>
  </si>
  <si>
    <t>Строительство ВЛ-10 кВ от опоры № 146/100 по ВЛ-10 кВ № 18 ПС 110/35/10 кВ «ГОК» с установкой КТП и строительством ВЛ-0,4 кВ,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сельскохозяйственной ярмарки заявителя, ИП Салманов Н.М., расположенного в Ростовской области, Миллеровский р-н, Первомайское сельское поселение,  (61:22:0600028:963) (ориентировочная   протяженность ЛЭП – 0,057 км, ориентировочная мощность ТП – 0,025 МВА) (1 шт.)</t>
  </si>
  <si>
    <t>Строительство ВЛ-0,4 кВ от опоры №17 по ВЛ-0,4 кВ №2 КТП-10/0,4 кВ №206 по ВЛ-10 кВ №1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Пинкина Н.И., расположенного Ростовская область, Шолоховский р-н, х. Дударевский, ул. Центральная, д. 54, (к.н.з.у. 61:43:0030101:1264) (ориентировочная протяженность ЛЭП – 0,06 км) (1 шт)</t>
  </si>
  <si>
    <t>Строительство ВЛ-0,4 кВ от опоры №6 по ВЛ-0,4 кВ №1 КТП-10/0,4 кВ №227 по ВЛ-10 кВ №2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Кривошлыковой Е.И., расположенного по адресу: Ростовская область, Шолоховский р-н, х. Зубковский, ул. Лесная, д. 63, (к.н.з.у. 61:43:0030301:147) (ориентировочная протяженность ЛЭП – 0,36 км) (1 шт.)</t>
  </si>
  <si>
    <t>Строительство ВЛ-0,4 кВ от опоры №52/3 по ВЛ-0,4 кВ №2 КТП-10/0,4 кВ №284 по ВЛ-10 кВ №5 ПС 35/10 кВ «Ореховская»,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личного подсобного хозяйства заявителя, Шишкова Ю.А., расположенного по адресу: Ростовская область, Миллеровский р-н, х. Ореховка, (к.н.з.у. 61:22:0600027:2077) (ориентировочная протяженность ЛЭП – 0,055 км) (1 шт.)</t>
  </si>
  <si>
    <t>Строительство ВЛ-0,4 кВ от опоры №8 по ВЛ-0,4 кВ №1 КТП-10/0,4 кВ №165 по ВЛ-10 кВ №5 ПС 35/10 кВ «Долотинская»,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Думина С.А., расположенного по адресу: Ростовская область, Миллеровский р-н, х. Новоалександровка, ул. Горная, д. 11 (к.н.з.у. 61:22:0060901:21) (ориентировочная протяженность ЛЭП – 0,3 км) (1 шт.)</t>
  </si>
  <si>
    <t>Строительство ВЛ-10 кВ от опоры № 81 по ВЛ-10 кВ № 2 ПС 35/10 кВ «Криворожская» с установкой КТП и строительством ВЛ-0,4 кВ, установка коммерческого учета электрической энергии (мощности) в точке поставки и установка шкафа 0,4 кВ с коммутационным аппаратом, для технологического присоединения ангара заявителя, ИП Шоста А.Н., расположенного в Ростовской области, Миллеровский р-н, сл. Криворожье, Криворожское сельское поселение,  (61:22:0600024:703) (ориентировочная   протяженность ЛЭП – 0,026 км, ориентировочная мощность ТП – 0,025 МВА) (1 шт.)</t>
  </si>
  <si>
    <t>Строительство ВЛ-0,4 кВ от опоры №13 по ВЛ-0,4 кВ №1 КТП-10/0,4 кВ №662 по ВЛ-10 кВ №1 ПС 35/10 кВ «Криворожская»,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сельскохозяйственного ангара заявителя, Луганцева А.С., расположенного по адресу: Ростовская область, Миллеровский р-н, Криворожское сельское поселение (к.н.з.у. 61:22:0600024:710) (ориентировочная протяженность ЛЭП – 0,05 км) (1 шт.)</t>
  </si>
  <si>
    <t>Строительство ВЛ-0,4 кВ от опоры №13/14 по ВЛ-0,4 кВ №3 КТП-10/0,4 кВ №210 по ВЛ-10 кВ №1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Фроловой В.В., расположенного по адресу: Ростовская область, Шолоховский р-н, х. Антиповский, ул. Школьная, д. 78, (к.н.з.у. 61:43:0030201:206) (ориентировочная протяженность ЛЭП – 0,12 км) (1 шт.)</t>
  </si>
  <si>
    <t>Строительство ВЛ-0,4 кВ от опоры №3/5 по ВЛ-0,4 кВ №2 ЗТП-10/0,4 кВ №379 по ВЛ-10 кВ №3 ПС 35/10 кВ «Колундаевская»,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Афанасьева П.Н., расположенного по адресу: Ростовская область, Шолоховский р-н, х. Колундаевский, ул. Школьная, д. 4, (к.н.з.у. 61:43:0060101:1105) (ориентировочная протяженность ЛЭП – 0,075 км) (1 шт.)</t>
  </si>
  <si>
    <t>Строительство ВЛ-0,4 кВ от опоры №12 по ВЛ-0,4 кВ №3 КТП-10/0,4 кВ №104 по ВЛ-10 кВ №1 ПС 35/10 кВ «Базковская»,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Медведевой Н.М., расположенного по адресу: Ростовская область, Шолоховский р-н, х. Громковский, ул. Советская, д. 302 а, (к.н.з.у. 61:43:0010501:968) (ориентировочная протяженность ЛЭП – 0,085 км) (1 шт.)</t>
  </si>
  <si>
    <t>Строительство ВЛ-10 кВ от опоры № 170 по ВЛ-10 кВ № 4 ПС 35/10 кВ «Кружилинская» с установкой КТП и строительством ВЛ-0,4 кВ, установку коммерческого учета (3 шт.) электрической энергии (мощности) в точке поставки и установка шкафов 0,4 кВ с коммутационным аппаратом, для технологического присоединения жилых домов заявителей, Заикина В.В., Чернышевой Ю.В., и Торопова А.В., расположенных в Ростовской области, Шолоховский р-н, х. Чукаринский, ул Сосновая 26, ул. Сосновая 28, ул. Сосновая 30 (61:43:0070501:206, 61:43:0070501:205, 61:43:0070501:207) (ориентировочная   протяженность ЛЭП – 0,24 км, ориентировочная мощность ТП – 0,063 МВА) (3 шт.)</t>
  </si>
  <si>
    <t>Строительство ВЛ-10 кВ от опоры № 3/51/209 по ВЛ-10 кВ № 18 ПС 110/35/10 кВ «ГОК» с установкой ТП и строительством ВЛ-0,4 кВ, установка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мастерской по ремонту сельскохозяйственной техники заявителя, ООО «Агросервис», расположенной в Ростовской области, г.  Миллерово,  (61:54:0100001:17) (ориентировочная   протяженность ЛЭП – 0,48 км, ориентировочная мощность ТП – 0,16 МВА)</t>
  </si>
  <si>
    <t>Строительство ВЛ-0,4 кВ от опоры №5 ВЛ 0,4 кВ №2 КТП-10/0,4 кВ №722 по ВЛ-10 кВ №5 ПС 110/10 кВ «Маяк»,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базовой станции заявителя, ООО «Т2 Мобайл», расположенной по адресу: Ростовская область, Миллеровский р-н, сл. Никольская, ул. Российская, д. 12, кв. 2, к.н.з.у. 61:22:0100101:53 (ориентировочная протяженность ЛЭП – 0,16 км)</t>
  </si>
  <si>
    <t>Строительство ВЛ-0,4 кВ от опоры №2/27 по ВЛ-0,4 кВ №2 КТП-10/0,4 кВ №28 по ВЛ-10 кВ №4 ПС 35/10 кВ «Боковская»,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Гладковой Н.В., расположенного по адресу: Ростовская область, Боковский р-н, х. Дуленков, ул. Огородная, д. 23-Г, (к.н.з.у. 61:05:0010603:198) (ориентировочная протяженность ЛЭП – 0,066 км)</t>
  </si>
  <si>
    <t>Строительство ВЛ-10 кВ от опоры № 5/164 по ВЛ-10 кВ № 2 ПС 110/35/10 кВ «Сохрановская» с установкой КТП и строительством ВЛ-0,4 кВ, установка приборов учета электрической энергии (мощности) в точках поставки и установка шкафов ( 0,4 кВ) с коммутационными аппаратами, для технологического присоединения гостиницы и объекта общественного питания Заявителя, Курганской Л.А., расположенных в Ростовской области, Чертковский р-н, х. Нагибин, ул. Молодежная 53, 55,  (ориентировочная   протяженность ЛЭП – 0,322 км, ориентировочная мощность ТП – 0,16 МВА, количество приборов учёта 0,4 кВ – 2 шт.)</t>
  </si>
  <si>
    <t>Строительство ВЛ-0,4 кВ от опоры №3/13 ВЛ-0,4 кВ №1 КТП-10/0,4 кВ №132 по ВЛ-10 кВ №1 ПС 35/10 кВ «В. Чирская», установка прибора коммерческого учета электрической энергии (мощности) в точке поставки и установка шкафа 0,22 кВ с коммутационным аппаратом, (1 шт.) для технологического присоединения модульного ФАП заявителя, МБУЗ «Центральная районная больница Боковского района», расположенного по адресу: Ростовская область, Боковский р-н, х. Большенаполовский, ул. Школьная, д. 71 а, (к.н.з.у. 61:05:0020204:438) (ориентировочная протяженность ЛЭП – 0,03 км)</t>
  </si>
  <si>
    <t>Строительство ВЛ-10 кВ от опоры № 35 по ВЛ-10 кВ № 2 ПС 35/10 кВ «Курская» с установкой КТП и строительством ВЛ-0,4 кВ, установка коммерческого учета электрической энергии (мощности) в точке поставки и установка шкафа 0,4 кВ с коммутационным аппаратом, для технологического присоединения ангара заявителя, ИП Глава КФХ Петров Н.Ю., расположенного в Ростовской области, Миллеровский р-н, Криворожское сельское поселение,  (61:22:0600020:466) (ориентировочная   протяженность ЛЭП – 1,355 км, ориентировочная мощность ТП – 0,025 МВА) (1 шт)</t>
  </si>
  <si>
    <t>Строительство ВЛ-10 кВ от опоры № 10/92 по ВЛ-10 кВ № 7 ПС 110/35/10 кВ «Сулин» с установкой КТП и строительством ВЛ-0,4 кВ, установка коммерческого учета электрической энергии (мощности) в точке поставки и установка шкафа 0,4 кВ с коммутационным аппаратом, для технологического присоединения коровника заявителя, ИП Глава КФХ Ломатченко Ю.А., расположенного в Ростовской области, Миллеровский р-н, Сулинское сельское поселение,  (61:22:0600022:800) (ориентировочная   протяженность ЛЭП – 2,05 км, ориентировочная мощность ТП – 0,025 МВА) (1 шт.)</t>
  </si>
  <si>
    <t>Строительство ВЛ-10 кВ от опоры № 22/52 по ВЛ-10 кВ № 1 ПС 110/10 кВ «Дегтевская» с установкой КТП и строительством ВЛ-0,4 кВ», обеспечение коммерческим учетом электрической энергии (мощности) в точке поставки и установка шкафа 0,4 кВ с коммутационными аппаратами, для технологического присоединения ангара заявителя, ИП Беличенко А.Е., расположенного Ростовская область, Миллеровский р-н, (к.н.з.у. 61:22:0600006:1227) (ориентировочная протяженность ЛЭП – 0,955 км, ориентировочная мощность ТП – 0,025 МВА)</t>
  </si>
  <si>
    <t>Строительство ВЛ-10 кВ от опоры № 234/45 по ВЛ-10 кВ № 1 ПС 110/35/10 кВ «Вешенская 1» с установкой КТП и строительством ВЛ-0,4 кВ», для технологического присоединения жилого дома заявителя, Дударевой А.П., расположенного в Ростовской области, Шолоховский р-н, х. Щебуняевский, ул. Песчаная 9 (61:43:0080601:14, (ориентировочная протяженность ЛЭП – 0,96 км, ориентировочная мощность ТП – 0,025 МВА)</t>
  </si>
  <si>
    <t xml:space="preserve">Строительство ВЛ-0,4 кВ от РУ 0,4 кВ КТП-10/0,4 кВ №249 по ВЛ-10 кВ №6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Бесхлебнова А.Ф., расположенного по адресу: Ростовская область, Шолоховский р-н, х. Черновский, ул. Заречная, д.1, (к.н.з.у. 61:43:0060801:441) (ориентировочная протяженность ЛЭП – 0,86 км) </t>
  </si>
  <si>
    <t>Строительство ВЛ-10 кВ от опоры № 187 по ВЛ-10 кВ № 6 ПС 110/35/10 кВ «Сохрановская» с установкой КТП и строительством ВЛ-0,4 кВ», для технологического присоединения станции техобслуживания заявителя,  ИП Мухамедова И.М., расположенной в Ростовской области, Чертковский р-н, х. Нагибин,  (61:42:0600003:669) (ориентировочная   протяженность ЛЭП – 1,88 км, ориентировочная мощность ТП – 0,250 МВА)</t>
  </si>
  <si>
    <t>Строительство ВЛ-10кВ от опоры № 203 по ВЛ-10кВ № 4 ПС 110/35/10 кВ "Ал. Лозовская" с установкой КТП и строительством ВЛ-0,4кВ", для технологического присоединения базовой станции №61-02514 ПАО Мобильные ТелеСистемы, расположенной в Ростовской области, Чертковский р-н, х. Ястребиновский, (61:42:06000018) (ориентировочная протяженность ЛЭП 2,31км, ориентировочная мощность ТП 0,025МВА)</t>
  </si>
  <si>
    <t>Строительство ВЛ 0,4 кВ от ВЛ 0,4 кВ №1 КТП №629 ВЛ 10 кВ №501 ПС 35 кВ АС5 для электроснабжения ВРУ 0,4 кВ жилого дома Апальковой Ю. А. на участке с КН 61:02:0020101:131 в х. Алитуб Аксайского района Ростовской области (ориентировочная протяжённость ЛЭП 0,028 км)</t>
  </si>
  <si>
    <t xml:space="preserve">Строительство ВЛ 0,4 кВ от сущ. опоры №1/10 ВЛ 0,4 кВ №1 КТП 10/0,4 кВ № 89 ВЛ 10 кВ №706 ПС 110/10 кВ АС 7 для электроснабжения ВРУ 0,4 кВ жилого дома Бандурина В.А. на участке с КН 61:02:00600007:2787, в п. Красный Колос, ул, Казачья, 8, Аксайский район Ростовской области </t>
  </si>
  <si>
    <t>Строительство ВЛ 0,4 кВ от ВЛ 0,4 кВ №2 КТП №72 ВЛ 6 кВ №804 ПС 35 кВ АС8 для электроснабжения ВРУ 0,4 кВ жилого дома Басенко Е. В. на участке с КН 61:02:0600010:3456 в п. Российский Аксайского района Ростовской области (ориентировочная протяжённость ЛЭП 0,055 км)</t>
  </si>
  <si>
    <t>Строительство ТП 10/0,4 кВ, ВЛ 0,4 кВ,  ВЛ 10 кВ от ВЛ 10 кВ №1003 ПС 110 кВ АС10 для электроснабжения жилого дома Вуколова К.В. По ул. Краузиной, 6 в ст-це Грушевская Аксайского района Ростовской области (ориентировочная мощность трансформатора 0,250 МВА, ориентировочная протяженность ЛЭП 0,280 км)</t>
  </si>
  <si>
    <t>«Строительство ВЛ 0,4 кВ от ВЛ 0,4 кВ №4 техперевооружаемой КТП №190 (по договору №61-1-19-00484861 от 28.11.2019 г.) ВЛ 10 кВ №1513 ПС 110 кВ АС15 для электроснабжения ВРУ 0,4 кВ жилого дома Гурулева М. В. по ул. Грушевая, 5 в п. Водопадный Аксайского района Ростовской области (ориентировочная протяжённость ЛЭП 0,168 км)»</t>
  </si>
  <si>
    <t xml:space="preserve">Строительство ВЛ 0,4 кВ от ВЛ 0,4 кВ №1 КТП №146 ВЛ 10 кВ №434 ПС 220 кВ Р4, КЛ 0,4 кВ РУ 0,4 кВ КТП №231 ВЛ 10 кВ №441 ПС 220 кВ Р4 для электроснабжения детского сада на 60 мест на участке с КН 61:02:0010148:59 в п. Янтарный Аксайского района Ростовской области (ориентировочная протяжённость ЛЭП 0,33 км)
</t>
  </si>
  <si>
    <t>«Строительство ВЛ 0,4 кВ от РУ 0,4 кВ техперевооружаемой КТП №190 (по договору №61-1-19-00484861 от 28.11.2019 г.) ВЛ 10 кВ №1513 ПС 110 кВ АС15 для электроснабжения ВРУ 0,4 кВ жилого дома Жалолова Р. Н. по ул. Вишневая, 2/12 в п. Водопадный Аксайского района Ростовской области (ориентировочная протяжённость ЛЭП 0,076 км)»</t>
  </si>
  <si>
    <t>Строительство ВЛ 0,4 кВ от ВЛ 0,4 кВ №1 КТП №450 ВЛ 10 кВ №1103 ПС 110 кВ АС11 для электроснабжения ВРУ 0,4 кВ жилого дома Кабраль Д. С. на участке с КН 61:02:0600009:3051 в ст-це Мишкинская Аксайского района Ростовской области (ориентировочная протяжённость ЛЭП 0,085 км)</t>
  </si>
  <si>
    <t>Строительство ВЛ 0,4 кВ от РУ 0,4 кВ КТП №72 ВЛ 6 кВ №804 ПС 35 кВ АС8 для электроснабжения ВРУ 0,4 кВ жилого дома Перелыгина Р. А. по ул. Еловая, 20/17 в п. Российский Аксайского района Ростовской области (ориентировочная протяжённость ЛЭП 0,240 км)</t>
  </si>
  <si>
    <t>Строительство ВЛ 0,4 кВ от РУ 0,4 кВ КТП №95 ВЛ 6 кВ №305 ПС 35 кВ АС3 для электроснабжения автомойки ИП Ткачевой В. А. на участке с КН 61:02:0120103:799 в г. Аксае Аксайского района Ростовской области (ориентировочная протяжённость ЛЭП 0,2 км)</t>
  </si>
  <si>
    <t>Строительство ВЛ 0,4 кВ от ВЛ 0,4 кВ №1 КТП №148 ВЛ 6 кВ №802 ПС 35 кВ АС8 для электроснабжения ВРУ 0,4 кВ жилых домов по адресу: Ростовская обл., Аксайский р-н, п. Опытный, с/т “Энергетик” (ориентировочная протяжённость ЛЭП 0,190 км)</t>
  </si>
  <si>
    <t>Строительство ВЛ 0,4 кВ от ВЛ 0,4 кВ №2 КТП №137 ВЛ 10 кВ №108 ПС 110 кВ БГ1 для электроснабжения жилого дома Исаева И. по адресу РО, Багаевский район, х. Елкин, пер. Северный, д. 28, к.н. 61:03:0030133:16. (ориентировочная протяжённость ЛЭП 0,145 км)</t>
  </si>
  <si>
    <t>Строительство ВЛ 0,4 кВ от ВЛ 0,4 кВ №1 КТП №147 ВЛ 10 кВ №307 ПС 35 кВ БГ3 для электроснабжения теплицы Хамдиева А.Х. по адресу РО, Багаевский район, Елкинское сельское поселение, к.н. 61:03:0600002:681. (ориентировочная протяжённость ЛЭП 0,085 км)</t>
  </si>
  <si>
    <t>Строительство ВЛ 0,4 кВ от опоры № 22 ВЛ-0,4 кВ № 3 КТП № 637 ВЛ 10 кВ №608 ПС СМ6  с установкой на границе земельного участка Заявителя прибора учета для электроснабжения ВРУ-0,4 кВ жилого дома заявителя Таировой А.Ш.(1 прибор учета)</t>
  </si>
  <si>
    <t xml:space="preserve">Строительство ВЛ 0,4 кВ от проектируемой ВЛ 0,4 кВ (по договору №61-1-18-00419781 от 27.12.2018 г.) проектируемого КТПН 6/0,4 кВ ВЛ 6 кВ №305 ПС 35 кВ АС3 для электроснабжения ВРУ 0,4 кВ жилых домов на участках с КН 61:02:0600010:14281, 61:02:0600010:14306 в г. Аксае Аксайского района Ростовской области </t>
  </si>
  <si>
    <t xml:space="preserve">Строительство ВЛ 0,4 кВ от ВЛ 0,4 кВ №1 КТП №245 ВЛ 10 кВ №1513 ПС 110 кВ АС15 для электроснабжения ВРУ 0,4 кВ жилых домов Бугаян А. М. на участке с КН 61:02:060010:16034, 61:02:060010:16038 в п. Водопадный Аксайского района Ростовской области (ориентировочная протяжённость ЛЭП 0,130 км)
</t>
  </si>
  <si>
    <t xml:space="preserve">Строительство ВЛ 0,4 кВ от ВЛ 0,4 кВ №1 КТП №11 ВЛ 10 кВ №655 ПС 110 кВ АС6 для электроснабжения устройства катодной защиты филиала ПАО “Газпром газораспределение Ростов-на-Дону” в г. Аксае по адресу: Ростовская обл., р-н Аксайский, ст-ца Старочеркасская </t>
  </si>
  <si>
    <t>«Строительство КТПН 10/0,4 кВ, ВЛ 0,4 кВ, ВЛ 10 кВ от ВЛ 10 кВ №102 ПС 110 кВ АС1 для электроснабжения ВРУ 0,4 кВ гостиничного комплекса Казарян Н. С. на участке с КН 61:02:0000000:6785 в ст-це Ольгинская Аксайского района Ростовской области (ориентировочная мощность трансформатора 0,025 МВА, ориентировочная протяжённость ЛЭП 0,095 км)»</t>
  </si>
  <si>
    <t>Строительство КТПН 10/0,4 кВ, ВЛ 10 кВ, ВЛ 0,4 кВ от ВЛ 10 кВ №103 ПС 110 кВ АС1 для электроснабжения ВРУ 0,4 кВ жилого дома Кораблинова И. А. по ул. Ноябрьская, 34 в х. Островского Аксайского района Ростовской области (ориентировочная мощность трансформатора 0,025 МВА, ориентировочная протяжённость ЛЭП 0,172 км)</t>
  </si>
  <si>
    <t>Строительство КТПН 10/0,4 кВ, ВЛ 10 кВ, ВЛ 0,4 кВ от ВЛ 10 кВ №705 ПС 35 кВ АС7 для электроснабжения ВРУ 0,23 кВ пастбища Кудря О. А. на участке с КН 61:02:0600006:4739 в п. Красный Аксайского района Ростовской области (ориентировочная мощность трансформатора 0,025 МВА, ориентировочная протяжённость ЛЭП 0,050 км)</t>
  </si>
  <si>
    <t>Техническое перевооружение КТП №443 ВЛ 10 кВ №1103 ПС 110 кВ АС11 с заменой силового трансформатора и строительство ВЛ 0,4 кВ от ВЛ 0,4 кВ №2 КТП №443 ВЛ 10 кВ №1103 ПС 110 кВ АС11 для электроснабжения ВРУ 0,4 кВ складов Лиманской Т. В. на участке с КН 61:02:0070501:553 в х. Александровка Аксайского района Ростовской области</t>
  </si>
  <si>
    <t>Строительство ВЛ-0,4 кВ, ВЛ 0,4 кВ от опоры №9 ВЛ 0,4 кВ №3 КТП 10/0,4 кВ №419 ВЛ 10 кВ №1005 ПС 110/10 кВ АС 10 для электроснабжения жилого дома Любимова В.С. на участке с КН 61:02:0030107:281, в ст-це Грушевская Аксайского района Ростовской области (ориентировочная протяженность ЛЭП 0,022 км)</t>
  </si>
  <si>
    <t xml:space="preserve">Строительство ВЛ 0,4 кВ от проектируемой КТПН 10/0,4 кВ (по договору №61-1-19-00460413 от 08.08.2019 г.) КЛ 10 кВ №3ф3 РП-3 КЛ 10 кВ №1532 ПС 110 кВ АС15 для электроснабжения ВРУ 0,4 кВ шиномонтажа Нуриддиновой Т. Ш. по ул. Авиаторов, 4 в г. Аксае Аксайского района Ростовской области </t>
  </si>
  <si>
    <t>«Строительство КТПН 10/0,4 кВ, ВЛ 0,4 кВ, ВЛ 10 кВ от ВЛ 10 кВ №1003 ПС 110 кВ АС10 для электроснабжения ВРУ 0,4 кВ нежилого здания Цветкова В. П. на участке с КН 61:02:0600002:1270 в КСП им. Ленина Аксайского района Ростовской области (ориентировочная мощность трансформатора 0,025 МВА, ориентировочная протяжённость ЛЭП 0,040 км)»</t>
  </si>
  <si>
    <t>Строительство ТП 10/0,4 кВ, ВЛ 10 кВ, ВЛ 0,4 кВ от опоры №219 ВЛ 10 кВ №257 ПС 110 кВ БГ2 для электроснабжения жилого дома Железняковой В.В.  по адресу: Ростовская обл., Багаевский район, х. Усьман, пер. Донской, к.н. 61:03:0600009:376 (ориентировочная мощность трансформатора 0,025 МВА, ориентировочная протяжённость ЛЭП 0,21 км)</t>
  </si>
  <si>
    <t>Строительство ВЛ 0,4 кВ от ВЛ 0,4 кВ №2 КТП №124 ВЛ 10 кВ №108 ПС 110 кВ БГ1 для электроснабжения магазина по адресу РО, Багаевский район, х. Елкин, пер. Центральный, д. 54-д. (ориентировочная протяжённость ЛЭП 0,035 км)</t>
  </si>
  <si>
    <t>Строительство ТП 10/0,4 кВ, ВЛ 0,4 кВ, ВЛ 10 кВ от ВЛ 10 кВ №810 ПС 35 кВ В-8 для электроснабжения вагончика  ИП Главы КФХ Абдуловой С. Р. на участке с КН 61:06:0600004:40 в Веселовском районе Ростовской области, п. Полевой, участок находиться примерно в 1,2 км от ориентира по направлению на юго-восток п. Полевой</t>
  </si>
  <si>
    <t xml:space="preserve">Строительство ВЛ 0,4 кВ от РУ 0,4 кВ  КТП 10/0.4 кВ № 120, ВЛ 10 кВ №405  ПС 35 кВ В4 для электроснабжения магазина ИП Амирханян Ш. В. на участке с КН 61:06:0600012:878 в п. Веселый, ул. Октябрьская, д. 218, Веселовского района, Ростовской области и технической станции Хасанова Ё. О. на участке с КН 61:06:0600012:1096 в п. Веселый, ул. Октябрьская, д. 222-а Веселовского района, Ростовской области (ориентировочная протяжённость ЛЭП 0,330 км)
</t>
  </si>
  <si>
    <t>Строительство ВЛ 0,4 кВ от ВЛ 0,4 кВ №1 КТП №418 ВЛ 10 кВ №810 ПС 35 кВ В8 для электроснабжения шкафа телекоммуникационного ПАО «Ростелеком»  по адресу Ростовская Область, Веселовский район, п. Средний Маныч, вблизи ул. Просвещения. 24, (ориентировочная протяжённость ЛЭП 0,05 км)</t>
  </si>
  <si>
    <t>Строительство ВЛ 0,4 кВ по ВЛ 0,4 кВ №1 КТП №424 ВЛ 10 кВ №708 ПС 35 кВ В7 для электроснабжения мельницы ИП Главы КФХ Самаркина М. Н. по адресу РО, Веселовский район, х. Нижнесоленый, ул. Саманная, 1-а, к.н. 61:06:0020306:34 (ориентировочная протяжённость ЛЭП 0,195 км</t>
  </si>
  <si>
    <t>Строительство ВЛ 0,4 кВ от ВЛ 0,4 кВ №2   КТП №206 ВЛ 10 кВ №211 ПС 110 кВ СМ2 для электроснабжения ВРУ-0,4 кВ Базовой станции сотовой связи БС-1386 заявителя ООО «Т2 Мобайл» по адресу: Ростовская обл., р-н. Семикаракорский, х. Титов, пер. Вишневый, д. 2,  корп. б, кадастровый номер земельного участка: 61:35:0030201:1836</t>
  </si>
  <si>
    <t>Строительство ТП 10/0,4 кВ, ВЛ 10 кВ, ВЛ 0,4 кВ от опоры №5/100 ВЛ 10 кВ №1125 ПС 110 кВ СМ1 для электроснабжения дома культуры заявителя Администрация Новозолотовского сельского поселения по адресу: Ростовская обл., Семикаракорский район, х. Чебачий, ул. Парковая, 11 к.н.:61:35:0060201:730 (ориентировочная мощность трансформатора 0,16 МВА, ориентировочная протяжённость ЛЭП 0,01 км)</t>
  </si>
  <si>
    <t>«Техническое перевооружение КТП №7 ВЛ 10 кВ №657 ПС 110 кВ АС6 с заменой силового трансформатора и строительством ВЛ 0,4 кВ для электроснабжения ВРУ 0,4 кВ жилого дома Борец Т. М. на участке с КН 61:02:0110102:3707 в ст-це Старочеркасская Аксайского района Ростовской области (ориентировочная мощность трансформатора 0,250 МВА, ориентировочная протяжённость ЛЭП 0,060 км)»</t>
  </si>
  <si>
    <t xml:space="preserve">Строительство ВЛ 0,4 кВ от РУ 0,4 кВ КТП №421 ВЛ 10 кВ №1101 ПС 110 кВ АС11 для электроснабжения ВРУ 0,4 кВ жилого дома Галактионова В. Б. по ул. Спортивная, 11 в ст-це Мишкинская Аксайского района Ростовской области (ориентировочная протяжённость ЛЭП 0,249 км)
</t>
  </si>
  <si>
    <t>Техническое перевооружение КТП №138 ВЛ 6 кВ №807 ПС 35 кВ АС8 с заменой силового трансформатора и строительством ВЛ 0,4 кВ для электроснабжения ВРУ 0,4 кВ жилого дома Красовой О. Н. по ул. Пушкина, 7А в х. Большой Лог Аксайского района Ростовской области</t>
  </si>
  <si>
    <t>Строительство КТПН 10/0,4 кВ, ВЛ 10 кВ, ВЛ 0,4 кВ от ВЛ 10 кВ №1103 ПС 110 кВ АС11 для электроснабжения ВРУ 0,4 кВ нежилого помещения Холодовой С. П. на участке с КН 61:02:0600009:907 в х. Киров Аксайского района Ростовской области (ориентировочная мощность трансформатора 0,025 МВА, ориентировочная протяжённость ЛЭП 0,540 км)</t>
  </si>
  <si>
    <t xml:space="preserve">Строительство ВЛ 0,4 кВ от проектируемой ВЛ 0,4 кВ (по договору №61-1-18-00414451 от 03.12.2018 г.) проектируемого КТПН 10/0,4 кВ ВЛ 10 кВ №1203 ПС 110 кВ АС12 для электроснабжения ВРУ 0,4 кВ жилого дома Власова В. В. на участке с КН 61:33:0600015:581 в Родионово-Несветайском районе Ростовской области </t>
  </si>
  <si>
    <t>Строительство ВЛ 0,4 кВ от ВЛ 0,4 кВ №3 КТП №613 ВЛ 10 кВ №101 ПС 110 кВ АС1 для электроснабжения ВРУ 0,4 кВ жилого дома Жукова В. И. на участке с КН 61:02:0090102:3880 в ст-це Ольгинская Аксайского района Ростовской области (ориентировочная протяжённость ЛЭП 0,095 км)</t>
  </si>
  <si>
    <t xml:space="preserve">«Строительство ВЛ 0,4 кВ от РУ 0,4 кВ КТП №653 ВЛ 10 кВ №403 ПС 110 кВ АС4 для электроснабжения ВРУ 0,4 кВ жилого дома Кубанкина А. В. по пер. Новый, 6 в х. Ленина Аксайского района Ростовской области (ориентировочная протяжённость ЛЭП 0,150 км)»
</t>
  </si>
  <si>
    <t>Строительство ВЛ 0,4 кВ от ВЛ 0,4 кВ №2 техперевооружаемой КТП №73 (по договору №61-1-19-00513789 от 10.06.2020 г.) ВЛ 6 кВ №305 ПС 35 кВ АС3 для электроснабжения ВРУ 0,4 кВ жилого дома Манило С. Л. на участке с КН 61:02:0600010:14237 в г. Аксае Аксайского района Ростовской области</t>
  </si>
  <si>
    <t xml:space="preserve">Строительство ВЛ 0,4 кВ от проектируемой ВЛ 0,4 кВ (по договору №61-1-19-00444581 от 03.06.2019 г.) КТП №72 ВЛ 6 кВ №804 ПС 35 кВ АС8 для электроснабжения жилого дома Травенко Н. И. по ул. Еловая, 16 в п. Российский Аксайского района Ростовской области </t>
  </si>
  <si>
    <t>Строительство ТП 6/0,4 кВ, ВЛ 0,4 кВ, ВЛ 6 кВ от ВЛ 6 кВ №806 ПС 35 кВ АС8 для электроснабжения производственно-складского помещения Чернова А. А. на участке с КН 61:02:0600011:2257 в п. Реконструктор Аксайского района Ростовской области (ориентировочная мощность трансформатора 0,063 МВА, ориентировочная протяжённость ЛЭП 0,060 км)</t>
  </si>
  <si>
    <t>Строительство ВЛ 0,4 кВ от ВЛ 0,4 кВ №1 КТП 10/0,4 кВ №83 ВЛ 10 кВ №301 ПС 35 кВ БГ3 для электроснабжения дачного дома Кнышева В.Г. по адресу РО, Багаевский район, п. Дачный, к.н. 61:03:0600004:3857. (ориентировочная протяжённость ЛЭП 0,025 км)</t>
  </si>
  <si>
    <t>Строительство ВЛ 0,4 кВ от ВЛ 0,4 кВ №3 КТП №577 ВЛ 10 кВ №704 ПС 35 кВ БГ7 для электроснабжения жилых домов Негодаева А.Л. и Цой В.В. по адресу РО, Багаевский район, х. Красный, ул. Новая, д. 18, д. 20, к.н. 61:03:0060107:336, к.н. 61:03:0060107:335</t>
  </si>
  <si>
    <t>Строительство ВЛ 0,4 кВ от ВЛ 0,4 кВ №1 КТП 10/0,4 кВ №11 ВЛ 10 кВ №259 ПС 110 кВ БГ2 для электроснабжения жилых домов Самокатовой И.В. и Романенко Т.К. по адресу РО, Багаевский район, ст. Манычская, ул. Озерная д. 3, д. 1, к.н. 61:03:0040130:35, к.н. 61:03:0040130:0034</t>
  </si>
  <si>
    <t>Строительство ВЛ 0,4 кВ от РУ 0,4 кВ КТП 10/0,4 кВ №592 ВЛ 10 кВ №704 ПС 35 кВ БГ7 для электроснабжения склада Штоколова В.И. по адресу РО, Багаевский район, х. Красный, Красненское сельское поселение, к.н. 61:03:0600010:732(1). (ориентировочная протяжённость ЛЭП 0,03 км)</t>
  </si>
  <si>
    <t>Строительство ВЛ 0,4 кВ по ВЛ 0,4 кВ №2 КТП №95 ВЛ 10 кВ №157 ПС 110 кВ В1 для электроснабжения магазина ИП Абдурахмановой А. И. по адресу РО, Веселовский район, п. Веселый, ул. Октябрьская, 1-д, к.н. 61:06:0000000:1868 (ориентировочная протяжённость ЛЭП 0,035 км)</t>
  </si>
  <si>
    <t>Строительство ТП 10/0,4 кВ, ВЛ 0,4 кВ, ВЛ 10 кВ от ВЛ 10 кВ №403 ПС 110 кВ АС4 для электроснабжения склада ИП Быстровой Е. В. на участке с КН 61:02:0600016:4156 в х. Маяковского Аксайского района Ростовской области (ориентировочная мощность трансформатора 0,250 МВА, ориентировочная протяжённость ЛЭП 0,085 км)</t>
  </si>
  <si>
    <t xml:space="preserve">Строительство ВЛ 0,4 кВ от ВЛ 0,4 кВ №1 КТП №425 ВЛ 10 кВ №1109 ПС 110 кВ АС11 с заменой силового трансформатора КТП №425 ВЛ 10 кВ №1109 ПС 110 кВ АС11 для электроснабжения ВРУ 0,4 кВ жилого дома Денисова И. В. на участке с КН 61:02:0030301:608 в х. Веселый Аксайского района Ростовской области </t>
  </si>
  <si>
    <t>Строительство ВЛ 0,4 кВ от РУ 0,4 кВ КТП №176 ВЛ 10 кВ №1206 ПС 110 кВ АС12 для электроснабжения нежилого помещения ИП Иванникова М. А. на участке с КН 61:02:0600007:3133 в п. Красный Колос Аксайского района Ростовской области (ориентировочная протяжённость ЛЭП 0,24 км;1 прибор учета)</t>
  </si>
  <si>
    <t>Строительство ВЛ 0,4 кВ от ВЛ 0,4 кВ №2 КТП №645 ВЛ 10 кВ №102 ПС 110 кВ АС1 для электроснабжения ВРУ 0,4 кВ жилого дома Колесникова А. Н. на участке с КН 61:02:0090102:3632 в ст-це Ольгинская Аксайского района Ростовской области (ориентировочная протяжённость ЛЭП 0,04 км)»</t>
  </si>
  <si>
    <t xml:space="preserve">Строительство ВЛ 0,4 кВ от проектируемой опоры установленной на границе земельного участка с к.н. 61:02:0600016:3846 по титулу: «Строительство ВЛ 0,4 кВ от РУ-0,4 кВ КТП 10/0,4 кВ № 653 ВЛ 10 кВ № 403 ПС 110/10 кВ АС 4» (по договору № 61-1-20-00509565 от 29.04.2020г.)  для электроснабжения ВРУ 0,4 кВ жилого дома Компанченко Д.В. на участке с КН 61:02:0600016:3840, в ул. Платова, 36, х. Ленина, Аксайский район, Ростовской области </t>
  </si>
  <si>
    <t>Строительство ВЛ 0,4 кВ от РУ 0,4 кВ КТП №255 ВЛ 10 кВ №1208 ПС 110 кВ АС12 для электроснабжения нежилого помещения ИП Маилян М. С. на участке с КН 61:02:0600004:1631 в Аксайском районе Ростовской области (ориентировочная протяжённость ЛЭП 0,03 км)</t>
  </si>
  <si>
    <t>Строительство ВЛ 0,4 кВ от проектируемой ВЛ 0,4 кВ проектируемой КТПН 10/0,4 кВ (по договору №61-1-20-00443323 от 21.05.2019 г.) ВЛ 10 кВ №107 ПС 110 кВ АС1 для электроснабжения ВРУ 0,4 кВ жилого дома Храпова В. А. в ст-це Ольгинская Аксайского района Ростовской области</t>
  </si>
  <si>
    <t xml:space="preserve">Строительство ВЛ 0,4 кВ от ВЛ 0,4 кВ №3 КТП №184 ВЛ 6 кВ №807 ПС 35 кВ АС8 с заменой силового трансформатора КТП №184 ВЛ 6 кВ №807 ПС 35 кВ АС8 для электроснабжения ВРУ 0,4 кВ жилого дома Яйлаханян С. В. на участке с КН 61:02:0010201:6158 в х. Большой Лог Аксайского района Ростовской области </t>
  </si>
  <si>
    <t>Строительство ВЛ 0,4 кВ от ВЛ 0,4 кВ №1 КТП №275 ВЛ 10 кВ №3 ПС 35 кВ Б. Салы для электроснабжения ВРУ 0,4 кВ жилого дома Якобец Д. С. на участке с КН 61:02:0600005:7364 в п. Темерницкий Аксайского района Ростовской области (ориентировочная протяжённость ЛЭП 0,03 км)</t>
  </si>
  <si>
    <t xml:space="preserve">Строительство ВЛ 10 кВ, КТП 10/0,4 кВ, ВЛ 0,4 кВ от опоры 10 кВ № 111 ВЛ 10 кВ № 1009 ПС 110 кВ В10 для электроснабжения дождевальных установок ИП глава КФХ Карпенко В. В. на участке с КН 61:06:060009:435 в х. Новоселовка, 0,628 км на север от северной его окраины Веселовского района, Ростовской области </t>
  </si>
  <si>
    <t>«Строительство ВЛ 0,4 кВ от опоры № 28 до опоры № 24 по ВЛ 0,4 кВ №1, КТП 10/0.4 кВ № 313, ВЛ 10 кВ №902  ПС 35  кВ  В9 для электроснабжения жилого дома Раю В. И.  на участке с КН 61:07:000000:2210 в х. Красный Октябрь, ул. Школьная д. 143,  Веселовского района, Ростовской области (ориентировочная протяжённость ЛЭП 0,120 км)»</t>
  </si>
  <si>
    <t xml:space="preserve">Строительство ВЛ 0,4 кВ от КТП №175   ВЛ 10 кВ №125 ПС 110 кВ СМ1 для электроснабжения дома блокированной застройки заявителя Тамилиной Л.А. по адресу: РО г. Семикаракорск, примерно в 60 м на северо-восток от ул. Солнечная, д.27 к.н.: 61:35:0110205:638 (ориентировочная протяжённость ЛЭП 0,3км)
</t>
  </si>
  <si>
    <t>Строительство ВЛ 0,4 кВ от опоры № 31 ВЛ-0,4 кВ № 3 КТП № 637 ВЛ 10 кВ №608 ПС СМ6  с установкой на границе земельного участка Заявителя прибора учета для электроснабжения ВРУ-0,4 кВ жилого здания заявителя ООО «АгроПартнер» по адресу: Ростовская область, Семикаракорский р-н, х. Большемечетный, ул. Широкая, д. 1/1, к.н.: 61:35:0020101:332</t>
  </si>
  <si>
    <t>Строительство ТП 10/0,4 кВ, ВЛ 0,4 кВ, ВЛ 10 кВ от ВЛ 10 кВ №208 ПС 110 кВ СМ2 для электроснабжения ВРУ-0,4 кВ жилого здания заявителя Молокановой Е.А. по адресу: Российская Федерация, Ростовская обл., р-н. Семикаракорский, х. Жуков, контуры полей № 16,17,8,30,48,32,36,35 массива земель, реорганизованного с/х предприятия ЗАО "Зеленая Горка", кадастровый номер земельного участка: 61:35:0600007:658</t>
  </si>
  <si>
    <t>Строительство КТПН 10/0,4 кВ, ВЛ 0,4 кВ, ВЛ 10 кВ от ВЛ 10 кВ №702 ПС 35 кВ НГ7 для электроснабжения ВРУ 0,4 кВ автостоянки Капанадзе Т. Д. по ул. Буденновская, 283Б в г. Новочеркасске Ростовской области (ориентировочная мощность трансформатора 0,025 МВА, ориентировочная протяжённость ЛЭП 0,050 км)</t>
  </si>
  <si>
    <t>Строительство ВЛ 0,4 кВ от ВЛ 0,4 кВ №1 КТП №406 ВЛ 10 кВ №1005 ПС 110 кВ АС10 для электроснабжения ВРУ 0,4 кВ жилого дома Голубовой Е. В. по ул. Колхозная, 20А в ст. Грушевская Аксайского района Ростовской области (ориентировочная протяжённость ЛЭП 0,111км)</t>
  </si>
  <si>
    <t>Строительство КТПН 10/0,4 кВ, ВЛ 10 кВ, ВЛ 0,4 кВ от ВЛ 10 кВ №1205 ПС 110 кВ АС12 для электроснабжения ВРУ 0,4 кВ жилого дома Леус Н. В. на участке с КН 61:02:0600006:5498 в п. Красный Аксайского района Ростовской области (ориентировочная мощность трансформатора 0,025 МВА, ориентировочная протяжённость ЛЭП 0,1 км)</t>
  </si>
  <si>
    <t xml:space="preserve">Строительство ВЛ 0,4 кВ от РУ 0,4 кВ проектируемой КТПН 6/0,4 кВ (по договору №61-1-19-00468643 от 05.09.2019 г.) ВЛ 6 кВ №3 РП6 КЛ 6 кВ №340 ПС 110 кВ БТ3 для электроснабжения ВРУ 0,4 кВ жилого дома Новак О. И. по ул. Тургенева, 62 в п. Красный Сад Азовского района Ростовской области </t>
  </si>
  <si>
    <t>Строительство КТП 10/0,4 кВ, ВЛ 0,4 кВ, ВЛ 10 кВ от ВЛ-10 кВ № 407 ПС 35 кВ В4 для электроснабжения Скворцовой Т. В. на участке с КН 61:06:0600006:359 в х. Малая Западенка, кв. 1 Веселовского района, Ростовской области (ориентировочная мощность трансформатора 0,025 МВА, ориентировочная протяжённость ЛЭП 0,17 км)</t>
  </si>
  <si>
    <t>Строительство КТПН 10/0,4 кВ, ВЛ 0,4 кВ, ВЛ 10 кВ от ВЛ 10 кВ №105 ПС 110 кВ АС1 для электроснабжения ВРУ 0,4 кВ нежилого помещения Бережного А. М. на участке с КН 61:02:0600015:4163 в х. Нижнеподпольный Аксайского района Ростовской области (ориентировочная мощность трансформатора 0,025 МВА, ориентировочная протяжённость ЛЭП 0,353 км)</t>
  </si>
  <si>
    <t>Строительство ТП 10/0,4 кВ, ВЛ 0,4 кВ, ВЛ 10 кВ от ВЛ 10 кВ №101 ПС 110 кВ АС1 для электроснабжения магазина Бочаровой В. А. по ул. Ленина, 192 в ст-це Ольгинская Аксайского района Ростовской области (ориентировочная мощность трансформатора 0,100 МВА, ориентировочная протяжённость ЛЭП 0,508 км)</t>
  </si>
  <si>
    <t xml:space="preserve">Строительство ВЛ 0,4 кВ от РУ 0,4 кВ проектируемой КТПН 10/0,4 кВ ВЛ 10 кВ №1106 ПС 110 кВ АС11 (по договору №61-1-19-00430805 от 14.03.2019 г.) для электроснабжения ВРУ 0,4 кВ жилых домов в г. Новочеркасске Ростовской области (ориентировочная протяжённость ЛЭП 0,060 км)
</t>
  </si>
  <si>
    <t xml:space="preserve">Строительство КТПН 10/0,4 кВ, ВЛ 0,4 кВ, ВЛ 10 кВ от ВЛ 10 кВ №414 ПС 220 кВ Р4 для электроснабжения ВРУ 0,4 кВ нежилых зданий в х. Камышеваха Аксайского района Ростовской области (ориентировочная мощность трансформатора 0,100 МВА, ориентировочная протяжённость ЛЭП 0,195 км)
</t>
  </si>
  <si>
    <t>«Строительство ТП 10/0,4 кВ, ВЛ 0,4 кВ, ВЛ 10 кВ от ВЛ 10 кВ №107 ПС 110 кВ АС1 для электроснабжения ВРУ 0,4 кВ жилого дома Ковалевой М. Н. на участке с КН 61:02:0600015:5017 в ст-це Ольгинская Аксайского района Ростовской области (ориентировочная мощность трансформатора 0,025 МВА, ориентировочная протяжённость ЛЭП 0,413 км)»</t>
  </si>
  <si>
    <t>Строительство ТП 10/0,4 кВ, ВЛ 0,4 кВ, ВЛ 10 кВ от ВЛ 10 кВ №3 ПС 35 кВ Б. Салы для электроснабжения магазина Маркосян А. С. по ул. Северная, 2 в п. Темерницкий Аксайского района Ростовской области (ориентировочная мощность трансформатора 0,250 МВА, ориентировочная протяжённость ЛЭП 0,060 км)</t>
  </si>
  <si>
    <t>Строительство ВЛ 0,4 кВ от опоры № 38 ВЛ 0,4 кВ №1 КТП-642 ВЛ 10 кВ №107 ПС 110/35/10 кВ АС 1 для электроснабжения жилого дома Орловой Н.И. по адресу Ростовская область, Аксайский район, ст-ца Ольгинская, ул. Широкая, д. 255, кадастровый номер земельного участка: 61:02:0600015:5173</t>
  </si>
  <si>
    <t>«Строительство ВЛ 0,4 кВ от проектируемой ВЛ 0,4 кВ проектируемой КТПН 10/0,4 кВ (по договору №61-1-19-00471857 от 17.10.2019 г.) ВЛ 10 кВ №706 ПС 35 кВ АС7 для электроснабжения ВРУ 0,4 кВ жилого дома Пчелинцевой А. В. по ул. Сарматская, 18 в п. Красный Колос Аксайского района Ростовской области (ориентировочная протяжённость ЛЭП 0,039 км)»</t>
  </si>
  <si>
    <t>Строительство ТП 6/0,4 кВ, ВЛ 0,4 кВ, ВЛ 6 кВ от ВЛ 6 кВ №806 ПС 35 кВ АС8 для электроснабжения нежилого здания Романенко С.А. на участке с КН 61:02:0600011:2113 в Аксайском районе Ростовской области (ориентировочная мощность трансформатора 0,063 МВА,ориентировочная протяженность ЛЭП 0,073 км)</t>
  </si>
  <si>
    <t>Строительство КВЛ 0,4 кВ ТП 6/0,4 кВ №4 КЛ 6 кВ № 4107 ПС 110 кВ Р41 для электроснабжения АО «Русские Башни» (ориентировочная протяжённость ЛЭП 0,207 км)</t>
  </si>
  <si>
    <t>Строительство ВЛ 0,4 кВ от ВЛ 0,4 кВ №2 КТП 10/0,4 кВ №11 ВЛ 10 кВ №259 ПС 110 кВ БГ2 для электроснабжения жилого дома Дюбина В.Н. по адресу РО, Багаевский район, ст. Манычская, ул. Кирова, д. 56 А, к.н. 61:03:0040134:56. (ориентировочная протяжённость ЛЭП 0,025 км)</t>
  </si>
  <si>
    <t>Строительство двух КТП 10/0,4 кВ, ВЛ 0,4 кВ, ВЛ 10 кВ от ВЛ 10 кВ №263 ПС 110 кВ БГ2 для электроснабжения ВРУ 0,4 кВ нежилого здания Науменко И.А., жилого дома Санатова А.В. по адресу: Ростовская обл., р-н. Аксайский, х. Алитуб, к.н.: 61:02:0600019:1687, к.н. 61:02:0600019:1686, ВРУ 0,4 кВ дачных домиков Ельцова В.В., Ельцова Е.В., Жидкова С.М., Гапченко М.С., Янченковой М.А., Бырдина Ю.А., Кумпане Л.Н.,Лузгарева А.И., Бакун В.П. по адресу: Ростовская обл., р-н. Багаевский, х. Арпачин</t>
  </si>
  <si>
    <t>Строительство ВЛ 0,4 кВ от ВЛ 0,4 кВ №2 КТП 10/0,4 кВ №163 ВЛ 10 кВ №605 ПС 110 кВ БГ6 для электроснабжения жилого дома Кияшко Н.С. по адресу РО, Багаевский район, х. Карповка, ул. Центральная д. 3-б, к.н. 61:03:0020203:188. (ориентировочная протяжённость ЛЭП 0,055 км)</t>
  </si>
  <si>
    <t>Строительство ВЛ 0,4 кВ от ВЛ 0,4 кВ №1 КТП 10/0,4 кВ №574 ВЛ 10 кВ №704 ПС 35 кВ БГ7 для электроснабжения храма Местной религиозной организации православный Приход храма Апостола Иоанна Богослова х. Красный Багаевского района Ростовской области Шахтинской Епархии Русской Православной Церкви (Московский Патриархат) по адресу РО, Багаевский район, х. Красный, ул. Центральная, д. 9-д</t>
  </si>
  <si>
    <t>Строительство ТП 10/0,4 кВ, ВЛ 0,4 кВ, ВЛ 10 кВ от опоры №107 ВЛ 10 кВ №205 ПС 110 кВ СМ2 для электроснабжения ВРУ-0,4 кВ жилого здания заявителя ИП Глава КФХ Алмакаев Г.А. по адресу: Российская Федерация, Ростовская обл., Семикаракорский р-н., ст-ца. Задоно-Кагальницкая, 1,3,4,5,10,11 восточная часть контура № 12, северрная часть контура № 12 массива земель, реорганизованного с/х предприятия ОАО " Задоно-Кагальницкая птицефабрика", кадастровый номер земельного участка: 61:35:0600008:146</t>
  </si>
  <si>
    <t>Строительство ВЛ 0,4 кВ от опоры № 4 ВЛ 0,4 кВ № 1 КТП № 176 ВЛ 10 кВ №125 ПС СМ1 для электроснабжения ВРУ-0,4 кВ жилого дома заявителя Ленкова Ю.В. по адресу: Ростовская обл., р-н. Семикаракорский, г. Семикаракорск, примерно в 27 м на северо-восток от ул. Солнечная, 1/43-а, к.н.: 61:35:0110210:221</t>
  </si>
  <si>
    <t>Строительство КТПН 10/0,4 кВ, ВЛ 0,4 кВ, ВЛ 10 кВ от ВЛ 10 кВ №3 ПС 35 кВ Б. Салы для электроснабжения ВРУ 0,4 кВ жилого дома Бабаева Л. И. на участке с КН 61:02:0600005:10787 в п. Темерницкий Аксайского района Ростовской области (ориентировочная мощность трансформатора 0,025 МВА, ориентировочная протяжённость ЛЭП 0,06 км)</t>
  </si>
  <si>
    <t xml:space="preserve">Строительство КТПН 10/0,4 кВ, ВЛ 0,4 кВ, ВЛ 10 кВ от ВЛ 10 кВ №1109 ПС 110 кВ АС11 для электроснабжения ВРУ 0,4 кВ жилого дома Валитова О.А. на участке с КН 61:02:0600002:1093, КН 61:02:0600002:1092, КН 61:02:0600002:1080, ВРУ 0,4 кВ жилого дома Таибова на участке с КН 61:02:0600002:1081, КН 61:02:0600002:1082, КН 61:02:0600002:1083 в ст-це Грушевская Аксайского района Ростовской области (ориентировочная мощность трансформатора 0,160 МВА, ориентировочная протяженность ЛЭП 0,657  км)
</t>
  </si>
  <si>
    <t>Строительство ВЛ 0,4 кВ от ВЛ 0,4 кВ №1 КТП №725 ВЛ 10 кВ №105 ПС 110 кВ АС1 для электроснабжения ВРУ 0,4 кВ жилого дома Волошина А. С. на участке с КН 61:02:0090201:1092 в х. Нижнеподпольный Аксайского района Ростовской области (ориентировочная протяжённость ЛЭП 0,05 км;1 прибор учета)</t>
  </si>
  <si>
    <t>Строительство КТПН 10/0,4кВ, ВЛ-10кВ, ВЛ-0,4кВ от ВЛ-10кВ №403 ПС 110кВ АС4 для электроснабжения ВРУ 0,4кВ нежилого помещения ООО "Донлес" на участке с КН 61:02:0600016:2804 в х. Маяковского Аксайского района Ростовской области (ориентировочная мощность трансформатора 0,025 МВА, ориентировочная протяженность ЛЭП 2,225км)</t>
  </si>
  <si>
    <t>Строительство ВЛ 0,4 кВ от ВЛ 0,4 кВ №1 ТП 10 кВ №32 ВЛ 10 кВ №657 ПС 110 кВ АС6 для электроснабжения ВРУ 0,4 кВ жилого дома Зайцевой Н. В. по ул. 1-я Иловайская, 71 в ст-це Старочеркасская Аксайского района Ростовской области (ориентировочная протяжённость ЛЭП 0,116 км)</t>
  </si>
  <si>
    <t>«Строительство ВЛ 0,4 кВ от проектируемой ВЛ 0,4 кВ (по договору №61-1-19-00430805 от 14.03.2019 г.) проектируемой КТПН 10/0,4 кВ ВЛ 10 кВ №1106 ПС 110 кВ АС11 для электроснабжения ВРУ 0,23 кВ жилого дома Ковбаса В. И. на участке с КН 61:55:011016:0213 в г. Новочеркасске Ростовской области (ориентировочная протяжённость ЛЭП 0,040 км)»</t>
  </si>
  <si>
    <t>Строительство ВЛ 0,4 кВ от ВЛ 0,4 кВ №1 ТП 10 кВ №451 ВЛ 10 кВ №1109 ПС 110 кВ АС11 для электроснабжения ВРУ 0,22 кВ жилого дома Комфарина А. Н. на участке с КН 61:02:0030301:613 в х. Веселый Аксайского района Ростовской области (ориентировочная протяжённость ЛЭП 0,054 км)</t>
  </si>
  <si>
    <t>Строительство КТП 10/0,4 кВ, ВЛ 0,4 кВ, ВЛ 10 кВ от ВЛ 10 кВ №1208 ПС 110 кВ АС12 для электроснабжения жилого дома Конторина А.В. в п. Щепкин, Аксайского района, Ростовской области (ориентировочная мощность трансформатора 0,025 МВА, ориентировочная протяжённость ЛЭП 0,982 км)</t>
  </si>
  <si>
    <t>Строительство ВЛ 0,4 кВ от ВЛ 0,4 кВ №3 КТП №491 ВЛ 10 кВ №1103 ПС 110 кВ АС11 с заменой силового трансформатора КТП №491 ВЛ 10 кВ №1101 ПС 110 кВ АС11 для электроснабжения ВРУ 0,4 кВ жилого дома Кучерова Н. Ю. в ст-це Мишкинская Аксайского района Ростовской области</t>
  </si>
  <si>
    <t>«Строительство ВЛ 0,4 кВ от проектируемой ВЛ 0,4 кВ проектируемой КТПН 10/0,4 кВ (по договору №61-1-19-00437155 от 30.04.2019 г.) ВЛ 10 кВ №1106 ПС 110 кВ АС11 для электроснабжения ВРУ 0,4 кВ жилого дома Лиманцевой Т. В. на участке с КН 61:55:0011023:655 в г. Новочеркасске Ростовской области (ориентировочная протяжённость ЛЭП 0,046 км)»</t>
  </si>
  <si>
    <t>Строительство КТП 10/0,4 кВ, ВЛ 0,4 кВ, ВЛ 10 кВ от ВЛ 10 кВ №1109 ПС 110/35 кВ АС11 для электроснабжения нежилого здания Макарова А.И. в ст. Грушевская Аксайского района Ростовской области (ориентировочная мощность трансформатора 0,025 МВА, ориентировочная протяжённость ЛЭП 0,198 км)</t>
  </si>
  <si>
    <t>Строительство КТПН 10/0,4 кВ, ВЛ 0,4 кВ, ВЛ 10 кВ от ВЛ 10 кВ №1109 ПС 110 кВ АС11 для электроснабжения ВРУ 0,4 кВ жилого дома Мацейко В. Г. на участке с КН 61:02:0600002:1132 в ст-це Грушевская Аксайского района Ростовской области (ориентировочная мощность трансформатора 0,025 МВА, ориентировочная протяжённость ЛЭП 0,060 км)</t>
  </si>
  <si>
    <t>Строительство КТПН 10/0,4 кВ, ВЛ  10 кВ, ВЛ 0,4 кВ от ВЛ 10 кВ №1103 ПС 110 кВ АС11 для электроснабжения шкафа управления светофорами Министерства транспорта Ростовской области на участке с КН 61:02:0600002:783 в ст-це Грушевская Аксайского района Ростовской области (ориентировочная мощность трансформатора 0,025 МВА, ориентировочная протяжённость ЛЭП 0,060 км)</t>
  </si>
  <si>
    <t>Строительство ВЛ 0,4 кВ от ВЛ 0,4 кВ №1 КТП №235 ВЛ 10 кВ №3 ПС 35 кВ Б. Салы для электроснабжения БС №61-02333 ПАО “МТС” на участке с КН 61:02:0600005:9648 в пос. Темерницкий Аксайского района Ростовской области (ориентировочная протяжённость ЛЭП 0,185 км)</t>
  </si>
  <si>
    <t>Строительство ТП 10/0,4 кВ, ВЛ 0,4 кВ, ВЛ 10 кВ от ВЛ 10 кВ №655 ПС 110 кВ АС6 для электроснабжения караванного помещения ООО “Причал” в г. Аксае Аксайского района Ростовской области (ориентировочная мощность трансформатора 0,160 МВА, ориентировочная протяжённость ЛЭП 0,122 км)</t>
  </si>
  <si>
    <t xml:space="preserve">Строительство КТПН 10/0,4 кВ, ВЛ 0,4 кВ, ВЛ 10 кВ от опоры №76 ВЛ 10 № 1109 ПС 110/35/10 кВ АС 11 для электроснабжения ВРУ 0,4 кВ нежилого здания ИП Степанян А.Н. на участке с КН 61:02:0600002:2748 в ст-це Грушевская Аксайского района Ростовской области </t>
  </si>
  <si>
    <t>Строительство ТП 10/0,4 кВ, ВЛ 0,4 кВ, ВЛ 10 кВ от ВЛ 10 кВ №1212 ПС 110 кВ АС12 для электроснабжения магазина ИП Сучкова Ф. А. на участке с КН 61:02:00800104:110 в п. Октябрьский Аксайского района Ростовской области (ориентировочная мощность трансформатора 0,16 МВА, ориентировочная протяжённость ЛЭП 0,075 км)</t>
  </si>
  <si>
    <t>Строительство КТПН 10/0,4 кВ, ВЛ 10 кВ, ВЛ 0,4 кВ от ВЛ 10 кВ №403 ПС 110 кВ АС4 для электроснабжения ВРУ 0,4 кВ хозяйственного помещения Тумасян Э. А. на участке с КН 61:02:0600016:3863 в х. Маяковского Аксайского района Ростовской области (ориентировочная мощность трансформатора 0,025 МВА, ориентировочная протяжённость ЛЭП 2,470 км)</t>
  </si>
  <si>
    <t xml:space="preserve">Строительство КТП 10/0,4 кВ, ВЛ 0,4 кВ, ВЛ 10 кВ от ВЛ 10 кВ №605 ПС 110 кВ БГ6 для электроснабжения жилых домов Бидзюра А.Ф., Хромченко Н.В., Рошка А.С. по адресу: Ростовская обл., р-н. Багаевский, х. Карповка, ул. Нижняя, д.1, д. 2, ул. Южная, д. 13, к.н.: 61:03:0020208:39, к.н.: 61:03:020208:0005, к.н.: 61:03:020205:0011 </t>
  </si>
  <si>
    <t xml:space="preserve">Строительство ТП 10/0,4 кВ, ВЛ 10 кВ, ВЛ 0,4 кВ от опоры №68 ВЛ 10 кВ №307 ПС 35 кВ БГ3 для электроснабжения земельного участка сельскохозяйственного назначения (теплицы) Даврушева Ш.А. по адресу: Ростовская область, Багаевский район, Елкинское сельское поселение, к.н. 61:03:0600002:374 </t>
  </si>
  <si>
    <t>Строительство ТП 10/0,4 кВ, ВЛ 10 кВ, ВЛ 0,4 кВ от опоры №3/12 ВЛ 10 кВ №704 ПС 35 кВ БГ7 для электроснабжения Красненской средней школы по адресу: Ростовская область, Багаевский район, х. Красный, ул. Центральная, д. 30/3, к.н.61:03:060103:0022 (ориентировочная мощность трансформатора 0,16 МВА, ориентировочная протяжённость ЛЭП 0,12 км)</t>
  </si>
  <si>
    <t>Строительство ТП 10/0,4 кВ, ВЛ 0,4 кВ, ВЛ 10 кВ от ВЛ 10 кВ №305 ПС 35 кВ БГ3 для электроснабжения вагончика Курбонова О.У. по адресу:  Ростовская область, Багаевский район, участок находится примерно в 1700 м от ориентира по направлению на юго-восток, к. н. 61:03:0600004:632 (ориентировочная мощность трансформатора 0,025 МВА, ориентировочная протяжённость ЛЭП 0,015 км)</t>
  </si>
  <si>
    <t xml:space="preserve">Строительство ВЛ 0,4 кВ от опоры № 10 ВЛ 0,4 кВ № 2 КТП № 425 ВЛ 10 кВ №402 ПС СМ4  с установкой на границе земельного участка Заявителя прибора учета для электроснабжения ВРУ-0,4 кВ жилого дома заявителя Левизовой З.И. по адресу: Ростовская обл., р-н. Семикаракорский, х. Сусат ул. Песчаная, д.10/1, к.н.: 61:35:0090101:2879 </t>
  </si>
  <si>
    <t>Строительство ВЛ 0,4 кВ от РУ 0,4 кВ ТП 10/0,4 кВ (проектируемой по договору № 61-1-19-00464855 от 20.08.2019 г.) по КЛ 10 кВ №19-36 и №19-46 ПС 110 кВ Р19 с техническим перевооружением ТП 10/0,4 кВ (проектируемой по договору № 61-1-19-00464855 от 20.08.2019 г.) с заменой силового трансформатора для электроснабжения ЛЭП 0,4 кВ объекта: «Нежилое здание» (ООО «РБК»), расположенного по адресу: г. Ростов-на-Дону, ул. Доватора, кад. Номер земельного участка 61:44:0073012:49</t>
  </si>
  <si>
    <t>Строительство участка ВЛИ-0,4кВ для подключения жилого дома заявителя Шацкой Н.В. с. Елизаветовка Азовский район, Ростовская область (ориентировочная протяженность ЛЭП - 0.05 км)</t>
  </si>
  <si>
    <t>Строительство участка ВЛ-0,4кВ для подключения жилого дома заявителя Моисеенко С.А. с. Кулешовка Азовский район, Ростовская область.</t>
  </si>
  <si>
    <t>Строительство участка ВЛИ-0,4кВ от проектируемой опоры ВЛ-0,4 кВ проектируемой ТП 10/0,4кВ (по договору № 61-1-18-00409567 от 12.12.2018г.) ВЛ-10 кВ №1815 ПС 35/10 «А-18» для электроснабжения жилого дома заявителя Волова Д.В. Рыболовецкий колхоз им. Ленина, Азовский район, Ростовская область (ориентировочная протяженность ЛЭП – 0,06 км)</t>
  </si>
  <si>
    <t>Строительство участка ВЛИ-0,4кВ от оп. №112-17 по ВЛ-0,4кВ №1 от КТП 10/0,4кВ №112 по ВЛ-10кВ №3113 ПС 110/35/10 кВ «А-31» для электроснабжения жилого дома заявителя Бобыревой О.М. с.Пешково, Азовский район, Ростовская область (ориентировочная протяженность ЛЭП – 0,08 км)</t>
  </si>
  <si>
    <t>Строительство участка ВЛИ-0,4кВ от оп. №334-14 ВЛ-0,4 кВ №2 КТП 10/0,4 кВ №334 ВЛ-10 202Н ПС 110/6/10 кВ «НС-2» для электроснабжения жилого дома заявителя Дьяченко Н.В. ЗАО «Обильное», Азовский район, Ростовская область (ориентировочная протяженность ЛЭП – 0,1 км)</t>
  </si>
  <si>
    <t>Строительство участка ВЛИ-0,4кВ от оп.№311-14 ВЛ-0,4 кВ №2 КТП 10/0,4 кВ №311 ВЛ-10 кВ №106 Н ПС 110/6/10 кВ «НС-1» для электроснабжения жилого дома заявителя Гоголадзе К.А., СХА «Кулешовское» поле III Азовский район, Ростовская область (ориентировочная протяженность ЛЭП – 0,06 км)</t>
  </si>
  <si>
    <t>Строительство участка ВЛИ-0,4кВ от №8-13 по ВЛ-0,4кВ №1 от КТП 10/0,4кВ №8 по ВЛ-10кВ №3125 ПС 110/35/10 кВ «А-31» для электроснабжения жилого дома заявителя Пелипенко А.В., с. Пешково Азовский район, Ростовская область (ориентировочная протяженность ЛЭП – 0,08 км)</t>
  </si>
  <si>
    <t>Строительство участка ВЛИ-0,4кВ от проектируемой ВЛ-0,4 кВ (по договору № 61-1-19-00466687 от 12.09.2019 г.) КТП-10/0,4 кВ №14 ВЛ-10кВ №106Н ПС 110/6/10 кВ «НС-1» для электроснабжения жилого дома заявителя Пироговой М.А., п. Овощной Азовский район, Ростовская область (ориентировочная протяженность ЛЭП – 0,06 км)</t>
  </si>
  <si>
    <t>Строительство участка ВЛИ-0,4кВ от оп. №211-256 ВЛ 0,4 кВ №5 КТП 10/0,4 кВ №211 ВЛ-10 кВ №910 ПС 35/10 кВ «А-9» для электроснабжения жилого дома заявителя Никитенко С.Ю., ДНТ «Южное» Азовский район, Ростовская область (ориентировочная протяженность ЛЭП – 0,180 км)</t>
  </si>
  <si>
    <t>Строительство участка ВЛИ 0,4кВ от РУ 0,4кВ КТП 10/0,4кВ №167 ВЛ 10кВ №307Н ПС 110/35/6/10кВ "НС-3" для электроснабжения вагончиков заявителя Ли Е.Э., х. Еремеевка Азовский район, Ростовская область (ориентировочная протяженность ЛЭП 0,350)</t>
  </si>
  <si>
    <t>Строительство участка ВЛИ-0,4кВ от оп. №48-2 ВЛ-0,4кВ №1 КТП-10/0,4 кВ №48 ВЛ-10 кВ №1815 ПС 35/10 «А-18» для электроснабжения жилого дома заявителя Янборисовой М.Ю., Рыболовецкий колхоз им. Ленина Азовский район, Ростовская область (ориентировочная протяженность ЛЭП – 0,100км)</t>
  </si>
  <si>
    <t>Строительство участка ВЛИ-0,4 кВ от проектируемой ВЛИ-0,4 кВ тех.перевооружаемого КТП 6/0,4 кВ № 350 (по договору ТП № 61-1-20-00499303 от 04.03.2020г.) по ВЛ-6 кВ № 207Н ПС 110/6/10 кВ «НС-2» для электроснабжения участка заявителя Щербаковой Н.В. Ростовская область, Азовский район, СНТ «Квант» (ориентировочная протяженность ЛЭП– 0,130 км)</t>
  </si>
  <si>
    <t>Строительство участка ВЛИ-0,4кВ от проектируемой ВЛ-0,4 кВ (по договору №61-1-19-00465315 от 30.08.2019г.) КТП 10/0,4 кВ №329 ВЛ-10 кВ №106Н ПС 110/6/10 кВ «НС-1» для электроснабжения садового дома заявителя Карпинской Э.В., ДНТ «Виктория» Азовский район, Ростовская область (ориентировочная протяженность ЛЭП – 0,03 км)</t>
  </si>
  <si>
    <t>Строительство участка ВЛИ-0,4кВ от оп. №77-118 ВЛ-0,4кВ №2 КТП-10/0,4 кВ №77 ВЛ-10кВ №3125 ПС 110/35/10 кВ «А-31» для электроснабжения жилого дома заявителя Коваленко А.В., с. Головатовка, Азовский район, Ростовская область (ориентировочная протяженность ЛЭП – 0,100 км)</t>
  </si>
  <si>
    <t>Строительство участка ВЛИ-0,4кВ от оп. №103-28 по ВЛ-0,4кВ №2 от КТП 10/0,4кВ №103 по ВЛ-10кВ №2608 ПС 110/10 кВ «А-26» для электроснабжения жилого дома заявителя Гузенко Н.Н., с. Кулешовка, Азовский район, Ростовская область (ориентировочная протяженность ЛЭП – 0,180 км)</t>
  </si>
  <si>
    <t>Строительство участка ВЛИ-0,4кВ от РУ-0,4 кВ КТП-6/0,4 кВ №79 ВЛ-6 кВ №207Н ПС 110/6/10 кВ «НС-2» для электроснабжения нежилого здания (ангара) заявителя Кеник А.С., поле №127 СХКА им. ХХ Партсъезда, Азовский район, Ростовская область (ориентировочная протяженность ЛЭП – 0,450 км)</t>
  </si>
  <si>
    <t>Строительство участка ВЛИ-0,4кВ от оп. №160-27 ВЛ-0,4 кВ №1 КТП 10/0,4 кВ№160 ВЛ-10 кВ №1101 ПС 35/10 кВ А-11 для электроснабжения жилого дома заявителя Колесникова О.И., с. Кагальник, Азовский район, Ростовская область (ориентировочная протяженность ЛЭП – 0,150 км)</t>
  </si>
  <si>
    <t>Строительство участка ВЛИ-0,4кВ от оп. №40-10 ВЛ-0,4 кВ №1 КТП 10/0,4 кВ №40 ВЛ-10кВ №1802 ПС 35/10 кВ «А-18» для электроснабжения жилого дома заявителя Молчанова В.А. х. Рогожкино, Азовский район, Ростовская область (ориентировочная протяженность ЛЭП – 0,250 км)</t>
  </si>
  <si>
    <t>Строительство участка ВЛ-10 кВ от проектируемой опоры (по договору ТП №61-1-16-00279673 от 26.09.2016г.) ВЛ-10 кВ №1908 РП-19 ПС 110/35/10 кВ Самарская для подключения АЗС стационарного типа №231 заявителя ООО «Газэнергосеть розница» Азовский район Ростовская область (ориентировочная протяженность ЛЭП – 0,03 км)</t>
  </si>
  <si>
    <t>Строительство участка ВЛИ-0,4кВ от оп. №351-10 ВЛ-0,4 кВ №1 КТП 6/0,4 кВ №351 ВЛ-6кВ 207Н от ПС 110/6/10 кВ НС-2 для электроснабжения участка заявителя Годуновой И.А., СТ «Квант», Азовский район, Ростовская область (ориентировочная протяженность ЛЭП – 0,08 км)</t>
  </si>
  <si>
    <t>Строительство участка ВЛИ-0,4кВ от оп. 350-38/8 ВЛ-0,4 кВ №1  тех.перевооружаемого КТП 6/0,4 кВ №350 (по договору ТП № 61-1-20-00499303 от 04.03.2020г.) ВЛ-6кВ 207Н от ПС 110/6/10 кВ НС-2 для электроснабжения участка заявителя Пидоря С.Л., СТ «Квант», Азовский район, Ростовская область (ориентировочная протяженность ЛЭП – 0,075 км)</t>
  </si>
  <si>
    <t>Строительство участка ВЛИ-0,4кВ от проектируемой ВЛ-0,4 кВ (по договору ТП № 61-1-19-00485551 от 05.12.2019г.) КТП 6/0,4 кВ №350 ВЛ-6кВ 207Н от ПС 110/6/10 кВ НС-2 для электроснабжения участка заявителя Дорошенко Л.Н., СТ «Квант», Азовский район, Ростовская область (ориентировочная протяженность ЛЭП – 0,150 км)</t>
  </si>
  <si>
    <t>Строительство участка ВЛИ-0,4кВ от оп. №350-28 ВЛ-0,4 кВ №4 тех.перевооружаемого КТП 6/0,4 кВ №350 (по договору ТП № 61-1-20-00499303 от 04.03.2020г.) ВЛ-6кВ 207Н от ПС 110/6/10 кВ НС-2 для электроснабжения участка заявителя Галкиной О.В., СНТ «Квант», Азовский район, Ростовская область (ориентировочная протяженность ЛЭП – 0,100 км)</t>
  </si>
  <si>
    <t>Строительство участка ВЛИ-0,4кВ от оп. №350-38/8 ВЛ-0,4 кВ №1 тех.перевооружаемого КТП 6/0,4 кВ №350 (по договору ТП № 61-1-20-00499303 от 04.03.2020г.) ВЛ-6кВ 207Н от ПС 110/6/10 кВ НС-2 для электроснабжения участка заявителя Штефан А.П., СНТ «Квант», Азовский район, Ростовская область (ориентировочная протяженность ЛЭП – 0,190 км)</t>
  </si>
  <si>
    <t>«Строительство участка ВЛИ-0,4кВ от оп. №257-86 ВЛ-0,4 кВ №2 КТП 6/0,4 кВ №257 ВЛ-6 кВ №10701 ПС 110/35/6 кВ «А-1» для электроснабжения жилых домов Токун В.Г. г. Азов, Ростовская область (ориентировочная протяженность ЛЭП – 0,125 км)</t>
  </si>
  <si>
    <t>Строительство ВЛ-10 кВ от оп. №28-127 ВЛ-10 кВ №1014 ПС 110/35/10 кВ Самарская, установка ТП-10/0,4 кВ, строительство участка ВЛ-0,4 кВ для подключения линии освещения заявителя Щитникова В.П. с. Самарское, Азовский район Ростовская область (ориентировочная протяженность ЛЭП – 0,08 км, ориентировочная трансформаторная мощность – 0,025 МВА)</t>
  </si>
  <si>
    <t>Строительство ВЛ-0,4 кВ от проектируемой опоры ВЛ-0,4 кВ КТП 10/0,4 кВ №211 ВЛ-10кВ №910 ПС 35/10 кВ А-9 (по договору ТП №61-1-18-00360717 от 01.03.2018г.) для подключения жилого дома заявителя Афониной Н.И. Азовский район, Ростовская область (ориентировочная протяженность ЛЭП - 0.219 км)</t>
  </si>
  <si>
    <t>Строительство ВЛ-0,4 кВ от ВЛ-0,4 кВ №2 КТП 10/0,4 кВ №7 ВЛ-10кВ №3125 ПС 110/35/10 кВ А-31 для подключения жилого дома заявителя Урамовой Е.Ю. с. Пешково, Азовский район, Ростовская область (ориентировочная протяженность ЛЭП - 0.230 км)</t>
  </si>
  <si>
    <t>Строительство ВЛ-0,4 кВ от проектируемой опоры ВЛ-0,4 кВ КТП 10/0,4 кВ №211 ВЛ-10кВ №910 ПС 35/10 кВ А-9 (по договору ТП №61-1-18-00363245 от 02.03.2018г.) для подключения жилого дома заявителя Белецкого И.А. Азовский район, Ростовская область (ориентировочная протяженность ЛЭП - 0.210 км)</t>
  </si>
  <si>
    <t>Строительство участка ВЛИ-0,4кВ от оп. №35-39 ВЛ-0,4кВ №1 КТП-10/0,4 кВ №34 ВЛ-10 кВ №1005 ПС 110/10 кВ «Полячки» и системы учета электрической энергии (мощности) на границе земельного участка для электроснабжения ангара заявителя Харькова И.А., Ростовская область, Кагальницкий р-н, х. Камышеваха (ориентировочная протяженность ЛЭП – 0,03 км)</t>
  </si>
  <si>
    <t>Строительство участка ВЛИ-0,4кВ от оп. №135-138 ВЛ-0,4кВ №4 КТП-10/0,4 кВ №135 ВЛ-10 кВ №805 ПС 110/10 кВ «БОС» и системы учета электрической энергии (мощности) на границе земельного участка для электроснабжения жилого дома заявителя Патотовой С.Ю., п. Мокрый Батай, Кагальницкий р-он Ростовская область (ориентировочная протяженность ЛЭП – 0,02 км)</t>
  </si>
  <si>
    <t xml:space="preserve">Строительство ВЛ-10 кВ от опоры №45 ВЛ-10 кВ №3105 ПС 110/35/10 кВ А-31, ТП-10/0,4 кВ, ВЛИ-0,4 кВ, для электроснабжения полевого стана Мартыненко Г.Г. с. Займо-Обрыв, Азовский район, Ростовская область (ориентировочная протяженность ЛЭП– 0,06 км, ориентировочная трансформаторная мощность – 0,025 МВА)  </t>
  </si>
  <si>
    <t>Строительство участка ВЛИ-0,4кВ от проектируемой ВЛ-0,4 кВ (по договору ТП №61-1-19-00465335 от 29.08.2019г.) КТП 10/0,4 кВ №334 ВЛ-10 202Н ПС 110/6/10 кВ «НС-2» для электроснабжения жилого дома заявителя Лукашова Д.В., ЗАО «Обильное», Азовский район, Ростовская область (ориентировочная протяженность ЛЭП – 0,03 км)</t>
  </si>
  <si>
    <t>Строительство участка ВЛИ-0,4кВ от оп. №334-20 ВЛ-0,4 кВ №1 от КТП 10/0,4 кВ №334 ВЛ-10 202Н ПС 110/6/10 кВ «НС-2» для электроснабжения жилого дома заявителя Шелудяковой Ю.С., ЗАО «Обильное», Ростовская область (ориентировочная протяженность ЛЭП – 0,045 км)</t>
  </si>
  <si>
    <t>Строительство участка ВЛИ-0,4кВ от проектируемой ВЛ-0,4 кВ (по договору ТП №61-1-19-00455047 от 29.07.2019 г.) вновь построенной ТП 10/0,4 кВ по ВЛ-10кВ №3127 ПС 110/35/10 кВ «А-31» для электроснабжения садового дома заявителя Чурилина С.Е., Пешковское сельское поселение, Азовский район, Ростовская область (ориентировочная протяженность ЛЭП – 0,490 км)</t>
  </si>
  <si>
    <t>Строительство участка ВЛИ-0,4 кВ от оп. №211-91 ВЛ-0,4кВ №5 КТП-10/0,4 кВ №211 по ВЛ-10кВ №910 ПС 35/10 кВ «А-9» для подключения жилого дома заявителя Фролова А.А. Азовский р-он, Ростовская область (ориентировочная протяженность ЛЭП– 0,170 км)</t>
  </si>
  <si>
    <t>'Строительство участка ВЛИ-0,4кВ от проектируемой ВЛ-0,4 кВ (по договору ТП № 61-1-19-00490535 от 23.12.2019 г.) КТП 6/0,4 кВ №350 ВЛ-6кВ 207Н от ПС 110/6/10 кВ НС-2 для электроснабжения участка заявителя Шитовой А.В., СТ «Квант», Азовский район, Ростовская область (ориентировочная протяженность ЛЭП – 0,140 км)</t>
  </si>
  <si>
    <t>Строительство участка ВЛИ-0,4кВ от проектируемой ВЛ-0,4 кВ (по договору ТП № 61-1-20-00510403 от 20.05.2020 г.) МТП 10/0,4 кВ №205 по ВЛ-10кВ №3127 ПС 110/35/10 кВ «А-31» для электроснабжения жилого дома заявителя Артемова Г.К., с.Кагальник, Азовский район, Ростовская область (ориентировочная протяженность ЛЭП – 0,08 км)</t>
  </si>
  <si>
    <t>'Строительство ТП 10/0,4 кВ от опоры №5-17/6 ВЛ-10 кВ № 107Н ПС 110/6/10 кВ «НС-1», строительство ВЛИ-0,4 кВ, для электроснабжения нежилого помещения заявителя ООО «РусЭл» п.Овощной, Азовский район Ростовская область (ориентировочная протяженность ЛЭП– 0,03 км, ориентировочная трансформаторная мощность – 0,063 МВА)</t>
  </si>
  <si>
    <t>Строительство участка ВЛИ-0,4кВ от проектируемой ВЛ-0,4 кВ (по договору ТП № 61-1-20-00499303 от 04.03.2020г.) КТП 6/0,4 кВ №350 по ВЛ-6 кВ №207Н от ПС 110/6/10 кВ НС-2 для электроснабжения участка заявителя Сытовой В.М., СТ «Квант», Азовский район, Ростовская область (ориентировочная протяженность ЛЭП – 0,03 км)</t>
  </si>
  <si>
    <t>Строительство участка ВЛИ-0,4кВ от опоры №175-27 ВЛ-0,4 кВ №1 КТП-10/0,4 кВ №175 по ВЛ-10 кВ № 605 ПС 110/6/10 кВ Е-6 и установка системы учета электрической энергии (мощности) на границе земельного участка для электроснабжения жилого дома заявителя Кротенко Ю.В., Егорлыкский р-он Ростовская область (1шт), (ориентировочная протяженность ЛЭП – 0,030 км)</t>
  </si>
  <si>
    <t>Строительство участка ВЛИ-0,4кВ от проектируемой опоры ВЛ-0,4 кВ проектируемой ТП 10/0,4кВ (по договору № 61-1-18-00400391 от 09.11.2018г.) по ВЛ-10кВ №808К ПС 110/10 кВ «БОС» для подключения хоз.постройки заявителя Зольникова В.И., Азовский район, Ростовская область (ориентировочная протяженность ЛЭП – 0,05 км)</t>
  </si>
  <si>
    <t>Строительство ТП 10/0,4 кВ от оп. №182 ВЛ-10 кВ № 202 Н ПС 110/10/6 кВ НС-2, ЛЭП-0,4 кВ, для электроснабжения нежилого здания заявителя ИП Косых В.С. с. Кулешовка, Азовский район, Ростовская область (ориентировочная протяженность ЛЭП– 0,02 км, ориентировочная трансформаторная мощность – 0,04 МВА)</t>
  </si>
  <si>
    <t>Строительство ВЛ-10 кВ от опоры 10 кВ № 43 по ВЛ-10кВ №1107 ПС 35/10 кВ А-11, ТП-10/0,4 кВ, ВЛИ-0,4 кВ, для электроснабжения гаража заявителя Бойко А.Г., с. Кагальник, Азовский район Ростовская область (ориентировочная протяженность ЛЭП– 0,060 км, ориентировочная трансформаторная мощность – 0,025 МВА)</t>
  </si>
  <si>
    <t>Строительство участка ВЛИ-0,4кВ от оп. №36-42 ВЛ-0,4кВ №2 КТП-10/0,4 кВ №36 ВЛ-10 кВ №313 ПС 35/10 кВ «КГ-3» и системы учета электрической энергии (мощности) на границе земельного участка для электроснабжения жилого дома заявителя Мышакиной Л.А., Ростовская область, Кагальницкий р-н, ст. Кировская, ул. Кирова д.73Б (ориентировочная протяженность ЛЭП – 0,03 км)</t>
  </si>
  <si>
    <t xml:space="preserve">Строительство участка ВЛИ-0,4кВ от оп. №134-4 ВЛ-0,4кВ №1 КТП-10/0,4 кВ №134 ВЛ-10 кВ №101 ПС 220/110/35/10 кВ «Зерновая» и системы учета электрической энергии (мощности) на границе земельного участка для электроснабжения жилого дома заявителя Ващаева Н.Н., г. Зерноград, Ростовская область, Зерноградский р-он, г. Зерноград, ул. Аксайская д.12 (ориентировочная протяженность ЛЭП – 0,04 км) </t>
  </si>
  <si>
    <t xml:space="preserve">Строительство участка ВЛИ-0,4кВ от оп. №134-36 ВЛ-0,4кВ №2 КТП-10/0,4 кВ №134 ВЛ-10 кВ №101 ПС 220/110/35/10 кВ «Зерновая» и системы учета электрической энергии (мощности) на границе земельного участка для электроснабжения жилого дома заявителя Маркова А.В., Ростовская область, Зерноградский р-н, г. Зерноград, пер. Ярославский д.34 (ориентировочная протяженность ЛЭП – 0,08 км) </t>
  </si>
  <si>
    <t>Строительство участка ВЛИ-0,4кВ от оп. №202-21 ВЛ-0,4кВ №1 КТП-10/0,4 кВ №202 ВЛ-10 кВ №319 ПС 35/10 кВ «КГ-3» и системы учета электрической энергии (мощности) на границе земельного участка для электроснабжения ЛПХ заявителя Христюченко И.В., Ростовская область, Кагальницкий р-н, п. Мокрый Батай, ул. Садовая д.93 (ориентировочная протяженность ЛЭП – 0,025 км)</t>
  </si>
  <si>
    <t xml:space="preserve">Строительство участка ВЛИ-0,4кВ от оп. №4-73 ВЛ-0,4кВ №2 КТП-10/0,4 кВ №4 ВЛ-10 кВ №305 ПС 35/10 кВ «КГ-3» и системы учета электрической энергии (мощности) на границе земельного участка для электроснабжения ЛПХ заявителя Шеметовой О.Ю., Ростовская область, Кагальницкий р-н, ст. Кировская ул. Садовая д. 34  (ориентировочная протяженность ЛЭП – 0,03км)  </t>
  </si>
  <si>
    <t>Строительство участка ВЛИ-0,4кВ от оп. №222-17 по ВЛ 0,4 кВ №1 КТП 10/0,4 кВ №222 ВЛ-10 кВ №901 ПС 35/10 кВ «А-9» для электроснабжения жилого дома заявителя Демьяновских А.В., с. Высочино, Ростовская область (ориентировочная протяженность ЛЭП – 0,06 км)</t>
  </si>
  <si>
    <t>«Техническое перевооружение ВЛИ-0,4кВ №1 от оп. №102-8 до опоры №102-44 ВЛ-0,4кВ №1 КТП-10/0,4 кВ №102 ВЛ-10 кВ №2907 РП-29 ПС 35/10 кВ «А-18» и установка коммерческого учета электрической энергии (мощности) на границе земельного участка для электроснабжения жилого дома заявителя Архиповой А.Е., х. Обуховка, Азовский р-он Ростовская область (ориентировочная протяженность ЛЭП – 0,055 км)».</t>
  </si>
  <si>
    <t xml:space="preserve">Строительство участка ВЛИ-0,4кВ от оп. №101-26 ВЛ 0,4 кВ №2 КТП 10/0,4 кВ №101 ВЛ-10кВ №2412 ПС 35/10 кВ «А-24» и системы учета электрической энергии (мощности) на границе земельного участка для электроснабжения жилого дома заявителя Срединской Е.А., х. Полушкин, Азовский р-он Ростовская область (ориентировочная протяженность ЛЭП – 0,03 км)  </t>
  </si>
  <si>
    <t xml:space="preserve">Строительство участка ВЛИ-0,4кВ от РУ-0,4 кВ КТП 10/0,4 кВ №162 ВЛ-10кВ №1101 ПС 35/10 кВ «А-11» и установка системы учета электрической энергии (мощности) на границе земельного участка для электроснабжения жилого дома заявителя Журовой Л.П., с. Кагальник, Азовский р-он Ростовская область (ориентировочная протяженность ЛЭП – 0,100 км)  </t>
  </si>
  <si>
    <t xml:space="preserve">Строительство участка ВЛИ-0,4кВ от оп. №37-58 ВЛ-0,4 кВ №2 КТП 10/0,4 кВ №37 ВЛ-10кВ №1702 ПС 35/10 кВ «А-17» и установка системы учета электрической энергии (мощности) на границе земельного участка для электроснабжения жилого дома заявителя Ушакова М.Ю., с. Стефанидинодар, Азовский р-он Ростовская область (ориентировочная протяженность ЛЭП – 0,08 км)  </t>
  </si>
  <si>
    <t xml:space="preserve">Строительство участка ВЛИ-0,4кВ от проектируемой ВЛ-0,4 кВ (по договору №61-1-19-00474079 от 23.10.2019г.) КТП 10/0,4 кВ №233 ВЛ-10 кВ №1815 ПС «А-18» и установка системы учета электрической энергии (мощности) на границе земельного участка для электроснабжения жилого дома заявителя Мардаревой О.Н., Рыболовецкий колхоз им. Ленина, Азовский р-он Ростовская область (ориентировочная протяженность ЛЭП – 0,140 км)  </t>
  </si>
  <si>
    <t xml:space="preserve">Строительство участка ВЛИ-0,4кВ от №184-28 ВЛ-0,4 кВ №3 КТП 10/0,4 кВ №184 ВЛ-10кВ №3113 ПС 110/35/10 кВ «А-31» и системы учета электрической энергии (мощности) на границе земельного участка для электроснабжения жилого дома заявителя Макеевой А.С., с. Пешково, Азовский р-он Ростовская область (ориентировочная протяженность ЛЭП – 0,07 км) </t>
  </si>
  <si>
    <t xml:space="preserve">Строительство участка ВЛИ-0,4кВ от № 25-161 ВЛ-0,4 кВ №3 КТП 10/0,4 кВ №25 ВЛ-10кВ №1815 ПС 35/10 кВ «А-18» и системы учета электрической энергии (мощности) на границе земельного участка для электроснабжения жилого дома заявителя Тихомирова Г.А., х.Колузаево, Азовский р-он Ростовская область (ориентировочная протяженность ЛЭП – 0,200 км) </t>
  </si>
  <si>
    <t xml:space="preserve">Строительство ВЛ-10 кВ от оп. 10 кВ №139 по ВЛ-10 кВ №1001 ПС 110/35/10 кВ «Самарская», ТП-10/0,4 кВ, ВЛИ-0,4 кВ, для электроснабжения сарая заявителя Канюк А.Б., х. Победа, Азовский район Ростовская область (ориентировочная протяженность ЛЭП– 0,120 км, ориентировочная трансформаторная мощность – 0,025 МВА)  </t>
  </si>
  <si>
    <t xml:space="preserve">Строительство участка ВЛИ-0,4кВ от оп. № 25-10 ВЛ-0,4 кВ №3 КТП 10/0,4 кВ №25 ВЛ-10кВ №1815 ПС 35/10 кВ «А-18» и системы учета электрической энергии (мощности) на границе земельного участка для электроснабжения жилого дома заявителя Тюрина С.В., х. Колузаево Ростовская область (ориентировочная протяженность ЛЭП – 0,08 км)   </t>
  </si>
  <si>
    <t xml:space="preserve">Строительство участка ВЛИ-0,4 кВ от оп. №136-52 по ВЛ-0,4 кВ №2 от КТП 10/0,4 кВ №136 ВЛ-10кВ №803 ПС 35/10 кВ А-8 для электроснабжения жилого дома заявителя Змушко А.В., с. Семибалки, Азовский р-он, Ростовская область (ориентировочная протяженность ЛЭП - 0,780 км)  </t>
  </si>
  <si>
    <t xml:space="preserve">Строительство участка ВЛИ-0,4кВ от РУ-0,4 кВ КТП 10/0,4 кВ №99 ВЛ-10кВ №106Н ПС 110/6/10 кВ «НС-1» и системы учета электрической энергии (мощности) на границе земельного участка для электроснабжения жилого дома заявителя Шрамко А.С., п. Овощной, Азовский р-он Ростовская область (ориентировочная протяженность ЛЭП – 0,300 км)  </t>
  </si>
  <si>
    <t>Строительство участка ВЛИ-0,4кВ от оп. №27-6 ВЛ-0,4 кВ №1 от ЗТП 10/0,4 кВ №27 КЛ-10кВ №1205, 1211 ПС 110/10 кВ «А-12» для электроснабжения магазина заявителя Требушнего К.В., с. Кулешовка, Ростовская область (ориентировочная протяженность ЛЭП – 0,150 км)</t>
  </si>
  <si>
    <t>Строительство участка ВЛИ-0,4кВ от оп. №19-96 ВЛ-0,4кВ №2 КТП-10/0,4 кВ №19 ВЛ-10 кВ №211 ПС 35/10 кВ «КГ-2» и системы учета электрической энергии (мощности) на границе земельного участка для электроснабжения личного подсобного хозяйства заявителя Бывакина И.В., Ростовская область, Кагальницкий р-н, х. Кагальничек, ул. Трудовая д.10А (ориентировочная протяженность ЛЭП – 0,025 км)</t>
  </si>
  <si>
    <t>Строительство ВЛ-10 кВ от оп. №18 по ВЛ-10кВ №1501 ПС 110/10 кВ «ЗР-15», ТП-10/0,4 кВ, ЛЭП-0,4 кВ и установка системы учета электрической энергии (мощности) на границе земельного участка для электроснабжения садового дома заявителя Бондаренко С.Н., Ростовская область, Зерноградский р-н, СТ «Эксперимент» участок №1 (ориентировочная протяженность ЛЭП– 0,035 км, ориентировочная трансформаторная мощность – 0,025 МВА)</t>
  </si>
  <si>
    <t>Строительство участка ВЛИ-0,4кВ от оп. №91-84 ВЛ-0,4кВ №1 КТП 10/0,4 кВ №91 ВЛ-10 кВ №415 ПС 35/10 кВ «КГ-4» и системы учета электрической энергии (мощности) на границе земельного участка для электроснабжения личного подсобного хозяйства заявителя Самсонова А.В., Ростовская область, Кагальницкий район, п. Лугань, ул. Луганская д.20 (ориентировочная протяженность ЛЭП – 0,03км)</t>
  </si>
  <si>
    <t xml:space="preserve">Строительство участка ВЛИ-0,4кВ от оп. №83-36 по ВЛ-0,4 кВ №1 КТП 10/0,4 кВ №83 ВЛ-10 кВ №801 ПС 35/10 кВ «ЗР-8» для электроснабжения ангара заявителя ООО «Эдельвейс», х. Клюев, Зерноградский район, Ростовская область (ориентировочная протяженность ЛЭП – 0,26 км) </t>
  </si>
  <si>
    <t xml:space="preserve">Строительство участка ВЛИ-0,4 кВ от РУ-0,4 кВ проектируемой ТП 10/0,4 кВ (по договору ТП №61-1-18-00397065 от 10.09.2018г.) ВЛ-10 кВ №3127 ПС 110/35/10 кВ А-31 для подключения жилого дома заявителя Сухомлина Н.В. Азовский район Ростовская область (ориентировочная протяженность ЛЭП – 0,360 км)  </t>
  </si>
  <si>
    <t xml:space="preserve">Строительство ВЛ-10 кВ от оп. №6-66 по ВЛ-10кВ №3127 ПС 110/35/10 кВ «А-31», ТП-10/0,4 кВ, ВЛИ-0,4 кВ и установка системы учета электрической энергии (мощности) на границе земельного участка для электроснабжения магазина заявителя ИП Мироненко С.А., с. Займо-Обрыв, Азовский район Ростовская область (ориентировочная протяженность ЛЭП– 0,06 км, ориентировочная трансформаторная мощность – 0,1 МВА)  </t>
  </si>
  <si>
    <t xml:space="preserve">Строительство участка ВЛИ-0,4кВ от проектируемой ВЛ-0,4 кВ (по договору № 61-1-20-00499239 от 12.03.2020г.) КТП 6/0,4 кВ №352 по ВЛ-6 кВ №207Н от ПС 110/6/10 кВ НС-2 и установка системы учета электрической энергии (мощности) на границе земельного участка для электроснабжения участка заявителя Прониной Т.И., СТ «Квант», Азовский р-он Ростовская область (ориентировочная протяженность ЛЭП – 0,03 км) </t>
  </si>
  <si>
    <t xml:space="preserve">Строительство участка ВЛИ-0,4кВ от оп. 311-3/4 ВЛ-0,4 кВ №2 КТП 10/0,4 кВ №311 ВЛ-10кВ №106Н ПС 110/6/10 кВ «НС-1» и системы учета электрической энергии (мощности) на границе земельного участка для электроснабжения жилого дома заявителя Щербиной С.Н., СХА "Кулешовское" поле III, Азовский район Ростовская область (ориентировочная протяженность ЛЭП – 0,120 км) </t>
  </si>
  <si>
    <t xml:space="preserve">Строительство участка ВЛИ-0,4кВ от оп. №17-30 ВЛ-0,4кВ №1 КТП 10/0,4 кВ №17 ВЛ-10кВ №107Н ПС 110/6/10 кВ «НС-1» и системы учета электрической энергии (мощности) на границе земельного участка для электроснабжения жилого дома заявителя Стельмашова А.В., п. Овощной, Азовский р-он Ростовская область (ориентировочная протяженность ЛЭП – 0,04 км) </t>
  </si>
  <si>
    <t xml:space="preserve">Строительство участка ВЛИ-0,4кВ от оп. №311-1/5 ВЛ-0,4 кВ №3 КТП 10/0,4 кВ №311 ВЛ-10кВ №106Н ПС 110/6/10 кВ «НС-1» и системы учета электрической энергии (мощности) на границе земельного участка для электроснабжения жилого дома заявителя Острижного Е.В., СХА "Кулешовское" поле III о, Азовский р-он Ростовская область (ориентировочная протяженность ЛЭП – 0,065 км) </t>
  </si>
  <si>
    <t>Строительство участка ВЛИ-0,4 кВ от проектируемой ТП 10/0,4 кВ (по договору ТП № 61-1-20-00475639 от 14.04.20г.) по ВЛ-10 кВ №313 ПС 35/10 кВ «КГ-3»  и системы учета электрической энергии (мощности) на границе земельного участка для электроснабжения офисного здание заявителя  Гурова Ю.А. Ростовская область, Кагальницкий район, ст. Кировская  (ориентировочная протяженность ЛЭП– 0,17 км)</t>
  </si>
  <si>
    <t>Строительство участка ВЛИ-0,4кВ от оп. №182-34 ВЛ-0,4кВ №3 КТП-10/0,4 кВ №182 ВЛ-10 кВ №805 ПС 110/10 кВ «БОС» и системы учета электрической энергии (мощности) на границе земельного участка для электроснабжения жилого дома заявителя Кузьменко С.В., Ростовская область, Кагальницкий р-н, п. Мокрый Батай, пер. Осенний д.2 (ориентировочная протяженность ЛЭП – 0,05 км)</t>
  </si>
  <si>
    <t xml:space="preserve">Строительство участка ВЛИ-0,4кВ от проектируемой ТП 10/0,4 кВ (по договору ТП № 61-1-19-00475639 от 15.10.2019г.) ВЛ 10 кВ №313 ПС 35/10 кВ «КГ-3» и системы учета электрической энергии (мощности) на границе земельного участка для электроснабжения офисного здания заявителя ИП Артюхова А.А., ст. Кировская, Кагальницкий район, Ростовская область (ориентировочная протяженность ЛЭП – 0,1 км) </t>
  </si>
  <si>
    <t xml:space="preserve">Строительство участка ВЛИ-0,4кВ от оп. №75-57 ВЛ-0,4кВ №3 КТП-10/0,4 кВ №75 ВЛ-10 кВ №1501 ПС 35/10 кВ «ЗР-15» и системы учета электрической энергии (мощности) на границе земельного участка для электроснабжения фельдшерско-акушерского пункта заявителя Муниципальное бюджетное учреждение здравоохранения "Центральная районная больница", Ростовская обл., р-н. Зерноградский п. Экспериментальный ул. Гастелло д.2а (ориентировочная протяженность ЛЭП – 0,3 км)  </t>
  </si>
  <si>
    <t xml:space="preserve">Строительство участка ВЛИ-0,4кВ от проектируемой ВЛ-0,4 кВ (по договору № 61-1-20-00499303 от 04.03.2020 г.) КТП-6/0,4 кВ №350 по ВЛ-6 кВ № 207Н ПС 110/6/10 кВ «НС-2» и установка системы учета электрической энергии (мощности) на границе земельных участков для электроснабжения объектов заявителей Гамзюковой О.Д., Бухтояровой В.А., Гуриной Л.В., СТ «Квант», Азовский р-он Ростовская область (ориентировочная протяженность ЛЭП – 0,115 км)   </t>
  </si>
  <si>
    <t xml:space="preserve">Строительство участка ВЛИ-0,4кВ от проектируемой ВЛ-0,4 кВ (по договору ТП № 61-1-20-00519109 от 11.08.2020 г.) КТП 10/0,4 кВ №334 ВЛ-10 202Н ПС 110/6/10 кВ «НС-2» и установка системы учета электрической энергии (мощности) на границе земельных участков для электроснабжения жилых домов заявителей Додвинова С.А., Трусовой Е.А., ЗАО «Обильное» Азовский р-он Ростовская область (ориентировочная протяженность ЛЭП – 0,04 км)     </t>
  </si>
  <si>
    <t xml:space="preserve">Строительство участка ВЛИ-0,4кВ от РУ-0,4 кВ КТП 10/0,4 кВ №174 ВЛ-10кВ 1011 ПС 110/35/10 кВ «Самарская» и системы учета электрической энергии (мощности) на границе земельных участков для электроснабжения жилых домов заявителей Сокирко А.И., Хныковой Н.В., с. Самарское, Азовский р-он Ростовская область (ориентировочная протяженность ЛЭП – 0,09 км)   </t>
  </si>
  <si>
    <t xml:space="preserve">Строительство участка ВЛИ 0,4кВ от опоры №21-28 ВЛ 0,4 кВ №2 КТП 10/0,4 кВ №21 ВЛ 10 кВ №1702 ПС 35/10 кВ «А-17» и системы учета электрической энергии (мощности) на границе земельного участка для электроснабжения вагончика заявителя Ксандо Н.А., с.Стефанидинодар, Азовский район, Ростовская область (ориентировочная протяженность ЛЭП – 0,095 км)   </t>
  </si>
  <si>
    <t xml:space="preserve">Строительство участка ВЛИ 0,4кВ от опоры №18-1 ВЛ 0,4кВ №1 КТП 10/0,4 кВ №18 ВЛ 10 кВ №3113 ПС 110/35/10 А-31 и системы учета электрической энергии (мощности) на границе земельного участка для электроснабжения жилого дома заявителя Урамовой М.В., с. Пешково, Азовский район Ростовская область (ориентировочная протяженность ЛЭП – 0,04 км)    </t>
  </si>
  <si>
    <t>Строительство ВЛ-10 кВ от опоры №77 ВЛ-10 кВ №1019 ПС 110/35/10 кВ Самарская, ТП-10/0,4 кВ, ВЛИ-0,4 кВ, для электроснабжения объектов 7 заявителей х. Победа, Азовский район, Ростовская область (ориентировочная протяженность ЛЭП– 0,510 км, ориентировочная трансформаторная мощность – 0,160 МВА)</t>
  </si>
  <si>
    <t xml:space="preserve">Строительство ВЛ-6 кВ от проектируемой ВЛ-6 кВ (по договору ТП №61-1-19-00480705 от 02.12.2019г.) по ВЛ-6кВ №207Н ПС 110/6/10 кВ «НС-2», ТП-6/0,4 кВ, ВЛ-0,4 кВ и установка системы учета электрической энергии (мощности) на границе земельного участка для электроснабжения хозяйственной постройки заявителя Кеник А.С., 3,1 км на юго-восток от пункта ГГС Пеленкин, Азовский район Ростовская область (ориентировочная протяженность ЛЭП– 0,940 км, ориентировочная трансформаторная мощность – 0,025 МВА) </t>
  </si>
  <si>
    <t xml:space="preserve">Строительство участка ВЛИ-0,4кВ от оп. №57-128 ВЛ-0,4кВ №2 КТП-10/0,4 кВ №128 ВЛ-10 кВ №313 ПС 35/10 кВ «КГ-3» и системы учета электрической энергии (мощности) на границе земельного участка для электроснабжения магазина заявителя Кареник Н.А., Ростовская область, Кагальницкий р-н, ст Кировская, ул. Кирова д.94 (ориентировочная протяженность ЛЭП – 0,05 км)   </t>
  </si>
  <si>
    <t xml:space="preserve">Строительство участка ВЛИ 0,4кВ от опоры № 83-171 ВЛ 0,4 кВ №2 КТП 10/0,4 кВ №83 ВЛ 10кВ №415 ПС 35/10 кВ «КГ-4» и системы учета электрической энергии (мощности) на границе земельного участка для электроснабжения жилого дома заявителя Бредихина И.Ю., с. Васильево-Шамшево, Кагальницкий район, Ростовская область (ориентировочная протяженность ЛЭП – 0,07 км)  </t>
  </si>
  <si>
    <t xml:space="preserve">Строительство участка ВЛИ 0,4кВ от опоры № 182-36 ВЛ 0,4 кВ №3 КТП 10/0,4 кВ №182 ВЛ 10кВ №805 ПС 110/10 кВ «БОС» и системы учета электрической энергии (мощности) на границе земельного участка для электроснабжения жилого дома заявителя Борисюк Д.П., п. Мокрый Батай, Кагальницкий район, Ростовская область (ориентировочная протяженность ЛЭП – 0,065 км)  </t>
  </si>
  <si>
    <t>Строительство МТП 10/0,4кВ от оп. 10-130 ВЛ 10 кВ 805 ПС 110/10 кВ "БОС", для электроснабжения жилого дома заявителя Буднева А.В., п. Мокрый Батай, Кагальницкий район Ростовская область (ориентировочная трансформаторная мощность – 0,100 МВА)</t>
  </si>
  <si>
    <t xml:space="preserve">Строительство ЛЭП-10 кВ от оп. 45-113 ВЛ-10 кВ №305 ПС 35/10 кВ «КГ-3», ТП-10/0,4 кВ, ЛЭП-0,4 кВ, для электроснабжения освещение дороги заявителя Министрерство транспорта, Ростовкая область, Кагальницкий район, (ориентировочная протяженность ЛЭП– 0,04 км, ориентировочная трансформаторная мощность – 0,025 МВА) </t>
  </si>
  <si>
    <t xml:space="preserve">Строительство ЛЭП-10 кВ от оп. №8 ВЛ-10 кВ №318 ПС 35/10 кВ "КГ-3", ТП-10/0,4 кВ, ЛЭП-0,4 кВ, для электроснабжения частной клиники заявителя ИП Зайцева П.П., ст. Кировская Кагальницкий район, Ростовская область (ориентировочная протяженностьЛЭП-0,36 км, ориентировочная трансформаторная мощность-0,250 МВА)  </t>
  </si>
  <si>
    <t>Строительство участка ВЛИ-0,4кВ от проектируемой ВЛ-0,4 кВ (по договору №61-1-20-00519721 от 07.08.2020г.) КТП 10/0,4 кВ №48 по ВЛ-10кВ №1815 ПС 35/10 кВ «А-18» и установка системы учета электрической энергии (мощности) на границе земельных участков для электроснабжения жилых домов заявителей Зарецкого А.В., Давыдовой А.В., Рыболовецкий колхоз им. Ленина, Азовский р-он Ростовская область (ориентировочная протяженность ЛЭП – 0,055 км)</t>
  </si>
  <si>
    <t xml:space="preserve">Строительство участка ВЛИ-0,4кВ от проектируемой ВЛ-0,4 кВ (по договору ТП № № 61-1-18-00414119 от 17.12.2018 г.) вновь построенной ТП 10/0,4 кВ по ВЛ-10 кВ №1815 ПС 35/10 кВ «А-18» для электроснабжения жилого дома заявителя Хныкина Н.В, х.Городище, Азовский район, Ростовская область (ориентировочная протяженность ЛЭП – 0,165 км)  </t>
  </si>
  <si>
    <t>Строительство участка ВЛИ 0,4кВ от проектируемой ВЛ 0,4 кВ (по договору ТП № 61-1-20-00543131 от 24.11.2020 г.) КТП 10/0,4 кВ №174 ВЛ 10кВ 1011 ПС 110/35/10 кВ «Самарская» и системы учета электрической энергии (мощности) на границе земельного участка для электроснабжения хозяйственной постройки заявителя Савченко Ю.В., с. Самарское, Азовский район, Ростовская область (ориентировочная протяженность ЛЭП – 0,075 км)</t>
  </si>
  <si>
    <t>Строительство ЛЭП-10 кВ от оп. 10 кВ оп. №60 по ВЛ-10кВ №2907 РП-29 ПС 35/10 кВ «А-18», ТП-10/0,4 кВ, ЛЭП-0,4 кВ, для электроснабжения жилого дома заявителя Хвостикова Д.Н., х. Коса, Азовский район Ростовская область (ориентировочная протяженность ЛЭП– 0,150 км, ориентировочная трансформаторная мощность – 0,025 МВА)</t>
  </si>
  <si>
    <t xml:space="preserve">Строительство участка ВЛИ-0,4кВ от оп. №50-19 ВЛ-0,4кВ №1 КТП-10/0,4кВ №50 ВЛ-10кВ №2907 ПС 35/10 «А-18» для электроснабжения жилого дома заявителя Фальченко Д.А., ст-ца Елизаветинская, Ростовская область (ориентировочная протяженность ЛЭП – 0,130км) </t>
  </si>
  <si>
    <t>Строительство ЛЭП-10 кВ от оп. 10 кВ №2 по ВЛ-10 кВ №106Н ПС 110/6/10 кВ НС-1, ТП-10/0,4 кВ, ЛЭП-0,4 кВ, для электроснабжения жилого дома заявителя Озманян Г.М., п. Овощной, Азовский район Ростовская область (ориентировочная протяженность ЛЭП– 0,045 км, ориентировочная трансформаторная мощность – 0,025 МВА)</t>
  </si>
  <si>
    <t>Строительство ЛЭП-10 кВ от оп. 10 кВ №57 по ВЛ-10кВ №808 от ПС 110/10 кВ «БОС», ТП-10/0,4 кВ, ЛЭП-0,4 кВ, для электроснабжения придорожного кафе заявителя Черкасова Н.Н., п. Красный Сад, Азовский район Ростовская область (ориентировочная протяженность ЛЭП– 0,050 км, ориентировочная трансформаторная мощность – 0,025 МВА)</t>
  </si>
  <si>
    <t>Строительство ВЛ-10 кВ от оп. 10 кВ №17 по ВЛ-10кВ №1802 ПС 35/10 кВ «А-18», ТП-10/0,4 кВ, ВЛ-0,4 кВ и системы учета электрической энергии (мощности) на границе земельного участка для электроснабжения жилого дома заявителя Родионова Д.Н., х. Дугино, Азовский район Ростовская область (ориентировочная протяженность ЛЭП– 0,340 км, ориентировочная трансформаторная мощность – 0,025 МВА)</t>
  </si>
  <si>
    <t>Строительство ВЛИ - 0,4 кВ совместным подвесом по ВЛ 10 кВ № 313 ПС 35/10 «КГ-3» в пролете опор №4-194 ÷ 12-194 от РУ 0,4 кВ техперевооружаемой КТП-10/0,4 кВ №194 ВЛ-10кВ №313 ПС 35/10 «КГ-3» и установка коммерческого учета электрической энергии (мощности) для электроснабжения магазина Заявителя ИП Шульженко А.В., Кагальницкий район Ростовская область (ориентировочная протяженность ЛЭП– 0,300 км</t>
  </si>
  <si>
    <t>Строительство участка ВЛИ-0,4кВ от оп. №28-188 ВЛ-0,4кВ №4 ЗТП-10/0,4 кВ №28 ВЛ-10 кВ №313 ПС 35/10 кВ «КГ-3» и системы учета электрической энергии (мощности) на границе земельного участка для электроснабжения жилого дома заявителя Маликова Д.В., ст. Кировская, Кагальницкий р-он Ростовская область (ориентировочная протяженность ЛЭП – 0,05 км)</t>
  </si>
  <si>
    <t>Строительство ВЛ-10 кВ от оп. № 158 по ВЛ-10кВ №1005 ПС 110/10 кВ «Полячки», ТП-10/0,4 кВ, ВЛИ-0,4 кВ и установка коммерческого учета электрической энергии (мощности) на границе земельного участка для электроснабжения рыбохозяйства заявителя ООО «Агенство оценки и учета», Кагальницкий р-н, п. Березовая Роща, Ростовская область (ориентировочная протяженность ЛЭП– 0,310 км, ориентировочная трансформаторная мощность – 0,025 МВА)</t>
  </si>
  <si>
    <t>Строительство участка ВЛИ 0,4кВ от РУ 0,4 кВ КТП 10/0,4 кВ №13 ВЛ 10кВ №3203 ПС 110/35/10 кВ «А-32» и системы учета электрической энергии (мощности) на границе земельного участка для электроснабжения сельскохозяйственной базы заявителя ИП Швидченко А.Н., Азовский район, АОЗТ им. Ленина, Ростовская область (ориентировочная протяженность ЛЭП – 0,03 км)</t>
  </si>
  <si>
    <t>Строительство участка ВЛИ 0,4кВ от проектируемой ВЛ 0,4 кВ (по договору ТП № 61-1-20-00543967 от 10.11.2020 г.) МТП 10/0,4 кВ №311 ВЛ 10кВ №106Н ПС 110/6/10 кВ НС-1 и системы учета электрической энергии (мощности) на границе земельного участка для электроснабжения жилого дома заявителя Сопиной М.И., СХА "Кулешовское" поле III о, Азовский район, Ростовская область (ориентировочная протяженность ЛЭП – 0,065км)</t>
  </si>
  <si>
    <t>Строительство участка ВЛИ 0,4кВ от опоры №311-5/1 ВЛ 0,4 кВ №2 МТП 10/0,4 кВ №311 ВЛ 10кВ №106Н ПС 110/6/10 кВ НС-1 и системы учета электрической энергии (мощности) на границе земельного участка для электроснабжения жилого дома заявителя Соколова А.Ю., СХА "Кулешовское" поле III о, Азовский район, Ростовская область (ориентировочная протяженность ЛЭП – 0,150 км)</t>
  </si>
  <si>
    <t>Строительство участка ВЛИ 0,4кВ от опоры №101-76 ВЛ-0,4 кВ №2 КТП 10/0,4 кВ №101 ВЛ-10 кВ №2412 ПС 35/10 кВ А-24 и системы учета электрической энергии (мощности) на границе земельного участка для электроснабжения жилого дома заявителя Алфеева И.В., х. Полушкин, Азовский район, Ростовская область (ориентировочная протяженность ЛЭП – 0,06 км)</t>
  </si>
  <si>
    <t>Строительство участка ВЛИ 0,4кВ от опоры №136-61 ВЛ 0,4 кВ №3 КТП 10/0,4 кВ №136 ВЛ 10кВ №3113 ПС 110/35/10 кВ А-31 и системы учета электрической энергии (мощности) на границе земельного участка для электроснабжения жилого дома заявителя Герасименко Д.А., с. Пешково, Азовский район, Ростовская область (ориентировочная протяженность ЛЭП – 0,100 км)</t>
  </si>
  <si>
    <t>Строительство участка ВЛИ 0,4кВ от опоры № 105-9 ВЛ-0,4 кВ №1 КТП 10/0,4 кВ №105 ВЛ-10кВ №803 ПС 35/10 кВ «А-8» и системы учета электрической энергии (мощности) на границе земельного участка для электроснабжения жилого дома заявителя Сорокина Г.В., с.Семибалки, Азовский район, Ростовская область (ориентировочная протяженность ЛЭП – 0,03 км)</t>
  </si>
  <si>
    <t>Строительство ВЛИ 0,4 кВ от опоры №2-64 технически перевооружаемой ВЛ 0,4 кВ №1 КТП 10/0,4 кВ №2 ВЛ 10кВ №606 ПС 35/10 кВ А-6 и установка коммерческого учета электрической энергии (мощности) на границе земельного участка для электроснабжения жилого дома заявителя Мартынив Е.А., с. Порт-Катон, Азовский р-он Ростовская область (ориентировочная протяженность ЛЭП – 0,140 км)</t>
  </si>
  <si>
    <t>Строительство участка ВЛИ-0,4кВ от РУ-0,4кВ КТП-10/0,4 кВ №64  ВЛ-10 кВ № 405 ПС 35/10 кВ Е-4 и установка системы учета электрической энергии (мощности) на границе земельного участка для электроснабжения жилого дома заявителя ИП Руденко Н.Ф., Егорлыкский р-он Ростовская область (ориентировочная протяженность ЛЭП – 0,020 км)</t>
  </si>
  <si>
    <t>Строительство участка ВЛИ-0,4кВ от опоры №161-34 ВЛ-0,4 кВ №3 КТП-10/0,4 кВ №161 по ВЛ-10 кВ № 802 ПС 110/6/10 кВ Роговская, установить в существующую КТП дополнительный автоматический выключатель Iн=40А и установка системы учета электрической энергии (мощности) на границе земельного участка для электроснабжения артезианской скважины заявителя ЕМУП «Коммунальник», ст.Новороговская, Егорлыкский р-он Ростовская область (1шт), (ориентировочная протяженность ЛЭП – 0,250 км)</t>
  </si>
  <si>
    <t>Строительство участка ВЛИ-0,4кВ от РУ-0,4 кВ КТП 10/0,4 кВ №32 ВЛ-10 кВ №2008  ПС 220/110/10 кВ «А-20» для подключения дома заявителя Курузьян М.Х., Азовский район, Ростовская область (ориентировочная протяженность ЛЭП – 0,120 км)</t>
  </si>
  <si>
    <t>Строительство участка ВЛИ 0,4кВ от опоры 350-5/2 ВЛ-0,4 кВ №4 КТП 6/0,4 кВ №350 по ВЛ 6 кВ №207Н ПС 110/6/10 кВ «НС-2» и системы учета электрической энергии (мощности) на границе земельного участка для электроснабжения хоз.постройки заявителя Филимонова Е.К., СНТ «Квант», Азовский район, Ростовская область (ориентировочная протяженность ЛЭП – 0,08 км)</t>
  </si>
  <si>
    <t>Строительство ВЛ 10 кВ от опоры № 8 по ВЛ 10 кВ №107Н ПС 110/6/10 кВ НС-1, ТП 10/0,4 кВ, ВЛИ 0,4 кВ и установка системы учета электрической энергии (мощности) на границе земельного участка для электроснабжения жилого дома заявителя Кудряшова Е.В., ДНТ «Дон», Азовский район, Ростовская область (ориентировочная протяженность ЛЭП– 0,100 км, ориентировочная трансформаторная мощность – 0,025 МВА)</t>
  </si>
  <si>
    <t>Строительство участка ВЛИ 0,4кВ от опоры №36-11 ВЛ-0,4 кВ №1 КТП 10/0,4 кВ №36 ВЛ-10 кВ №1702 ПС 35/10 кВ А-17 и системы учета электрической энергии (мощности) на границе земельного участка для электроснабжения жилого дома заявителя Гейнц И.А., с.Стефанидинодар, Азовский район, Ростовская область (ориентировочная протяженность ЛЭП – 0,06 км)</t>
  </si>
  <si>
    <t>Строительство ВЛ 6 кВ от опоры № 69 по ВЛ 6кВ №207Н ПС 110/6/10 кВ НС-2, ТП 6/0,4 кВ, ВЛИ 0,4 кВ и установка системы учета электрической энергии (мощности) на границе земельного участка для электроснабжения объекта сельскохозяйственного производства заявителя ООО «Нардек», ориентир Пункт ГГС Пеленкин (поле№132,135,133,136 СХКА им. Партсъезда), 4,2 км на юго-восток, Азовский район, Ростовская область (ориентировочная протяженность ЛЭП– 0,105 км, ориентировочная трансформаторная мощность – 0,025 МВА)</t>
  </si>
  <si>
    <t xml:space="preserve">Строительство ВЛ-10 кВ от опоры №45 ВЛ-10 кВ №802 ПС 35/10 кВ А-8, ТП-10/0,4 кВ, ВЛИ-0,4 кВ для подключения жилого дома Иванченко А.А. х. Павло-Очаково Азовский р-он, Ростовская область (ориентировочная протяженность ЛЭП – 0,730 км, ориентировочная трансформаторная мощность – 0,025 МВА) </t>
  </si>
  <si>
    <t>Строительство участка ВЛИ 0,4кВ от опоры оп. №184-44 ВЛ-0,4 кВ №2 КТП 10/0,4 кВ №184 ВЛ-10кВ №3113 ПС 110/35/10 кВ «А-31» и системы учета электрической энергии (мощности) на границе земельного участка для электроснабжения жилого дома заявителя Грущенко В.Н., с. Пешково, Азовский район, Ростовская область (ориентировочная протяженность ЛЭП – 0,085 км)</t>
  </si>
  <si>
    <t>Строительство участка ВЛИ 0,4кВ от проектируемой ВЛ 0,4 кВ (по договору ТП № 61-1-20-00551955 от 01.02.2021 г.) КТП 10/0,4 кВ №174 ВЛ 10кВ 1011 ПС 110/35/10 кВ «Самарская» и системы учета электрической энергии (мощности) на границе земельного участка для электроснабжения жилого дома заявителя Сырги А.В., с.Самарское, Азовский район, Ростовская область (ориентировочная протяженность ЛЭП – 0,06 км)</t>
  </si>
  <si>
    <t>Строительство участка ВЛИ 0,4кВ от опоры № 115-5 ВЛ-0,4 кВ №1 КТП 10/0,4 кВ №115 ВЛ-10 кВ №3125 от ПС 110/35/10 кВ А-31 и системы учета электрической энергии (мощности) на границе земельных участков для электроснабжения жилых домов заявителя Кутир П.А., с. Пешково, Азовский район, Ростовская область (ориентировочная протяженность ЛЭП – 0,085 км)</t>
  </si>
  <si>
    <t>Строительство участка ВЛИ 0,4кВ от опоры №136-61 ВЛ 0,4 кВ №3 КТП 10/0,4 кВ №136 ВЛ 10кВ №3113 ПС 110/35/10 кВ А-31 и системы учета электрической энергии (мощности) на границе земельных участков для электроснабжения жилых домов заявителей Старцевой Т.В., Старцева А.В., с. Пешково, Азовский район, Ростовская область (ориентировочная протяженность ЛЭП – 0,140 км)</t>
  </si>
  <si>
    <t>Строительство участка ВЛИ-0,4кВ от РУ-0,4кВ КТП-10/0,4 кВ №130 ВЛ-10 кВ №1702 ПС 35/10 кВ «А-17» и системы учета электрической энергии (мощности) на границе земельного участка для электроснабжения дачного дома заявителя Северенко Е.В., КСП «Ленинское знамя», в границах Круглянского СП, Азовский р-он Ростовская область (ориентировочная протяженность ЛЭП – 0,620 км)</t>
  </si>
  <si>
    <t>Строительство участка ВЛИ 0,4кВ от опоры № 102-17 ВЛ 0,4 кВ №1 КТП 10/0,4 кВ №102 ВЛ 10кВ №413 ПС 35/10 кВ «КГ-4» и системы учета электрической энергии (мощности) на границе земельного участка для электроснабжения жилого дома заявителя Бредихина С.Я., х. Кут, Кагальницкий район, Ростовская область (ориентировочная протяженность ЛЭП – 0,06 км)</t>
  </si>
  <si>
    <t>Строительство участка ВЛИ 0,4кВ от опоры № 28-281 ВЛ 0,4 №1 от ЗТП-28 по ВЛ-10 313 ПС 35 кВ КГ3 и системы учета электрической энергии (мощности) на границе земельного участка для электроснабжения жилого дома заявителя Аристакесян С.А., Ростовская область, Кагальницкий р-н, ст. Кировская, ул. Олимпийская д.26 (ориентировочная протяженность ЛЭП – 0,03 км)</t>
  </si>
  <si>
    <t>Строительство ВЛ-10 кВ от оп. №6-246 ВЛ-10 кВ №1107 ПС 35/10 кВ А-11, строительство ТП-10/0,4 кВ, строительство участка ВЛ-0,4 кВ для подключения жилого дома заявителя Михалева А.С. х. Узяк, Азовский район Ростовская область (ориентировочная протяженность ЛЭП – 0,430 км, ориентировочная трансформаторная мощность – 0,025 МВА)</t>
  </si>
  <si>
    <t>Строительство ВЛ-10 кВ от оп. № 76 по ВЛ-10 кВ №914 от ПС 110/35/10 кВ А-9, ТП-10/0,4 кВ, ВЛ-0,4 кВ и системы учета электрической энергии (мощности) на границе земельного участка для электроснабжения хозяйственного помещения заявителя ООО «Органик Фудс Инвестмент», с.Пешково, Азовский район Ростовская область (ориентировочная протяженность ЛЭП– 0,09 км, ориентировочная трансформаторная мощность – 0,025 МВА)</t>
  </si>
  <si>
    <t xml:space="preserve">Строительство ВЛ 0,4 кВ от №365-5 ВЛ 0,4кВ №1 КТП 10/0,4 кВ №365              ВЛ 10кВ №107Н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Ткачевой М.Ю., п. Овощной, Азовский р-он Ростовская область (ориентировочная протяженность ЛЭП – 0,115 км)
</t>
  </si>
  <si>
    <t>Строительство участка ВЛИ 0,4кВ от опоры № 45-19 ВЛ-0,4 кВ №2 КТП 10/0,4 кВ №45 ВЛ-10кВ №2907 РП-29 ПС 35/10 кВ «А-18» и системы учета электрической энергии (мощности) на границе земельного участка для электроснабжения жилого дома заявителя Клокотовой Н.П., х. Курган, Азовский район, Ростовская область (ориентировочная протяженность ЛЭП – 0,085 км)</t>
  </si>
  <si>
    <t>Строительство участка ВЛИ 0,4кВ от опоры №4-21 ВЛ-0,4 кВ №1 КТП 10/0,4 кВ №4 (бесхозная) ВЛ-10 кВ 1702 ПС 35/10 кВ А-17 и системы учета электрической энергии (мощности) на границе земельного участка для электроснабжения жилого дома заявителя Гладких В.О., с. Стефанидинодар, Азовский район, Ростовская область (ориентировочная протяженность ЛЭП – 0,09 км)</t>
  </si>
  <si>
    <t>Строительство участка ВЛИ 0,4кВ от опоры №15-10 ВЛ 0,4 кВ №1 КТП 10/0,4 кВ №15 ВЛ 10кВ №802 ПС 35/10 кВ «А-8» и системы учета электрической энергии (мощности) на границе земельного участка для электроснабжения жилого дома заявителя Минина С.А., х. Павло-Очаково, Азовский район, Ростовская область (ориентировочная протяженность ЛЭП – 0,130 км)</t>
  </si>
  <si>
    <t>Строительство участка ВЛИ 0,4кВ от опоры №166-48 ВЛ-0,4 кВ №2 КТП 10/0,4 кВ №166 ВЛ-10кВ №1701 ПС 35/10 кВ А-17 и системы учета электрической энергии (мощности) на границе земельного участка для электроснабжения жилого дома заявителя Велигура О.С., с. Круглое, Азовский район, Ростовская область (ориентировочная протяженность ЛЭП – 0,250 км)</t>
  </si>
  <si>
    <t>Техническое перевооружение ВЛ 0,4 кВ №3 от РУ 0,4 кВ КТП 10/0,4 кВ №25 до опоры №25-104 ВЛ 0,4 кВ №3 КТП 10/0,4 кВ №25 ВЛ 10 кВ №1815 ПС А-18 для электроснабжения лодочной станции заявителя Кривко И.А., х. Курган, Азовский район Ростовская область (ориентировочная протяженность ЛЭП – 0,580 км)</t>
  </si>
  <si>
    <t>Строительство участка ВЛИ 0,4кВ от опоры №48-59 ВЛ-0,4 кВ №1 КТП 10/0,4 кВ №48 ВЛ-10кВ №1815 ПС 35/10 кВ «А-18» и системы учета электрической энергии (мощности) на границе земельных участков для электроснабжения жилых домов заявителя Самохвалова Н.С., Рыболовецкий колхоз им. Ленина, в границах квартала 61:01:0600002 на территории Елизаветинского сельского поселения от ПТ «Пять братьев» 800м на северо-восток, Азовский район, Ростовская область (ориентировочная протяженность ЛЭП – 0,210 км)</t>
  </si>
  <si>
    <t>Строительство ВЛ 10 кВ от опоры № 80 по ВЛ 10 кВ №1316 ПС 35/10 кВ А-13, ТП 10/0,4 кВ, ВЛ 0,4 кВ и установка системы учета электрической энергии (мощности) на границе земельного участка для электроснабжения объекта крестьянского (фермерского) хозяйства заявителя ИП Падалка О.Н., Ростовская область, Азовский район, в 200 м по направлению на запад от ориентира х.Сонино, Азовский район, Ростовская область (ориентировочная протяженность ЛЭП– 0,880 км, ориентировочная трансформаторная мощность – 0,025 МВА)</t>
  </si>
  <si>
    <t>Строительство участка ВЛИ-0,4кВ от оп. №97-1 ВЛ-0,4кВ №1 КТП-10/0,4 кВ №97 ВЛ-10 кВ №2907 РП-29 ПС 35/10 кВ «А-18» и установка коммерческого учета электрической энергии (мощности) на границе земельного участка для электроснабжения жилого дома заявителя Волконогова Д.О., х. Казачий Ерик, Азовский р-он Ростовская область (ориентировочная протяженность ЛЭП – 0,150 км)</t>
  </si>
  <si>
    <t xml:space="preserve">Строительство участка ВЛИ-0,4кВ от оп. №40-66 ВЛ-0,4кВ №2 КТП-10/0,4 кВ №40 ВЛ-10 кВ №1802 ПС 35/10 «А-18» и установка коммерческого учета электрической энергии (мощности) на границе земельных участков для электроснабжения жилых домов заявителей Дьякова П.В., Дьяковой Г.И., х. Рогожкино, Ростовская область (ориентировочная протяженность ЛЭП – 0,110 км)
</t>
  </si>
  <si>
    <t>Строительство участка ВЛИ-0,4кВ от проектируемой ВЛ-0,4 кВ (по договору ТП №61-1-18-00409567 от 12.12.2018г.) КТП 10/0,4 кВ №48 по ВЛ-10кВ №1815 ПС 35/10 кВ «А-18» для электроснабжения жилого дома заявителя Заряева П.В., Рыболовецкий колхоз им. Ленина, Азовский район, Ростовская область (ориентировочная протяженность ЛЭП – 0,120 км)</t>
  </si>
  <si>
    <t>Строительство участка ВЛИ-0,4кВ от опоры №329-28 ВЛ-0,4 кВ №2 КТП-10/0,4 кВ №329 по ВЛ-10 кВ № 106Н ПС 110/6/10 кВ «НС-1» и установка системы учета электрической энергии (мощности) на границе земельного участка для электроснабжения жилого дома заявителя Пономаревой И.А., ДНТ "Виктория", Азовский р-он Ростовская область (ориентировочная протяженность ЛЭП – 0,130 км)</t>
  </si>
  <si>
    <t>Строительство участка ВЛИ-0,4кВ от оп. №13-72 ВЛ-0,4кВ №3 КТП-10/0,4 кВ №13 ВЛ-10 кВ №3125 ПС 110/35/10 кВ «А-31» и системы учета электрической энергии (мощности) на границе земельного участка для электроснабжения жилого дома заявителя Редькиной З.И., с. Головатовка, Азовский р-он Ростовская область (ориентировочная протяженность ЛЭП – 0,150 км)</t>
  </si>
  <si>
    <t>Строительство КЛ-10 кВ от оп. №9 ВЛ-10кВ №808К ПС 110/10 кВ «БОС», ТП-10/0,4 кВ, ВЛИ-0,4 кВ, для электроснабжения насоса для полива заявителя Горобец А.А. Ростовская область, г. Батайск (ориентировочная протяженность ЛЭП– 0,210 км, ориентировочная трансформаторная мощность– 0,025 МВА)</t>
  </si>
  <si>
    <t xml:space="preserve">Строительство участка ВЛИ-0,4кВ от оп. №257-83 по ВЛ-0,4кВ №2 КТП 6/0,4кВ №257 ВЛ-6кВ №10701 ПС 110/35/6 «А-1» для электроснабжения жилого дома заявителя Буйлова Н.А., г. Азов, Ростовская область (ориентировочная протяженность ЛЭП – 0,07км)  </t>
  </si>
  <si>
    <t>Строительство участка ВЛ-0,4кВ для подключения магазина заявителя ИП Гиваргизовой А.Б. г. Азов, Ростовская область.</t>
  </si>
  <si>
    <t>Строительство участка ВЛИ-0,4кВ от РУ-0,4 кВ КТП 10/0,4кВ №337 по ВЛ-10кВ №910-№1106 ПС 35/10 кВ «А-9» для электроснабжения станции ТО заявителя ИП Шабанова В.В., г. Азов, Ростовская область (ориентировочная протяженность ЛЭП – 0,100 км)</t>
  </si>
  <si>
    <t>Строительство участка ВЛИ-0,4кВ от РУ-0,4 кВ КТП 10/0,4 кВ №184 ВЛ-10 кВ №910-1106 ПС 35/10 кВ «А-9» для электроснабжения энергопринимающих устройств ЗАО «Русские Башни», г. Азов, Ростовская область (ориентировочная протяженность ЛЭП – 0,385км)</t>
  </si>
  <si>
    <t xml:space="preserve">Строительство участка ВЛИ-0,4кВ от проектируемой ВЛ-0,4 кВ (по договору ТП № 61-1-20-00531301 от 14.09.2020 г.) КТП 6/0,4 кВ №257 ВЛ-6 кВ №10701 ПС 110/35/6 кВ «А-1» и системы учета электрической энергии (мощности) на границе земельного участка для электроснабжения жилого дома заявителя Любова А.А., г. Азов Ростовская область (ориентировочная протяженность ЛЭП – 0,160 км) </t>
  </si>
  <si>
    <t>Строительство участка ВЛИ-0,4кВ от оп. №257-67 по ВЛ 0,4 кВ №2 КТП 6/0,4 кВ №257 ВЛ-6 кВ №10701 ПС 110/35/6 кВ «А-1» и системы учета электрической энергии (мощности) на границе земельного участка для электроснабжения жилого дома заявителя Великохацкого А.А., г. Азов Ростовская область (ориентировочная протяженность ЛЭП – 0,03 км)</t>
  </si>
  <si>
    <t>Строительство участка ВЛИ-0,4кВ от оп. №253-124 по ВЛ 0,4 кВ №4 КТП 6/0,4 кВ №253 ВЛ-6 кВ №10701 ПС 110/35/6 кВ «А-1» и системы учета электрической энергии (мощности) на границе земельного участка для электроснабжения жилых домов заявителя Авакяна Р.Р., г. Азов Ростовская область (ориентировочная протяженность ЛЭП – 0,04 км)</t>
  </si>
  <si>
    <t>Строительство участка ВЛИ-0,4кВ от оп. № 257-89 ВЛ-0,4 кВ №2 КТП 6/0,4 кВ №257 ВЛ-6 кВ №10701 ПС 110/35/6 кВ «А-1» и системы учета электрической энергии (мощности) на границе земельного участка для электроснабжения жилого дома заявителя Гуренко Л.П., г. Азов, Азовский р-он Ростовская область (ориентировочная протяженность ЛЭП – 0,03 км)</t>
  </si>
  <si>
    <t>Строительство участка ВЛИ 0,4кВ от проектируемой ВЛ 0,4 кВ (по договору ТП № 61-1-20-00515125 от 15.06.2020 г.) КТП 6/0,4 кВ №257 ВЛ 6 кВ №10701 ПС 110/35/6 кВ «А-1» и системы учета электрической энергии (мощности) на границе земельного участка для электроснабжения жилого дома заявителя Таутиевой А.Н., г.Азов Ростовская область (ориентировочная протяженность ЛЭП – 0,085 км)</t>
  </si>
  <si>
    <t xml:space="preserve">Строительство участка ВЛИ 0,4кВ от опоры № 257-94 ВЛ 0,4 кВ №2 КТП 6/0,4 кВ №257 КВЛ 6 кВ №10701 ПС 110/35/6 кВ «А-1» и системы учета электрической энергии (мощности) на границе земельного участка для электроснабжения жилого дома заявителя Сибиль Г.Н., г. Азов Ростовская область (ориентировочная протяженность ЛЭП – 0,100 км) </t>
  </si>
  <si>
    <t xml:space="preserve">Строительство участка ВЛИ 0,4кВ от опоры №257-94 ВЛ 0,4 кВ №2 КТП 6/0,4 кВ №257 ВЛ 6 кВ №10701 ПС 110/35/6 кВ А-1 и системы учета электрической энергии (мощности) на границе земельных участков для электроснабжения жилых домов заявителей Головневой О.В., Холкина А.Я., г. Азов, Ростовская область (ориентировочная протяженность ЛЭП – 0,135 км)
</t>
  </si>
  <si>
    <t>Строительство участка ВЛИ-0,4кВ от РУ-0,4 кВ КТП 6/0,4 кВ №330 ВЛ-6 кВ №10701 ПС 110/35/6 кВ «А-1» для подключения склада заявителя ИП Солохиной Е.В., г. Азов, Ростовская область (ориентировочная протяженность ЛЭП – 0,140 км)</t>
  </si>
  <si>
    <t>Строительство участка ВЛИ 0,4кВ от опоры № 134-2 ВЛ 0,4 №1 КТП-134 ВЛ-10 101 ПС 110 кВ Зерновая и системы учета электрической энергии (мощности) на границе земельного участка для электроснабжения жилого дома заявителя Рыжая А.М., г. Зерноград, Зерноградский район, Ростовская область (ориентировочная протяженность ЛЭП – 0,03 км)</t>
  </si>
  <si>
    <t>Строительство участка ВЛЗ-10 кВ от опоры  №5/8 ВЛ-10 кВ №24 ПС 110/35/10 кВ КГУ, с установкой ТП-10/0,4 кВ, и строительство ВЛИ-0,4 кВ от вновь установленной ТП-10/0,4 кВ  для присоединения цеха переработки молока Мосояна А.О. (ориентировочная протяженность ЛЭП 0,085 км, ориентировочная мощность трансформатора 63 кВА)</t>
  </si>
  <si>
    <t>Строительство участка ВЛЗ-10 кВ от опоры №172 ВЛ-10 кВ №2 ПС 35/10 кВ Нижне-Журавская, с установкой ТП-10/0,4 кВ и строительство ВЛИ-0,4 кВ от РУ-0,4 кВ вновь установленной ТП-10/0,4 кВ  для присоединения жилого дома Сергеенко С.В. расположенного по адресу: Ростовская область, Константиновский район, х. Хрящевский, пер. Дальний, д. 11, к.н. 61:17:0600010:3479 (ориентировочная протяженность ЛЭП 0,099 км, ориентировочная мощность трансформатора 25 кВА)»</t>
  </si>
  <si>
    <t>Строительство участка ВЛЗ-10 кВ от опоры №4/8 ВЛ-10кВ №6 РП 10/10 кВ Маркинская ПС 110/35/10 кВ Черкассы для присоединения ТП-10/0,4 кВ ОАО «РЖД», расположенного по адресу: Ростовская область, Цимлянский район, участок Морозовская-Куберле (на пикете км 53+450; км 95+50) в границах Цимлянского района, с кадастровым номером 61:41:0000000:23. (ориентировочная протяженность ЛЭП 0,13км)</t>
  </si>
  <si>
    <t>Строительство участка ВЛЗ-6 кВ от опоры №1/2 ВЛ-6 кВ №2 ПС 35/6 кВ Потаповская, с установкой ТП-6/0,4 кВ и строительство ВЛИ-0,4 кВ от РУ-0,4 кВ вновь установленной ТП-6/0,4 кВ  для присоединения автогаражей Мисана А.В., расположенных по адресу: Ростовская область, Волгодонской район, х. Потапов, ул. Комсомольская, д.61е, к.н. 61:08:0040103:97 (ориентировочная протяженность ЛЭП 0,02 км, ориентировочная мощность трансформатора 160 кВА)</t>
  </si>
  <si>
    <t>Строительство участка ВЛЗ-6 кВ от опоры №6/10 ВЛ-6 кВ №5 ПС 35/6 кВ Романовская, с установкой ТП-6/0,4 кВ и строительство ВЛИ-0,4 кВ от РУ-0,4 кВ вновь установленной ТП-6/0,4 кВ  для присоединения столовой Государственного бюджетного учреждения социального обслуживания населения Ростовской области «Романовский специальный дом-интернат для престарелых и инвалидов», расположенной по адресу: Ростовская область, Волгодонской район, станица Романовская, пер. Союзный, д.39, к.н. 61:08:0070119:7:12 (ориентировочная протяженность ЛЭП 0,018 км, ориентировочная мощность трансформатора 160 кВА)</t>
  </si>
  <si>
    <t>Строительство участка ВЛЗ-10 кВ от опоры №77 ВЛ-10 кВ №11 ПС 35/10 кВ Николаевская, с установкой ТП-10/0,4 кВ, и строительство ВЛИ-0,4 кВ от вновь установленной ТП-10/0,4 кВ  для присоединения жилого дома Пономаревой Т.П., расположенного по адресу: Ростовская область, Константиновский район, станица Николаевская, ул. 8 Марта, д.26, к.н. 61:17:0050101:1241 (ориентировочная протяженность ЛЭП 0,054 км, ориентировочная мощность трансформатора 63 кВА</t>
  </si>
  <si>
    <t xml:space="preserve">Строительство участка ВЛЗ-10 кВ от опоры №1/25 ВЛ-10 кВ №5 ПС 35/10 кВ Лозновская, с установкой ТП-10/0,4 кВ и строительство ВЛИ-0,4 кВ от РУ-0,4 кВ вновь установленной ТП-10/0,4 кВ  для присоединения жилого дома Путанашенко А.А., расположенного по адресу: Ростовская область, Цимлянский район, п. Сосенки, ул. Степная, д. 3,к.н. 61:41:0030302:65 (ориентировочная протяженность ЛЭП 0,41 км, ориентировочная мощность трансформатора 160 кВА)
</t>
  </si>
  <si>
    <t>Строительство ВЛ 10 кВ от опоры №20 ВЛ 10 № 1406 ПС 35/10 кВ АС 14 для электроснабжения КТПН-10/0,4 кВ нежилого здания ИП Гореловский С.В. на участке с КН 61:02:0600008:1875 в п. Рассвет, ул. Магистральная, 7, Аксайского района Ростовской области (ориентировочная протяжённость ЛЭП 0,195 км)»</t>
  </si>
  <si>
    <t xml:space="preserve">Строительство КТПН 6/0,4 кВ, ВЛ 0,4 кВ от проектируемой ВЛ 6 кВ (по договору №61-1-17-00321639 от 24.07.2017 г.) от ВЛ 6 кВ РП6 КЛ 6 кВ №340 ПС 110 кВ БТ3 для электроснабжения ВРУ 0,4 кВ жилых домов по ул. Крылова в п. Красный Сад Азовского района Ростовской области </t>
  </si>
  <si>
    <t xml:space="preserve">Строительство ТП 10/0,4 кВ, ВЛ 10 кВ, ВЛ 0,4 кВ от проектируемой ВЛ 10 кВ (по договору №61-1-18-00396989) от ВЛ 10 кВ №101 ПС 110 кВ АС1 для электроснабжения сыроварни ИП КФХ Архиповой К. В. на участке с КН 61:02:0600015:7010 в х. Махин Аксайского района Ростовской области </t>
  </si>
  <si>
    <t>Строительство ТП 10/0,4 кВ, ВЛ 10 кВ, ВЛ 0,4 кВ от ВЛ 10 кВ №414 ПС 220 кВ Р4 для электроснабжения магазина Творогова П. Э. по ул. Норильская, 4 в х. Камышеваха Аксайского района Ростовской области (ориентировочная мощность трансформатора 0,250 МВА, ориентировочная протяжённость ЛЭП 0,055 км)</t>
  </si>
  <si>
    <t>Строительство КТПН 10/0,4 кВ, ВЛ 10 кВ, ВЛ 0,4 кВ от ВЛ 10 кВ №1106 ПС 110 кВ АС11 для электроснабжения ВРУ 0,4 кВ жилых домов и базовой станции сотовой связи ПАО “Вымпел-Коммуникации” в г. Новочеркасске Ростовской области (ориентировочная мощность трансформатора 0,160 МВА, ориентировочная протяжённость ЛЭП 0,811 км)</t>
  </si>
  <si>
    <t>Строительство ТП 10/0,4 кВ, ВЛ 10 кВ, ВЛ 0,4 кВ от ВЛ 10 кВ №111 ПС 110 кВ АС1 для электроснабжения тепличного комплекса ИП Резанова В. С. на участке с КН 61:02:0600017:443 в нп. АО Луговое Аксайского района Ростовской области (ориентировочная мощность трансформатора 0,250 МВА, ориентировочная протяжённость ЛЭП 0,696 км)</t>
  </si>
  <si>
    <t>Строительство ТП 10/0,4 кВ, ВЛ 10 кВ, ВЛ 0,4 кВ от ВЛ 10 кВ №441 ПС 220 кВ Р4 для электроснабжения нежилого помещения и нежилого здания на участках с КН 61:02:0600010:12170, 61:02:0600010:12172 в п. Янтарный Аксайского района Ростовской области (ориентировочная мощность трансформатора 0,400 МВА, ориентировочная протяжённость ЛЭП 0,660 км)</t>
  </si>
  <si>
    <t>Строительство ТП 10/0,4 кВ, ВЛ 10 кВ, ВЛ 0,4 кВ от опоры №284 ВЛ 10 кВ №257 ПС 110 кВ БГ2 для электроснабжения насоса для полива Енанова А.Ж.  по адресу: Ростовская обл., Багаевский район, х. Усьман, участок б/н, установлено относительно ориентира в районе х. Усьман, расположенного в границах участка, поля №39, 27, 28 (в границах бывшего ЗАО «Крепинское», к.н. 61:03: 600009:0069 (ориентировочная мощность трансформатора 0, 16 МВА, ориентировочная протяжённость ЛЭП 0,165 км)</t>
  </si>
  <si>
    <t>Строительство ТП 10/0,4 кВ, ВЛ 10 кВ, ВЛ 0,4 кВ от опоры №316 ВЛ 10 кВ №255 ПС 110 кВ БГ2 для электроснабжения насосной станции Рогова А.А. по адресу: Ростовская область, Аксайский район, АО «Заречное», поле 43, к.н. 61:02:0600019:1219 (ориентировочная мощность трансформатора 0,25 МВА, ориентировочная протяжённость ЛЭП 0,13 км)</t>
  </si>
  <si>
    <t>Строительство ТП 10/0,4 кВ, ВЛ 10 кВ, ВЛ 0,4 кВ от опоры №324 ВЛ 10 кВ №255 ПС 110 кВ БГ2 для электроснабжения насосной станции Шкуро И.С. по адресу: Ростовская область, Аксайский район, установлено относительно ориентира, расположенного в границах участка, к.н.61:02:0600019:1297</t>
  </si>
  <si>
    <t xml:space="preserve">Строительство КТПН 10/0,4 кВ, ВЛ 10 кВ, ВЛ 0,4 кВ от ВЛ 10 кВ №1103 ПС 110 кВ АС11 для электроснабжения ВРУ 0,4 кВ жилых домов в ст-це Мишкинская Аксайского района Ростовской области (ориентировочная мощность трансформатора 0,630 МВА, ориентировочная протяжённость ЛЭП 2,115 км)
</t>
  </si>
  <si>
    <t xml:space="preserve">Строительство ВЛ 0,4 кВ, КТП 10/0,4 кВ, ВЛ 10 кВ от ВЛ 10 кВ № 910 ПС 35 кВ В9 для электроснабжения жилых домов в АО «Красный Маныч в 5,6 км к северо-западу от х. Красный Маныч, Веселовского района, Ростовской области (ориентировочная протяжённость ЛЭП 1,15 км, мощность трансформатора 0,160 МВА)
</t>
  </si>
  <si>
    <t>Строительство ТП 10/0,4 кВ, ВЛ 10 кВ, ВЛ 0,4 кВ от ВЛ 10 кВ №1547 ПС 110 кВ АС15 для электроснабжения ВРУ 0,4 кВ магазина Зильберова Д. А. по ул. Малахитовая, 2/4 в х. Камышеваха Аксайского района Ростовской области (ориентировочная мощность трансформатора 0,160 МВА, ориентировочная протяжённость ЛЭП 0,099 км)</t>
  </si>
  <si>
    <t xml:space="preserve">Строительство КТПН 6/0,4 кВ, ВЛ 6 кВ, ВЛ 0,4 кВ от ВЛ 6 кВ №3 РП6 КЛ 6 кВ №340 ПС 110 кВ БТ3 для электроснабжения ВРУ 0,4 кВ жилых домов по ул. Лермонтова, 68А, ул. Есенина, 41А в п. Красный Сад Азовского района Ростовской области (ориентировочная мощность трансформатора 0,040 МВА, ориентировочная протяжённость ЛЭП 0,756 км)
</t>
  </si>
  <si>
    <t xml:space="preserve">Строительство КТПН 10/0,4 кВ, ВЛ 10 кВ, ВЛ 0,4 кВ от ВЛ 10 кВ №3 ПС 35 кВ Б. Салы для электроснабжения ВРУ 0,4 кВ жилых домов в пос. Темерницкий Аксайского района Ростовской области (ориентировочная мощность трансформатора 0,063 МВА, ориентировочная протяжённость ЛЭП 0,904 км)
</t>
  </si>
  <si>
    <t>Строительство ТП 10/0,4 кВ, ВЛ 0,4 кВ, ВЛ 10 кВ от ВЛ 10 кВ №1208 ПС 110 кВ АС12 для электроснабжения складов Вышковского Р. В. на участке с КН 61:02:0600006:5713 в АО “Щепкинское” Аксайского района Ростовской области (ориентировочная мощность трансформатора 0,250 МВА, ориентировочная протяжённость ЛЭП 0,404 км)</t>
  </si>
  <si>
    <t>Строительство ТП 10/0,4 кВ, ВЛ 0,4 кВ, ВЛ 10 кВ от ВЛ 10 кВ №1006 ПС 110 кВ АС10 для электроснабжения нежилого помещения ИП Карапетян Р. С. на участке с КН 61:02:0600002:2673 в КСП им. Ленина Аксайского района Ростовской области (ориентировочная мощность трансформатора 0,160 МВА, ориентировочная протяжённость ЛЭП 0,030 км)</t>
  </si>
  <si>
    <t xml:space="preserve">Строительство КТПН 6/0,4 кВ, ВЛ 0,4 кВ, ВЛ 6 кВ от ВЛ 6 кВ №807 ПС 35 кВ АС8 для электроснабжения жилых домов в х. Большой Лог Аксайского района Ростовской области (ориентировочная мощность трансформатора 0,160 МВА, ориентировочная протяжённость ЛЭП 0,473 км)
</t>
  </si>
  <si>
    <t>Строительство ВЛ 6 кВ от ВЛ 6 кВ №308 ПС 110 кВ СМ3 для электроснабжения ВРУ-0,4 кВ фермы животноводства заявителя ООО «Лиманский» по адресу: Российская Федерация, Ростовская обл., р-н. Семикаракорский, х. Лиманский, массив земель ФГУП "ОПХ Лиманский" РосНИИПМ, кадастровый номер земельного участка: 61:35:000000:0146</t>
  </si>
  <si>
    <t xml:space="preserve">Строительство МТП 6/0,4 кВ, ВЛ 0,4 кВ, КВЛ 6 кВ от ВЛ 6 кВ №804 ПС 35 кВ АС8 для электроснабжения ВРУ 0,4 кВ жилых домов Дербенцевой Е. Г. в п. Российский Аксайского района Ростовской области (ориентировочная мощность трансформатора 0,1 МВА, ориентировочная протяжённость ЛЭП 1,409 км)
</t>
  </si>
  <si>
    <t>Строительство ТП 6/0,4 кВ, ВЛ 0,4 кВ, ВЛ 6 кВ от ВЛ 6 кВ №806 ПС 35 кВ АС8 для электроснабжения нежилого здания ООО “Кондитерская фабрика” Московский десертъ” на участке с КН 61:02:0600011:1336 в Аксайском районе Ростовской области (ориентировочная мощность трансформатора 0,250 МВА, ориентировочная протяжённость ЛЭП 0,030 км)</t>
  </si>
  <si>
    <t xml:space="preserve">Строительство КТПН 10/0,4 кВ, ВЛ 0,4 кВ, ВЛ 10 кВ от ВЛ 10 кВ №101 ПС 110 кВ АС1 для электроснабжения ВРУ 0,4 кВ жилого дома Барбанова Д. В. по ул. Черкасская, 2 в х. Махин Аксайского района Ростовской области (ориентировочная мощность трансформатора 0,025 МВА, ориентировочная протяжённость ЛЭП 0,925 км)
</t>
  </si>
  <si>
    <t>Строительство КТП 10/0,4 кВ, ВЛ 0,4 кВ, ВЛ 10 кВ от ВЛ 10 кВ №111 ПС 110 кВ АС1 для электроснабжения нежилой застройки ООО «Формула» на участке с КН 61:02:0050101:2710 в п. Дорожный Аксайского района Ростовской области (ориентировочная мощность трансформатора 0,25 МВА, ориентировочная протяжённость ЛЭП 0,06 км)</t>
  </si>
  <si>
    <t>Строительство ТП 10/0,4 кВ, ВЛ 0,4 кВ, ВЛ 10 кВ от ВЛ 10 кВ №403 ПС 110 кВ АС4 для электроснабжения нежилого здания Хачатурян Е. М. на участке с КН 61:02:0060101:3844 в х. Ленина Аксайского района Ростовской области (ориентировочная мощность трансформатора 0,250 МВА, ориентировочная протяжённость ЛЭП 0,060 км)</t>
  </si>
  <si>
    <t xml:space="preserve">Строительство ТП 10/0,4 кВ, ВЛ 0,4 кВ, ВЛ 10 кВ от ВЛ 10 кВ №103 ПС 110 кВ АС1 для электроснабжения нежилой застройки (хозяйственная постройка, нежилое здание) ООО «Аксайское сельскохозяйственное предприятие» на участке с КН 61:02:0600021:1634 в х. Островского Аксайского района Ростовской области </t>
  </si>
  <si>
    <t xml:space="preserve">Строительство КТПН 10/0,4 кВ, ВЛ 0,4 кВ, ВЛ 10 кВ от ВЛ 10 кВ №3 ПС 35 кВ Б. Салы для электроснабжения ВРУ 0,4 кВ жилых домов по проезду Серебряный, Бронзовый, Медный в п. Щепкин Аксайского района Ростовской области (ориентировочная мощность трансформатора 0,250 МВА, ориентировочная протяжённость ЛЭП 1,014 км)
</t>
  </si>
  <si>
    <t xml:space="preserve">Строительство ТП 6/0,4 кВ, ВЛ 0,4 кВ, ВЛ 6 кВ от ВЛ 6 кВ №806 ПС 35 кВ АС8 для электроснабжения нежилого здания ООО “Южная региональная компания по предоставлению услуг телефонной связи” на участке с КН 61:02:0600011:1799 в Аксайском районе Ростовской области </t>
  </si>
  <si>
    <t>Строительство ТП 10/0,4 кВ, ВЛ 0,4 кВ, ВЛ 10 кВ от ВЛ 10 кВ №105 ПС 110 кВ АС1 для электроснабжения газонаполнительной станции ООО “ДонАвтономГаз” на участке с КН 61:02:0600015:4738 в Аксайском районе Ростовской области (ориентировочная мощность трансформатора 0,250 МВА, ориентировочная протяжённость ЛЭП 0,322 км)</t>
  </si>
  <si>
    <t>Строительство КТПН 6/0,4 кВ, ВЛ 0,4 кВ, ВЛ 6 кВ от ВЛ 6 кВ №806 ПС 35 кВ АС8 для электроснабжения ВРУ 0,4 кВ нежилого помещения Семеновой Г. К. на участке с КН 61:02:0600011:1810 в п. Мускатный Аксайского района Ростовской области (ориентировочная мощность трансформатора 0,025 МВА, ориентировочная протяжённость ЛЭП 0,04 км)</t>
  </si>
  <si>
    <t>Строительство КТПН 10/0,4 кВ, ВЛ 10 кВ, ВЛ 0,4 кВ от ВЛ 10 кВ №1109 ПС 110 кВ АС11 для электроснабжения ВРУ 0,4 кВ складского помещения Григорьева В. В. на участке с КН 61:02:0600002:2422 в Аксайском районе Ростовской области (ориентировочная мощность трансформатора      0,025 МВА, ориентировочная протяжённость ЛЭП 0,058 км)</t>
  </si>
  <si>
    <t xml:space="preserve">Строительство ТП 10/0,4 кВ, ВЛ 10 кВ, ВЛ 0,4 кВ от опоры №5/26  ВЛ 10 кВ №125 ПС 110 кВ СМ1 для электроснабжения жилых домов, заявителей: Воликова А.Ю. на участке с к.н.61:35:060201:2469 по адресу: Ростовская область, Семикаракорский  район,  х. Чебачий ул. Гагарина, 83, Рогаченко  А. М. на участке с к.н.61:35:060201:141 по адресу: Ростовская область, Семикаракорский  район,  х. Чебачий ул. Гагарина, 79; Попова Г.Н. на участке с к.н.61:35:060201:0705 по адресу: Ростовская область, Семикаракорский  район,  х. Чебачий ул. Горького, 104, Гавшева Лидия Михайловна по адресу х. Чебачий, ул. Горького, д.100      к.н.:61:35:0060201:0048; Павлов Иван Викторович по адресу; в 30 м. на восток от строения по адресу: х. Чебачий, ул. Горького, д.108   к.н.:61:35:0060201:2211; Симакина Елена Васильевна по адресу х. Чебачий, ул. Горького, д.98      к.н.:61:35:0060201:477   </t>
  </si>
  <si>
    <t xml:space="preserve">Строительство участка ВЛИ-0,4 кВ от оп. № 28-23 ВЛ-0,4 кВ № 1 ЗТП-10/0,4 кВ № 28 ВЛ-10 кВ № 313 ПС 35/10 кВ «КГ-3» для подключения жилого дома заявителя Ковтун А.М. ст-ца Кировская Кагальницкий район Ростовская область (ориентировочная протяженность ЛЭП– 0,23 км) </t>
  </si>
  <si>
    <t>Строительство ВЛ-10 кВ, ТП-10/0,4 кВ, ВЛ-0,4 кВ для электроснабжения нежилого помещения заявителя ИП Сапухина А.А. х. Обуховка, Азовский район, Ростовская область (ориентировочная протяженность ЛЭП– 0,630 км, ориентировочная трансформаторная мощность – 0,16 МВА)</t>
  </si>
  <si>
    <t>Строительство ЛЭП-10 кВ от оп. №1-6 ВЛ-10 кВ № 801 ПС 35/10 кВ «А-8», ТП-10/0,4 кВ, ЛЭП-0,4 кВ, для электроснабжения базы отдыха заявителя ООО «Казачок» Азовский район Ростовская область (ориентировочная протяженность ЛЭП– 0,210 км, ориентировочная трансформаторная мощность – 0,160 МВА)</t>
  </si>
  <si>
    <t>Строительство участка ВЛИ-0,4кВ от проектируемой опоры проектируемой ВЛ-0,4 кВ (по договору № 61-1-19-00421775 от 04.02.2019г.) КТП 10/0,4кВ №233 ВЛ-10 кВ №1815 ПС 35/10 «А-18» для электроснабжения жилого дома заявителя Дюжикова А.П. х. Колузаево, Азовский район, Ростовская область (ориентировочная протяженность ЛЭП – 0,170 км)</t>
  </si>
  <si>
    <t>Строительство участка ВЛИ-0,4кВ от опоры №111-36 по ВЛ-0,4кВ №1 от КТП 10/0,4кВ №111 по ВЛ-10кВ №3113 ПС 110/35/10 кВ «А-31» для электроснабжения жилого дома заявителя Андрющенко Ю.Ю., с. Пешково Азовский район, Ростовская область (ориентировочная протяженность ЛЭП – 0,100 км)</t>
  </si>
  <si>
    <t>Строительство ТП 10/0,4 кВ от оп. №36 по ВЛ-10 кВ №1802 ПС 35/10 кВ А-18, ВЛИ-0,4 кВ от проектируемой ТП 10/0,4 кВ для электроснабжения садового дома заявителя Куревлевой С.Н. х.Дугино, Азовский район Ростовская область (ориентировочная протяженность ЛЭП– 0,05 км, ориентировочная трансформаторная мощность – 0,025 МВА)</t>
  </si>
  <si>
    <t>Строительство ЛЭП-10 кВ от оп. №6-212 ВЛ-10 кВ № 808 ПС 110/10 кВ БОС, ТП-10/0,4 кВ, ЛЭП-0,4 кВ, для электроснабжения зоны хранения под овощную продукцию заявителя ООО «Траст-Групп» п. Красный сад Азовский район Ростовская область (ориентировочная протяженность ЛЭП– 0,170 км, ориентировочная трансформаторная мощность – 0,250 МВА)</t>
  </si>
  <si>
    <t>Строительство ЛЭП-10 кВ от проектируемой опоры 10 кВ (по договору №61-1-19-00476153 от 22.10.2019г.) ВЛ-10кВ №808 от ПС 110/10 кВ «БОС», ТП-10/0,4 кВ, ЛЭП-0,4 кВ, для электроснабжения нежилого помещения заявителя ООО «Русавтотрейд», Азовский район Ростовская область (ориентировочная протяженность ЛЭП– 0,075 км, ориентировочная трансформаторная мощность – 0,250 МВА)</t>
  </si>
  <si>
    <t>Строительство ВЛ-10 кВ от оп. №85 ВЛ-10 кВ № 2608 ПС 110/10 кВ «А-26», строительство ТП-10/0,4 кВ, строительство ВЛИ-0,4 кВ, для электроснабжения магазина заявителя ИП Авакян С.А. с. Кулешовка, Азовский район Ростовская область (ориентировочная протяженность ЛЭП– 0,09 км, ориентировочная трансформаторная мощность – 0,063 МВА)</t>
  </si>
  <si>
    <t>Строительство ВЛ-10 кВ от опоры №1-324 ВЛ-10 кВ №106Н ПС 110/6/10 кВ НС-1, ТП-10/0,4 кВ, ВЛИ-0,4 кВ для подключения объектов Каджояна Р.Г. п. Овощной Азовский р-он, Ростовская область (ориентировочная протяженность ЛЭП – 0,05 км, ориентировочная трансформаторная мощность – 0,1 МВА)</t>
  </si>
  <si>
    <t>Строительство отпайки ВЛЗ-10 кВ для подключения ТП-10/0,4 кВ заявителя ИП Галдин А.В. ст-ца Кировская Кагальницкий район Ростовская область (ориентировочная протяженность ЛЭП– 0,06 км)</t>
  </si>
  <si>
    <t>Строительство ЛЭП-10 кВ от опоры №182 по ВЛ-10кВ №202Н от ПС 110/10/6 кВ «НС-2», ТП-10/0,4 кВ, ЛЭП-0,4 кВ, для электроснабжения ангара заявителя ИП Негодаева Г.В., с.Кулешовка, Азовский район Ростовская область (ориентировочная протяженность ЛЭП– 0,150 км, ориентировочная трансформаторная мощность – 0,160 МВА</t>
  </si>
  <si>
    <t>Строительство ВЛ-10 кВ от оп. №20-61 ВЛ-10 кВ №3127 ПС 110/35/10 кВ А-31, строительство ТП-10/0,4 кВ, строительство участка ВЛ-0,4 кВ для подключения хоз.постройки заявителя Куликова С.А. с. Займо-Обрыв,  Азовский район Ростовская область (ориентировочная протяженность ЛЭП – 0,075 км, ориентировочная трансформаторная мощность – 0,16 МВА)</t>
  </si>
  <si>
    <t>Строительство ТП-10/0,4 кВ от оп. №7 ВЛ 10 кВ №915 ПС 35/10 А-9, строительство участка ВЛ-0,4 кВ для подключения системы орошения заявителя Оганисяна А.С., Азовский район Ростовская область (ориентировочная протяженность ЛЭП – 0,03 км, ориентировочная трансформаторная мощность – 0,16 МВА)</t>
  </si>
  <si>
    <t xml:space="preserve">Строительство ВЛ-10 кВ от оп. №10-182 ВЛ-10 кВ № 805 ПС 110/10 кВ «БОС», ТП-10/0,4 кВ, ВЛИ-0,4 кВ для электроснабжения объектов заявителя Живанович И.В. п. Мокрый Батай, Кагальницкий район Ростовская область (ориентировочная протяженность ЛЭП– 0,440 км, ориентировочная трансформаторная мощность – 0,063 МВА) </t>
  </si>
  <si>
    <t xml:space="preserve">Строительство ТП-10/0,4 кВ, от оп. №15 ВЛ 10 кВ №609 ПС 35/10 кВ «А-6», ВЛИ-0,4 кВ для электроснабжения врачебной амбулатории МБУЗ «ЦРБ» Азовского р-на с. Маргаритово, Азовский район, Ростовская область (ориентировочная протяженность ЛЭП– 0,03 км, ориентировочная трансформаторная мощность – 0,063 МВА) </t>
  </si>
  <si>
    <t>Строительство ВЛ-10 кВ от оп. №3-35 ВЛ-10 кВ № 1814 ПС 35/10 кВ «А-18», ТП-10/0,4 кВ, ВЛИ-0,4 кВ, для электроснабжения жилого дома заявителя Руденко И.В. х. Дугино, Азовский район Ростовская область (ориентировочная протяженность ЛЭП– 0,250 км, ориентировочная трансформаторная мощность – 0,025 МВА)</t>
  </si>
  <si>
    <t>Строительство ЛЭП-10 кВ от оп. №1-60 ВЛ-10 кВ № 1802 ПС 35/10 А-18, ТП-10/0,4 кВ, ЛЭП-0,4 кВ, для электроснабжения стройплощадки заявителя ИП Хаишбашян М.А. х. Рогожкино Азовский район Ростовская область (ориентировочная протяженность ЛЭП– 0,330 км, ориентировочная трансформаторная мощность – 0,250 МВА)</t>
  </si>
  <si>
    <t>Строительство ЛЭП-10 кВ от опоры № 2-38 по ВЛ-10кВ №106 Н ПС 110/10/6 кВ НС-1, ТП-10/0,4 кВ, ЛЭП-0,4 кВ, для электроснабжения магазина заявителя Яндиева Р.М., п. Овощной, Азовский район Ростовская область (ориентировочная протяженность ЛЭП– 0,060 км, ориентировочная трансформаторная мощность – 0,160 МВА)</t>
  </si>
  <si>
    <t>Строительство ВЛ-10 кВ от оп. 10 кВ №139 по ВЛ-10 кВ №1001 ПС 110/35/10 кВ «Самарская», ТП-10/0,4 кВ, ВЛИ-0,4 кВ, для электроснабжения сарая заявителя Канюк А.Б., х. Победа, Азовский район Ростовская область (ориентировочная протяженность ЛЭП– 0,120 км, ориентировочная трансформаторная мощность – 
0,025 МВА)</t>
  </si>
  <si>
    <t xml:space="preserve">Строительство ЛЭП-10 кВ от оп. 6 кВ по ВЛ-10кВ №101 ПС 35/10 кВ «Е-1», ТП-10/0,4 кВ, ЛЭП-0,4 кВ и установка системы учета электрической энергии (мощности) на границе земельного участка для электроснабжения жилого помещения заявителя Кирюшкина В.Н., ст.Егорлыкская, Егорлыкский район Ростовская область (ориентировочная протяженность ЛЭП– 0,480 км, ориентировочная трансформаторная мощность – 0,025 МВА)  </t>
  </si>
  <si>
    <t>'Строительство ВЛ-10 кВ от оп. №18 по ВЛ-10кВ №1501 ПС 110/10 кВ «ЗР-15», ТП-10/0,4 кВ, ЛЭП-0,4 кВ и установка системы учета электрической энергии (мощности) на границе земельного участка для электроснабжения садового дома заявителя Бондаренко С.Н., Ростовская область, Зерноградский р-н, СТ «Эксперимент» участок №1 (ориентировочная протяженность ЛЭП– 0,035 км, ориентировочная трансформаторная мощность – 0,025 МВА)</t>
  </si>
  <si>
    <t>'Строительство ВЛ-10 кВ от оп. №6-66 по ВЛ-10кВ №3127 ПС 110/35/10 кВ «А-31», ТП-10/0,4 кВ, ВЛИ-0,4 кВ и установка системы учета электрической энергии (мощности) на границе земельного участка для электроснабжения магазина заявителя ИП Мироненко С.А., с. Займо-Обрыв, Азовский район Ростовская область (ориентировочная протяженность ЛЭП– 0,06 км, ориентировочная трансформаторная мощность – 0,1 МВА)</t>
  </si>
  <si>
    <t>Строительство ВЛ-6 кВ от проектируемой ВЛ-6 кВ (по договору ТП №61-1-19-00480705 от 02.12.2019г.) по ВЛ-6кВ №207Н ПС 110/6/10 кВ «НС-2», ТП-6/0,4 кВ, ВЛ-0,4 кВ и установка системы учета электрической энергии (мощности) на границе земельного участка для электроснабжения хозяйственной постройки заявителя Кеник А.С., 3,1 км на юго-восток от пункта ГГС Пеленкин, Азовский район Ростовская область (ориентировочная протяженность ЛЭП– 0,940 км, ориентировочная трансформаторная мощность – 0,025 МВА)</t>
  </si>
  <si>
    <t xml:space="preserve">Строительство ЛЭП-10 кВ от оп. 10 кВ №3-50 по ВЛ-10кВ №211 ПС 35/10 кВ «А-2», ТП-10/0,4 кВ, ЛЭП-0,4 кВ и установка системы учета электрической энергии (мощности) на границе земельного участка для электроснабжения склада заявителя ИП Балинской А.А., х.Новоалександровка, Азовский район Ростовская область (ориентировочная протяженность ЛЭП– 0,06 км, ориентировочная трансформаторная мощность – 0,250 МВА)  </t>
  </si>
  <si>
    <t>Строительство ВЛ-10 кВ от опоры №8-223 ВЛ-10 кВ №901 ПС 35/10 кВ А-9, ТП-10/0,4 кВ, ВЛИ-0,4 кВ для подключения полевого стана ИП главы К(Ф)Х Поплавного А.В. с. Высочино Азовский р-он, Ростовская область (ориентировочная протяженность ЛЭП – 0,060 км, ориентировочная трансформаторная мощность – 0,160 МВА)</t>
  </si>
  <si>
    <t>Строительство ВЛ-10 кВ от опоры №153 ВЛ-10 кВ №1513 ПС 35/10 кВ А-15, ТП-10/0,4 кВ, ВЛИ-0,4 кВ для подключения объектов заявителей Малой Е.В., Теренина В.В., Коломейцева С.Г. п.Ленинский Лесхоз, Азовский р-он, Ростовская область (ориентировочная протяженность ЛЭП – 0,220 км, ориентировочная трансформаторная мощность – 0,063 МВА)</t>
  </si>
  <si>
    <t>Строительство ВЛ-10 кВ от оп. № 19 ВЛ-10 кВ № 2608 ПС 110/10 кВ А-26, ТП-10/0,4 кВ, ВЛИ-0,4 кВ для подключения магазина заявителя ИП Амировой Е.С. с. Кулешовка Азовский район Ростовская область (ориентировочная протяженность ЛЭП – 0,07 км, ориентировочная трансформаторная мощность – 0,16 МВА)</t>
  </si>
  <si>
    <t>«Строительство КЛ-10 кВ от оп. №9 ВЛ-10кВ №808К ПС 110/10 кВ «БОС», ТП-10/0,4 кВ, ВЛИ-0,4 кВ, для электроснабжения насоса для полива заявителя Горобец А.А. Ростовская область, г. Батайск (ориентировочная протяженность ЛЭП– 0,210 км, ориентировочная трансформаторная мощность– 0,025 МВА)»</t>
  </si>
  <si>
    <t>'Строительство ВЛ-10 кВ от оп. №123 ВЛ-10 кВ № 910-1106 ПС 35/10 кВ «А-9», ТП-10/0,4 кВ, ВЛИ-0,4 кВ, для электроснабжения склада заявителя Алоян А.В., ул. Победы, г. Азов, Азовский район Ростовская область (ориентировочная протяженность ЛЭП– 0,08 км, ориентировочная трансформаторная мощность – 0,250 МВА)</t>
  </si>
  <si>
    <t>Строительство ВЛ 10 кВ от опоры №172 ВЛ-10 кВ №105Н ПС 110/6/10 кВ «НС-1» и установка системы учета электрической энергии (мощности) на границе земельного участка для электроснабжения жилого дома заявителя Чистяковой М.М., х.Шмат Азовского района, Ростовская область (ориентировочная протяженность ЛЭП– 0,07 км)</t>
  </si>
  <si>
    <t>Строительство ВЛИ 0,4 кВ от опоры 25-104 технически перевооружаемой ВЛ 0,4 №3 КТП 10/0,4 кВ №25 ВЛ 10кВ №1815 ПС 35/10 кВ А-18 и установка коммерческого учета электрической энергии (мощности) на границе земельного участка для электроснабжения лодочной станции заявителя Кривко И.А., х. Курган, Азовский район Ростовская область (ориентировочная протяженность ЛЭП – 0,410 км)</t>
  </si>
  <si>
    <t>Строительство ЛЭП 6 кВ от опоры № 47 по ВЛ 6 кВ №2301 ПС 35/6 кВ Правобережная, ТП 6/0,4 кВ, ЛЭП 0,4 кВ и установка системы учета электрической энергии (мощности) на границе земельного участка для электроснабжения объекта сельскохозяйственного производства ООО «Рыболовецкая Артель Белый Амур», Ростовская область, Азовский район, х. Дугино (ориентировочная протяженность ЛЭП– 0,120 км, ориентировочная трансформаторная мощность – 0,250 МВА)</t>
  </si>
  <si>
    <t>Строительство ВЛ 10 кВ от оп. №3-38 по ВЛ 10кВ №716 ПС 110/35/10 кВ «Юбилейная», ТП 10/0,4 кВ, ВЛИ 0,4 кВ и установка системы учета электрической энергии (мощности) на границе земельного участка для электроснабжения административного здания заявителя ИП главы к(ф)х Оптовкина И.В., Ростовская область, Кагальницкий район, п. Воронцовка (ориентировочная протяженность ЛЭП– 0,06 км, ориентировочная трансформаторная мощность – 0,250 МВА)</t>
  </si>
  <si>
    <t>Строительство ЛЭП-10 кВ от оп. 10 кВ №128 по ВЛ-10кВ №3214 ПС 110/35/10 кВ «А-32», ТП-10/0,4 кВ, ЛЭП-0,4 кВ и системы учета электрической энергии (мощности) на границе земельного участка для электроснабжения склада заявителя ИП Гончарова Н.С., х.Красная Заря, Азовский район Ростовская область (ориентировочная протяженность ЛЭП– 0,930 км, ориентировочная трансформаторная мощность – 0,063 МВА)</t>
  </si>
  <si>
    <t>Строительство участка ВЛ-10 кВ от опоры №73 ВЛ-10 кВ №6 ПС 110/35/10 кВ Большовская, с установкой ТП-10/0,4 кВ и строительство ВЛИ-0,4 кВ от РУ-0,4 кВ вновь установленной ТП-10/0,4 кВ  для присоединения животноводческого помешения ООО «Купец-Дон», расположенного по адресу: Ростовская область, Волгодонской район, х. Морозов, 6 км. по направлению на северо-восток от х. Морозов, к.н. 61:08:0600301:167 (ориентировочная протяженность ЛЭП 4,53 км, ориентировочная мощность трансформатора 63 кВА</t>
  </si>
  <si>
    <t>Строительство участка ВЛИ-0,4 кВ от опоры № 1/5 ВЛ-0,4кВ №1 КТП-8560/100кВА ВЛ-6 кВ №1 ПС 35/6 кВ НС-12 для присоединения жилого дома Сандаловой В.М., расположенного по адресу: Ростовская область, Волгодонской район, станица Романовская, снт. Юбилейное, кадастровый номер земельного участка:  61:08:0601901:989 (ориентировочная  протяженность ЛЭП 0,11 км)</t>
  </si>
  <si>
    <t>Строительство участка ВЛИ-0,4 кВ от опоры №2 ВЛ-0,4 кВ №1 КТП-8355/100 кВА ВЛ-6 кВ №1 ПС 35/6 кВ Потаповская для присоединения жилого дома Делидон Е.Я., расположенного по адресу: Ростовская область, Волгодонской район, х. Потапов, ул. Пушкина, д. 4, к.н. 61:08:040108:0207 (ориентировочная протяженность ЛЭП 0,37 км)</t>
  </si>
  <si>
    <t>Строительство участка ВЛИ-0,4 кВ от опоры вновь построенной ВЛИ-0,4 кВ (по договору ТП №61-1-17-00305369 от 26.04.2017г) от вновь смонтированной ТП-10/0,4 кВ по ВЛ-10 кВ №5 ПС 35/10 кВ Лозновская для присоединения жилого дома Кучкиной Л.Н. (ориентировочная протяженность ЛЭП 0,41 км)</t>
  </si>
  <si>
    <t>Строительство ВЛИ-0,4 кВ от РУ-0,4 кВ КТП-6449/100 кВА ВЛ-10 кВ №6 ПС 35/10 кВ Рисовая для присоединения пруда Кириченко П.П., расположенного по адресу: Ростовская область, Мартыновский район, х. Комаров, Комаровское сельское поселение, к.н. 61:20:0600017:1905 (ориентировочная протяженность ЛЭП 0,25 км)</t>
  </si>
  <si>
    <t>Строительство участка ВЛИ-0,4 кВ от опоры №1/3 ВЛ-0,4 кВ №1КТП-5111/25 кВА ВЛ-10 кВ №3 ПС 35/10 кВ Потапенковская для присоединения нежилого здания Трегубова Н.В., расположенного по адресу: Ростовская область, Заветинский район, вблизи х. Потапенко, к.н.61:11:0600009:25 (ориентировочная протяженность ЛЭП 0,75 км</t>
  </si>
  <si>
    <t>Строительство участка ВЛИ-0,4 кВ от опоры №16 ВЛ-0,4 кВ №3 КТП-8565/400 кВА по ВЛ-6 кВ №5 ПС 35/6 кВ НС-13 для присоединения склада для ремонта и хранения сельскохозяйственной техники Яйчени С.В., расположенного по адресу: Ростовская область, Волгодонской район, п. Саловский, ул. Луговая, 240 м. юго-западнее дома №12, к.н.  61:08:0600801:799 (ориентировочная протяженность ЛЭП 0,2 км)</t>
  </si>
  <si>
    <t>Строительство ВЛИ-0,4 кВ от РУ-0,4 кВ КТП-7055/100 кВА ВЛ-10 кВ №1 ПС 35/10 кВ Почтовская для присоединения ирригатора катушечного ИП главы К(Ф)Х Лобова С.Н., расположенного по адресу: Ростовская область, Константиновский район, примерно в 2,625 км по направлению на север от х. Кременский, к.н.61:17:600002:0551 (ориентировочная протяженность ЛЭП 1,14 км)</t>
  </si>
  <si>
    <t>Строительство участка ВЛ-10 кВ от опоры №6/115 ВЛ-10 кВ №7 ПС 35/10 кВ Кисилевская, с установкой ТП-10/0,4 кВ, и строительство ВЛИ-0,4 кВ от вновь установленной ТП-10/0,4 кВ  для присоединения объекта ИП главы К(Ф)Х Бердуновой В.В., расположенного по адресу: Ростовская область, Заветинский район, 21 км севернее с. Киселевка, к.н. 61:11:0600002:392 (ориентировочная протяженность ЛЭП 4,75 км, ориентировочная мощность трансформатора 250 кВА</t>
  </si>
  <si>
    <t>Строительство участка ВЛ-0,4кВ от опоры №1, ВЛ-0,4 кВ №1, КТП № 580, ВЛ-10кВ №3, ПС 35/10кВ «Краснодонецкая» для подключения жилого дома Линник Н.А., расположенного по адресу: Ростовская обл., Белокалитвинский р-н, х. Нижнесеребряковский, ул. Советская, д. 28 (ориентировочная протяженность ЛЭП – 0,452 км)</t>
  </si>
  <si>
    <t>Строительство участка ВЛ-0,4кВ от опоры № 9, ВЛ-0,4кВ №1, КТП №377, ВЛ-10кВ  №3, ПС 110/35/10/6кВ «К-4»,  для подключения строящихся жилых домов Кизиева А.А. и Кононовой Е.Н., расположенных по адресу: Ростовская обл., Каменский р-н, х. Старая Станица, ул. Космонавтов, д. №№ 20, 22 (ориентировочная протяженность ЛЭП – 0,165км)</t>
  </si>
  <si>
    <t>Строительство участка ВЛ-0,4 кВ от опоры № 1, ВЛ-0,4 кВ № 1 , КТП № 147, ВЛ-10 кВ № 4, ПС 35/10 кВ «Литвиновская» для подключения жилого дома Алексеенкова Н. Н., расположенного по адресу: Ростовская обл., Белокалитвинский р-н, х. Гусынка, ул. Хуторская, д. 21, (ориентировочная протяженность ЛЭП – 0,517 км)</t>
  </si>
  <si>
    <t>Строительство участка ВЛ-0,4 кВ от опоры № 1, ВЛ-0,4 кВ № 1 , КТП № 57, ВЛ-10 кВ № 2, ПС 110/10 кВ «Головокалитвинская » для подключения жилого дома Суслова А .И., расположенного по адресу: Ростовская обл., Белокалитвинский р-н, х. Ильинка, ул. Октябрьская, д.30, (ориентировочная протяженность ЛЭП – 0,342 км)</t>
  </si>
  <si>
    <t>Строительство участка ВЛ-0,4 кВ от опоры № 1, ВЛ-0,4 кВ №1 , КТП №703, ВЛ-6 кВ «Донец», ПС 110/6 кВ «Б-1», для подключения жилого дома Маратканова В.В., и коровника Лежнева А.Н., расположенных по адресу: Ростовская обл., Белокалитвинский р-н, х. Какичев, ул. Нагайская д. 23., к.н. № 61:04:0160501:142 и ул. Нагайская д. 25а., к.н. № 61:04:0160501:308 (ориентировочная протяженность ЛЭП – 0,594 км)</t>
  </si>
  <si>
    <t>Строительство участка ВЛ-0,4 кВ от РУ 0,4 кВ, КТП № 122 по ВЛ-10 кВ №3, Л-122, ПС 35/10 кВ «Каменская СХТ», для подключения магазина Бочарова С.С., расположенного по адресу: Ростовская обл., Каменский р-н, х. Старая Станица, 500 м юго-восточнее х. Старая Станица и 30 м вправо от автодороги Старая Станица - М-4 Дон к.н. 61:15:0130106:15. (ориентировочная протяженность ЛЭП – 0,259 км)</t>
  </si>
  <si>
    <t>Строительство участка ВЛ-0,4 кВ от РУ 0,4 кВ, КТП №27, ВЛ-10 кВ  №4, ПС 110/35/10 кВ «Милютинская», для подключения жилого дома Джабраиловой С.М., расположенного по адресу: Ростовская обл., Милютинский р-н, х. Терновой, ул. Свистуновка  д.1, к.н.  61:23:0030601:10 (ориентировочная протяженность ЛЭП – 0,955 км)</t>
  </si>
  <si>
    <t>Строительство участка ВЛ-0,4 кВ от КТП № 356, ВЛ-10 кВ № 1, ПС 35/10кВ «Тарасовская СХТ», для подключения БС №61-02874 ПАО «Мобильные ТелеСистемы» расположенного по адресу: Ростовская обл., Тарасовский р-н, х.Каюковка, Дячкинское сельское поселениее, к.н. 61:37:0030501:805 (ориентировочная протяженность ЛЭП – 0,95 км)</t>
  </si>
  <si>
    <t>Строительство участка ВЛ-0,4кВ от АВ-0,4 кВ №1, КТП № 166, ВЛ-10кВ №1, ПС 35/10кВ «Литвиновская» для подключения коровника ИП Караханяна Ю.М., расположенного по адресу: Ростовская обл., Белокалитвинский р-н, примерно 1800 метров на юго-запад от западной границы х.Титов, к.н. 61:04:0600006:5150 (ориентировочная протяженность ЛЭП – 0,151 км)</t>
  </si>
  <si>
    <t>150</t>
  </si>
  <si>
    <t>Строительство участка ВЛ-0,4кВ от АВ 0,4кВ № 1, КТП№522 ВЛ-10кВ №2 Л-СП-3, ПС 110/10кВ «Богатовская ПТФ», для подключения строящегося коровника Хорошева А.А., расположенного по адресу: Ростовская обл., Белокалитвинский р-н, в 1000 метров от ориентира пункт триангуляции «Бурун» по направлению на северо-восток (ориентировочная протяженность ЛЭП – 0,189 км)</t>
  </si>
  <si>
    <t>Строительство участка ВЛ-0,4 кВ от опоры № 1, ВЛ-0,4 кВ № 1,  КТП 116, ВЛ 10 кВ № 4, ПС 110/10 кВ «Головокалитвинская», для подключения строящегося коровника ИП Бондаревой Н.Н., расположенного по адресу: Ростовская обл., Белокалитвинский р-н, х. Кононов., КН № 61:04:0600004:246 (ориентировочная протяженность ЛЭП – 0,370 км)</t>
  </si>
  <si>
    <t>Строительство участка ВЛ-0,4 кВ от опоры № 10, ВЛ-0,4 кВ № 2, КТП 423, ВЛ 10 кВ № 3, ПС 35/10 кВ «Нижнепоповская», для подключения нежилого здания Таракановой И.А., расположеннго по адресу: Ростовская обл., Белокалитвинский р-н, п. Сосны., К/С Дружный, участок №12, КН № 61:47:0010220:256 (ориентировочная протяженность ЛЭП – 0,372 км)</t>
  </si>
  <si>
    <t>Строительство участка ВЛ-0,4 кВ от опоры № 11, ВЛ-0,4 кВ № 1,  КТП 357, ВЛ 6 кВ «Курский карьер», ПС 110/35/6 кВ «Б-2», для подключения жилого здания Калманович Н.В., расположенного по адресу: Ростовская обл., Белокалитвинский р-н, х. Крутинский., ул. Победы, дом №1, КН № 61:04:0130101:113 (ориентировочная протяженность ЛЭП – 0,307 км)</t>
  </si>
  <si>
    <t>Строительство участка ВЛ-0,4 кВ от КТП №120 ВЛ-10кВ №5 ПС 35/10 кВ «Калач-Куртлакская», для подключения свинарника ИП  Арутюняна В.Х., расположенного по адресу: Ростовская обл., Советский р-н, примерно в 0,5 км на запад от ориентира сл. Петрово, к.н. №61:36:0600003:326 (ориентировочная протяженность ЛЭП – 0,4 км)</t>
  </si>
  <si>
    <t>Строительство участка ВЛ-0,4 кВ от КТП № 31, ВЛ-10 кВ № 6, ПС 110/35/10 кВ «Обливская-1» для подключения стадиона Администрации Обливского сельского поселения, расположенного по адресу: Ростовская обл., Обливский р-н, ст. Обливская, ул. Калиманова, д.1. к.н. 61:27:0070147:169:20 (ориентировочная протяженность ЛЭП – 0,314 км)</t>
  </si>
  <si>
    <t>Строительство участка ВЛ-0,4 кВ от КТП № 2, ВЛ-10 кВ № 3, ПС 35/10 кВ «Алифановская», для подключения строящегося здания ИП Партышев М.Ю., расположенного по адресу: Ростовская область, Тацинский район, х. Маслов, в 1,2 км на юго-запад от х. Маслов, к.н. 61:38:0600004:38 (ориентировочная протяженность ЛЭП – 0,22 км, прибор учёта электроэнергии - 1шт)</t>
  </si>
  <si>
    <t>'Строительство участка ВЛ-10кВ от опоры № 50, отпайки Л-367, ВЛ-10кВ № 2, ПС 35/10кВ «Знаменская»,  ТП 10/0,4кВ и участка ВЛ-0,4кВ от РУ-0,4кВ проектируемого ТП 10/0,4кВ для подключения производственной фермы ООО «Молочные реки» расположенной по адресу: Ростовская обл., Милютинский р-н, х. Приходько-Придченский, ул. Петровка, д. 5, корп. 1 (ориентировочная протяженность ЛЭП – 0,060 км, ориентировочная мощность ТП – 0,160 МВА)</t>
  </si>
  <si>
    <t>115</t>
  </si>
  <si>
    <t>Строительство участка ВЛ-0,4 кВ от опоры № 11, ВЛ-0,4 кВ №1, от проектируемого КТП 10/0,4 кВ, ВЛ-10 кВ №4, ПС 35/10 кВ «Советская-1», ТП 10/0,4 кВ для подключения площадки для хранения техники ГУП РО « РостовАвтоДор», расположенной по адресу: Ростовская обл., Советский р-н, примерно в 0,01км по направлению на юго-запад от ориентира ст. Советская к.н. № 61:36:0600002:404 (ориентировочная протяженность ЛЭП – 0,055 км, ориентировочная трансформаторная мощность 63 кВА)</t>
  </si>
  <si>
    <t>Строительство участка ВЛ-0,4 кВ от опоры № 42, ВЛ-0,4 кВ № 2, КТП № 20, ВЛ- 10 кВ №5, ПС 110/35/10 кВ «Милютинская», для подключения жилого дома Зубова О.Н., расположенного по адресу: Ростовская область, Милютинский район, х. Широкий Лог, ул. Казачья, д. 34, к.н. 61:23:0030901:94 (ориентировочная протяженность ЛЭП – 0,360 км)</t>
  </si>
  <si>
    <t>Строительство участка ВЛ-0,4 кВ от опоры № 1, ВЛ-0,4 кВ № 2, КТП № 40, ВЛ- 10 кВ №5, ПС 110/35/10 кВ «Милютинская», для подключения жилого дома Щур Ю.И.,   расположенного по адресу: Ростовская область, Милютинский район, х. Сулинский, ул. Транспортная, д. 9, к.н. 61:23:0010101:2 (ориентировочная протяженность ЛЭП – 0,350 км)</t>
  </si>
  <si>
    <t>Строительство участка ВЛ-0,4 кВ от опоры № 13, ВЛ-0,4 кВ № 1, КТП № 205, ВЛ- 10 кВ №1, ПС 35/10 кВ «Митякинская», для подключения зерносклада ИП главы К(Ф)Х Калинкиной С.А., расположенного по адресу: Ростовская область, Тарасовский район, х. Верхний Митякин, ул. Заречная, д. 161а, к.н. 61:37:0060101:566 (ориентировочная протяженность ЛЭП – 0,4 км)</t>
  </si>
  <si>
    <t>Строительство участка ВЛ-0,4кВ от опоры № 1, ВЛ-0,4кВ №1, КТП№208, ВЛ-10кВ №3, ПС 35/10кВ «Литвиновская», для подключения жилого дома Рубашкиной Д.А., расположенного по адресу: Ростовская обл., Белокалитвинский р-н, х. Кочевань, ул. Мира д.4. (ориентировочная протяженность ЛЭП – 0,571км)</t>
  </si>
  <si>
    <t>Строительство участка ВЛ-0,4кВ от опоры № 1, ВЛ-0,4кВ №1, КТП№905 ВЛ-10кВ №4 ПС 35/10кВ «Грушевская» для подключения жилого дома Мишева Р.В., расположенного по адресу: Ростовская обл., Белокалитвинский р-н, х. Чернышев, ул. Центральная д.9 (ориентировочная протяженность ЛЭП – 408км)</t>
  </si>
  <si>
    <t>Строительство участка ВЛ-0,4кВ от опоры №1, ВЛ-0,4кВ №1, КТП №515, ВЛ-10кВ №2 Л-СП-3, ПС 110/10кВ «Богатовская ПТФ», для подключения жилых домов Талаховой В.Ф, Прытковой А.М, Алентьева Ф.Ф.  расположенных по адресу: Ростовская область, Белокалитвинский район, х. Богатов, ул. Солнечная, дом № 6 к.н.з.у. 61:04:0080202:131; ул. Береговая, дом № 1 к.н.з.у 61:04:0080203:103; ул. Береговая, дом № 9 к.н.з.у 61:04:0080203:218 (ориентировочная протяженность ЛЭП-0,640 км)</t>
  </si>
  <si>
    <t>Строительство ВЛ-10 кВ от опоры №6/4/3/59 по ВЛ-10 кВ №6 ПС 35/10 кВ "Боковская" с установкой КТП и строительством 2-х ВЛ-0,4 кВ, установка приборов учета электрической энергии (мощности) в точках поставки и установка шкафов (0,22 и 0,4 кВ) с коммутационными аппаратами, для технологического присоединения жилых домов Заявителей, расположенныж в  Ростовская область, Боковский р-н, ст. Боковская, пер. Абрикосовый, (ориентировочная протяженность ЛЭП- 0,92 км, ориентировочная мощность ТП- 0,4 МВА, количество приборов учета 0,22 кВ- 3 шт., 0,4 кВ- 16 шт.)</t>
  </si>
  <si>
    <t xml:space="preserve">Строительство КТПН 10/0,4 кВ, ВЛ 10 кВ, ВЛ 0,4 кВ от ВЛ 10 кВ №107 ПС 110 кВ АС1 для электроснабжения ВРУ 0,4 кВ жилых домов в ст-це Ольгинская Аксайского района Ростовской области (ориентировочная мощность трансформатора 0,250 МВА, ориентировочная протяжённость ЛЭП 1,340 км)
</t>
  </si>
  <si>
    <t>Строительство ТП 10/0,4 кВ, ВЛ 10 кВ, ВЛ 0,4 кВ от ВЛ 10 кВ №107 ПС 110 кВ АС1 для электроснабжения нежилого помещения Рогальского А. В. на участке с КН 61:02:0040101:1978 в п. Дивный Аксайского района Ростовской области (ориентировочная мощность трансформатора 0,250 МВА, ориентировочная протяжённость ЛЭП 0,403км)</t>
  </si>
  <si>
    <t>Строительство ВЛ 0,4 кВ от ВЛ 0,4 кВ №2 КТП №114 ВЛ 10 кВ №701    ПС 35 кВ АС7 для электроснабжения ВРУ 0,4 кВ жилого дома Семененя     И. В. на участке с КН 61:02:0080601:1634 в п. Красный Аксайского района Ростовской области (ориентировочная протяжённость ЛЭП 0,135 км)</t>
  </si>
  <si>
    <t>Строительство ВЛ 0,4 кВ от РУ 0,4 кВ КТП №748 ВЛ 10 кВ №111 ПС 110 кВ АС1 для электроснабжения склада ИП Чепурнова К. А. по ул. Заводская, 33 в х. Маяковского Аксайского района Ростовской области (ориентировочная протяжённость ЛЭП 0,210 км)</t>
  </si>
  <si>
    <t>Строительство ТП 10/0,4 кВ, ВЛ 10 кВ, ВЛ 0,4 кВ от ВЛ 10 кВ №1208 ПС 110 кВ АС12 для электроснабжения кафе Осяк Т. А. по ул. Молодежная, 68Б в п. Рассвет Аксайского района Ростовской области (ориентировочная мощность трансформатора 0,160 МВА, ориентировочная протяжённость ЛЭП 0,060 км)</t>
  </si>
  <si>
    <t>Строительство ТП 6/0,4 кВ, ВЛ 0,4 кВ, ВЛ 6 кВ от ВЛ 6 кВ №807 ПС 35 кВ АС8 для электроснабжения песчаного карьера ООО “РЕКОНСТРУКТОР” на участке с КН 61:02:0600009:1155 в КСП им. М. Горького Аксайского района Ростовской области (ориентировочная мощность трансформатора 0,250 МВА, ориентировочная протяжённость ЛЭП 1,568 км)</t>
  </si>
  <si>
    <t>Строительство, ВЛ 0,4кВ от опоры № 12 ВЛ 0,4кВ № 2 КТП № 156 ВЛ 10кВ №125 ПС 110кВ СМ1 для электроснабжения земельных участков заявителей Морозова Ю.В., Прокофьева Т.В.  по адресу: Ростовская обл., р-н. Семикаракорский,ст-ца. Новозолотовская, примерно в 280 м по направлению на юго-восток от строения по адресу: ст-ца Новозолотовская, ул. Молодежная, 2, кадастровый номер земельных участков: 61:35:0060101:3801, 61:35:0060101:3804. (ориентировочная протяжённость ЛЭП 0,22км)</t>
  </si>
  <si>
    <t xml:space="preserve">Строительство ВЛ 0,4 кВ от РУ 0,4 кВ проектируемой КТПН 10/0,4 кВ (по договору №61-1-17-00346543 от 27.11.2017 г.) для электроснабжения ВРУ 0,4 кВ жилых домов по ул. Изумрудная, 4, 27 в пос. Темерницкий Аксайского района Ростовской области (ориентировочная  протяжённость ЛЭП 0,361 км)
</t>
  </si>
  <si>
    <t xml:space="preserve">Строительство ВЛ 0,4 кВ от ВЛ 0,4 кВ №1 КТП №253 ВЛ 10 кВ №2 ПС 35 кВ Б. Салы для электроснабжения жилого дома Клименко В. Н. на участке с КН 61:02:0600005:7242 в п. Темерницкий Аксайского района Ростовской области (ориентировочная протяжённость ЛЭП 0,420 км)
</t>
  </si>
  <si>
    <t>Строительство КТПН 10/0,4 кВ, ВЛ 0,4 кВ, ВЛ 10 кВ от ВЛ 10 кВ №105 ПС 110 кВ АС1 для электроснабжения жилых домов в х. Нижнеподпольный Аксайского района Ростовской области (ориентировочная мощность трансформатора 0,630 МВА, ориентировочная протяжённость ЛЭП 2,460 км)</t>
  </si>
  <si>
    <t xml:space="preserve">Строительство ВЛ 0,4 кВ от ВЛ 0,4 кВ №3 КТП №253 ВЛ 10 кВ №2 ПС 35 кВ Б. Салы для электроснабжения жилого дома Переверзева В. И. на участке с КН 61:02:0600005:5357 в п. Темерницкий Аксайского района Ростовской области (ориентировочная протяжённость ЛЭП 0,295 км)
</t>
  </si>
  <si>
    <t xml:space="preserve">Строительство ВЛ 0,4 кВ от проектируемой ВЛ 0,4 кВ №4 (по договору №61-1-21-00568375 от 31.03.2021 г.) от РУ 0,4 кВ ТП 10 кВ №275 ВЛ 10 кВ №3 ПС 35 кВ Б. Салы для электроснабжения ВРУ 0,4 кВ жилого дома Осипова В. А. на участке с КН 61:02:0600005:10006 в п. Темерницкий Аксайского района Ростовской области </t>
  </si>
  <si>
    <t>Строительство ВЛ 0,4 кВ №4 от РУ 0,4 кВ ТП 10 кВ №275 ВЛ 10 кВ №3 ПС 35 кВ Б. Салы для электроснабжения ВРУ 0,4 кВ жилого дома Скнарина И. Н. на участке с КН 61:02:0600005:10049 в п. Темерницкий Аксайского района Ростовской области (ориентировочная протяжённость ЛЭП 0,65 км)</t>
  </si>
  <si>
    <t xml:space="preserve">Строительство ВЛ 0,4 кВ от проектируемой ВЛ 0,4 кВ №3 (по договору №61-1-21-00568371 от 31.03.2021 г.) от РУ 0,4 кВ ТП 10 кВ №275 ВЛ 10 кВ №3 ПС 35 кВ Б. Салы для электроснабжения ВРУ 0,4 кВ жилого дома Тарасова С. С. на участке с КН 61:02:0600005:9982 в п. Темерницкий Аксайского района Ростовской области </t>
  </si>
  <si>
    <t>Строительство ВЛ 0,4 кВ №3 от РУ 0,4 кВ ТП 10 кВ №275 ВЛ 10 кВ №3 ПС 35 кВ Б. Салы для электроснабжения ВРУ 0,4 кВ жилого дома Угрюмова Л. В. на участке с КН 61:02:0600005:9984 в п. Темерницкий Аксайского района Ростовской области (ориентировочная протяжённость ЛЭП 0,511 км)</t>
  </si>
  <si>
    <t>Строительство ВЛ 0,4 кВ от КТП 10/0,4 кВ № 46 ВЛ 10 кВ № 157 ПС 110 кВ В1 для электроснабжения магазина ЗАО «Красный Октябрь» на участке с КН 61:06:0010125:465 в п. Веселый, ул. Октябрьская, д. 124, Веселовского района, Ростовской области (ориентировочная протяжённость ЛЭП 0,27 км)</t>
  </si>
  <si>
    <t xml:space="preserve">Строительство двух КТПН 10/0,4 кВ, ВЛ 0,4 кВ, ВЛ 10 кВ от проектируемой ВЛ 10 кВ (по договору №61-1-18-00413825 от 03.12.2018 г.) от ВЛ 10 кВ №1203 ПС 110 кВ АС12 для электроснабжения ВРУ 0,4 кВ жилых домов Кочиева А. Ф. в совх. Каменобродский Родионово-Несветайского района Ростовской области </t>
  </si>
  <si>
    <t>Строительство ТП 6/0,4 кВ, ВЛ 6 кВ, ВЛ 0,4 кВ от проектируемой ВЛ 6 кВ (по договору №61-1-18-00410909) от ВЛ 6 кВ №305 ПС 35 кВ АС3 для электроснабжения нежилого помещения ИП Телегина С. Е. по ул. Атаманская, 24 в г. Аксае Аксайского района Ростовской области (ориентировочная мощность трансформатора 0,250 МВА, ориентировочная протяжённость ЛЭП 0,170 км)</t>
  </si>
  <si>
    <t>Строительство ВЛ 0,4 кВ от ВЛ 0,4 кВ КТП №516 ВЛ 6 кВ №340 ПС 110 кВ БТ3 для электроснабжения ВРУ 0,4 кВ жилого дома Ярушниковой Т. И. на участке с КН 61:02:0130201:3823 в пос. Красный Сад Азовского района Ростовской области (ориентировочная протяжённость ЛЭП 0,494 км)</t>
  </si>
  <si>
    <t xml:space="preserve">Техническое перевооружение проектируемой КТПН 6/0,4 кВ (по договорам №61-1-19-00472979, №61-1-19-00473047 от 01.10.2019 г.) ВЛ 6 кВ №3 РП6 КЛ 6 кВ №340 ПС 110 кВ БТ3 с заменой силового трансформатора и строительством ВЛ 0,4 кВ для электроснабжения жилых домов Матвиенко Д. С. в п. Красный Сад Азовского района Ростовской области </t>
  </si>
  <si>
    <t>Строительство ВЛ 0,4 кВ от проектируемой ВЛ 0,4 кВ (по договору №61-1-19-00426411 от 14.02.2019 г.) проектируемой КТПН 10/0,4 кВ ВЛ 10 кВ №706 ПС 35 кВ АС7 для электроснабжения ВРУ 0,4 кВ жилых домов по ул. Мелиховская, 81, ул. Вешенская, 46 в п. Красный Колос Аксайского района Ростовской области</t>
  </si>
  <si>
    <t>Строительство ВЛ 0,4 кВ от проектируемой ВЛ 0,4 кВ (по договору №61-1-19-00426411 от 14.02.2019 г.) проектируемой КТПН 10/0,4 кВ ВЛ 10 кВ №706 ПС 35 кВ АС7 для электроснабжения ВРУ 0,4 кВ жилого дома Фролова В. Н. по ул. Станичная, 43 в п. Красный Колос Аксайского района Ростовской области</t>
  </si>
  <si>
    <t>Строительство ВЛ 0,4 кВ от проектируемой ВЛ 0,4 кВ проектируемой КТПН 10/0,4 кВ (по договору №61-1-19-00461451 от 25.09.2019 г.) ВЛ 10 кВ №1203 ПС 110 кВ АС12 для электроснабжения ВРУ 0,4 кВ жилых домов в х. Каменный Брод Родионово-Несветайского района Ростовской области</t>
  </si>
  <si>
    <t xml:space="preserve">Техническое перевооружение КТП №413 ВЛ 10 кВ №1003 ПС 110 кВ АС10 с заменой силового трансформатора и строительством ВЛ 0,4 кВ для электроснабжения ВРУ 0,4 кВ жилого дома Пимкина И. Ф. по ул. Подтелкова, 11А в ст. Грушевская Аксайского района Ростовской области </t>
  </si>
  <si>
    <t>Строительство ВЛ 0,4 кВ от РУ 0,4 кВ проектируемых КТПН 10/0,4 кВ (по договорам №61-1-19-00461317, №61-1-19-00461535 от 25.09.2019 г.) ВЛ 10 кВ №1203 ПС 110 кВ АС12 для электроснабжения ВРУ 0,4 кВ жилых домов в Родионово-Несветайском районе Ростовской области</t>
  </si>
  <si>
    <t>Техническое перевооружение КТП 10/0,4 кВ № 48, ВЛ 10 кВ №158 ПС 110 кВ В1 с  заменой силового трансформатора и строительством ВЛ 0,4 кВ для электроснабжения магазина ИП Моржуковой Е.В. на участке с КН 61:06:0010125:406 в п. Веселый, ул. Ленинская, д. 83,  Веселовского района, Ростовской области (ориентировочная мощность трансформатора 0,250 МВА, ориентировочная протяжённость ЛЭП 0,04 км)</t>
  </si>
  <si>
    <t>Строительство ВЛ 10 кВ от ВЛ 10 кВ №802 ПС 35 кВ В-8 для электроснабжения насосной станции  АО «Шахаевское» на участке с КН 61:06:0600008:328 в Веселовском районе Ростовской области, Верхнесоленовское сельское поселение (ориентировочная протяжённость ЛЭП 0,17 км)</t>
  </si>
  <si>
    <t>Строительство ТП 6/0,4 кВ, ВЛ 0,4 кВ, ВЛ 6 кВ от проектируемой ВЛ 6 кВ (по договору №61-1-18-00411669 от 10.12.2018 г.) от ВЛ 6 кВ №807 ПС 35 кВ АС8 для электроснабжения нежилого здания ООО «Строительно-монтажная компания Интер» по ул. Калинина, 74Б в х. Большой Лог Аксайского района Ростовской области (ориентировочная мощность трансформатора 0,250 МВА, ориентировочная протяжённость ЛЭП 0,065 км)</t>
  </si>
  <si>
    <t xml:space="preserve">Техническое перевооружение проектируемой КТПН 6/0,4 кВ (по договору №61-1-17-00302075 от 16.03.2017 г.) с заменой силового трансформатора и строительством ВЛ 0,4 кВ для электроснабжения ВРУ 0,4 кВ жилых домов по ул. Космическая, Планетная в п. Российский Аксайского района Ростовской области </t>
  </si>
  <si>
    <t xml:space="preserve">Техническое перевооружение проектируемой КТПН 6/0,4 кВ (по договору №61-1-19-00468643 от 05.09.2019 г.) ВЛ 6 кВ №3 РП6 КЛ 6 кВ №340 ПС 110 кВ БТ3 с заменой силового трансформатора и строительством ВЛ 0,4 кВ для электроснабжения жилых домов в п. Красный Сад Азовского района Ростовской области </t>
  </si>
  <si>
    <t xml:space="preserve">Строительство ВЛ 0,4 кВ от РУ 0,4 кВ КТП №520 ВЛ 6 кВ №3 РП-6 КЛ 6 кВ №340 ПС 110 кВ БТ3 для электроснабжения ВРУ 0,4 кВ жилых домов Марченко А.Г. в п. Красный Сад Азовского района Ростовской области (ориентировочная протяжённость ЛЭП 2,113 км)
</t>
  </si>
  <si>
    <t xml:space="preserve">Строительство ВЛ 0,4 кВ от ВЛ 0,4 кВ №3 техперевооружаемой КТП №292 (по договору №61-1-19-00486219 от 03.12.2019 г.) ВЛ 6 кВ №804 ПС 35 кВ АС8 для электроснабжения ВРУ 0,4 кВ жилых домов по ул. Миндальная, ул. Ясная в п. Российский Аксайского района Ростовской области (ориентировочная протяжённость ЛЭП 0,303 км)
</t>
  </si>
  <si>
    <t xml:space="preserve">Строительство ВЛ 0,4 кВ от конечной проектируемой опоры ВЛ 10 кВ (по договору № 61-1-19-00461451 от 25.09.2019г.) ВЛ 10 кВ №1203 ПС 110/10 кВ АС 12 для электроснабжения ВРУ 0,4 кВ жилого дома Мугу П.Д. на участке с КН 61:33:0600015:959, Родионово-Несветайском районе Ростовской области </t>
  </si>
  <si>
    <t xml:space="preserve">Строительство ВЛ 0,4 кВ от проектируемой ВЛ 0,4 кВ проектируемой КТПН 10/0,4 кВ (по договору №61-1-19-00461385 от 25.09.2019 г.) ВЛ 10 кВ №1203 ПС 110 кВ АС12 для электроснабжения ВРУ 0,4 кВ жилого дома Смагиной М. В. в Родионово-Несветайском районе Ростовской области </t>
  </si>
  <si>
    <t>Строительство ВЛ 0,4 кВ от проектируемой ВЛ 0,4 кВ (по договору №61-1-19-00444581 от 03.06.2019 г.) КТП №72 ВЛ 6 кВ №804 ПС 35 кВ АС8 для электроснабжения ВРУ 0,4 кВ жилого дома Кузьменко С. Ю. по пер. Солнечный, 13 в п. Российский Аксайского района Ростовской области</t>
  </si>
  <si>
    <t xml:space="preserve">Строительство ТП 10/0,4 кВ, ВЛ 0,4 кВ, ВЛ 10 кВ от ВЛ 10 кВ №1103 ПС 110 кВ АС11 для электроснабжения ВРУ 0,4 кВ жилых домов в с/х КСП им. М. Горького Аксайского района Ростовской области (ориентировочная мощность трансформатора 0,063 МВА, ориентировочная протяжённость ЛЭП 0,847 км)»
</t>
  </si>
  <si>
    <t xml:space="preserve">Строительство КТПН 10/0,4 кВ, ВЛ 0,4 кВ, ВЛ 10 кВ от ВЛ 10 кВ №101 ПС 110 кВ АС1 для электроснабжения ВРУ 0,4 кВ жилых домов по ул. Лесная, ул. Степана Разина в ст-це Ольгинская Аксайского района Ростовской области (ориентировочная мощность трансформатора 0,400 МВА, ориентировочная протяжённость ЛЭП 0,634 км)
</t>
  </si>
  <si>
    <t xml:space="preserve">Строительство ВЛ 0,4 кВ от РУ 0,4 кВ проектируемой КТПН 10/0,4 кВ (по договору №61-1-20-00509791 от 14.04.2020 г.) ВЛ 10 кВ №101 ПС 110 кВ АС1 для электроснабжения ВРУ 0,4 кВ жилого дома Резникова Р. А. на участке с КН 61:02:0600015:7082 в ст-це Ольгинская Аксайского района Ростовской области </t>
  </si>
  <si>
    <t>Техническое перевооружение КТП №128 ВЛ 10 кВ №313 ПС 35/10 кВ КГ-3 с заменой силового трансформатора и строительство ВЛИ- 0,4 кВ от опоры №128-97 ВЛ 0,4 кВ №5 КТП №128 ВЛ 10 кВ №313 ПС 35/10 кВ КГ-3 для электроснабжения ВРУ 0,4 кВ жилого дома Шередекина Ю.Н. ст-ца Кировская, Кагальницкий район, Ростовская область (ориентировочная протяжённость ЛЭП- 0,25 км, ориентировочная мощность трансформатора 0,250 МВА)</t>
  </si>
  <si>
    <t>Техническое перевооружение КТП 10/0,4кВ №121 ВЛ-10кВ №1907 РП-19 ПС 110/35/10кВ «Самарская" с заменой силового трансформатора, строительство ВЛИ- 0,4кВ от оп. №121-29 по ВЛ-0,4кВ №2 перевооружаемой ТП 10/0,4кВ №121 ВЛ-10кВ №1904 РП-19 ПС 110/35/10кВ «Самарская" для электроснабжения магазина ИП Мироненко А.М., с. Новотроицкое Азовский район, Ростовская область (ориентировочная протяжённость ЛЭП 0,06км, ориентировочная мощность трансформатора 0,25МВА)</t>
  </si>
  <si>
    <t>Строительство ВЛ 0,4 кВ от проектируемой опоры ВЛ 0,4 кВ вновь установленной ТП 10/0,4 кВ (по договору №61-1-17-00354081 от 11.01.2018г.) по ВЛ 10 кВ №106Н ПС 110/6/10 кВ НС-1 для подключения жилого дома заявителя Вахабовой Э.А., Азовский район Ростовская область (ориентировочная протяженность ЛЭП - 0.100 км)</t>
  </si>
  <si>
    <t>Строительство ВЛ-0,4 кВ от РУ-0,4 кВ КТП 10/0,4 кВ №66 ВЛ-10кВ №3127 ПС 110/35/10 кВ А-31 для подключения магазина заявителя Требушнего К.В. с. Займо-Обрыв, Азовский район, Ростовская область (ориентировочная протяженность ЛЭП - 0.330 км)</t>
  </si>
  <si>
    <t>Строительство ВЛ-10 кВ от проектируемой опоры 10 кВ (по договору №61-1-18-00360099 от 13.04.2018 г.) по ВЛ 10 кВ №910-1106 ПС 35/10 кВ А-9, строительство ТП-10/0,4 кВ, строительство ВЛИ-0,4 кВ, для электроснабжения магазина заявителя ИП Кремешова Ю.Н. г.Азов, Ростовская область (ориентировочная протяженность ЛЭП– 1,01 км, ориентировочная трансформаторная мощность – 0,160 МВА)</t>
  </si>
  <si>
    <t xml:space="preserve">Строительство ВЛ-10 кВ от проектируемой опоры (по договору № 61-1-19-00428379 от 27.02.2019г.) ВЛ-10 кВ № 907-1106 ПС 35/10 кВ А-9, ТП-10/0,4 кВ, ВЛИ-0,4 кВ, для электроснабжения магазина ООО «Гермес» г.Азов Ростовская область (ориентировочная протяженность ЛЭП– 0,280 км, ориентировочная трансформаторная мощность – 0,250МВА) </t>
  </si>
  <si>
    <t>Техническое перевооружение КТП 6/0,4 кВ №352 ВЛ-6 кВ № 207Н ПС 110/6/10 кВ «НС-2» с заменой силового трансформатора, строительство ВЛИ- 0,4 кВ от опор №352-36, №352-6 от КТП 6/0,4 кВ №352 ВЛ-6 кВ № 207Н ПС 110/6/10 кВ «НС-2» для электроснабжения участков Уварова И.А., Ильминской Т.А., Чуприной Т.И., Овчинникова Е.Н., Рогачевой З.А., СНТ «Квант» Азовский района, Ростовская область (ориентировочная протяжённость ЛЭП- 0,395 км, ориентировочная мощность трансформатора 0,400 МВА)</t>
  </si>
  <si>
    <t>'Строительство ТП-10/0,4 кВ от оп. №7 ВЛ 10 кВ №915 ПС 35/10 А-9, строительство участка ВЛ-0,4 кВ для подключения системы орошения заявителя Оганисяна А.С., Азовский район Ростовская область (ориентировочная протяженность ЛЭП – 0,03 км, ориентировочная трансформаторная мощность – 0,16 МВА)</t>
  </si>
  <si>
    <t>Строительство ТП-10/0,4 кВ, от оп. №15 ВЛ 10 кВ №609 ПС 35/10 кВ «А-6», ВЛИ-0,4 кВ для электроснабжения врачебной амбулатории МБУЗ «ЦРБ» Азовского р-на с. Маргаритово, Азовский район, Ростовская область (ориентировочная протяженность ЛЭП– 0,03 км, ориентировочная трансформаторная мощность – 0,063 МВА)</t>
  </si>
  <si>
    <t xml:space="preserve">Строительство ЛЭП-10 кВ от оп. №1-60 ВЛ-10 кВ № 1802 ПС 35/10 А-18, ТП-10/0,4 кВ, ЛЭП-0,4 кВ, для электроснабжения стройплощадки заявителя ИП Хаишбашян М.А. х. Рогожкино Азовский район Ростовская область (ориентировочная протяженность ЛЭП– 0,330 км, ориентировочная трансформаторная мощность – 0,250 МВА) </t>
  </si>
  <si>
    <t>'Строительство участка ВЛИ-0,4кВ от оп. №188-60 ВЛ-0,4 кВ №3 КТП 10/0,4 кВ №188 ВЛ-10 кВ 3125 ПС 110/35/10 кВ А-31 и установка шкафа 0,4 кВ с коммутационным аппаратом для электроснабжения жилого дома заявителя Соколова А.В., с. Пешково, Ростовская область (ориентировочная протяженность ЛЭП – 0,250 км)</t>
  </si>
  <si>
    <t>Строительство участка ВЛИ-0,4кВ от оп. №48-25 ВЛ-0,4кВ №2 КТП-10/0,4 кВ №48 ВЛ-10 кВ №1815 ПС 35/10 «А-18» и установка коммерческого учета электрической энергии (мощности) на границе земельного участка для электроснабжения жилого дома заявителя Кравченко О.Е., Рыболовецкий колхоз им. Ленина, Азовский р-он Ростовская область (ориентировочная протяженность ЛЭП – 0,220 км)</t>
  </si>
  <si>
    <t>«Техническое перевооружение ВЛ 0,4 кВ №1 от РУ 0,4 кВ КТП 10/0,4 кВ №2 до опоры №2-64 ВЛ 0,4 кВ №1 КТП 10/0,4 кВ №2 ВЛ 10кВ №606 ПС 35/10 кВ А-6 для электроснабжения жилого дома заявителя Мартынив Е.А., с. Порт-Катон, Азовский р-он Ростовская область (ориентировочная протяженность ЛЭП – 0,550 км)»</t>
  </si>
  <si>
    <t>Строительство участка ВЛИ-0,4кВ от РУ-0,4 кВ КТП 10/0,4 кВ №141 ВЛ-10кВ №802 ПС 35/10 кВ «А-8» и системы учета электрической энергии (мощности) на границе земельного участка для электроснабжения жилого дома заявителя Степанян А.Т., с.Семибалки, Азовский р-он Ростовская область (ориентировочная протяженность ЛЭП – 0,700 км)</t>
  </si>
  <si>
    <t>Строительство ЛЭП - 0,4 кВ совместным подвесом с ВЛ-10 кВ №1507 в пролете опор №23-14 &amp;#247; 23-21 ВЛ-0,4 №2 от ЗТП 10/0,4 кВ №23 по ВЛ-10 №1507 ПС 110/10 кВ ЗР-15 и установка коммерческого учета электрической энергии (мощности) для электроснабжения жилого дома Заявителя ИП Турбина В.В., Зерноградский район Ростовская область (ориентировочная протяженность ЛЭП– 0,300 км)</t>
  </si>
  <si>
    <t>Техническое перевооружение КТП 10/0,4 кВ №355 по ВЛ-10 кВ № 910 ПС 35/10 кВ «А-9» с заменой силового трансформатора, строительство ВЛИ - 0,4 кВ от оп. №355-3 ВЛ-0,4кВ №1 КТП-10/0,4 кВ №№355 ВЛ-10кВ №910 ПС 35/10 «А-9» и установка коммерческого учета электрической энергии (мощности) для электроснабжения жилых домов Заявителей Пивоваровой Н.К., Субботовой О.А., ДНТ «Южное», Азовский район Ростовская область (ориентировочная протяженность ЛЭП– 0,05 км, ориентировочная трансформаторная мощность – 0,063 МВА)</t>
  </si>
  <si>
    <t>Строительство участка ВЛИ-0,4кВ от оп. №128-10 ВЛ-0,4кВ №1 КТП-10/0,4 кВ №128 ВЛ-10 кВ №1815 ПС 35/10 «А-18» для электроснабжения жилого дома заявителя Ивченко А.А., в 850 м от ориентира ТП «Городище» по направлению на юго-восток, Азовский район, Ростовская область (ориентировочная протяженность ЛЭП – 0,300 км)</t>
  </si>
  <si>
    <t>Строительство участка ВЛИ 0,4кВ от РУ 0,4 кВ ТП 10/0,4 кВ №186 по ВЛ 10 кВ №3113 от ПС 110/35/10 кВ А-31 и системы учета электрической энергии (мощности) на границе земельного участка для электроснабжения магазина заявителя ИП Шапошниковой О.А., с. Пешково, Азовский район, Ростовская область (ориентировочная протяженность ЛЭП – 0,06 км)</t>
  </si>
  <si>
    <t>Строительство участка ВЛИ-0,4кВ от проектируемой ВЛ-0,4 кВ проектируемой ТП 10/0,4 кВ (по договору ТП № 61-1-19-00469845 от 01.10.2019 г.) ВЛ-10кВ №2412 ПС 35/10 кВ «А-24» и системы учета электрической энергии (мощности) на границе земельного участка для электроснабжения лодочной станции заявителя ИП Починок М.И., п. Топольки Ростовская область (ориентировочная протяженность ЛЭП – 0,380 км)</t>
  </si>
  <si>
    <t>Техническое перевооружение ВЛИ-0,4 кВ №3 от РУ-0,4кВ КТП-10/0,4 кВ №39 ВЛ-10 кВ №1908 РП-19 ПС 110/35/10 кВ «Самарская» и установка коммерческого учета электрической энергии (мощности) на границе земельного участка для электроснабжения жилого дома заявителя Терещенко А.А., х. Бурхановка, Азовский р-он Ростовская область (ориентировочная протяженность ЛЭП – 0,420 км)</t>
  </si>
  <si>
    <t>Строительство участка ВЛИ-0,4кВ от РУ-0,4кВ КТП-10/0,4 кВ №18 ВЛ-10 кВ №1815 ПС 35/10 кВ «А-18» и системы учета электрической энергии (мощности) на границе земельного участка для электроснабжения жилого дома заявителя Чернова Б.П., х. Курган, Азовский р-он Ростовская область (ориентировочная протяженность ЛЭП – 0,175 км)</t>
  </si>
  <si>
    <t>Строительство ВЛ 6 кВ от опоры № 15 по ВЛ 6кВ №10701 ПС 110/35/6 кВ А-1, ТП 6/0,4 кВ, ВЛИ 0,4 кВ и установка системы учета электрической энергии (мощности) на границе земельных участков для электроснабжения 4-х жилых домов заявителя Кудлай В.Н., г. Азов, Ростовская область (ориентировочная протяженность ЛЭП– 0,470 км, ориентировочная трансформаторная мощность – 0,040 МВА)</t>
  </si>
  <si>
    <t>Строительство КТПН 10/0,4 кВ, ВЛ 10 кВ, ВЛ 0,4 кВ от ВЛ 10 кВ №103 ПС 110 кВ АС1 для электроснабжения ВРУ 0,4 кВ жилого дома Кораблинова И. А. по ул. Ноябрьская, 34 в х. Островского Аксайского района Ростовской области</t>
  </si>
  <si>
    <t>Строительство ТП 6/0,4 кВ, ВЛ 0,4 кВ, ВЛ 6 кВ от ВЛ 6 кВ №807 ПС 35 кВ АС8 для электроснабжения песчаного карьера ООО “РЕКОНСТРУКТОР” на участке с КН 61:02:0600009:1155 в КСП им. М. Горького Аксайского района Ростовской области</t>
  </si>
  <si>
    <t xml:space="preserve">Строительство  КВЛ 10 кВ  от опоры №1/57  ВЛ 10 кВ №904  ПС 35 кВ СМ9 для электроснабжения (АГНКС)  на  земельном участке  заявителя ООО «Газпром газомоторное топливо» по адресу: Ростовская обл., р-н. Семикаракорский, установлено относительно ориентира, расположенного в границах участка, к.н.: 61:35:0600011:618 </t>
  </si>
  <si>
    <t xml:space="preserve">Строительство ВЛ 10 кВ от ВЛ 10 кВ №103 ПС 110 кВ АС1 для электроснабжения амбара на участке с КН 61:02:0600021:1865 в Аксайском районе Ростовской области (ориентировочная протяжѐнность
ЛЭП 1,5 км)
</t>
  </si>
  <si>
    <t>Строительство ТП 10/0,4 кВ, ВЛ 10 кВ, ВЛ 0,4 кВ от опоры №21 ВЛ 10 кВ №261 ПС 110 кВ БГ2 для электроснабжения земельного участка, предназначенного для размещения домов индивидуальной жилой застройки, Чернушенко А.Ю. на участке с к.н.61:03:0600005:389 по адресу: Ростовская область, Багаевский район, ст-ца Манычская, ул. Советская, д. 191</t>
  </si>
  <si>
    <t>Строительство ВЛ 10 кВ, ВЛ 6 кВ от ВЛ 10 кВ №1103 ПС 110 кВ АС11, ВЛ 6 кВ №806 ПС 35 кВ АС8 для электроснабжения складов ИП Юханова А. Ю. на участке с КН 61:02:0600009:2240 в с/х КСП им. М. Горького Аксайского района Ростовской области (ориентировочная протяжённость ЛЭП 2,657 км)</t>
  </si>
  <si>
    <t xml:space="preserve">Строительство ТП 10/0,4 кВ, ВЛ 0,4 кВ, ВЛ 10 кВ от ВЛ 10 кВ №261 ПС 110 кВ БГ2 для электроснабжения жилых домов по адресу: Ростовская область, Багаевский район, ст. Манычская, ул. Советская, к. н. 61:03:0040150:41, к. н. 61:03:0040150:31, к. н. 61:03:0040150:0032, к. н. 61:03:0040150:30, к. н. 61:03:0040150:0076 </t>
  </si>
  <si>
    <t>Строительство ВЛ 10 кВ от ВЛ 10 кВ №307 ПС 35 кВ В-3 для электроснабжения цеха грануляции  ИП Главы КФХ Убийко А. А. на участке с КН 61:06:0060517:8 в Веселовском районе Ростовской области, х. Свобода, ул. Трудовая, 9(ориентировочная протяжённость ЛЭП 0,02 км)</t>
  </si>
  <si>
    <t>Строительство ЛЭП-10 кВ от опоры №144 по ВЛ-10кВ №3129 от ПС 110/35/10 кВ «А-31», ТП-10/0,4 кВ, ЛЭП-0,4 кВ, для электроснабжения складов заявителей ИП Дорошенко И.И., ИП Главы КФХ Дорошенко Р.И., ИП Дорошенко И.И., с. Пешково, Азовский район Ростовская область (ориентировочная протяженность ЛЭП– 0,245 км, ориентировочная трансформаторная мощность – 0,630 МВА)</t>
  </si>
  <si>
    <t xml:space="preserve">Строительство ЛЭП-10 кВ от оп. 45-113 ВЛ-10 кВ №305 ПС 35/10 кВ «КГ-3», ТП-10/0,4 кВ, ЛЭП-0,4 кВ, для электроснабжения освещение дороги заявителя Министрерство транспорта, Ростовкая область, Кагальницкий район, (ориентировочная протяженность ЛЭП– 0,04 км, ориентировочная трансформаторная мощность – 0,025 МВА)  </t>
  </si>
  <si>
    <t>Строительство ВЛ-10 кВ от опоры № 98 по ВЛ-10 кВ № 1 ПС 110/35/10 кВ «Каргинская» с установкой КТП и строительством ВЛ-0,4 кВ, для технологического присоединения строящегося ЗАВа заявителя, Глава КФХ «Агрос» Сухарева Т.М., расположенного в Ростовской области, Боковский р-н, х. Латышев,  (61:05:0600003:570) (ориентировочная   протяженность ЛЭП – 0,087 км, ориентировочная мощность ТП – 0,250 МВА)</t>
  </si>
  <si>
    <t>«Техническое перевооружение КТП №82 ВЛ 10 кВ №1208 ПС 110 кВ АС12 с заменой силового трансформатора и строительством ВЛ 0,4 кВ для электроснабжения ВРУ 0,4 кВ жилых домов по ул. Радужная в п. Щепкин Аксайского района Ростовской области (ориентировочная мощность трансформатора 0,250 МВА, ориентировочная протяжённость ЛЭП 0,324 км)»</t>
  </si>
  <si>
    <t>Строительство ВЛ 0,4 кВ от РУ 0,4 кВ КТП №204 ВЛ 10 кВ №3 ПС 35 кВ Б. Салы для электроснабжения нежилых зданий ИП Тамбиевой Н. А. по ул. Лесная, 9Б в пос. Темерницкий Аксайского района Ростовской области (ориентировочная протяжённость ЛЭП 0,267 км)</t>
  </si>
  <si>
    <t xml:space="preserve">Строительство ВЛ 0,4 кВ от РУ 0,4 кВ ТП 10/0,4 кВ №1-25 ВЛ 10 кВ №1 ПС 110/35/10 кВ Чалтырь, для технологического присоединения подсобного хозяйства заявителя: (ООО «Столярный дом») по адресу: Ростовская область, Мясниковский район, х.  Красный Крым, участок №5 к.н.61:25:0600401:8317, (ориентировочная протяженность ЛЭП 0,48 км)
</t>
  </si>
  <si>
    <t>Строительство ВЛ-10 кВ от опоры №56 по ВЛ-10 кВ №4 ПС 35/10 кВ «Волошинская», для электроснабжения ТП 10/0,4кВ заявителя, Федеральная служба безопасности РФ, расположенного в Ростовской области, Миллеровский р-н, Волошинское сельское поселение, (61:22:0600017:677) (ориентировочная   протяженность ЛЭП – 0,02км)</t>
  </si>
  <si>
    <t>Строительство ВЛ-10 кВ от опоры №2/197 по ВЛ-10 кВ №3 ПС 110/35/10 кВ "Колодезянская", для электроснабжения БС №61-02865 заявителя ПАО "Мобильные ТелеСистемы", расположенной в Ростовской области, Миллеровский район, сл. Колодези (61:22:0600001:704) (ориентировочная протяженность ЛЭП-0,026км,)</t>
  </si>
  <si>
    <t>Строительство   ВЛ 10 кВ  от опоры №102 по ВЛ 10 кВ №5 ПС 35/10кВ «Поповская», строительство ПКУ на границе балансовой принадлежности, для технологического присоединения объекта сельскохозяйственного назначения заявителя,  Гончарова А.Е., расположенного в Ростовской области, Кашарский р-н, Поповское сельское поселение, с. Каменка  (61:16:0600003:203), (ориентировочная   протяженность ЛЭП – 0,01 км)</t>
  </si>
  <si>
    <t>Строительство ВЛ-10 кВ от опоры № 30/39 по ВЛ-10 кВ № 2 ПС 110/35/10 кВ «Колодезянская» с установкой КТП и строительством ВЛ-0,4 кВ, установка приборов учета электрической энергии (мощности) в точках поставки и установка шкафов (0,22 и 0,4 кВ) с коммутационными аппаратами, для технологического присоединения нежилого помещения, жилых домов Заявителей, расположенных в Ростовской области, Миллеровский р-н, сл. Колодези, ул. Кравченко, (ориентировочная   протяженность ЛЭП – 1,082 км, ориентировочная мощность ТП – 0,16 МВА, количество приборов учёта 0,22 кВ – 5 шт., 0,4 кВ – 3 шт.)</t>
  </si>
  <si>
    <t>Строительство ВЛ-10 кВ от опоры № 65/49 по ВЛ-10 кВ № 8 ПС 35/10 кВ «Ореховская», для электроснабжения АЗС №44 заявителя, ООО «БН-Юг», расположенного в Ростовской области, Миллеровский р-н, юго-восточная сторона х. Локтев, (61:22:0000000:976) (ориентировочная протяженность ЛЭП – 1,05 км)</t>
  </si>
  <si>
    <t>Строительство ТП 10/0,4 кВ, ВЛ 0,4 кВ, ВЛ 10 кВ от ВЛ 10 кВ №406 ПС 35 кВ БГ4 для электроснабжения жилого дома Зудина А.П. по адресу: Р.О., р-н. Багаевский, п. Садовый, территория Канал Б-г-р-3, д. 1 (ориентировочная мощность трансформатора 0,025 МВА, ориентировочная протяжённость ЛЭП 0,1 км)</t>
  </si>
  <si>
    <t>Строительство КТП 10/0,4 кВ, ВЛ 0,4 кВ, ВЛ 10 кВ от ВЛ 10 кВ №307 ПС 35 кВ БГ3 для электроснабжения ВРУ 0,4 кВ нежилого здания ИП Амирханян В.Ш. по адресу: Ростовская обл., р-н. Багаевский, х. Верхнеянченков, пер. Мирный, д. 30, к.н.: 61:03:0030301:59. (ориентировочная мощность трансформатора 0,16 МВА, ориентировочная протяжённость ЛЭП 0,035 км)</t>
  </si>
  <si>
    <t>Строительство ПС 110кВ Полевая с двумя трансформаторами мощностью 63 МВА и 100 МВА соответственно и двух отпаечных ВЛ 110кВ от опоры №55 ВЛ 110кВ Зимовники – НС3 и ВЛ 110кВ Зимовники - Наримановская</t>
  </si>
  <si>
    <t>Строительство ВЛ 0,4 кВ от ВЛ 0,4 кВ №1 КТП №3 ВЛ 10 кВ №158 ПС 110 кВ В1 для электроснабжения гаража Беляева В. А. по адресу РО, Веселовский район, п. Веселый, ул. Октябрьская, 2-ж, к.н. 61:06:0010135:243</t>
  </si>
  <si>
    <t>Строительство двух КЛ 6 кВ от ПС 110/35/10/6 кВ «Очисные сооружения» для технологического присоединения Заявителя (ФГУП «Авиакомплект») по адресу: Ростовская область, г. Таганрог, площадь Авиаторов, 1, к.н. 61:58:0002501:65 (ориентировочная протяженность ЛЭП 4,88 км)</t>
  </si>
  <si>
    <t xml:space="preserve">Строительство двух КВЛ 10 кВ от ВЛ 10 кВ №806 ПС 110 кВ БОС, ВЛ 10 кВ №403 ПС 110 кВ АС4 для электроснабжения РТП 10 кВ ГК “Российские автомобильные дороги” на участке с КН 61:02:0600017:3370 в Аксайском районе Ростовской области </t>
  </si>
  <si>
    <t>Строительство КЛ-10 кВ от оп. №9 ВЛ-10кВ №808К ПС 110/10 кВ «БОС», ТП-10/0,4 кВ, ВЛИ-0,4 кВ, для электроснабжения насоса для полива заявителя Горобец А.А. Ростовская область, г. Батайск (ориентировочная протяженность ЛЭП– 0,210 км, ориентировочная трансформаторная мощность– 0,025 МВА</t>
  </si>
  <si>
    <t xml:space="preserve">Строительство ТП 10/0,4 кВ, ЛЭП 0,4 кВ, ЛЭП 10 кВ от ВЛ 10 кВ №406 ПС 110 кВ АС4 для электроснабжения нежилых застроек и складских зданий/помещений ИП Гулуа Р. З. в пос. АО «Родина» Аксайского района Ростовской области </t>
  </si>
  <si>
    <t>3.1.2.2.2.1</t>
  </si>
  <si>
    <t xml:space="preserve">Строительство КЛ 6 кВ от КЛ 6 кВ №214 (построенной по договору №61-1-15-00195001) ПС 110 кВ БТ2 для электроснабжения склада расположенного по адресу: г. Батайск, пер. Лесозащитный, д.26 к.н. 61:46:001201:490 </t>
  </si>
  <si>
    <t xml:space="preserve">Строительство ЛЭП 10кВ от опоры №144 по ВЛ 10кВ №3129 от ПС 110/35/10кВ "А-31", ТП 10/0,4кВ, ЛЭП 0,4кВ, для электроснабжения складов заявителей ИП Дорошенко И.И., ИП Главы КФХ Дорошенко Р.И., ИП Дорошенко И.И, с. Пешково, Азовский район, Ростовская область (ориентировочная протяженность ЛЭП - 0,245км, ориентировочная трансформаторная мощность - 0,630МВА) </t>
  </si>
  <si>
    <t>Строительство КЛ 6 кВ от КЛ 6 кВ №31-44 ПС 110 кВ Р31 для электроснабжения производственного и складских помещений ООО «БРИЗ», расположенной по адресу: г. Ростов-на-Дону, ул. 2-я Луговая, д. 18б, КН 61:44:0062505:166</t>
  </si>
  <si>
    <t>Строительство ВЛ-10кВ от опоры №8-223 ВЛ-10кВ №901 ПС 35/10кВ А-9, ТП-10/0,4кВ, ВЛИ-0,4кВ для подключения полевого стана ИП главы К(Ф)Х Поплавного А.В. с. Высочино Азовский р-он, Ростовская область (ориентировочная протяженность ЛЭП – 0,060км, ориентировочная трансформаторная мощность – 0,160МВА)</t>
  </si>
  <si>
    <t>'Строительство КЛ-10 кВ от оп. №9 ВЛ-10кВ №808К ПС 110/10 кВ «БОС», ТП-10/0,4 кВ, ВЛИ-0,4 кВ, для электроснабжения насоса для полива заявителя Горобец А.А. Ростовская область, г. Батайск (ориентировочная протяженность ЛЭП– 0,210 км, ориентировочная трансформаторная мощность– 0,025 МВА)</t>
  </si>
  <si>
    <t xml:space="preserve">Строительство КТПН 6/0,4 кВ, ВЛ 0,4 кВ, ВЛ 6 кВ от ВЛ 6 кВ №804 ПС 35 кВ АС8 для электроснабжения ВРУ 0,4 кВ жилых домов по ул. Овражная, 19, 23 в х. Большой Лог Аксайского района Ростовской области (ориентировочная мощность трансформатора 0,04 МВА, ориентировочная протяжённость ЛЭП 0,19 км)
</t>
  </si>
  <si>
    <t>Строительство ВЛ-10 кВ от оп. 10 кВ оп. №177 по ВЛ-10кВ №3113 ПС 110/35/10 кВ «А-31», ТП-10/0,4 кВ, ВЛИ-0,4 кВ и установка системы учета электрической энергии (мощности) на границе земельного участка для электроснабжения хозяйственного помещения заявителя ООО «Органик Фудс Инвестмент», с.Пешково, Азовский район Ростовская область (ориентировочная протяженность ЛЭП– 0,180 км, ориентировочная трансформаторная мощность – 0,025 МВА)</t>
  </si>
  <si>
    <t>Строительство ТП-10/0,4, ВЛ-10 кВ от существующей оп. №1 отпайки к КТП 599 по ВЛ 10 кВ Сельхозтехника ПС Ш-39, и ВЛИ-0,4 кВ от вновь установленной ТП-10/0,4 кВ для присоединения объекта придорожного сервиса ИП Серхель Д.М., Октябрьский район, п. Персиановский, ул. Школьная, 43 (ориентировочная протяженность ЛЭП 0,015 км, ориентировочная мощность трансформатора 25 кВА)</t>
  </si>
  <si>
    <t>Строительство ВЛ 0,4 кВ от ВЛ 0,4 кВ №1 КТП №425 ВЛ 10 кВ №1109 ПС 110 кВ АС11 с заменой силового трансформатора КТП №425 ВЛ 10 кВ №1109 ПС 110 кВ АС11 для электроснабжения ВРУ 0,4 кВ жилого дома Денисова И. В. на участке с КН 61:02:0030301:608 в х. Веселый Аксайского района Ростовской области</t>
  </si>
  <si>
    <t>Строительство ВЛ 10 кВ от опоры №1-00/19 по ВЛ 10 кВ Л-1 Мелькомбинат, строительство КТП 10/0,4 и ВЛ 0,4 кВ для электроснабжения объекта – нежилое здание, расположенного по адресу: РФ, Ростовская область, Сальский р-н, п. Рыбасово, в кадастровом квартале  61:34:0600012 с условным центром в п. Рыбасово, к.н. 61:34:0600012:1577, заявитель  Будько С.И.» (Ориентировочная протяженность ЛЭП - 0,02 км, ориентировочная мощность ТП – 0,063 МВА)</t>
  </si>
  <si>
    <t>Строительство ТП 10/0,4 кВ для технологического присоединения нежилого здания (станция технического обслуживания) Заявителя (ИП Климова Е.А.), по адресу: Ростовская область, Матвеево-Курганский район, п. Матвеев Курган, ул. Придорожная д. 8. к.н. 61:21:0010161:435. (мощность силового трансформатора 63 кВА)</t>
  </si>
  <si>
    <t>Строительство ТП 10/0,4 кВ от опоры №5-17/6 ВЛ-10 кВ № 107Н ПС 110/6/10 кВ «НС-1», строительство ВЛИ-0,4 кВ, для электроснабжения нежилого помещения заявителя ООО «РусЭл» п.Овощной, Азовский район Ростовская область (ориентировочная протяженность ЛЭП– 0,03 км, ориентировочная трансформаторная мощность – 0,063 МВА)</t>
  </si>
  <si>
    <t>Техническое перевооружение ТП 10/0,4 кВ №5-3 по ВЛ 10 кВ №5 ПС 35/10 кВ Б.Салы для технологического присоединения производственной базы Заявителя (Гаричева Л.С.) по адресу: Ростовская область, Мясниковский район, с. Б.Салы, ул. Абовяна, д.48 к.н.  №61:25:0040101:5275 (мощность силового трансформатора 160 кВА)</t>
  </si>
  <si>
    <t>Строительство ВЛ-10 кВ от оп. №123 ВЛ-10 кВ № 910-1106 ПС 35/10 кВ «А-9», ТП-10/0,4 кВ, ВЛИ-0,4 кВ, для электроснабжения склада заявителя Алоян А.В., ул. Победы, г. Азов, Азовский район Ростовская область (ориентировочная протяженность ЛЭП– 0,08 км, ориентировочная трансформаторная мощность – 0,250 МВА)</t>
  </si>
  <si>
    <t>Строительство ТП 6/0,4 кВ, ВЛ 6 кВ, ВЛ 0,4 кВ от проектируемой ВЛ 6 кВ (по договору № 61-1-18-00410909) от ВЛ 6 кВ № 305 ПС 35 кВ АС 3 для электроснабжения нежилого помещения ИП Телегина С. Е. по ул. Атаманская, 24 в г. Аксае Аксайского района Ростовской области</t>
  </si>
  <si>
    <t xml:space="preserve">Строительство КТПН 6/0,4 кВ, ВЛ 0,4 кВ, ВЛ 6 кВ от ВЛ 6 кВ №807 ПС 35 кВ АС8 для электроснабжения жилых домов в х. Большой Лог Аксайского района Ростовской области </t>
  </si>
  <si>
    <t xml:space="preserve">Строительство ТП 6/0,4 кВ, ВЛ 0,4 кВ, ВЛ 6 кВ от проектируемой ВЛ 6 кВ (по договору № 61-1-18-00411669 от 10.12.2018 г.) от ВЛ 6 кВ № 807 ПС 35 кВ АС 8 для электроснабжения нежилого здания ООО "Строительно-монтажная компания Интер" по ул. Калинина, 74 Б в х. Большой Лог Аксайского района Ростовской области </t>
  </si>
  <si>
    <t>Техническое перевооружение КТП 10/0,4 кВ №244 ВЛ 10 кВ №8 ПС 35/10 кВ «Покровская» с заменой силового трансформатора. для технологического присоединения нежилого здания Заявителя (Бабенко А.В.) по адресу: Ростовская область, Неклиновский район, с. Покровское, ул. О. Кошевого, 1, к.н. 61:26:0050101:198 (мощность силового трансформатора 250 кВА)</t>
  </si>
  <si>
    <t>Техническое перевооружение КТП №660 ВЛ 10 кВ №3 ПС 110/10 кВ «Самбек» с увеличением мощности силового трансформатора для технологического присоединения энергопринимающих устройств заявителей: Муртазин М.Р., Клычникова Е.В., Хачатрян Л.В., Недашковская Л.В., Рудаков В.А., Манджари А.Р., Викулина Е.В., Гаспарян В.Л., Ювакаева А.В., Шакер М., Хидешели М.В. в с. Самбек Неклиновского района Ростовской области (мощность силового трансформатора 250 кВА)</t>
  </si>
  <si>
    <t xml:space="preserve">Строительство ВЛ-10кВ от опоры №77 ВЛ-10кВ №1019 ПС 110/35/10кВ Самарская, ТП-10/0,4кВ, ВЛИ-0,4кВ, для электроснабжения объектов 7 заявителей х. Победа, Азовский район, Ростовская область (ориентировочная протяженность ЛЭП-0,510км, ориентировочная трансформаторная мощность-0,160МВА)  </t>
  </si>
  <si>
    <t xml:space="preserve">Строительство участка ВЛИ-0,4кВ от проектируемой ВЛ-0,4 кВ (по договору №61-1-20-00519721 от 07.08.2020г.) КТП 10/0,4 кВ №48 по ВЛ-10кВ №1815 ПС 35/10 кВ «А-18» и установка системы учета электрической энергии (мощности) на границе земельных участков для электроснабжения жилых домов заявителей Зарецкого А.В., Давыдовой А.В., Рыболовецкий колхоз им. Ленина, Азовский р-он Ростовская область (ориентировочная протяженность ЛЭП – 0,055 км) </t>
  </si>
  <si>
    <t xml:space="preserve">'Строительство ЛЭП-10 кВ от оп. 10 кВ №3-50 по ВЛ-10кВ №211 ПС 35/10 кВ «А-2», ТП-10/0,4 кВ, ЛЭП-0,4 кВ и установка системы учета электрической энергии (мощности) на границе земельного участка для электроснабжения склада заявителя ИП Балинской А.А., х.Новоалександровка, Азовский район Ростовская область (ориентировочная протяженность ЛЭП– 0,06 км, ориентировочная трансформаторная мощность – 0,250 МВА) </t>
  </si>
  <si>
    <t>Техническое перевооружение КТП 10/0,4 кВ №194 по ВЛ-10 кВ № 313 ПС 35/10 кВ «КГ-3» для электроснабжения магазина заявителя ИП Шульженко А.В., Кагальницкий район Ростовская область (ориентировочная трансформаторная мощность – 0,160 МВА)</t>
  </si>
  <si>
    <t>Обеспечение коммерческим учетом электрической энергии (мощности) в точке поставки и установка шкафа 0,4 кВ, с заменой ТП-6/0,4 кВ по ВЛ-6 кВ №1 ПС 35/6 кВ Романовская (по договорам ТП № 61-1-19-00441801 от 13.05.2019г, № 61-1-19-00437609 от 15.05.2019 г), по присоединению спального домика Погосяна А.Н., расположенного по адресу: Ростовская область, г. Волгодонск, ул. Отдыха, к.н. 61:48:0020101:1586 (ориентировочная мощность трансформатора 250 кВА)</t>
  </si>
  <si>
    <t>'Техническое перевооружение КТП 6/0,4 кВ №352 ВЛ-6 кВ № 207Н ПС 110/6/10 кВ «НС-2» с заменой силового трансформатора, строительство ВЛИ- 0,4 кВ от опор №352-36, №352-6 от КТП 6/0,4 кВ №352 ВЛ-6 кВ № 207Н ПС 110/6/10 кВ «НС-2» для электроснабжения участков Уварова И.А., Ильминской Т.А., Чуприной Т.И., Овчинникова Е.Н., Рогачевой З.А., СНТ «Квант» Азовский района, Ростовская область (ориентировочная протяжённость ЛЭП- 0,395 км, ориентировочная мощность трансформатора 0,400 МВА)</t>
  </si>
  <si>
    <t>Строительство ЛЭП 10кВ от опоры №144 по ВЛ 10кВ №3129 от ПС 110/35/10кВ "А-31", ТП 10/0,4кВ, ЛЭП 0,4кВ, для электроснабжения складов заявителей ИП Дорошенко И.И., ИП Главы КФХ Дорошенко Р.И., ИП Дорошенко И.И, с. Пешково, Азовский район, Ростовская область (ориентировочная протяженность ЛЭП - 0,245км, ориентировочная трансформаторная мощность - 0,630МВА)</t>
  </si>
  <si>
    <t>Обеспечение коммерческим учетом электрической энергии (мощности) в точке поставки и установка шкафа 0,22 кВ по присоединению хозяйственной постройки Кравчука В.В., расположенной по адресу: Ростовская область, Волгодонской район, п. Виноградный, ул. Молодежная, д.23,  к.н. 61:08:0601301:231</t>
  </si>
  <si>
    <t>Обеспечение коммерческим учетом электрической энергии (мощности) в точке поставки по присоединению скважины для полива огорода Агаева И.И., расположенного по адресу: Ростовская область, Мартыновский район, х. Малоорловский, ул. Новая, д. 7а, к.н. 61:20:0060101:5269</t>
  </si>
  <si>
    <t>Обеспечение коммерческим учетом электрической энергии (мощности) в точке поставки по присоединению скважины для полива огорода Чабанной Н.В., расположенной по адресу: Ростовская область, Мартыновский район, п. Новоберезовка, ул. Питерская, д. 1, к.н. 61:20:0090101:6001</t>
  </si>
  <si>
    <t>Обеспечение коммерческим учетом электрической энергии (мощности) в точке поставки по присоединению скважины для полива огорода Оленченко А.А., расположенной по адресу: Ростовская область, Мартыновский район, п. Новоберезовка, ул. Центральная, д. 12а, к.н. 61:20:0090101:517</t>
  </si>
  <si>
    <t>Установка коммерческого учета электрической энергии (мощности) в точке поставки и установка шкафа 0,22 кВ по присоединению подъезда от автомобильной дороги "г. Ростов-на-Дону (от магистрали "Дон") - г. Семикаракорск - г. Волгодонск" - г. Константиновск - пос. Тацинский" к х. Авилов Министерства транспорта Ростовской области, расположенного по адресу: Ростовская область, Константиновский район,  к.н. объекта: 61:17:0000000:7466, кадастровый номер земельного участка: 61:17:0600006:1535</t>
  </si>
  <si>
    <t>Обеспечение коммерческим учетом электрической энергии (мощности) в точке поставки и установка шкафа 0,22 кВ по присоединению жилого дома Фейзуллаевой Л.А., расположенного по адресу: Ростовская область, Константиновский район, х. Упраздно-Кагальницкий, ул. Степана Разина, д. 10, к.н. 61:17:0030401:854</t>
  </si>
  <si>
    <t>Обеспечение коммерческим учетом электрической энергии (мощности)в точке поставки по присоединению жилого дома Абдуллаева А.М., расположенного по адресу: Ростовская область, Заветинский район, с. Тюльпаны, проезд Солнечный, д. 2, кв./оф. 1,2, к.н. 61:11:0600012:582 (прибор учета коммерческой электрической энергии-1шт)</t>
  </si>
  <si>
    <t>Обеспечение коммерческим учетом электрической энергии (мощности) в точке поставки и установку шкафа 0,22 кВ по присоединению жилого дома Магомедова М.А., расположенного по адресу: Ростовская область, Заветинский район, с. Тюльпаны, проезд Солнечный, д.32, кв. 1,2,3,4 к.н. 61:11:0600012:574</t>
  </si>
  <si>
    <t>Обеспечение коммерческим учетом электрической энергии (мощности) в точке поставки по присоединению жилого дома Алихановой Ж.Ю., расположенного по адресу: Ростовская область, Волгодонской район, х. Погожев, ул. Школьная, д. 10а, к.н. 61:08:0070401:176</t>
  </si>
  <si>
    <t>Обеспечение коммерческим учетом электрической энергии (мощности) в точке поставки и установка шкафа 0,22 кВ по присоединению жилого дома Эминова Т.И., расположенного по адресу: Ростовская облаасть, Волгодонской район, станица Романовская, пер. Ясина, д. 16, кадастровый номер земельного участка: 61:08:0070130:536</t>
  </si>
  <si>
    <t>Установка коммерческого учета электрической энергии (мощности) в точке поставки и установка шкафа 0,22 кВ по присоединению магазина ИП Дьяконовой Н.А., расположенного по адресу: Ростовская область, Константиновский район, станица Николаевская, ул. 8 Марта, д. 7 «а», кадастровый номер земельного участка 61:17:0050101:2328</t>
  </si>
  <si>
    <t>Обеспечение коммерческим учетом электрической энергии (мощности)  в точке поставки и установка шкафа 0,22 кВ по присоединению спального домика Парфеновой И.М., расположенного по адресу: Ростовская область, г. Волгодонск, ул. Отдыха, д. 1, кадастровый номер земельного участка: 61:48:0020101:1428</t>
  </si>
  <si>
    <t>Установка коммерческого учета электрической энергии (мощности) в точке поставки и установка шкафа 0,22 кВ по присоединению жилого дома Землянова В.Н., расположенного по адресу: Ростовская область, Константиновский район, станица Богоявленская, ул. Южная, д. 1, кадастровый номер земельного участка: 61:17:0030101:2274</t>
  </si>
  <si>
    <t>Обеспечение коммерческим учетом электрической энергии (мощности) в точке поставки и установка шкафа 0,22 кВ по присоединению общественной территории Администрации Гапкинского сельского поселения, расположенной по адресу: Ростовская область, Константиновский район, х. Гапкин, ул Центральная, д.55а. , кадастровый номер земельного участка 61:17:0040101:1933</t>
  </si>
  <si>
    <t>Установка коммерческого учета электрической энергии (мощности) в точке поставки и установка шкафа 0,22 кВ по присоединению жилого дома Кнышук В.И., расположенного по адресу: Ростовская область, Волгодонской район, х. Лагутники, ул. Ленина, д. 55а, кадастровый номер земельного участка 61:08:0070202:489</t>
  </si>
  <si>
    <t>Установка коммерческого учета электрической энергии (мощности) в точке поставки и установка шкафа 0,4 кВ по присоединению жилого дома Писковцовой А.В., расположенного по адресу: Ростовская область, Волгодонской район, станица Романовская, ул. 75 лет Победы, д. 69, кадастровый номер земельного участка 61:08:0600601:4625</t>
  </si>
  <si>
    <t>Обеспечение коммерческим учетом электрической энергии (мощности) 
в точке поставки и установка шкафа 0,22 кВ по присоединению жилого дома Северенчук Н.В., расположенного по адресу: Ростовская область, Волгодонской район,  станица Романовская, ул. Чибисова,  д. 111а, к.н. 61:08:0070131:947(прибор учета коммерческой электрической энергии-1шт)</t>
  </si>
  <si>
    <t>Установка коммерческого учета электрической энергии (мощности) в точке поставки и установка шкафа 0,22 кВ по присоединению магазина ИП Дурневой А.М., расположенного по адресу: Ростовская область, Волгодонской район, х. Потапов, ул. Комсомольская, д. 49з, кадастровый номер земельного участка: 61:08:0040106:635</t>
  </si>
  <si>
    <t>Обеспечение коммерческим учетом электрической энергии (мощности) в точке поставки и установка шкафа 0,22 кВ по присоединению жилого дома Крымского Р.В., расположенного по адресу: Ростовская область,  г. Волгодонск, ул. Отдыха, д. 39в20, кадастровый номер земельного участка: 61:48:0020101:1529</t>
  </si>
  <si>
    <t>Установка коммерческого учета электрической энергии (мощности) в точке поставки и установка шкафа 0,22 кВ по присоединению жилого помещения Кагирова В.Ш., расположенного по адресу: Ростовская область, Дубовский район, х. Присальский, ул. Строителей, д. 38, кв. 2, кадастровый номер земельного участка: 61:09:0070101:1789</t>
  </si>
  <si>
    <t>Установка коммерческого учета электрической энергии (мощности) в точке поставки и установка шкафа 0,22 кВ по присоединению жилого дома Клевцова К.П., расположенного по адресу: Ростовская область, Дубовский район, станица Баклановская, ул. Майская, д. 8а, кадастровый номер земельного участка: 61:09:00120:182</t>
  </si>
  <si>
    <t>Обеспечение коммерческим учетом электрической энергии (мощности) в точке поставки и установка шкафа 0,22 кВ по присоединению квартиры Долид Е.В., расположенной по адресу: Ростовская область, Мартыновский район, х. Долгий, ул. Школьная, д. 1, кв. 2, к.н. 61:20:0060301:3105</t>
  </si>
  <si>
    <t>Обеспечение коммерческим учетом электрической энергии (мощности) в точке поставки и установка шкафа 0,22 кВ по присоединению квартиры Полумиевой Л.В., расположенной по адресу: Ростовская область, Мартыновский район, х. Комаров, ул. Ленина, д. 36, кв./оф. 3, к.н. 61:20:0050101:5751</t>
  </si>
  <si>
    <t>Обеспечение коммерческим учетом электрической энергии (мощности) в точке поставки и установка шкафа 0,22 кВ по присоединению жилого дома Байрахтарова М.Н., расположенного по адресу: Ростовская область, Мартыновский район, х. Комаров, ул. Калинина, д. 4б, к.н. 61:20:0050101:3780</t>
  </si>
  <si>
    <t>Установка прибора коммерческого учета электрической энергии (мощности) в точке поставки для присоединения нежилого помещения АО «Почта России», расположенного по адресу: Ростовская область, Константиновский район, х. Крюков, ул. Школьная, д.11, к.н.з.у.: 61:17:0060701:625</t>
  </si>
  <si>
    <t>Установка коммерческого учета электрической энергии (мощности) в точке поставки и установка шкафа 0,22 кВ по присоединению жилого дома Костюк И.В., расположенного по адресу: Ростовская область, Волгодонской район, станица Романовская, ул. 75 лет Победы, д. 55, кадастровый номер земельного участка 61:08:0600601:4612</t>
  </si>
  <si>
    <t>Установка коммерческого учета электрической энергии (мощности) в точке поставки и установка шкафа 0,22 кВ по присоединению жилого дома Алтуновой Б.У., расположенного по адресу: Ростовская область, Волгодонской район, х. Лагутники, ул. Кооперативная, д. 5а, кадастровый номер земельного участка: 61:08:0070201:524</t>
  </si>
  <si>
    <t>Установка прибора коммерческого учета электрической энергии (мощности) в точке поставки для присоединения жилого дома Северенчук А.П., расположенного по адресу: Ростовская область, Волгодонской район, станица Романовская, ул. Чибисова, д.107а, к.н.з.у.: 61:08:0070131:915</t>
  </si>
  <si>
    <t>Обеспечение коммерческим учетом электрической энергии (мощности) в точке поставки по присоединению дома Прокоповой О.В., расположенного по адресу: Ростовская область, Волгодонской район, х.Мокросоленый, ул.Центральная, д.42А,к.н. 61:08:0010201:1464</t>
  </si>
  <si>
    <t>Установка прибора коммерческого учета электрической энергии (мощности) в точке поставки для присоединения жилого дома Войнова П.Н., расположенного по адресу: Ростовская область, Константиновский район, х. Почтовый, ул. Шоферская, д.3а, к.н.з.у.: 61:17:0060101:834</t>
  </si>
  <si>
    <t>Установка прибора коммерческого учета электрической энергии (мощности) в точке поставки для присоединения нежилого здания ИП главы К(Ф)Х Халдыхроева А.Т., расположенного по адресу: Ростовская область, Заветинский район, Шебалинское сельское поселение, х. Шебалин, земельный участок расположен в кадастровом квартале 61:11:0600001, кадастровый номер земельного участка: 61:11:0600001:1353</t>
  </si>
  <si>
    <t>Установка прибора коммерческого учета электрической энергии (мощности) в точке поставки для присоединения площадки для занятия спором и физкультурой Администрации Кичкинского сельского поселения, расположенного по адресу: Ростовская область, Заветинский район, с. Кичкино, ул. Кооперативная, д. 11а, к.н.з.у.: 61:11:0030101:1532</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</si>
  <si>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Васецкий, ул. Колхозная, д. 7, Валяйкин С.В. (1шт)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</si>
  <si>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Дудкино, ул. Журбиной, д. 15, Донченко Н.А (1шт)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</si>
  <si>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ст-ца. Владимировская, ул. Заречная, д.29, Пудрена Д.А (1шт)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</si>
  <si>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п.Тополевый, ул. Горняцкая, д.4, п. Тополевый, ул. Мира, д.3, кв.5, (ПАО междугородной и международной электрической связи Ростелеком., Соловьев А.В) (2 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</si>
  <si>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Платово, пер. Мирный, д.7, х. Платово, ул. Советская, д.76 (Ткаченко Т.К., Лозовой А.А.) (2 шт)</t>
  </si>
  <si>
    <t>Обеспечение коммерческим учетом электрической энергии (мощности) в точке поставки по присоединению объектов заявителей. Ростовская область, г. Красный Сулин, ул. Прибрежная, б/н, Иванкова Л.Ю. (1шт.)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</si>
  <si>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Украинский, ул. Заречная, д.24, Управление земельно-имущественных отношений и муниципального заказа (1шт)</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</si>
  <si>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ст. Нижнекундрюченская, ул. Братская, д. 17 (Еремин А.П.) (1 шт.)</t>
  </si>
  <si>
    <t>Обеспечение коммерческим учетом электрической энергии (мощности) в точке поставки по присоединению объектов заявителей. Российская Федерация, Ростовская обл., р-н Семикаракорский, ст. Кочетовская, ул. Садовая, д. 36, ул. Студенческая, д. 14, кв. 2, ул. Садовая, д. 35 (Васильченко В.Н., Вишневецкая О.В., Калюженко О.Ю.) (3 шт.)</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</si>
  <si>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ст. Верхнекундрюченская, ул. Центральная, д. 25в (Сейранян Ф.Я.) (1 шт.)</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</si>
  <si>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х. Листопадов, ул. Лесная, д. 1-а (Текучев Д.А.) (1 шт.)</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</si>
  <si>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х. Коныгин, ул. Ленина, д. 3 (Покидышева О.И.) (1 шт.)</t>
  </si>
  <si>
    <t xml:space="preserve"> Обеспечение коммерческим учетом электрической энергии (мощности) в точке поставки по присоединению объекта заявителя. Ростовская обл., р-н Усть-Донецкий, х. Черни, ул. Озерная, д. 8 (Куликова С.А.) (1 шт.)</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</si>
  <si>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х. Топилин, ул. Зеленая Дубрава, д. 18 (Безуглов С.В.) (1 шт.)</t>
  </si>
  <si>
    <t>Обеспечение коммерческим учетом электрической энергии (мощности) в точке поставки по присоединению объекта заявителя. Ростовская обл., р-н Усть-Донецкий, х. Пухляковский, ул. Студенческая, д. 6а (Курбанов Н.Г.) (1 шт.)</t>
  </si>
  <si>
    <t>Обеспечение коммерческим учетом электрической энергии (мощности) в точке поставки по присоединению объекта заявителя. Ростовская обл., р-н Усть-Донецкий, х. Крымский, пер. Рождественский, д. 14 (Местная религиозная организация православный Приход Храма иконы Пресвятой Богородицы Одигитрия х. Крымского) (1 шт.)</t>
  </si>
  <si>
    <t>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х. Октябрьский, ул. Подгорная, д. 7 (Авраменко А.В.) (1 шт.)</t>
  </si>
  <si>
    <t>Обеспечение коммерческим учетом электрической энергии (мощности) в точке поставки и установка шкафа 0,23 кВ по присоединению жилого  дома  расположеннного   по адресу: Ростовская область, Родионово-Несветайский район,х. Октябрьский, ул. Клубная, д. 15  Воронков Л.В. (1 шт)</t>
  </si>
  <si>
    <t>Обеспечение коммерческим учетом электрической энергии (мощности) в точке поставки и установка шкафа 0,23 кВ по присоединению жилого  дома  расположеннного   по адресу: Ростовская область, Родионово-Несветайский район,сл. Родионово-Несветайская, ул. Комарова, д. 33А  Буцулина И.Б. (1 шт)</t>
  </si>
  <si>
    <t>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х. Авилов, ул. Центральная, д. 2 (ООО «ОРП-Ростов») (1 шт.)</t>
  </si>
  <si>
    <t>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х. Нижнесоленый, ул. Зеленая, д. 7 (Руденко Г.Л.) (1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</si>
  <si>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сл. Красюковская, ул. Новая д. 5, ул. Дружбы д.7 (Дегтянникова Н.А., Петрушенко Е.О.) (2 шт.)</t>
  </si>
  <si>
    <t>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х. Волошино, ул. Ленина, д. 22А (Тоноян В.Х.) (1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</si>
  <si>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п. Каменоломни, ул. Гвардейская д. 15, д. 20 (Осипян Ш.Г., Шакера А.А.) (2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</si>
  <si>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Костиков, ул. Сельская д. 13 (Димитров С.С.) (1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</si>
  <si>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ст-ца. Кривянская, ул. Чехова д. 59А, ул. Большая д. 154а, кадастровый номер земельного участка: 61:28:0040105:85, ул. Сухаревка д. 72 (Автандилян С.С., Страданченкова И.Н., Администрация Кривянского сельского поселения, Волков А.Б.) (4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</si>
  <si>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Калинин, пер. Первый д.12, ул. Донская, с/т "Дон" уч. №39 (Урюпина В.И., Сергеев М.К., Клименко И.А.) (3 шт.)</t>
  </si>
  <si>
    <t>Обеспечение коммерческим учетом электрической энергии (мощности) в точке поставки по присоединению объектов заявителей. Ростовская область, Родионово-Несветайский район, сл. Родионово-Несветайская, ул. Ленина, ул. Садовая д.80, ул. 30 лет Победы д.11, ул. Бабичева д.1Б (Адм. Родионово-Несветайского района, Антонян Р.Н., Голубева Р.А., Лихобабина Д.А., Лозовой М.Н.) (5 шт.)</t>
  </si>
  <si>
    <t>Обеспечение коммерческим учетом электрической энергии (мощности) в точке поставки и установка шкафа 0,23 (0,4) кВ по присоединению жилых домов  расположенных  по адресам: Ростовская область, Октябрьский р-н, п. Красногорняцкий, ул. Михайличенко, д. 17 Гудков Е.Е.; и Октябрьский р-н, п. Новокадамово, ул. Новая, д.27, кв. 2  Косов А.А; и Октябрьский р-н, сл. Красюковская, ул. Красюкова, д. 8а  Белоусов А.А.; и Октябрьский р-н, п. Красногорняцкий, ул. Петренко, д. 16 Скакунова Г.И.; и Октябрьский р-н, х. Калинин, пер. Тупиковый, д. 8а Нефедов В.Е.; и Октябрьский р-н, х. Красный Кут, ул. Социалистическая, д.40 (Реброва М.Ю.) (6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</si>
  <si>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Керчик-Савров, ул. Алейникова д. 9, ул. Советская д. 27 (Индивидуальный Предприниматель Глава крестьянского фермерского хозяйства Анешкин Р.В., Ажогин С.В.) (2 шт.)</t>
  </si>
  <si>
    <t xml:space="preserve">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х.Божковка, ул. Московская, д.13, х. Божковка, Божковское сельское поселение, ул. Социалистическая, д. 22, ул. Советская, д.15(Шестакова Н.Л., ООО Корунд., Морозова Н.И., ООО Водолей.) (4 шт)»
</t>
  </si>
  <si>
    <t>Обеспечение коммерческим учетом электрической энергии (мощности) в точке поставки по присоединению объектов заявителей. Российская Федерация, Ростовская обл., р-н Усть-Донецкий, ст. Раздорская, ул. Донская, д. 96А, ул. Красноармейская, д. 25-а, ул. Донская, д. 74 (Логвинова Е.А., Упорников Р.В., Чешко Т.Д.) (3 шт.)</t>
  </si>
  <si>
    <t>Обеспечение коммерческим учетом электрической энергии (мощности) в точке поставки по присоединению объектов заявителей. Ростовская обл., р-н Усть-Донецкий, х. Апаринский, ул. Космодемьянская, д. 1, ул. Вишневая, д. 9 (Егорова И.А., Шерстнев А.А.) (2 шт.)</t>
  </si>
  <si>
    <t>Обеспечение коммерческим учетом электрической энергии (мощности) в точке поставки по присоединению объектов заявителей. Ростовская обл., р-н Усть-Донецкий,х. Мостовой, ул. Степная,  д. 2, ул. Горького,  д. 4 (Мурзин М.М., Ситникова И.А.) (2 шт.)</t>
  </si>
  <si>
    <t>Установка прибора учета для присоединения жилого дома Сытникова К.В., расположенного по адресу: Ростовская область, Октябрьский район, сл. Красюковская, ул. Советская, д. 25-А, к.н.з.у.: 61:28:0070101:7953 (1шт.)</t>
  </si>
  <si>
    <t>Строительство ВЛ 0,4 кВ от существующей оп. №6 ВЛИ 0,4 кВ №1 от КТП №375 по ВЛ 6- кВ Пролетарка от ПС С-2 для присоединения нежилого здания. Ростовская область, Красносулинский район, х. Малая Гнилуша, ул. Центральная, д. 1а (Администрация Пролетарского СП) (ориентировочная протяженность ЛЭП-0,095 км)</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</si>
  <si>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Пролетарка, ул. Мира б/н, ул. Мира д.13 (ИП Волкова Т.Р., Варфаламеева А.М.) (2шт.)</t>
  </si>
  <si>
    <t>Установка прибора учета для присоединения объекта Малоэтажная жилая застройка (Индивидуальный жилой дом/Садовый/Дачный дом) Герман Л.В., расположенного по адресу: Ростовская область, Родионово-Несветайский район, х. Персиановка, ул. Колхозная,  д. 2А, КН ЗУ: 61:33:0060301:103 (1шт.)</t>
  </si>
  <si>
    <t>Установка прибора учета для присоединения объекта «Малоэтажная жилая застройка (Индивидуальный жилой дом/Садовый/Дачный дом)» Калита О.В. расположенного по адресу: Ростовская обл., р-н. Родионово-Несветайский, х. Каменный Брод, ул. Калининская, д. 39В/2, к.н.: 61:33:0030501:1908</t>
  </si>
  <si>
    <t>Установка прибора учета для присоединения объекта Малоэтажная жилая застройка (Индивидуальный жилой дом/Садовый/Дачный дом) Коробкина А.А., расположенного по адресу: Ростовская область, Родионово-Несветайский район, х. Юдино, ул. Новоселов,  д. 11А, КН ЗУ: 61:33:0070201:169 (1шт.)</t>
  </si>
  <si>
    <t>Установка прибора учета для присоединения объекта Малоэтажная жилая застройка (Индивидуальный жилой дом/Садовый/Дачный дом) Метелициной О.В., расположенного по адресу: Ростовская область, Родионово-Несветайский район, сл. Родионово-Несветайская, ул. Седова, д. 25, КН ЗУ: 61:33:0040137:213</t>
  </si>
  <si>
    <t>Установка прибора учета для присоединения объекта «Малоэтажная жилая застройка (Индивидуальный жилой дом/Садовый/Дачный дом)» Мищенко М.Н. расположенного по адресу: Ростовская обл., р-н. Родионово-Несветайский, сл. Родионово-Несветайская, ул. Панфиловцев, д. 63, к.н.: 61:33:0600010:3184</t>
  </si>
  <si>
    <t>Установка прибора учета для присоединения жилого дома Никишиной В.И., расположенного по адресу: Ростовская область, Родионово-Несветайский район, сл. Родионово-Несветайская, ул. 30 лет Победы, д. 51Б, КН ЗУ: 61:33:0040123:881</t>
  </si>
  <si>
    <t>Установка прибора учета для присоединения Малоэтажной жилой застройки (Индивидуальный жилой дом/Садовый/Дачный дом)  Ушанева А.И., расположенного по адресу: Ростовская область, Родионово-Несветайский район, х. Краснознаменка, ул. Центральная,  д. 26. КН ЗУ: 61:33:0020601:48 (1шт.)</t>
  </si>
  <si>
    <t>Установка прибора учета для присоединения объекта «Малоэтажная жилая застройка (Индивидуальный жилой дом/Садовый/Дачный дом)» Юсифовой Е.И., расположенного по адресу: Ростовская область, Родионово-Несветайский район, х. Октябрьский, СО Весна, КН ЗУ: 61:33:0500301:101</t>
  </si>
  <si>
    <t>Установка прибора учета для присоединения жилого дома Задорожной О.А., расположенного по адресу: Ростовская область, Родионово-Несветайский район, сл. Родионово-Несветайская, ул. Абрикосовая, д. 33А, КН ЗУ: 61:33:0040123:629</t>
  </si>
  <si>
    <t>Установка прибора учета для присоединения жилого дома Семчук А.Н., расположенного по адресу: Ростовская область, Родионово-Несветайский район, х. Нагорно-Тузловка, ул. Красноармейская,  д. 17, КН ЗУ: 61:33:0051201:1</t>
  </si>
  <si>
    <t>Установка прибора учета для присоединения жилого дома Честникова П.А., расположенного по адресу: Ростовская область, Родионово-Несветайский район, х. Персиановка, ул. Октября, д. 14, КН ЗУ: 61:33:0060301:105</t>
  </si>
  <si>
    <t>Установка прибора учета для присоединения жилого дома Лесовой Т.В., расположенного по адресу: Ростовская область, Родионово-Несветайский район, х. Маяки, ул. Суворова, д. 13, КН ЗУ: 61:33:0050901:22</t>
  </si>
  <si>
    <t>Установка прибора учета для присоединения гаража Кароян Л.Б., расположенного по адресу: Ростовская область, Родионово-Несветайский район, х. Веселый, ул. Гагарина,  д. 4/17, КН ЗУ: 61:33:0040701:1041 (1шт.)</t>
  </si>
  <si>
    <t>Установка прибора учета для присоединения жилого дома Распутняя М.В., расположенного по адресу: Ростовская область, Родионово-Несветайский район, с. Генеральское, ул. Звездова,  д. 8В, КН ЗУ: 61:33:0070601:2217 (1шт.)</t>
  </si>
  <si>
    <t>Установка прибора учета для присоединения сарая Романова В.Ф., расположенного по адресу: Ростовская область, Родионово-Несветайский район, х. Веселый, ул. Гагарина,  д. 4/7, КН ЗУ: 61:33:0040701:1106 (1шт.)</t>
  </si>
  <si>
    <t>Установка прибора учета для присоединения жилого дома Шевченко Н.В., расположенного по адресу: Ростовская область, Родионово-Несветайский район, х. Новотроицкий, ул. Центральная,  д. 12, КН ЗУ: 61:33:0021101:413 (1шт.)</t>
  </si>
  <si>
    <t>Установка прибора учета для присоединения помещения МБУК Родионово-Несветайского сельского поселения Веселовского СДК, расположенного по адресу: Ростовская область, Родионово-Несветайский район, х. Большой Должик, ул. Новая,  д. 1Б, КН ЗУ: 61:33:0040501:468 (1шт.)</t>
  </si>
  <si>
    <t>Установка прибора учета для присоединения жилого дома Запорожцева А.В., расположенного по адресу: Ростовская область, Красносулинский район, х. Пушкин, ул. Центральная, д. 1, КН ЗУ: 61:59:0050102:150</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</si>
  <si>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Коминтерн, ул. Щербтых, д.41, (Еловская Л.М.) (1шт.)</t>
  </si>
  <si>
    <t>Установка прибора учета для присоединения дачи Смолиной К.Р., расположенной по адресу: Ростовская область, Красносулинский район, х. Пушкин, с/т «Обогатитель», №21, КН ЗУ: 61:59:0050102:78 (1шт.)</t>
  </si>
  <si>
    <t>Установка прибора учета для присоединения дачи Железнякова И.В, расположенной по адресу: Ростовская область, Красносулинский район, х.Правда, ул.Набережная, д. 4, КН ЗУ: 61:18:0090401:23 (1шт.)</t>
  </si>
  <si>
    <t>Установка прибора учета  для присоединения  дачного домика Шевченко Р.П., расположенного по адресу: Ростовская область, Красносулинский район, х.Первомайский, ул. Балочная, д. 1, к.н.з.у.: 61:18:0050601:416 (1шт.)</t>
  </si>
  <si>
    <t>Установка прибора учета для присоединения жилого дома Шевцова А.А., расположенного по адресу: Ростовская область, Красносулинский район, 
х. Лихой, ул. Чичерина, д. 24 (1шт.)</t>
  </si>
  <si>
    <t>Установка приборов учета для присоединения жилого дома  Борохвостова Р.Ю., расположенного по адресу: Ростовская область, Красносулинский район, х. Черников, ул. Садовая, д. 84 (1шт.)</t>
  </si>
  <si>
    <t>Установка прибора учета для присоединения жилого дома Андроновой В.С., расположенного по адресу: Ростовская область, Красносулинский район, г. Красный Сулин, ул. Урожайная, д. 17, КН ЗУ: 61:18:0140104:46 (1шт.)</t>
  </si>
  <si>
    <t xml:space="preserve">Строительство ВЛИ-0,4 кВ от оп. №24 ВЛИ-0,4 кВ №1 МТП №802 ВЛ-10 кВ Красюковка ПС Ш-39 для электроснабжения двух садовых домов СТ «Электровозостроитель» (Кривцов С.Я., Мельникова Е.Н.) (ориентировочная протяженность ЛЭП – 0,04 км)
</t>
  </si>
  <si>
    <t>Обеспечение коммерческим учетом электрической энергии (мощности) в точке поставки по присоединению объектов заявителей. Российская Федерация, Ростовская обл., р-н Усть-Донецкий, ст. Мелиховская, ул. Коммунистическая, д. 26; ул. Интернациональная, д. 64; примерно в 44м по направлению на запад от ЗУ №39 по ул. Мерзлякова (Болгова Н.Б., Элиозашвили З.М., ИП Гукасян Д.В.)</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</si>
  <si>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Семикаракорский, ст. Кочетовская, пер. 15-й, д. 13 (Королева Л.А.)</t>
  </si>
  <si>
    <t>Установка прибора учета для присоединения ВРУ-0,23кВ жилого дома Негодаевой Н.Н., расположенного по адресу: 346561, Ростовская область, Усть-Донецкий район, х. Пухляковский, ул. Центральная,  д. 13, КН ЗУ: 61:39:0090101:152 (1шт.)</t>
  </si>
  <si>
    <t>Установка прибора учета для присоединения объекта ВРУ-0.23кВ нестационарного торгового объекта ИП Лукьяновой М.А., расположенного по адресу: Ростовская область, Усть-Донецкий район, ст. Мелиховская, примерно 2 м по направлению на юг от земельного участка с КН 61:39:0020105:835, кадастровый номер земельного участка: 61:39:0020105:00</t>
  </si>
  <si>
    <t>Установка прибора учета для присоединения ВРУ-0,23кВ уличного освещения Администрации Мелиховского сельского поселения, расположенного по адресу: Ростовская область, Усть-Донецкий район, х. Исаевский, пер. Веселый, ул. Центральная, ул. Речная, ул. Атаманская, пер. Солнечный, КН ЗУ: 61:39:0020201:694</t>
  </si>
  <si>
    <t>Установка прибора учета для присоединения ВРУ-0,23кВ жилого дома Чаплыгина Н.С., расположенного по адресу: 346553, Ростовская область,  Усть-Донецкий район, х. Апаринский, ул. Донецкая,  д. 196, КН ЗУ: 61:39:0050104:141 (1шт.)</t>
  </si>
  <si>
    <t>Установка прибора учета для присоединения ВРУ-0,23кВ жилого дома Темирбулатова А.А., расположенного по адресу: 346560, Ростовская область, Усть-Донецкий район, ст. Раздорская, ул. Калинина,  д. 36а, КН ЗУ: 61:39:0030103:1327 (1шт.)</t>
  </si>
  <si>
    <t>Установка прибора учета для присоединения объекта ВРУ-0.23кВ хозпостройки Татевосян А.А., расположенного по адресу: Ростовская область, Усть-Донецкий район, х. Апаринский, ул. Виноградная, д. 83а, кадастровый номер земельного участка: 61:39:0050101:1552</t>
  </si>
  <si>
    <t>Установка прибора учета для присоединения жилого дома Мягкова А.А., расположенного по адресу: Ростовская область, Усть-Донецкий район, ст. Раздорская, ул. Красноармейская,  д. 6а, КН ЗУ: 61:39:0030101:1198 (1шт.)</t>
  </si>
  <si>
    <t xml:space="preserve">Установка приборов учета для присоединения жилого дома Мокроусова В.Н., дачного дома Скопинцева С.Н., расположенных по адресу: Ростовская область, Усть-Донецкий район, ст. Раздорская, ул. Донская (2 шт.)
</t>
  </si>
  <si>
    <t>Установка прибора учета для присоединения объекта «Малоэтажная жилая застройка (Индивидуальный жилой дом/Садовый/Дачный дом)» Крылова А.Н., расположенного по адресу: Ростовская область, Родионово-Несветайский район, сл. Большекрепинская, ул. Октябрьская, д. 30</t>
  </si>
  <si>
    <t>Установка прибора учета для присоединения объекта «Нежилая застройка (хозяйственная застройка, нежилое здание)» Десятерик В.Д., расположенного по адресу: Ростовская область, Родионово-Несветайский район, х. Октябрьский, СНТ Электромонтажник, уч. 103, КН ЗУ: 61:33:0500201:572</t>
  </si>
  <si>
    <t>Установка прибора учета для присоединения объекта «Малоэтажная жилая застройка (Индивидуальный жилой дом/Садовый/Дачный дом)» Бейбутян Р.Г., расположенного по адресу: Ростовская область, Родионово-Несветайский район, сл. Родионово-Несветайская, ул. Абрикосовая, д. 5, КН ЗУ: 61:33:0040123:422</t>
  </si>
  <si>
    <t>Установка прибора учета  для присоединения жилого дома Готовец А.С., расположенного по адресу: Ростовская область, Родионово-Несветайского район, х. Октябрьский, ул. Заречная,  д. 24а, к.н.з.у.: 61:33:0030401:72 (1шт.)</t>
  </si>
  <si>
    <t>Установка прибора учета для присоединения квартиры Вороновой И.В., расположенной по адресу: Ростовская область, Родионово-Несветайского район, сл. Родионово-Несветайская, ул. Ленина,  д. 99, кв. 1, КН ЗУ: 61:33:0040128:30 (1шт.)</t>
  </si>
  <si>
    <t>Обеспечение коммерческим учетом электрической энергии (мощности) в точке поставки по присоединению объектов заявителей. Ростовская область, Родионово-Несветайский район, с.Генеральское ул. Ленина 31Б, ул. Советская 83Б (Бадалян А.Б., Бернасовский Ю.М.)</t>
  </si>
  <si>
    <t>Обеспечение коммерческим учетом электрической энергии (мощности) в точке поставки по присоединению объекта заявителя. Ростовская область р-н. Аксайский, х. Забуденовский, ул. Центральная, д. 19 (Темченко М.В.)</t>
  </si>
  <si>
    <t>Установка прибора учета для присоединения объекта Малоэтажная жилая застройка (Индивидуальный жилой дом/Садовый/Дачный дом) Панафидиной О.Б., расположенного по адресу: Ростовская область, Родионово-Несветайский район, СНТ Электромонтажник уч. 282а, КН ЗУ: 61:33:0500201:227</t>
  </si>
  <si>
    <t>Установка прибора учета для присоединения нежилого помещения МБУ «ЦСО ГПВиИ» Родионово-Несветайского района, расположенного по адресу: Ростовская область, Родионово-Несветайского район, х. Авилов, ул. Центральная,  д. 8, КН ЗУ: 61:33:0040401:680 (1шт.)</t>
  </si>
  <si>
    <t>Установка прибора учета для присоединения мастерской ИП Ткаченко В.Н., расположенной по адресу: Ростовская область,  Родионово-Несветайский район, ориентир по балке Карчина от сл. Родионово-Несветайская, участок находится примерно в 3000 м от ориентира по направлению на юго-запад, КН ЗУ: 61:33:0600010:2490 (1шт.)</t>
  </si>
  <si>
    <t>Установка прибора учета для присоединения объекта торговли (магазин, торговый центр, прочее) ИП Филюшиной Ю.Л., расположенного по адресу: Ростовская область, Родионово-Несветайский район, сл. Алексеево-Тузловка, ул. Садовая,  д. 21А, КН ЗУ: 61:33:0051001:1058 (1шт.)</t>
  </si>
  <si>
    <t>Установка прибора учета для присоединения жилого дома Лесникова В.В., расположенного по адресу: Ростовская область, Родионово-Несветайский район, х. Юдино, ул. Нагорная,  д. 14, КН ЗУ: 61:33:0070201:81 (1 шт.)</t>
  </si>
  <si>
    <t>Установка прибора учета для присоединения жилого дома Гондусова Р.Н., расположенного по адресу: Ростовская область, Красносулинский район, х. Большая Федоровка, пер. Степной, д.4, КН ЗУ: 61:18:0020201:4 (1шт.)</t>
  </si>
  <si>
    <t>Установка прибора учета для присоединения базовой станций/оборудования сотовой связи ПАО междугородной и международной электрической связи «Ростелеком», расположенной по адресу: Ростовская область, Красносулинский район, х. Малая Гнилуша (1шт.)</t>
  </si>
  <si>
    <t>Установка  прибора  учета  для  присоединения дачного домика Богданова А.И., расположенного по адресу: Ростовская область, Красносулинский район, п. Тополевый, ул. Школьная, д. 17,  КН ЗУ: 61:18:0010705:477 (1шт.)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</si>
  <si>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Бобров, ул. Южная, д.5 (Администрация Киселевского сельского поселения) (1шт.)</t>
  </si>
  <si>
    <t>Установка прибора учета для присоединения жилого дома Дроздова А.И., расположенного по адресу: Ростовская область, Красносулинский район, с. Киселево, ул. Речная, д. 1 (1шт.)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</si>
  <si>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садового дома Алехина А.И., расположенного по адресу: Ростовская область, Октябрьский район, садоводческое товарищество «Электровозостроитель», уч. №3, к.н.з.у.: 61:28:0502501:360</t>
  </si>
  <si>
    <t>Установка прибора учета  для присоединения садового дома Выпряжкиной Т.Н., расположенного по адресу: Ростовская область, Октябрьский район, садоводческое товарищество «Электровозостроитель», уч. №134, к.н.з.у.: 61:28:0502501:595 (1шт.)</t>
  </si>
  <si>
    <t>Установка прибора учета для присоединения садового дома Гавринева С.В., расположенного по адресу: Ростовская область, Октябрьский район, садоводческое товарищество «Электровозостроитель», уч. 218, КН ЗУ: 61:28:0502501:414 (1шт.)</t>
  </si>
  <si>
    <t>Установка прибора учета  для присоединения садового дома Дорониной В.И., расположенного по адресу: Ростовская область, Октябрьский район, х. Яново-Грушевский, сад. Электровозостроитель, д.100, к.н.з.у.: 61:28:0502501:669 (1шт.)</t>
  </si>
  <si>
    <t xml:space="preserve">Установка приборов учета для присоединения садовых домов Заруба С.В., Мамайкина Е.П., Садиговой В.М., расположенных по адресу: Ростовская область, Октябрьский район, с/т «Электровозостроитель» (3 шт.)
</t>
  </si>
  <si>
    <t>Установка прибора учета для присоединения садового дома Ибрагимовой В.Б., расположенного по адресу: Ростовская область, Октябрьский район, садоводческое товарищество «Электровозостроитель», д. 211, КН ЗУ: 61:28:0502501:423 (1шт.)</t>
  </si>
  <si>
    <t>Установка прибора учета для присоединения жилого дома Каськовой Ю.П., расположенного по адресу: Ростовская область, Октябрьский район, с/т «Электровозостроитель», уч. №40, КН ЗУ: 61:28:0502501:336» (1шт.)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</si>
  <si>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Яново-Грушевский СТ «Электровозостроитель» уч.№123; уч. №133 (Кучер Т.В.; Нарожная Г.И.)</t>
  </si>
  <si>
    <t>Установка прибора учета для присоединения садового дома Макеева В.Б., расположенного по адресу: Ростовская область, Октябрьский район, СДТ «Электровозостроитель», д. 148а, КН ЗУ: 61:28:0502501:565 (1шт.)</t>
  </si>
  <si>
    <t>Установка прибора учета для присоединения малоэтажной жилой застройки Мануйленковой Т.А., расположенной по адресу: Ростовская область, Октябрьский район, садоводческое товарищество «Электровозостроитель», уч. 86, КН ЗУ: 61:28:0502501:236 (1шт.)</t>
  </si>
  <si>
    <t>Установка прибора учета для присоединения садового дома Михалевич Г.М., расположенного по адресу: Ростовская область, Октябрьский район, дп «Электровозостроитель», уч. 51, КН ЗУ: 61:28:0502501:311 (1шт.)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</si>
  <si>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садового дома Патюковой В.Н., расположенного по адресу: Ростовская область, Октябрьский район, садоводческое товарищество «Электровозостроитель», уч. №59, к.н.з.у.: 61:28:0502501:296</t>
  </si>
  <si>
    <t>Установка прибора учета для присоединения малоэтажной жилой застройки (индивидуального жилого дома/садового/дачного дома) Плевако Ю.Н., расположенного по адресу: Ростовская область, Октябрьский район, с/т «Электровозостроитель», д. 176, КН ЗУ: 61:28:0502501:503</t>
  </si>
  <si>
    <t>Установка прибора учета для присоединения садового дома Пузырного А.И., расположенного по адресу: Ростовская область, Октябрьский район, садоводческое товарищество «Электровозостроитель», уч. 28, КН ЗУ: 61:28:0502501:364
 (1шт.)</t>
  </si>
  <si>
    <t>Установка прибора учета для присоединения садового дома Яковлевой Г.Л, расположенного по адресу: Ростовская область, Октябрьский район, садоводческое товарищество «Электровозостроитель», уч. 214, КН ЗУ: 61:28:0502501:418 (1шт.)</t>
  </si>
  <si>
    <t xml:space="preserve">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ст. Кривянская, ул. Матвеевка д. 8; ул. Большая д.170 (Максимова Т.Н.; Сысоенко Н.П.) (2 шт.)
</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</si>
  <si>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п. Новосветловский, ул. Мелиховская д.41(Солодкая Н.С.) (1 шт.)</t>
  </si>
  <si>
    <t>Установка прибора учета для присоединения жилого дома Меркуловой С.В., расположенного по адресу: Ростовская область, Октябрьский район, х. Калинин, ул. Мигулинский, д.11, КН ЗУ: 61:28:030201:101 (1шт.)</t>
  </si>
  <si>
    <t>Установка прибора учета для присоединения жилого дома Казмина А.Р., расположенного по адресу: Ростовская область, Октябрьский район, сл. Красюковская, ул. Речная, д. 10, КН ЗУ: 61:28:0070101:1458 (1шт.)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</si>
  <si>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Заречный, ул. Заречная, д. 179 (Казмин Е.С.) (1 шт.)</t>
  </si>
  <si>
    <t>Установка прибора учета для присоединения жилого дома Даниловой В.М., расположенного по адресу: Ростовская область, Октябрьский район, сл. Красюковская, ул. Михайличенко, д. 45, к.н.з.у.: 61:28:0070101:1804 (1шт.)</t>
  </si>
  <si>
    <t>Установка прибора учета для присоединения жилого дома Мельник В.С., расположенного по адресу: Ростовская область, Октябрьский район, сл. Красюковская, ул. М.Горького, д. 19-а, КН ЗУ: 61:28:0070101:7523 (1шт.)</t>
  </si>
  <si>
    <t>Установка прибора учета для присоединения жилого дома Ластавченко А.А., расположенного по адресу: Ростовская область, Октябрьский район, рп. Каменоломни, ул. Гвардейская, д. 27, КН ЗУ: 61:28:0600020:224 (1шт.)</t>
  </si>
  <si>
    <t>Установка прибора учета для присоединения жилого дома Скляровой Н.Н., расположенного по адресу: Ростовская область, Октябрьский район, п. Красногорняцкий, ул. Парковая, д.7, КН ЗУ: 61:28:0600020:271 (1 шт)</t>
  </si>
  <si>
    <t>Установка прибора учета для присоединения малоэтажной жилой застройки Лукашевой Н.И., расположенной по адресу: Ростовская область, Октябрьский район, рп. Каменоломни, ул. Пролетарская, д.52, КН ЗУ: 61:28:0090501:654 (1шт.)</t>
  </si>
  <si>
    <t>Установка прибора учета для присоединения жилого дома Котловской А.Э., расположенного по адресу: Ростовская область, Октябрьский район, ст. Кривянская, ул. Пушкинская, д.82, КН ЗУ: 61:28:0040113:930 (1шт.)</t>
  </si>
  <si>
    <t>Установка прибора учета для присоединения жилого дома Романова Е.В., расположенного по адресу: Ростовская область, Октябрьский район, п. Новосветловский, ул. Мелиховская, КН ЗУ: 61:28:0090205:337 (1шт.)</t>
  </si>
  <si>
    <t>Установка прибора учета для присоединения индивидуального жилого дома Легкова В.В., расположенного по адресу: Ростовская область, Октябрьский район, п. Интернациональный, ул. Железнодорожная, д. 96, КН ЗУ: 61:28:0080701:2487 (1шт.)</t>
  </si>
  <si>
    <t>Установка прибора учета для присоединения жилого дома Вартанова А.В., расположенного по адресу: Ростовская область, Октябрьский район, п. Малая Сопка, ул. Заречная, д.10-в, КН ЗУ: 61:28:0090301:87 (1шт.)</t>
  </si>
  <si>
    <t>Установка прибора учета для присоединения жилого дома  Филипчук Д.С., расположенного по адресу: Ростовская область, Усть-Донецкий район, ст. Мелиховская, примерно 2,04 км на юго-восток от ст. Мелиховская, КН ЗУ: 61:39:0600016:1156 (1шт.)</t>
  </si>
  <si>
    <t>Обеспечение коммерческим учетом электрической энергии  в точке поставки, по присоединению ларька Индивидуального предпринимателя Лисовской С.И., расположенного по адресу: Ростовская область, Белокалитвинский район, х. Литвиновка, ул. Центральная, д. № 82 а, к.н. 61:04:0060105:225(прибор учета электроэнергии – 1шт).</t>
  </si>
  <si>
    <t>Обеспечение коммерческим учетом электрической энергии  в точке поставки, по присоединению строящегося жилого дома Высоцкой А.Е., расположенного по адресу: Ростовская область, Белокалитвинский район, х. Дороговский, пер. Ясный, д. № 1, к.н. 61:04:0502501:552(прибор учета электроэнергии – 1шт).</t>
  </si>
  <si>
    <t>Обеспечение коммерческим учетом электрической энергии  в точке поставки, по присоединению строящегося жилого дома Койшебаева А.С., расположенного по адресу: Ростовская область, Белокалитвинский район, х. Казминка, ул. Мельничная, д. № 1, к.н. 61:04:0110602:55(прибор учета электроэнергии – 1шт).</t>
  </si>
  <si>
    <t>Обеспечение коммерческим учетом электрической энергии  в точке поставки, по присоединению строящегося жилого дома Кручинина С.И., расположенного по адресу: Ростовская область, Белокалитвинский район, х. Рудаков, ул. Центральная, д. № 8, к.н. 61:04:0100201:116(прибор учета электроэнергии – 1шт).</t>
  </si>
  <si>
    <t>Установка прибора коммерческого учёта электрической энергии  для присоединения жилого дома Машкомаева О А., расположенного по адресу: Ростовская область, Милютинский р-н, ст. Селивановская , ул. Ворошилова д. 17, к.н. 61:23:0080101:106 (прибор учёта электроэнергии - 1шт).</t>
  </si>
  <si>
    <t>Обеспечение коммерческим учетом электрической энергии  в точке поставки, по присоединению строящегося жилого дома Коровиной Руфии Рушановны расположенного по адресу: Ростовская область, Обливский район, хутор Кзыл-Аул, улица 60лет СССР, дом 41, к.н. 61:27:0071201:554 (прибор учёта электроэнергии - 1шт).</t>
  </si>
  <si>
    <t>Установка прибора коммерческого учёта электрической энергии для присоединения жилого дома Рабадановой З.Ч., расположенного по адресу: Ростовская область, Обливский район, х. Леонов, ул. Молодежная, дом 4, к.н. 61:27:0010401:206 (прибор учёта электроэнергии – 1 шт).</t>
  </si>
  <si>
    <t>Обеспечение коммерческим учетом электрической энергии в точке поставки, по присоединению жилого дома Курчиева С.Г., расположенного по адресу: Ростовская область, Морозовский район, х. Сибирки, ул. Большая Садовая, д. 13, к.н. 61:24:0060601:225 (прибор учёта электроэнергии - 1шт)</t>
  </si>
  <si>
    <t xml:space="preserve">Обеспечение коммерческим учетом электрической энергии  в точке поставки, по присоединению энергопринимающих устройств «Сетевая видеокамера» Администрации Советского района, расположенного по адресу: Ростовская область, Советский район, ст. Советская, ул. 40 лет Октября д. 72, ул. Красноармейская д. 1,ул. Советская д. 29, ул. Красноармейская д. 41, кадастровые номера отсутствуют ( количество приборов учета электроэнергии – 4 шт).
</t>
  </si>
  <si>
    <t>Обеспечение коммерческим учетом электрической энергии в точке поставки, по присоединению уличного освещения двух участков дороги асфальтобетонной Муниципального образования «Жирновское сельское поселение», расположенных по адресу: Ростовская область, Тацинский район, х. Исаев, пер. Южный, к.н. отсутствует и ул. Черемушки, к.н. отсутствует (количество приборов учета электрической энергии - 2шт)</t>
  </si>
  <si>
    <t>Обеспечение коммерческим учетом электрической энергии в точке поставки, по присоединению уличного освещения дороги асфальтобетонной Муниципального образования «Жирновское сельское поселение», расположенного по адресу: Ростовская область, Тацинский район, х. Исаев, пер. Южный, к.н. отсутствует и  ул.Черёмушки, к.н. отсутствует (количество приборов учета электрической энергии-2шт).</t>
  </si>
  <si>
    <t>Обеспечение коммерческим учетом электрической энергии  в точке поставки, по присоединению уличного освещения дороги асфальтобетонной Муниципального образования «Верхнеобливское сельское поселение», расположенного по адресу: Ростовская область, Тацинский район, х. Новониколаевский, ул. Ленина, к.н. отсутствует (прибор учета электроэнергии – 1шт).</t>
  </si>
  <si>
    <t>Обеспечение коммерческим учетом электрической энергии в точке поставки, по присоединению жилого дома Филенко С.Н., расположенного по адресу: Ростовская область, Тарасовский район, х. Ерофеевка, ул. Школьная, д.18, к.н. 61:37:0050401:496 (прибор учёта электроэнергии - 1шт)</t>
  </si>
  <si>
    <t>Обеспечение коммерческим учетом электрической энергии в точке поставки, по присоединению уличного освещения дороги асфальтобетонной, автомобильной, Муниципального образования «Ефремово-Степановское сельское поселение», расположенного по адресу: Ростовская область, Тарасовский район, сл. Ефремово-Степановка, ул. Буденного, к.н. 61:37:0080101:654 (прибор учёта электроэнергии - 1шт)</t>
  </si>
  <si>
    <t>3</t>
  </si>
  <si>
    <t>Обеспечение коммерческим учетом электрической энергии  в точке поставки, по присоединению гаража Подболотовой Т.М., расположенного по адресу: Ростовская область, г. Морозовск, ул. Халтурина 179, №25, к.н. 61:24:0013011:127(прибор учёта электроэнергии - 1шт)</t>
  </si>
  <si>
    <t>Обеспечение коммерческим учетом электрической энергии  
в точке поставки, по присоединению жилого дома Матосян Н.Р., расположенного по адресу: Ростовская область, Тарасовский район,  х. Новоалексеевка, ул. Новоалексеевская, д. 4, к.н. отсутствует(прибор учета электроэнергии – 1шт).</t>
  </si>
  <si>
    <t>'Обеспечение коммерческим учетом электрической энергии  в точке поставки, по присоединению жилого дома Гуляевой Н.Г., расположенного по адресу: Ростовская область, Морозовский р-н, х. Морозов, ул. Кольцевая, д. 29 а, к.н. 61:24:0080102:514 (прибор учёта электроэнергии - 1шт).</t>
  </si>
  <si>
    <t>'Установка прибора коммерческого учёта электрической энергии, для присоединения жилого дома Ефимовой Г.А., расположенного по адресу:Ростовская область, Белокалитвинский р-н, х. Усть-Быстрый, ул. Нижняя, д. 61 а, к.н. 61:04:0070202:157 (прибор учёта электроэнергии - 1шт)</t>
  </si>
  <si>
    <t>'Установка прибора коммерческого учёта электрической энергии, для присоединения жилого дома Рубанова Ю.В., расположенного по адресу: Ростовская область, Белокалитвинский р-н, х. Богураев, ул. Нижняя, д. 52 А, к.н. 61:04:160108:212 (прибор учёта электроэнергии - 1шт)</t>
  </si>
  <si>
    <t>'Установка прибора коммерческого учёта электрической энергии, для присоединения магазина Тереховой А.П., расположенного по адресу: Ростовская область, Белокалитвинский р-н., с. Литвиновка,  ул. З. Космодемьянской, д. 3 а, к.н. 61:04:0060108:502 (прибор учёта электроэнергии - 1шт)</t>
  </si>
  <si>
    <t>'Установка прибора коммерческого учёта электрической энергии, для присоединения малоэтажной жилой застройки Боярской Веры Леонидовны., расположенного по адресу: Ростовская область, Белокалитвинский р-н, п. Сосны, ул. Заречая,  д. 1, к.н. 61:47:0010220:71 (прибор учёта электроэнергии - 1шт)</t>
  </si>
  <si>
    <t>Обеспечение коммерческим учетом электрической энергии  в точке поставки, по присоединению помещений торгового павильона Королёвой С.А., расположенных по адресу: Ростовская область, Милютинский р-н, ст. Маньково - Березовская, ул. им. Грекова, д. 44/2 этаж 1,  литер А, а1,а2, к.н. 61:24:0020501:313 (прибор учёта электроэнергии - 1шт).</t>
  </si>
  <si>
    <t>Обеспечение коммерческим учетом электрической энергии  в точке поставки, по присоединениюнаружного освещения Администрации Селивановского с/п, расположенного по адресу: Ростовская область, Милютинский район, х. Кутейников, ул. Ливадная , ул. Центральная, ул.. Гаражная, к.н.з.у. отсутствуют (прибор учета электроэнергии – 1шт)</t>
  </si>
  <si>
    <t>1</t>
  </si>
  <si>
    <t>Обеспечение коммерческим учетом электрической энергии  в точке поставки, по присоединению наружного уличного освещения Администрации Селивановского с/п, расположенного по адресу: Ростовская область, Милютинский район, х. Севостьянов, ул. Молодёжная, к.н.з.у. отсутствует (прибор учета электроэнергии – 1шт)</t>
  </si>
  <si>
    <t>Установка прибора коммерческого учёта электрической энергии, для присоединения жилого дома Кусова С.Д., расположенного по адресу: Ростовская область, Милютинский р-н,  х. Старокузнецов , ул. Центральная д. 169, к.н. 61:23:0030201:1862 (прибор учёта электроэнергии - 1шт)</t>
  </si>
  <si>
    <t>Установка прибора коммерческого учёта электрической энергии, для присоединения ВРУ- 0,22 кВ квартиры Петровой И.А., расположенной по адресу: Ростовская область, Милютинский район, х. Юдин, ул. им. Ломоносова, д. № 35, стр.1, кв.2 (прибор учётаэлектроэнергии - 1шт.).</t>
  </si>
  <si>
    <t>Установка прибора коммерческого учёта электрической энергии  для присоединения жилого дома Алексеева З.И., расположенного по адресу: Ростовская область, Морозовский р-н, х. Парамонов, ул. Школьная, д. 37, к.н. 61:24:0110105:43 (прибор учёта электроэнергии - 1шт)</t>
  </si>
  <si>
    <t>Установка прибора коммерческого учёта электрической энергии, для присоединения жилого дома Шаповаловой И.И., расположенного по адресу: Ростовская область, Морозовский р-н, х. Вознесенский, ул. Вознесенская, д. 32, к.н. 61:24:0030510:28 (прибор учёта электроэнергии - 1шт)</t>
  </si>
  <si>
    <t>Обеспечение коммерческим учетом электрической энергии в точке поставки, по присоединению жилого дома Мельников П.Г.,  расположенного по адресу: Ростовская область, Советский район, х. Русаков, ул. Главная, д. 9 к.н. 61:36:0010201:100(прибор учета электроэнергии – 1шт)</t>
  </si>
  <si>
    <t>Установка прибора коммерческого учёта электрической энергии для присоединения  кафе «Отдых» ИП Бовтко И.В., расположенного по адресу: Ростовская область, Тацинский район, п. Быстрогорский, пер. Торговый, д.7, к.н. 61:38:0040126:10(прибор учета электроэнергии – 1шт).</t>
  </si>
  <si>
    <t>Установка прибора коммерческого учёта электрической энергии для присоединения строящегося здания Ермоленко А.С., расположенного по адресу: Ростовская область, Тацинский район, х. Михайлов, пер. Полевой, д. 2, к.н. 61:38:0030121:170(прибор учета электроэнергии – 1шт).</t>
  </si>
  <si>
    <t>Обеспечение коммерческим учетом электрической энергии (мощности) в точке поставки и установка шкафа 0,22 кВ с коммутационным аппаратом, для присоединения жилого дома Бурлуцкой Р.Н., расположенного по адресу: Ростовская область, Чертковский район, с.Маньково- Калитвенское, ул. Садовая, д.12,  к.н. 61:42:0080132:24</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</si>
  <si>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жилого дома Кобцева Д.И., расположенного по адресу: Ростовская область, Чертковский район, с. Алексеево-Лозовское, ул. А.Маркина, д. 21, к.н. 61:42:0010101:664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</si>
  <si>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жилого дома Овсянникова В.М., расположенного по адресу: Ростовская область, Кашарский район, х. Ольховский, ул. Лесная, д.46, к.н. 61:16:0050301:133</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</si>
  <si>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жилого дома Стеблина В.А., расположенного по адресу: Ростовская область, Кашарский район, с. Лысогорка, ул. Мельничная, д. 2, к.н.з.у. 61:16:0100101:152»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</si>
  <si>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жилого дома Стукаленко Г..А., расположенного по адресу: Ростовская область, Кашарский район, п. Индустриальный, ул. Ждановская, д. 52, к.н.з.у. 61:16:0060101:828» (1 шт)</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</si>
  <si>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квартиры заявителя Жарковой Л.И., расположенной по адресу: Ростовская область, Шолоховский район, х. Калининский, ул. Центральная, д. 9, кв. 2, к.н.з.у. 61:43:0050101:401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</si>
  <si>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жилого дома Клесовой А.Н., расположенного по адресу: Ростовская область, Шолоховский район, х. Кружилинский, ул. Школьная, д. 77,  к.н.з.у. 61:43:0070101:625</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</si>
  <si>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жилого дома Харик В.А., расположенного по адресу: Ростовская область, Чертковский район, с. Щедровка, ул. Пролетарская, д. 24,  к.н.з.у. 61:42:0180101:1358</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</si>
  <si>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летней кухни Заявителя, Абитханова Г.Л., расположенного по адресу: Ростовская область, Чертковский район, х. Дудниковский, ул. Речная, д. 67, к.н.з.у. 61:42:0080501:39» (1 шт)</t>
  </si>
  <si>
    <t>"Обеспечение коммерческим учетом электрической энергии(мощности) в точке поставки и установка шкафа 0,22 кВ с коммутационным аппаратом для электроснабжения жилого дома заявителя Гуковской Н.И.,расположенного по адресу:Ростовская область,Боковский  район,х.Коньков,ул.Комунная,д.32,к.н.з.у. 61:05:0000000:5570"</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</si>
  <si>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квартиры Лебедевой Л.В., расположенной по адресу: Ростовская область, Кашарский район, п. Дибровый, ул. Центральная, д. 4 кв. 1 (1 шт)</t>
  </si>
  <si>
    <t>Установка прибора коммерческого учета электрической энергии (мощности) на границе земельного участка, подключенного от опоры №б/н ВЛ-0,4 кВ №1 КТП 10/0,4кВ №277 (балансовая принадлежность Администрация Елизаветинского сельского поселения) ВЛ-10кВ №1815 ПС 35/10 кВ «А-18» для технологического присоединения энергопринимающих устройств жилого дома Заявителя Самсонова О.А., х. Обуховка, Азовский район Ростовская область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</si>
  <si>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квартиры Заявителя Тарасова М.Н., расположенной по адресу: Ростовская область, Чертковский район, х. Крутой, ул. Новая, д. 2, кв. 1, к.н.з.у. 61:42:0050201:196» (1 шт)</t>
  </si>
  <si>
    <t>Установка прибора коммерческого учета электрической энергии (мощности) на границе земельного участка, подключенного от опоры №40-27 ВЛ-0,4 №1 от КТП-40 по ВЛ-10 103 ПС 110 кВ Звонкая, для электроснабжения жилого дома заявителя Мурадяна М.С., Ростовская область, Кагальницкий р-н, п. Березовая Роща, ул. Степная д.15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</si>
  <si>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жилого дома Заявителя Жиляевой Е.И., расположенного по адресу: Ростовская область, Чертковский район, с. Кутейниково, ул. Первомайская, д. 11, к.н.з.у. 61:42:0070101:142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</si>
  <si>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квартиры Заявителя Заика А.Н., расположенной по адресу: Ростовская область, Чертковский район, х. Лозовой, ул. Центральная, д. 21, кв.2, к.н.з.у. 61:42:0060501:346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</si>
  <si>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квартиры Заявителя Игнатовой Е.В., расположенной по адресу: Ростовская область, Чертковский район, с. Алексеево-Лозовское, ул. Песчаная, д. 20, кв. 2, к.н.з.у. 61:42:0010101:3732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</si>
  <si>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квартиры Заявителя Макаренко В.Н., расположенной по адресу: Ростовская область, Боковский район, х. Верхнечирский, ул. Мира, д. 130, кв. 2, к.н.з.у. 61:05:0020103:109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</si>
  <si>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личного подсобного хозяйства Заявителя Пегиной Н.Г., расположенного по адресу: Ростовская область, Верхнедонской район, х. Тубянский, ул. Тубянская, д. 77, корп. в,  к.н.з.у. 61:07:0080401:283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</si>
  <si>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жилого дома Заявителя Сорокиной К.Ю., расположенного по адресу: Ростовская область, Миллеровский район, х. Банниково-Александровский, ул. Восточная, д. 16, к.н.з.у. 61:22:0010201:96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</si>
  <si>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квартиры Заявителя, МП "Энергосервис" Кашарского района., расположенной по адресу: Ростовская область, Кашарский район, п. Новопавловка, ул. Южная, д. 4Б, кв. 3, к.н.з.у. 61:16:0130301:96</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</si>
  <si>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МП "Энергосервис" Кашарского района., расположенной по адресу: Ростовская область, Кашарский район, п. Новопавловка, ул. Южная, д. 4В, кв. 2, к.н.з.у. 00:00:000000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</si>
  <si>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Калантаровой Е.В., расположенного по адресу: Ростовская область, Чертковский район, х. Новостепановский, ул. Степная, д. 3а, к.н.з.у. 61:42:0030201:45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</si>
  <si>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Булдачевского Н.В., расположенного по адресу: Ростовская область, Шолоховский район, х. Варваринский, ул. Большая, д. 17, к.н.з.у. 61:43:0080201:280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</si>
  <si>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Сухаревой Т.М., расположенной по адресу: Ростовская область, Боковский район, х. Латышев, ул. Окраина, д. 13, кв. 1, к.н.з.у. 61:05:0040601:0:90/1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</si>
  <si>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Черняк В.В., расположенного по адресу: Ростовская область, Шолоховский район, х. Зубковский, ул. Лесная, д. 1, к.н.з.у. 61:43:0030301:192 (1 шт.)</t>
  </si>
  <si>
    <t xml:space="preserve">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МП «Энергосервис» Кашарского района, расположенной по адресу: Ростовская область, Кашарский район, п. Новопавловка, ул. Южная, д. 4В, кв. 1, к.н.з.у. 00:00:000000 (1 шт.)
</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</si>
  <si>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Колесникова В.В., расположенного по адресу: Ростовская область, Верхнедонской район, ст. Шумилинская, ул. Заречная, д. 54, к.н.з.у. 61:07:0030101:906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</si>
  <si>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Жовнер А.И., расположенного по адресу: Ростовская область, Чертковский район, х. Филипповский, ул. Полевая, д. 8, к.н.з.у. 61:42:0080201:8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</si>
  <si>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Овчелупова Г.Н., расположенного по адресу: Ростовская область, Шолоховский район, х. Колундаевский, ул. Заречная, д. 2, к.н.з.у. 61:43:0060101:1065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</si>
  <si>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Толмачева В.Н., расположенного по адресу: Ростовская область, Миллеровский район, х. Терновой, ул. Школьная, д. 88, к.н.з.у. 61:22:0061001:807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</si>
  <si>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Сокирко О.А., расположенной по адресу: Ростовская область, Шолоховский район, х. Меркуловский, ул. Восточная, д. 34, кв. 1, к.н.з.у. 61:43:0080101:2559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</si>
  <si>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торгового павильона Заявителя ИП Балыкиной М.А., расположенного по адресу: Ростовская область, Чертковский район, х. Артамошкин, ул. Центральная, в 10 м севернее здания Администрации Донского сельского поселения, к.н.з.у. 61:42:0050101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</si>
  <si>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Корчинской И.В., расположенного по адресу: Ростовская область, Чертковский район, с. Маньково-Калитвенское, ул. Кирова, д. 49, к.н.з.у. 61:42:0080112:78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</si>
  <si>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Кузнецова В.А., расположенной по адресу: Ростовская область, Чертковский район, х. Нагибин, ул. Молодежная, д. 6, кв. 2, к.н.з.у. 61:42:0100201:1373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</si>
  <si>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уличного освещения Заявителя, Администрация МО Маньковское СП, расположенного по адресу: Ростовская область, Чертковский район, с. Маньково-Калитвенское, ул. Калинина, ул. Комсомольская</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</si>
  <si>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Ищенко К.П., расположенного по адресу: Ростовская область, Чертковский район, х. Касьяновка, ул. Сельская, д. 25, к.н.з.у. 61:42:0190301:6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</si>
  <si>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квартиры Заявителя Коренюгиной А.С., расположенной по адресу: Ростовская область, Боковский район, ст. Каргинская, ул. Советская, д. 51, кв. 2, к.н.з.у. 61:05:0040104:14</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</si>
  <si>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Вороновой Л.В, расположенной по адресу: Ростовская область, Верхнедонской район, х. Раскольный, ул. Раскольная, д. 27, кв. 1, к.н.з.у. 61:07:0010401:306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</si>
  <si>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Юрасова В.П., расположенной по адресу: Ростовская область, Чертковский район, с. Алексеево-Лозовское, ул. Спортивная, д. 10, кв. 1, к.н.з.у. 61:42:0010101:885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</si>
  <si>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земельного участка Заявителя Каппушева Б.Н, расположенного по адресу: Ростовская область, Верхнедонской район, ст. Казанская, ул. Трудовая, д. 9, к.н.з.у. 61:07:0050101:9714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</si>
  <si>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Жуковского А.И., расположенного по адресу: Ростовская область, Чертковский район, с. Осиково, пер. Зеленый, д. 9, к.н.з.у. 61:42:0190101:389</t>
  </si>
  <si>
    <t>Установка прибора учета электрической энергии (мощности) в точке поставки и установка шкафа 0,22 кВ с коммутационным аппаратом для электроснабжения гаража Заявителя ИП Шандарович А.Н., расположенного по адресу: Ростовская область, Чертковский район, х. Нагибин, ул. Лесная, 19, к.н.з.у. 61:42:0100201:94</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</si>
  <si>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Клименко Ю.Н., расположенного по адресу: Ростовская область, Кашарский район, сл. Верхнемакеевка, ул. Гагарина, д. 29, к.н.з.у. 61:16:0030102:163</t>
  </si>
  <si>
    <t>Установка прибора учета электрической энергии (мощности) в точке поставки и установка шкафа 0,22 кВ с коммутационным аппаратом для электроснабжения уличного освещения Заявителя, Администрация  Первомайского СП, расположенного по адресу: Ростовская область, Миллеровский район, х. Фоминка, ул. Лунная, к.н.з.у. 00:00:000000:00</t>
  </si>
  <si>
    <t>Установка прибора учета электрической энергии (мощности) в точке поставки и установка шкафа 0,22 кВ с коммутационным аппаратом для электроснабжения уличного освещения Заявителя, Администрация  Первомайского СП, расположенного по адресу: Ростовская область, Миллеровский район, х. Фоминка, ул. Шолохова, к.н.з.у. 00:00:000000:00</t>
  </si>
  <si>
    <t>Установка прибора учета электрической энергии (мощности) в точке поставки и установка шкафа 0,22 кВ с коммутационным аппаратом для электроснабжения личного подсобного хозяйства Заявителя Недосековой О.В., расположенного по адресу: Ростовская область, Кашарский район, сл. Поповка, ул. Большая Садовая, д. 60  к.н.з.у. 61:16:0130101:450</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</si>
  <si>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Овчарова В.В., расположенного по адресу: Ростовская область, Чертковский район, с. Сохрановка, ул. Первомайская, д. 28, к.н.з.у. 61:42:0150101:85»</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</si>
  <si>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Павлова А.А., расположенного по адресу: Ростовская область, Кашарский район, х. Сергеевка, ул. Кирсановская, 18, к.н.з.у. 61:16:0150101:324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</si>
  <si>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Просвирина В.В., расположенного по адресу: Ростовская область, Чертковский район, х. Богуны, ул. Ивановская, д. 14, к.н.з.у. 61:42:0060101:24»</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</si>
  <si>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Воробьевой Л.В., расположенного по адресу: Ростовская область, Чертковский район, сл. Анно-Ребриковская, ул. Южная, д. 25, к.н.з.у. 61:42:0030101:241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</si>
  <si>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Гончарова М.В., расположенного по адресу: Ростовская область, Шолоховский район, х. Нижнекривской, ул. Родниковая, д. 35, к.н.з.у. 61:43:0050401:219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</si>
  <si>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Бирюкова Н.Б., расположенного по адресу: Ростовская область, Кашарский район, х. Вяжа, ул. Набережная, 18, к.н.з.у. 61:16:0050101:78</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</si>
  <si>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Абакумова А.П., расположенного по адресу: Ростовская область, Боковский район, х. Грачев, ул. Федотова, д. 39, к.н.з.у. 61:05:0000000:2498</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</si>
  <si>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Сулина И.С., расположенного по адресу: Ростовская область, Чертковский район, х. Полтава, ул. Комарова, д. 7, к.н.з.у. 61:42:0210201:466</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</si>
  <si>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Брехова А.В., расположенного по адресу: Ростовская область, Чертковский район, х. Сетраки, ул. Подтелкова, д. 17, к.н.з.у. 61:42:0140101:742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</si>
  <si>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Гончарова И.С., расположенного по адресу: Ростовская область, Шолоховский район, х. Антоновский, ул. Песочная, д. 11, к.н.з.у. 61:43:0090201:7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</si>
  <si>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Куценко И.А., расположенного по адресу: Ростовская область, Чертковский район, х. Могилянский, ул. Мира, д. 79, к.н.з.у. 61:42:0040201:49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</si>
  <si>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светофора Заявителя, Администрация Чертковского района, расположенного по адресу: Ростовская область, Чертковский район, х. Марьяны, ул. Степная, к.н.з.у. 61:42:02000101:922 (1 шт.)</t>
  </si>
  <si>
    <t>«Установка прибора учета электрической энергии (мощности) в точке поставки и установка шкафа 0,22 кВ с коммутационным аппаратом (1 шт.) для электроснабжения светофора Заявителя, Администрация Чертковского района, расположенного по адресу: Ростовская область, Чертковский район, с. Греково-Степановка, ул. Центральная».</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</si>
  <si>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Курилех В.И., расположенного по адресу: Ростовская область, Чертковский район, сл. Семено-Камышенская, ул. Газовая, д. 9, к.н.з.у. 61:42:0130101:103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</si>
  <si>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Лагутина А.А., расположенного по адресу: Ростовская область, Чертковский район, х. Артамошкин, ул. Степная, д. 2, к.н.з.у. 61:42:0050101:297</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</si>
  <si>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Власовой В.Г., расположенного по адресу: Ростовская область, Чертковский район, с. Тихая Журавка, ул. Калиновая, д. 19, к.н.з.у. 61:42:0100101:329</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</si>
  <si>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Крепак Г.Н., расположенного по адресу: Ростовская область, Чертковский район, с. Маньково-Калитвенское, пер. Луначарского, д. 1, к.н.з.у. 61:42:0080121:1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</si>
  <si>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Беспаловой Т.Н., расположенного по адресу: Ростовская область, Чертковский район, с. Сохрановка, ул. Первомайская, д. 56, к.н.з.у. 61:42:0150101:125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</si>
  <si>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Маковецкого И.И., расположенного по адресу: Ростовская область, Чертковский район, с. Маньково-Калитвенское, ул. Степная, д. 65а, к.н.з.у. 61:42:0080114:29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</si>
  <si>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Пахно А.П., расположенного по адресу: Ростовская область, Чертковский район, х. Дудниковский, ул. Речная, д. 75, к.н.з.у. 61:42:0080501:44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</si>
  <si>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Шабельской И.Н., расположенного по адресу: Ростовская область, Верхнедонской район, п. Октябрьский, ул. Октябрьская, д. 1, к.н.з.у. 61:07:0110101:43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</si>
  <si>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личного подсобного хозяйства Заявителя Костенко Н.А., расположенного по адресу: Ростовская область, Чертковский район, х. Терновский, к.н.з.у. 61:42:0150201:36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</si>
  <si>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Иващенко М.В., расположенного по адресу: Ростовская область, Чертковский район, с. Маньково-Калитвенское, пер. Мостовой, д. 4, к.н.з.у. 61:42:0080129:20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</si>
  <si>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личного подсобного хозяйства Заявителя Денежкина В.В., расположенного по адресу: Ростовская область, Миллеровский район, сл. Мальчевско-Полненская, пер. Луговой, д. 7, к.н.з.у. 61:22:0060801:163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</si>
  <si>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Бойковой Т.В., расположенного по адресу: Ростовская область, Боковский район, х. Попов, ул. Заречная, д. 9, к.н.з.у. 61:05:0000000:1331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</si>
  <si>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Бортникова С.И, расположенного по адресу: Ростовская область, Верхнедонской район, ст. Мигулинская, ул. Центральная, д. 37, к.н.з.у. 61:07:0090201:2487 (1 шт.)</t>
  </si>
  <si>
    <t>Установка прибора учета для присоединения жилого дома Мега М.В., расположенного по адресу: Ростовская обл., р-н. Аксайский, ст-ца. Ольгинская, пер. 10-й,  д. 1,  корп. Г, кадастровый номер земельного участка: 61:02:0090101:3892» (1шт),</t>
  </si>
  <si>
    <t>Установка прибора учета для присоединения жилого дома Тикутовой Н.М., расположенного по адресу: Ростовская обл., р-н. Аксайский, ст-ца. Ольгинская, пер. Ленинский,  д. 16,  корп. Б, кадастровый номер земельного участка:  61:02:0090103:3147» (1шт)</t>
  </si>
  <si>
    <t xml:space="preserve">Установка прибора учета для присоединения жилого дома Юрченковой Т.И., расположенного по адресу: Ростовская обл., р-н. Аксайский, х. Махин, ул. Атаманская,  д. 15,  корп. А, кадастровый номер земельного участка: 61:02:0090301:458 (1шт)
</t>
  </si>
  <si>
    <t xml:space="preserve">Установка прибора учета для присоединения жилого дома Ким С.К., расположенного по адресу: Ростовская область, Багаевский район, х. Красный, ул. Набережная, д. 25-б, к.н. 61:03:0060104:196
</t>
  </si>
  <si>
    <t>Установка прибора учета для присоединения жилого дома Сугай Я.С., расположенного по адресу: Ростовская область, Багаевский район, х. Усьман, ул. Братская, д. 36-а, к.н. 61:03:0060404:41</t>
  </si>
  <si>
    <t>Установка прибора учета для присоединения жилого дома Полугудцева Р.В., расположенного по адресу: Ростовская обл., р-н. Аксайский, х. Краснодворск, ул. Центральная, д. 42, корп. Б, кадастровый номер земельного участка: 61:02:0110201:300» (1шт)</t>
  </si>
  <si>
    <t>Установка прибора учета для присоединения жилого дома Радченко Л.П., расположенного по адресу: Ростовская обл., р-н. Аксайский, х. Большой Лог, кадастровый номер земельного участка: 61:02:0600011:1679» (1шт)</t>
  </si>
  <si>
    <t>Установка приборов учета для присоединения жилых домов Асташкина И.А., Умягиной М.В., Муженской В.Н., Мирошникова П.В., Носа А.Н., Коледова А.П., Савченко Д.А., расположенных по адресу: Ростовская обл., р-н. Азовский, п. Красный Сад, ул. Шолохова, д. 30, ул. Крылова, д. 24 А, д. 31, д. 36,  корп. А,  д. 37,  корп. А, ул. Чехова,  д. 25,  д. 25,  корп. А ,ул. Тургенева,  д. 13,  корп. А, (8шт)</t>
  </si>
  <si>
    <t>Установка приборов учета для присоединения жилых домов, расположенных по адресу: Ростовская обл., р-н. Азовский, п. Красный Сад, ул. Рубиновая, д. 42, кадастровый номер земельного участка: 61:01:0600007:2173, в границах землепользования СПК(артель) "Красный сад", кадастровый номер земельного участка:  61:01:0600007:2058, 61:01:0600007:1884, 61:01:0600007:2169» (4 шт)</t>
  </si>
  <si>
    <t>Установка прибора учета для присоединения жилого дома Сазонова Д.А., расположенного по адресу: Ростовская обл., р-н. Аксайский, п. Янтарный, ул. Каштановая, участок 5, квартал 54(1шт)</t>
  </si>
  <si>
    <t>Установка прибора учета для присоединения жилого дома Чумакова Г.Н., расположенного по адресу: Ростовская обл., р-н. Аксайский, п. Дорожный, ул. Широкая, д. 24, кадастровый номер земельного участка: 61:02:005010:2273»(1шт)</t>
  </si>
  <si>
    <t>Установка прибора учета для присоединения жилого дома Зюзгинова С.Б., расположенного по адресу: Ростовская область, Багаевский район, ст. Манычская, ул. Широкая, д. 3-а, к.н. 61:03:0040105:411 ( 1 шт)</t>
  </si>
  <si>
    <t>Установка прибора учета для присоединения жилого дома Рудь С.А., расположенного по адресу: Ростовская область, Багаевский район, ст. Манычская, ул. Малая Озерная, д. 9, к.н. 61:03:0040101:15 (1 шт)</t>
  </si>
  <si>
    <t>Установка прибора учета для присоединения ВРУ-0,23кВ жилого здания Бирюковой Н.А, расположенной по адресу: 346630 Российская Федерация, Ростовская обл., р-н. Семикаракорский, г. Семикаракорск, ул. Заводская, д. 73, кадастровый номер земельного участка: 61:35:0110202:16</t>
  </si>
  <si>
    <t>Установка приборов учета для присоединения жилых домов в Аксайском районе Ростовской области» (1 этап 96 шт.)</t>
  </si>
  <si>
    <t>Установка прибора учета для присоединения жилого дома Гвилава Б.К., расположенного по адресу: Ростовская область, Багаевский район, ст. Манычская, ул. Советская, д. 72, к.н. 61:03:0040150:2»(1шт)</t>
  </si>
  <si>
    <t>Установка прибора учета для присоединения жилого дома Недайводина В.В., расположенного по адресу: Ростовская область, Багаевский район, х. Красный, ул. Набережная, д. 41-а, к.н. 61:03:0060104:49»(1шт)</t>
  </si>
  <si>
    <t>Установка прибора учета для присоединения жилого дома Садаева Н.К., расположенного по адресу: Ростовская область, Багаевский район, х. Красный, ул. Мальчевская, д. 33-б, к.н. 61:03:0060103:473</t>
  </si>
  <si>
    <t>Установка прибора учета для присоединения магазина Рузметовой Д.Б., расположенного по адресу: Ростовская область, Багаевский район, х. Красный, ул. Центральная, д. 32-в, к.н. 61:03:0060103:562»(1шт)</t>
  </si>
  <si>
    <t>Установка прибора учета для присоединения жилого дома Казарян С. Л. расположенного по адресу: Ростовская область, Веселовский район, п. Веселый, ул. Советская, 101-а к.н. 61:06:0010110:481»(1шт),</t>
  </si>
  <si>
    <t>Установка прибора учета для присоединения объекта сельхоз. Производства ООО «СЕМЕНЫЧ»., расположенного по адресу: Ростовская обл., р-н. Семикаракорский, примерно в 50 м на северо-восток от х. Слободской, к.н.: 61:35:0600014:324 (1 шт)</t>
  </si>
  <si>
    <t>Установка прибора учета для присоединения жилого дома Шаюсупова А. М., расположенного по адресу: Ростовская обл., р-н. Семикаракорский, х. Большемечетный, ул. Советская, д. 10, к.н.: 61:35:0020101:1681»(1шт)</t>
  </si>
  <si>
    <t>Строительство ВЛ 0,4 кВ от ВЛ 0,4 кВ №1 КТП №434 ВЛ 10 кВ №1103 ПС 110 кВ АС11 для электроснабжения ВРУ 0,4 кВ жилого дома Дятловой Н. А. на участке с КН 61:02:0600009:2985 в ст-це Мишкинская Аксайского района Ростовской области (ориентировочная протяжённость ЛЭП 0,24 км)</t>
  </si>
  <si>
    <t>Установка приборов учета для присоединения жилых домов, расположенных по адресу: Ростовская обл., р-н. Аксайский, г. Аксай, х. Веселый, х. Большой Лог, х. Киров, р-н. Азовский, п. Красный Сад» (18 шт)</t>
  </si>
  <si>
    <t>Строительство ВЛ 0,4 кВ от ВЛ 0,4 кВ №2 КТП 10/0,4 кВ №23 ВЛ 10 кВ №261 ПС 110 кВ БГ2 для электроснабжения жилого дома Грицко Г.П. по адресу РО, Багаевский район, ст. Манычская, пер. Восточный, д. 1, к.н. 61:03:0040124:7</t>
  </si>
  <si>
    <t>Установка прибора учета для присоединения шкафа телекоммуникационного ПАО «Ростелеком», расположенного по адресу: Ростовская область, Багаевский район, п. Отрадный, южнее ул. Молодежная, д. 1-а, к.к. 61:03:0050103»(1шт)</t>
  </si>
  <si>
    <t>Установка прибора учета для присоединения  жилого дома Полторакина В. В. расположенного по адресу: Ростовская область, Веселовский район, п. Веселый, ул. Советская, 9-а к.н. 61:06:0010128:519»(1шт)</t>
  </si>
  <si>
    <t>Строительство ВЛ 0,4 кВ от ВЛ 0,4 кВ №1 ТП 10 кВ №450 ВЛ 10 кВ №1103 ПС 110 кВ АС11 для электроснабжения ВРУ 0,22 кВ жилого дома Батуева В. В. на участке с КН 61:02:0600009:1066 в ст-це Мишкинская Аксайского района Ростовской области (ориентировочная протяжённость ЛЭП 0,037 км)</t>
  </si>
  <si>
    <t>Установка системы учета для технологического присоединения «жилого дома», расположенного по адресу: Российская Федерация, Ростовская область, р-н Сальский, с. Екатериновка, ул. Кирова, д.9,  к.н.з.у. 61:34:0050101:3829, заявитель Сорокин Ю.Ю. (1 шт.)</t>
  </si>
  <si>
    <t>Установка системы учета для технологического присоединения «храм», расположенного по адресу: 347763, РФ, Ростовская область, Целинский район, п. Вороново, ул. Рубликова, д. 1 «А», к.н. з.у.: 61:40:0030101:3274, заявитель ООО «Кировский конный завод» (1 шт.)</t>
  </si>
  <si>
    <t xml:space="preserve"> Установка системы учета для технологического присоединения объекта «жилой дом», расположенного по адресу: 347523, РФ, Ростовская область, Орловский район, х. Островянский, ул. Школьная,9/2, к.н.з.у.: 61:29:0070101:160, заявитель   Ивкина С.В.  (1шт.)</t>
  </si>
  <si>
    <t>Установка системы учета для технологического присоединения «дачного дома», расположенного по адресу: Российская Федерация, Ростовская обл., р-н Сальский, х. Бровки, д.9, СНТ №2 «Бровки», ул. Цветочная, д. 9., к.н.з.у.:61:34:0500801:508, заявитель Белогурова Е. А.  (1 шт.)</t>
  </si>
  <si>
    <t>Установка системы учета для технологического присоединения «жилого дома», расположенного по адресу: Российская Федерация, Ростовская обл., г. Сальск, СНТ «Локомотивщик», ул. Абрикосовая, д. 13, к.н.з.у.:61:57:0010977:1366, заявитель Штылев А. В. (1 шт.)</t>
  </si>
  <si>
    <t>Установка системы учета для технологического присоединения объекта – «объект животноводства», расположенного по адресу: РФ, Ростовская область, Пролетарский район, по границе п. Опенки по направлению на юг, к.н 61:31:0600012:998, заявитель Ковалёва Е.В. (1 шт.)</t>
  </si>
  <si>
    <t>«Установка системы учета для технологического присоединения объекта – «дачный дом», расположенного по адресу: РФ, Ростовская область, Пролетарский район, п. Приманычский, к.н 61:31:0600008:1481, заявитель Колупаева Н.Л.» (1 шт.)</t>
  </si>
  <si>
    <t>Установка системы учета для технологического присоединения «жилого дома», расположенного по адресу: 347629 Российская Федерация, Ростовская обл., р-н Сальский, п. Приречный, ул. Степная, д. 14, кадастровый номер земельного участка: 61:34:0130101:315, заявитель Якушина О.В. (1 шт.)</t>
  </si>
  <si>
    <t>Установка системы учета для технологического присоединения «нежилого помещения», расположенного по адресу: 347568, РФ, Ростовская область, Песчанокопский район, с. Летник, ул. Ленина, 50/11 пом. №8,9,10 к.н.  61:30:0060101:5096, заявитель ИП Малютина Г.И. (1 шт.)</t>
  </si>
  <si>
    <t>Установка системы учета для технологического присоединения «объект торговли», расположенного по адресу: 347627, Российская Федерация, Ростовская обл., р-н. Сальский, п. Сеятель Северный, ул. Садовая, д. 52,  кв./оф. 2, кадастровый номер земельного участка: 61:34:0070101:2032, заявитель Кислица А.И. (1 шт.)</t>
  </si>
  <si>
    <t xml:space="preserve">Установка системы учета для технологического присоединения «магазина», расположенного по адресу: 347568, РФ, Ростовская область, Песчанокопский район, с. Летник, ул. Мичурина,129/1, к.н.з.у.: 61:30:0060101:5200, заявитель ИП Ковалева Г.А. (1 шт.) </t>
  </si>
  <si>
    <t>Установка системы учета для технологического присоединения «жилого помещения», расположенного по адресу: 347609, Российская Федерация, Ростовская обл., р-н. Сальский, п. Белозерный, пер. Молодёжный, д. 6, кв./оф. 1, кадастровый номер земельного участка: 61:34:0080101:1868, заявитель ООО «Белозёрное». (1 шт.)</t>
  </si>
  <si>
    <t>Установка системы учета для технологического присоединения «жилого дома», расположенного по адресу: 347569, РФ, Ростовская область, Песчанокопский район, с. Рассыпное, ул. Садовая, д. 24, к.н. з. у.: 61:30:0100101:424, заявитель Табунщик М.К. (1 шт.)</t>
  </si>
  <si>
    <t xml:space="preserve">Установка системы учета для технологического присоединения объекта «нежилое здание», расположенного по адресу: 347500, РФ, Ростовская область, Орловский район, п. Красноармейский, ул. Горького,21, к.н. з.у.: 61:29:0060123:119, заявитель Администрация Красноармейского сельского поселения (1 шт.) </t>
  </si>
  <si>
    <t>Установка системы учета для технологического присоединения «жилой дом, расположенного по адресу: 347760, РФ, Ростовская область, Целинский район, п. Новая Целина, ул. Дружбы, 26, к.н. з.у.: 61:40:0010146:62, заявитель Бабыкин Александр Константинович (1 шт.)"</t>
  </si>
  <si>
    <t xml:space="preserve"> «Установка системы учета для технологического присоединения объекта «бытовка», расположенного по адресу: 347526, РФ, Ростовская область, Орловский район, примерно в 3,5км по направлению на запад от ориентира х. Верхне-Водянный к.н. з.у.: 61:29:0600013:143, заявитель ИП Безмогорычный А.В. (1шт.)"</t>
  </si>
  <si>
    <t>Установка системы учета для технологического присоединения «жилой дом», расположенного по адресу: РФ, Ростовская область, Целинский район, х. Северный, ул. Новая, д. 1а/2, к.н. з.у.: 61:40:0031101:2438, заявитель Дилаверова Фатима Нусуровна (1 шт.)</t>
  </si>
  <si>
    <t>Установка системы учета для технологического присоединения «весовой», расположенной по адресу: РФ, Ростовская область, Песчанокопский район,  с. Развильное, ул. Северная, 1-а к.н. з. у.: 61:30:0090101:9780, заявитель ИП глава КФХ Галабурдо П.С.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</si>
  <si>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х. Токмацкий, пер. Шолохова, д. 15, к.н. з.у.: 61:29:0061001:119, заявитель Костырина А.А.» (1 шт.)</t>
  </si>
  <si>
    <t>Установка системы учета для технологического присоединения объекта «жилой дом», расположенного по адресу: 347521, РФ, Ростовская область, Орловский район, х. Луганский, пер. Майский, д. 11, к.н. з.у.: 61:29:0010501:981, заявитель Лукьянченко В.Г. (1 шт.)</t>
  </si>
  <si>
    <t>«Установка системы учета для технологического присоединения «жилого дома», расположенного по адресу: Российская Федерация, Ростовская обл.,  р-н Сальский, х. Бровки, СНТ №2 «Бровки», пер. Дачный, 17, кадастровый номер земельного участка: 61:34:0500801:378, заявитель Павленко С.А.»</t>
  </si>
  <si>
    <t>«Установка системы учета для технологического присоединения «жилого дома», расположенного по адресу: Российская Федерация, Ростовская обл., г. Сальск, СНТ «Приток», 
ул. Садовая, 19 участок 26, кадастровый номер земельного участка: 61:34:0500401:407, заявитель Пономарев А.С.»</t>
  </si>
  <si>
    <t>"Установка системы учета для технологического присоединения «жилого дома», расположенного по адресу: 347770, РФ, Ростовская область, Целинский район, с. Степное, ул. Школьная, 73 к.н. з. у.: 61:40:0090101:250, заявитель Сулейманов О.А." (1 шт.)</t>
  </si>
  <si>
    <t>"Установка системы учета для технологического присоединения «садового дома», расположенного по адресу: Российская Федерация, Ростовская обл.,   Сальский район, х. Бровки, ул. Береговая, д. 41, кадастровый номер земельного участка: 61:34:0500801:1263, заявитель Архипов С.А. (1 шт.)"</t>
  </si>
  <si>
    <t>"Установка системы учета для технологического присоединения «садовый домик», расположенного по адресу: Российская Федерация, Ростовская обл., р-н. Сальский, СНТ "Колос», линия 7, участок 5, кадастровый номер земельного участка: 61:34:0500501:499, заявитель Бородаенко А.В." (1 шт.)</t>
  </si>
  <si>
    <t>Строительство ВЛ 0,4 кВ от опоры №2-02/11 ВЛ 0,4 кВ Л-2 КТП 10/0,4 кВ  № 280 по ВЛ 10 кВ Л-7 Кундрюченская, для электроснабжения объекта – «жилой дом», расположенного по адресу: РФ, Ростовская область, Орловский район, х. Луганский, ул. 50 лет Октября, д. 1а, к.н. з.у.: 61:29:0010501:2373, заявитель Гайдукова О.А.» (Ориентировочная протяженность ЛЭП – 0,045 км)</t>
  </si>
  <si>
    <t>"Установка системы учета для технологического присоединения «жилого дома», расположенного по адресу: Российская Федерация, Ростовская обл., г. Сальск, СНТ «Железнодорожник», бригада 5, участок 19 кадастровый номер земельного участка: 61:57:0010977:1226, заявитель Голубнякова Е.А.  (1 шт.)"</t>
  </si>
  <si>
    <t>"Установка системы учета для технологического присоединения «жилого дома», расположенного по адресу: Российская Федерация, Ростовская обл.,   г. Сальск, СНТ "Железнодорожник", 1 бригада, участок 19, кадастровый номер земельного участка: 61:57:0010977:1310, заявитель Мартынов А.Ю." (1 шт.)</t>
  </si>
  <si>
    <t>"Установка системы учета для технологического присоединения «жилого дома», расположенного по адресу: 347636, Российская Федерация, Ростовская обл., р-н. Сальский, г. Сальск, СНТ «Железнодорожник», 11 бригада, д.21 кадастровый номер земельного участка: 61:57:0010977:1304, заявитель Новоселова Н. Е."  (1 шт.)</t>
  </si>
  <si>
    <t>"Установка системы учета для технологического присоединения «жилого дома», расположенного по адресу: 347636 Российская Федерация, Ростовская обл., р-н. Сальский, г. Сальск, СНТ «Железнодорожник», бригада 1, участок 34, кадастровый номер земельного участка: 61:57:0010977:1359, заявитель Орлова Т.И." (1 шт.)</t>
  </si>
  <si>
    <t>"Установка системы учета для технологического присоединения «отделение почтовой связи», расположенного по адресу: 347629 Российская Федерация, Ростовская обл., р-н. Сальский, п. Приречный, пл. Юбилейная, д. 2, кадастровый номер земельного участка: 61:34:0130101:510, заявитель АО «Почта России» (1 шт.)"</t>
  </si>
  <si>
    <t>"Установка системы учета для технологического присоединения «объекты дорожного хозяйства (светофорные объекты, объекты видеофиксации)», расположенного по адресу: Российская Федерация, Ростовская обл., р-н. Сальский, с. Новый Егорлык, 23 км 500 м автодороги " г. Сальск - с. Новый Егорлык - Яшалта", Сальский р-н (с. Новый Егорлык, ул. Советская, напротив ул. Советская, д.1А), кадастровый номер земельного участка: 61:34:0110101:1378, заявитель Государственное казенное учреждение Ростовской области «Центр безопасности дорожного движения». (1 шт.)"</t>
  </si>
  <si>
    <t xml:space="preserve">Установка коммерческого учета электрической энергии (мощности) на границе земельного участка, подключенного от опоры №57-10 ВЛ-0,4  № 1 КТП-10/0,4 кВ №57 ВЛ-10кВ № 801  ПС 110/35/10 кВ Роговская, для электроснабжения нежилого помещения № 5,7-18 заявителя ИП Мазуренко В.В. ,ул. им.Сергея Пешеходько, 39, п.Роговский, Егорлыкский район, Ростовская область </t>
  </si>
  <si>
    <t>Установка коммерческого учета электрической энергии (мощности) на границе земельного участка, подключенного от опоры №4-93 ВЛ-0,4 кВ №3 КТП-10/0,4 кВ №4 по ВЛ-10 кВ №305 ПС 35/10 кВ "КГ-3", для электроснабжения жилого дома заявителя Аристакесян К.Г. Кагальницкий р-н, ст. Кировская, ул.Садовая д.34 Ростовская область</t>
  </si>
  <si>
    <t>Установка коммерческого учета электрической энергии (мощности) на границе земельного участка, подключенного от опоры №135-70 ВЛ-0,4 кВ № 3 КТП-10/0,4 кВ №135 ВЛ-10 кВ №805 от ПС 110/10 кВ «БОС», для электроснабжения жилого дома заявителя Енина С.Э.  Ростовская область, Кагальницкий р-н., п. Мокрый Батай, ул. Мира дом 25</t>
  </si>
  <si>
    <t xml:space="preserve">Установка коммерческого учета электрической энергии (мощности) на границе земельного участка, подключенного от опоры №25-105 ВЛ- 0,4 кВ №1 КТП-10/0,4 кВ №25 по ВЛ-10 кВ №1006 ПС 110/10 кВ "Полячки", для электроснабжения жилого дома заявителя Койло А.И. Кагальницкий р-н, х. Родники, ул.Школьная д.24 кв. 3, Ростовская область  </t>
  </si>
  <si>
    <t>Установка коммерческого учета электрической энергии (мощности) на границе земельного участка, подключенного от опоры № 74-34 ВЛ-0,4 кВ №2 КТП-10/0,4 кВ №74 по ВЛ-10 кВ № 413 ПС 35/10 кВ «КГ-4», для электроснабжения социально реабилитационного центра заявителя МБУ "Центр социального обслуживания граждан пожилого возраста и инвалидов" Кагальницкого района п. Васильево-Шамшево, ул. Жукова д.2А, Ростовская область</t>
  </si>
  <si>
    <t xml:space="preserve">Установка коммерческого учета электрической энергии (мощности) на границе земельного участка, подключенного от опоры №117-32 ВЛ-0,4 кВ №1 КТП-10/0,4 кВ №177 ВЛ-10 кВ №904 ПС 110/35/10 кВ Балко-Грузская, для электроснабжения участка заявителя Милованова В.П., бытовое помещение (вагончик), х. Балко-Грузский, Егорлыкский район, Ростовская область  </t>
  </si>
  <si>
    <t>Установка коммерческого учета электрической энергии (мощности) на границе земельного участка, подключенного от опоры №117-50 ВЛ-0,4 кВ №1 КТП-10/0,4 кВ №177 ВЛ-10 кВ №904 ПС 110/35/10 кВ Балко-Грузская, для электроснабжения участка заявителя Миловановой А.В., бытовое помещение (вагончик), х. Балко-Грузский, Егорлыкский район, Ростовская область</t>
  </si>
  <si>
    <t xml:space="preserve">'Установка коммерческого учета электрической энергии (мощности) на границе земельного участка, подключенного от опоры №52-133 ВЛ-0,4 кВ № 4 КТП-10/0,4 кВ №52 ВЛ-10 кВ №319 от ПС 35/10 кВ «КГ-3», для электроснабжения жилого дома заявителя Бадаловой Ю.Я.  Ростовская область, Кагальницкий р-н., ст. Кировская, ул. Крупской д.30   </t>
  </si>
  <si>
    <t xml:space="preserve">Установка коммерческого учета электрической энергии (мощности) на границе земельного участка, для технологического присоединения энергопринимающих устройств заявителей: Элоян А.Г., Поляков А.Н. в Зерноградском районе Ростовской области </t>
  </si>
  <si>
    <t>Строительство системы учета для технологического присоединения энергопринимающих устройств Заявителей: Головченко Н.Ф., Кутровский А.Н. в Зерноградском, Кагальницком районе Ростовской области</t>
  </si>
  <si>
    <t xml:space="preserve">Строительство системы учета для технологического присоединения энергопринимающих устройств Заявителя Терещенко В.П., Кагальницкий р-н. Ростовская область </t>
  </si>
  <si>
    <t>Установка коммерческого учета электрической энергии (мощности)  для технологического присоединения энергопринимающих устройств Заявителей: Болдаревой Л.Е., Мироновой М.О., Кагальницкий р-н, Игнатенко М.Г. Зерноградский р-н, Ростовская область ( 3 шт.)</t>
  </si>
  <si>
    <t xml:space="preserve">Установка коммерческого учета электрической энергии (мощности)  для технологического присоединения энергопринимающих устройств Заявителей: Дороничева Е.М., Кагальницкий р-он, Латыпов М.М., Зерноградский р-он, Ростовская область (2 шт.) </t>
  </si>
  <si>
    <t>Установка прибора коммерческого учета электрической энергии (мощности) на границе земельного участка, подключенного от оп. №24-58 ВЛ-0,4 кВ №2 КТП-10/0,4 кВ №24 по ВЛ-10 кВ № 104 ПС 110/35/10 кВ «3вонкая» для электроснабжения ЛПХ заявителя Аветисова А.С. ст. Хомутовская, Кагальницкий р-он, Ростовская область ( 1 шт.)</t>
  </si>
  <si>
    <t xml:space="preserve">Установка коммерческого учета электрической энергии (мощности) для технологического присоединения энергопринимающих устройств Заявителей: Полеев А.А., Тепкина Н.Н., ИП Цаплев В.В., Зубова Т.Н, Сергушкин А.Ю., Кагальницкий р-он Ростовская область ( 5 шт.)  </t>
  </si>
  <si>
    <t>Установка коммерческого учета электрической энергии (мощности) на границе земельного участка, подключенного от оп. оп. № 9-46 ВЛ-0,4 кВ №4 КТП-10/0,4 кВ №9 по ВЛ-10 кВ №612 ПС 35/10 кВ «КГ-6», для электроснабжения ЛПХ по заявке Спыну С.И., Кагальницкий р-он. с. Новобатайск ул. Крым-Гереевская  д.18Б  , Ростовская область (1 шт.)</t>
  </si>
  <si>
    <t xml:space="preserve">Установка коммерческого учета электрической энергии (мощности) на границе земельного участка, подключенного от оп. оп. №68-69 ВЛ-0,4 кВ №3 КТП-10/0,4 кВ №68 по ВЛ-10 кВ №603 ПС 35/10 кВ «ЗР-6», для электроснабжения магазина по заявке Стрижакова С.Б., Кагальницкий р-он. п. Лободин ул. Дорожная д.4а, Ростовская область (1 шт.) </t>
  </si>
  <si>
    <t xml:space="preserve">'Строительство участка ВЛИ-0,4кВ от №184-28 ВЛ-0,4 кВ №3 КТП 10/0,4 кВ №184 ВЛ-10кВ №3113 ПС 110/35/10 кВ «А-31» и системы учета электрической энергии (мощности) на границе земельного участка для электроснабжения жилого дома заявителя Макеевой А.С., с. Пешково, Азовский р-он Ростовская область (ориентировочная протяженность ЛЭП – 0,07 км) </t>
  </si>
  <si>
    <t xml:space="preserve">Установка коммерческого учета электрической энергии (мощности) на границе земельного участка, подключенного от опоры №167-16 ВЛ-0,4 кВ №3 КТП-10/0,4 кВ №167 по ВЛ-10 кВ № 106Н ПС 110/6/10 кВ «НС-1», для электроснабжения жилого дома заявителя Алиева М.М., ДНТ «Кулешовка», Ростовская область </t>
  </si>
  <si>
    <t>Установка коммерческого учета электрической энергии (мощности) на границе земельного участка, подключенного от опоры №185-15 ВЛ-0,4 кВ №1 КТП 10/0,4кВ №185 ВЛ-10кВ №106Н ПС 110/6/10 кВ «НС-1», для электроснабжения жилого дома заявителя Иоанова И.С., с. Кулешовка, Ростовская область</t>
  </si>
  <si>
    <t xml:space="preserve">Установка коммерческого учета электрической энергии (мощности) на границе земельного участка, подключенного от опоры №101-57 ВЛ-0,4 кВ №1 КТП-10/0,4 кВ №101 ВЛ-10 кВ №2412 ПС 35/10 кВ "А-24", для электроснабжения жилого дома заявителя Бездольного С.Л., х. Полушкин, Азовский р-он Ростовская область  </t>
  </si>
  <si>
    <t>Установка коммерческого учета электрической энергии (мощности) на границе земельного участка, подключенного от опоры №162-48 ВЛ-0,4 кВ №1 КТП 10/0,4кВ №162 ВЛ-10кВ №1702 ПС 35/10 кВ «А-17», для электроснабжения участка заявителя Безродного В.М., с. Круглое, Азовский р-он Ростовская область</t>
  </si>
  <si>
    <t xml:space="preserve">Установка коммерческого учета электрической энергии (мощности) на границе земельного участка, подключенного от опоры №б/н ВЛ-0,4 кВ №1 КТП 10/0,4кВ №10 (бесхозное) ВЛ-10кВ №202Н ПС 110/6/10 кВ «НС-2», для электроснабжения жилого дома заявителя Дзыс И.А., с. Кулешовка, Азовский р-он Ростовская область </t>
  </si>
  <si>
    <t xml:space="preserve">Установка коммерческого учета электрической энергии (мощности) на границе земельного участка, подключенного от опоры №б/н ВЛ-0,4 кВ КТП-10/0,4 кВ №94 (балансовая принадлежность Администрациия Елизаветинского сельского поселения) по ВЛ-10 кВ №2907 РП-29 ПС 35/10 кВ "А-18", для электроснабжения жилого дома заявителя Крамарченковой И.Н., х.Казачий Ерик, Ростовская область  </t>
  </si>
  <si>
    <t xml:space="preserve">Установка коммерческого учета электрической энергии (мощности) на границе земельного участка, подключенного от опоры №б/н ВЛ-0,4 кВ №1 КТП-10/0,4 кВ №249 (балансовая принадлежность СТ "Энтузиаст") по ВЛ-10 кВ №2907 РП-29 ПС 35/10 кВ "А-18", для электроснабжения жилого дома заявителя Соловьевой Б.Т., х. Полушкин, Азовский р-он Ростовская область </t>
  </si>
  <si>
    <t>Строительство участка ВЛИ-0,4кВ от оп. №17-30 ВЛ-0,4кВ №1 КТП 10/0,4 кВ №17 ВЛ-10кВ №107Н ПС 110/6/10 кВ «НС-1» и системы учета электрической энергии (мощности) на границе земельного участка для электроснабжения жилого дома заявителя Стельмашова А.В., п. Овощной, Азовский р-он Ростовская область (ориентировочная протяженность ЛЭП – 0,04 км)</t>
  </si>
  <si>
    <t>Установка коммерческого учета электрической энергии (мощности) на границе земельного участка, подключенного от опоры №50-4 ВЛ-0,4 кВ №1 КТП 10/0,4кВ №50 ВЛ-10кВ №2907 РП-29 ПС 35/10 кВ «А-18», для электроснабжения жилого дома заявителя Ляхницкой Н.Н., ст-ца. Елизаветинская, Азовский р-он Ростовская область</t>
  </si>
  <si>
    <t xml:space="preserve">Установка коммерческого учета электрической энергии (мощности) на границе земельного участка, подключенного от опоры №98-23 ВЛ-0,4 кВ №1 КТП-10/0,4 кВ №98 ВЛ-10 кВ №1815 ПС 35/10 кВ "А-18", для электроснабжения жилого дома заявителя Мамотковой Е.А., х. Колузаево, Азовский р-он Ростовская область </t>
  </si>
  <si>
    <t xml:space="preserve">Установка коммерческого учета электрической энергии (мощности) на границе земельного участка, подключенного от оп. №99-1 ВЛ-0,4 кВ №1 КТП 10/0,4 кВ №99 по ВЛ-10 кВ №106 Н ПС 110/6/10 кВ "НС-1", для электроснабжения жилого дома заявителя Бабяна А.А., п. Овощной, Азовский р-он,  Ростовская область </t>
  </si>
  <si>
    <t xml:space="preserve">Установка коммерческого учета электрической энергии (мощности) на границе земельного участка, подключенного от опоры №185-62/21 ВЛ-0,4 кВ №2 (балансовая принадлежность ДНТ "Эдем")  КТП 10/0,4 кВ №185 ВЛ-10 кВ №106Н ПС 110/6/10 кВ "НС-1", для электроснабжения жилого дома заявителя Шепелевой И.В., ДНТ "Эдем", Азовский р-он,  Ростовская область </t>
  </si>
  <si>
    <t xml:space="preserve">Установка коммерческого учета электрической энергии (мощности) на границе земельного участка, подключенного от опоры №226-78 ВЛ-0,4 кВ №3 КТП 10/0,4 кВ №226 ВЛ-10 кВ №2608 ПС 110/10 кВ "А-26", для электроснабжения жилого дома заявителя Добролюбовой А.Ю., СТ "Ягодка-2", Азовский р-он,  Ростовская область </t>
  </si>
  <si>
    <t xml:space="preserve">Установка коммерческого учета электрической энергии (мощности) на границе земельного участка, подключенного от оп. №б/н ВЛ-0,4 кВ КТП 10/0,4 кВ №279 (балансовая принадлежность ИП Усачев В.И.(п. Беловодье) по ВЛ-10 кВ №1815 ПС 35/10 кВ "А-18", для электроснабжения жилого дома заявителя Макарова И.А., х. Обуховка, Азовский р-он,  Ростовская область </t>
  </si>
  <si>
    <t>Установка коммерческого учета электрической энергии (мощности) на границе земельного участка, подключенного от опоры №215-21 ВЛ-0,4 кВ №1 КТП 10/0,4 кВ №215 ВЛ-10 кВ №1101ПС 35/10 кВ "А-11", для электроснабжения жилого дома заявителя Ягольницкого С.И., с. Кагальник, Азовский р-он,  Ростовская область</t>
  </si>
  <si>
    <t xml:space="preserve">'Установка коммерческого учета электрической энергии (мощности) на границе земельного участка, подключенного от опоры №43-5 ВЛ-0,4 кВ №1 КТП 10/0,4кВ №43 ВЛ-10кВ №1802 ПС 35/10 кВ «А-18», для электроснабжения жилого дома заявителя Фоменко А.А., х. Рогожкино, Азовский р-он Ростовская область </t>
  </si>
  <si>
    <t xml:space="preserve">Установка прибора коммерческого учета электрической энергии (мощности) на границе земельного участка, подключенного от оп. № 413-37   ВЛ-0,4 № 1 КТП-413 ВЛ-10  607  ПС 35 кВ Е-6, для электроснабжения торговой точки заявителя ИП Манукян Р.А., х.Кавалерский, ул. Ленина, 35а, Егорлыкский р-он, Ростовская область (1шт)  </t>
  </si>
  <si>
    <t>Установка прибора коммерческого учета электрической энергии (мощности) на границе земельного участка, подключенного от оп. №78-11   ВЛ-0,4 № 1 КТП-78 ВЛ-10 507 ПС 35 кВ Е-5, для электроснабжения жилого дома заявителя Пристинской О.В., х.Дудукалов, ул.Дудукаловская, 7в, Егорлыкский р-он Ростовская область (1шт)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</si>
  <si>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Измайлова Н.И., Давыдова М.А., Кагальницкий р-он Ростовская область ( 2 шт.)</t>
  </si>
  <si>
    <t>Установка прибора коммерческого учета электрической энергии (мощности) на границе земельного участка, подключенного от опоры №85-64 ВЛ-0,4 кВ № 3 КТП-10/0,4 кВ №85 ВЛ-10 кВ №119 от ПС 220/110/35/10 кВ «Зерновая», для электроснабжения видеокамеры заявителя Администрация Зерноградского городского поселения, Ростовская область, Зерноградский р-н, п. Дубки, ул. Зерноградская вблизи д.21 ( 1 шт.)</t>
  </si>
  <si>
    <t>Установка прибора коммерческого учета электрической энергии (мощности) на границе земельного участка, подключенного от опоры №40-28 ВЛ-0,4 № 2 от КТП-40 по ВЛ-10 103 ПС 110 кВ Звонкая, для электроснабжения сельского дома культуры заявителя МБУК «Кировский СДК», Ростовская область, Кагальницкий р-н, п. Березовая Роща, ул. Степная д.9 (1 шт.)</t>
  </si>
  <si>
    <t>Установка коммерческого учета электрической энергии (мощности) на границе земельного участка, подключенного от опоры №42-25 ВЛ-0,4 кВ №1 КТП 10/0,4кВ №42 ВЛ-10кВ №1802 ПС 35/10 кВ «А-18», для электроснабжения жилого дома заявителя Быкадоровой Т.Н., х. Рогожкино, Ростовская область</t>
  </si>
  <si>
    <t>Установка коммерческого учета электрической энергии (мощности) на границе земельного участка, подключенного от опоры №42-25 ВЛ-0,4 кВ №1 КТП 10/0,4кВ №42 ВЛ-10кВ №1802 ПС 35/10 кВ «А-18», для электроснабжения жилого дома заявителя Репкина Н.В., х. Рогожкино, Ростовская область</t>
  </si>
  <si>
    <t xml:space="preserve">Установка коммерческого учета электрической энергии (мощности) на границе земельного участка, подключенного от опоры №351-6 ВЛ-0,4 кВ №3 КТП-6/0,4 кВ №351  по ВЛ-6 кВ №207Н ПС 110/6/10 кВ "НС-2", для электроснабжения участка заявителя Нестеровой Н.Т., СТ "Квант", Азовский р-он, Ростовская область </t>
  </si>
  <si>
    <t xml:space="preserve">Строительство участка ВЛИ-0,4кВ от проектируемой ВЛ-0,4 кВ (по договору № 61-1-20-00499303 от 04.03.2020 г.) КТП-6/0,4 кВ №350 по ВЛ-6 кВ № 207Н ПС 110/6/10 кВ «НС-2» и установка системы учета электрической энергии (мощности) на границе земельных участков для электроснабжения объектов заявителей Гамзюковой О.Д., Бухтояровой В.А., Гуриной Л.В., СТ «Квант», Азовский р-он Ростовская область (ориентировочная протяженность ЛЭП – 0,115 км)  </t>
  </si>
  <si>
    <t>'Строительство участка ВЛИ 0,4кВ от опоры №21-28 ВЛ 0,4 кВ №2 КТП 10/0,4 кВ №21 ВЛ 10 кВ №1702 ПС 35/10 кВ «А-17» и системы учета электрической энергии (мощности) на границе земельного участка для электроснабжения вагончика заявителя Ксандо Н.А., с.Стефанидинодар, Азовский район, Ростовская область (ориентировочная протяженность ЛЭП – 0,095 км)</t>
  </si>
  <si>
    <t xml:space="preserve">Установка коммерческого учета электрической энергии (мощности) на границе земельного участка, подключенного от оп. №39-37 ВЛ-0,4 кВ №1 КТП 10/0,4 кВ №39 ВЛ-10 кВ №802 ПС 35/10 кВ "А-8", для электроснабжения жилого дома заявителя Чикова С.С., х. Павло-Очаково, Азовский р-он,  Ростовская область </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</si>
  <si>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Шен А.Ф., Соколова В.А., Вихровой Л.В., Одинцовой В.Э., Азовский р-он Ростовская область (4 шт.)</t>
  </si>
  <si>
    <t xml:space="preserve">Установка прибора коммерческого учета электрической энергии (мощности) на границе земельного участка, подключенного от оп. №233-13 ВЛ-0,4 кВ №1 КТП 10/0,4кВ №233 ВЛ-10кВ №1815 ПС 35/10 кВ «А-18» для технологического присоединения энергопринимающих устройств жилого дома Заявителя Горбаневой А.И., СНТ «Надежда-4», участок 114, Азовский район Ростовская область (1 шт.)  </t>
  </si>
  <si>
    <t>Установка прибора коммерческого учета электрической энергии (мощности) на границе земельного участка, подключенного от оп. №75-52 ВЛ-0,4 кВ №2 КТП 10/0,4кВ №75 ВЛ-10кВ №606 ПС 35/10 кВ «А-6»  для технологического присоединения энергопринимающих устройств жилого дома Заявителя Исаковой Е. В., с. Порт-Катон, Азовский район Ростовская область (1 шт.)</t>
  </si>
  <si>
    <t xml:space="preserve">Установка приборов коммерческого учета электрической энергии (мощности) для технологического присоединения энергопринимающих устройств жилых домов заявителя Казарян Р.Л., с. Пешково, Азовский район Ростовская область (4 шт.)  </t>
  </si>
  <si>
    <t xml:space="preserve">Установка приборов коммерческого учета электрической энергии (мощности) для технологического присоединения энергопринимающих устройств жилого дома Заявителя Оганнисяна А.А., с. Пешково, Азовский район Ростовская область </t>
  </si>
  <si>
    <t xml:space="preserve">Установка прибора коммерческого учета электрической энергии (мощности) на границе земельного участка, подключенного от опоры №168-22 ВЛ-0,4 кВ №1 КТП 10/0,4кВ №168 ВЛ-10кВ №1708 ПС 35/10 кВ «А-17» для технологического присоединения энергопринимающих устройств жилого дома Гуринович Л.Н. с.Круглое, Азовский район Ростовская область (1 шт.)  </t>
  </si>
  <si>
    <t xml:space="preserve">Установка прибора коммерческого учета электрической энергии (мощности) на границе земельного участка, подключенного от опоры №62-15 ВЛ-0,4 кВ №1 КТП 10/0,4кВ №62 ВЛ-10кВ №302Н РП-19 ПС 110/35/6/10 кВ «НС-3» для технологического присоединения энергопринимающих устройств жилого дома Заявителя Ким Л.В. х. Еремеевка, Азовский район Ростовская область (1 шт.)  </t>
  </si>
  <si>
    <t xml:space="preserve">Установка прибора коммерческого учета электрической энергии (мощности) на границе земельного участка, подключенного от опоры №224-58 ВЛ 0,4 кВ №1 КТП 10/0,4кВ №224 ВЛ 10кВ №1106 ПС 35/10 кВ А-11 для технологического присоединения энергопринимающих устройств жилого дома Заявителя Тихомировой А.А. п. Зеленый, Азовский район Ростовская область (1 шт.)  </t>
  </si>
  <si>
    <t xml:space="preserve">Установка прибора коммерческого учета электрической энергии (мощности) на границе земельного участка, подключенного на оп. №79-41   ВЛ-0,4 № 2 КТП-71 ВЛ-10 507 ПС 35 кВ Е-5, для электроснабжения жилого дома заявителя  Гай М.А., х.Новая Деревня, 9а, Егорлыкский р-он Ростовская область» (1шт)  </t>
  </si>
  <si>
    <t xml:space="preserve">Установка прибора коммерческого учета электрической энергии (мощности) на границе земельного участка, подключенного на оп. №132-83   ВЛ-0,4 № 3 КТП-132 ВЛ-10 506 ПС 35 кВ Е-5, для электроснабжения нежилого здания (магазин) заявителя ИП Гай М.А., х.Объединенный, ул. Заречная, 21А, Егорлыкский р-он Ростовская область» (1шт) </t>
  </si>
  <si>
    <t xml:space="preserve">Установка приборов коммерческого учета электрической энергии (мощности) для технологического присоединения энергопринимающих устройств Заявителей: Щербина А.Н., Зерноградский р-он, Алояна Р.М., Хатояна З.М. Кагальницкий р-он, Ростовская область ( 3 шт.)  </t>
  </si>
  <si>
    <t>Установка прибора коммерческого учета электрической энергии (мощности) на границе земельного участка, подключенного от опоры №196-12 ВЛ-0,4 № 1 от МТП-196 по ВЛ-10 805 ПС 110 кВ БОС, для электроснабжения жилого дома заявителя Братянской Н.В., Ростовская область, Кагальницкий р-н, п. Мокрый Батай, ул. Мира д.70 (1 шт.</t>
  </si>
  <si>
    <t xml:space="preserve">Установка прибора коммерческого учета электрической энергии (мощности) на границе земельного участка, подключенного от опоры №196-11 ВЛ-0,4 № 1 от МТП-196 по ВЛ-10 805 ПС 110 кВ БОС, для электроснабжения жилого дома заявителя Милановой Л.А., Ростовская область, Кагальницкий р-н, п. Мокрый Батай, ул. Мира д.81 (1 шт.) </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</si>
  <si>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Муниципального предприятия жилищно-коммунального хозяйства Кагальницкого сельского поселения, Марадудина В.И., Буденного И.И., Вельченко Н.Н., Сафаряна Д.А., Зерноградский р-он, Кагальницкий р-он Ростовская область ( 7 шт.)</t>
  </si>
  <si>
    <t>Установка прибора коммерческого учета электрической энергии (мощности) на границе земельного участка, подключенного от опоры №191-18 ВЛ-0,4 №1 от КТП-191 по ВЛ-10 606 ПС 35 кВ КГ6, для электроснабжения ЛПХ заявителя Дмитриенко К.В., Ростовская область, Кагальницкий р-н, с. Новобатайск, пер. Восточный д.1 кв.3 (1 шт.)</t>
  </si>
  <si>
    <t>Установка прибора коммерческого учета электрической энергии (мощности) на границе земельного участка, подключенного от опоры №76-8 ВЛ-0,4 кВ №1 КТП 10/0,4кВ №76 ВЛ-10кВ №214 ПС 35/10 кВ «А-2» для технологического присоединения энергопринимающих устройств жилого дома Заявителя Пак А.А.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</si>
  <si>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№156-41 ВЛ-0,4 кВ №1 КТП 10/0,4кВ №156 ВЛ-10кВ №910 ПС 35/10 кВ «А-9» для технологического присоединения энергопринимающих устройств жилого дома Заявителя Тетерева А.П. х. Павловка,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</si>
  <si>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№228-39 ВЛ 0,4 кВ №3 КТП 10/0,4кВ №228 ВЛ 10кВ №106Н ПС 110/6/10 кВ НС-1 для технологического присоединения энергопринимающих устройств жилого дома Заявителя Авдеевой И.В.,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</si>
  <si>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№171-4 ВЛ-0,4 кВ №1 КТП 10/0,4кВ №171 ВЛ-10кВ №1101 ПС 35/10 кВ «А-11» для технологического присоединения энергопринимающих устройств жилого дома Заявителя Голото А.С.,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</si>
  <si>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№48-56 ВЛ 0,4 кВ №2 КТП 10/0,4кВ №48 ВЛ 10кВ №1107 ПС 35/10 кВ А-11 для технологического присоединения энергопринимающих устройств жилого дома Заявителя Досовой Т.В.,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</si>
  <si>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№70-3 ВЛ-0,4 кВ №1 КТП 10/0,4кВ №70 ВЛ-10кВ №2608 ПС 110/10 кВ «А-26» для технологического присоединения энергопринимающих устройств магазина Заявителя ИП Головань Д.Ю.,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</si>
  <si>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№236-7 ВЛ 0,4 кВ №1 КТП 10/0,4кВ №236 ВЛ 10кВ №2608 ПС 110/10 кВ А-26 для технологического присоединения энергопринимающих устройств жилого дома Заявителя Николаенко Е.А.,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</si>
  <si>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№99-10 ВЛ 0,4 кВ №1 КТП 10/0,4кВ №99 ВЛ 10кВ №106Н ПС 110/6/10 кВ НС-1 для технологического присоединения энергопринимающих устройств жилого дома Заявителя Нос А.Н., п.Овощной,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</si>
  <si>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№99-5 ВЛ-0,4 кВ №1 КТП 10/0,4кВ №99 ВЛ-10кВ №106Н ПС 110/6/10 кВ «НС-1» для технологического присоединения энергопринимающих устройств жилого дома Заявителя Сухининой А.А., п. Овощной,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</si>
  <si>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Курашова Р.А., Гаджикурбанова И.П. Зерноградский район, Обертышева С.С. Кагальницкий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</si>
  <si>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№54-56 ВЛ-0,4 кВ № 2 КТП-10/0,4 кВ №54 ВЛ-10 кВ №318 от ПС 35/10 кВ «КГ-3», для электроснабжения жилого дома заявителя Оганьян С.Г., Ростовская область, Кагальницкий р-н, ст. Кировская, ул. Буденновская д.77А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</si>
  <si>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Соловьева В.Н.,  Зерноградский район, Полупановой Л.Ю. ; Соловьева В.Н.  Кагальницкий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</si>
  <si>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Кривошеева Н.В., Левченко П.В. ; Кагальницкий район Ростовская область (2 шт.)</t>
  </si>
  <si>
    <t>Установка прибора коммерческого учета электрической энергии (мощности) на границе земельного участка, подключенного от опоры №109-91 ВЛ-0,4 №3 от КТП-109 по ВЛ-10 805 ПС 110 кВ БОС, для электроснабжения ЛПХ заявителя Бутенко И.И., Ростовская область, Кагальницкий р-н, п. Мокрый Батай, ул. Солнечная д.40 (1 шт.)</t>
  </si>
  <si>
    <t>Установка прибора коммерческого учета электрической энергии (мощности) на границе земельного участка, подключенного от опоры №97-23 ВЛ-0,4кВ №1 КТП-97 ВЛ-10 805 ПС 110 кВ БОС для технологического присоединения энергопринимающих устройств квартиры Заявителя Тан С.С., Ростовская область, Кагальницкий р-н, п. Мокрый Батай, ул. Садовая д.11 (1 шт.)</t>
  </si>
  <si>
    <t>Установка прибора коммерческого учета электрической энергии (мощности) на границе земельного участка, подключенного от опоры №97-6 ВЛ-0,4 №1 от КТП-97 по ВЛ-10 114 ПС 220 кВ Зерновая, для электроснабжения ЛПХ заявителя Ермарченко С.Н., Ростовская область, Зерноградский р-н, п. Кленовый, ул. Подбельского д.33Д (1 шт.)</t>
  </si>
  <si>
    <t>Установка прибора коммерческого учета электрической энергии (мощности) на границе земельного участка, подключенного от опоры №126-45 ВЛ-0,4 №1 КТП-126 ВЛ-10 313 ПС 35 кВ КГ3 для технологического присоединения энергопринимающих устройств садового дома Заявителя Атрощенко В.Н., Ростовская область, Аксайский р-н, СНТ Садко уч.2830 (1 шт.)</t>
  </si>
  <si>
    <t>Установка прибора коммерческого учета электрической энергии (мощности) на границе земельного участка, подключенного от опоры №69-12 ВЛ-0,4 № 1 КТП-69 ВЛ-10 716 от ПС 110 Юбилейная, для электроснабжения жилого дома заявителя Поповой С.И., Ростовская область, Кагальницкий р-н, п. Воронцовка, ул. Галичева д.6 кв.2 (1 шт.)</t>
  </si>
  <si>
    <t>Установка прибора коммерческого учета электрической энергии (мощности) на границе земельного участка, подключенного от опоры №55-23 ВЛ-0,4 №1 КТП-55 ВЛ-10 318 ПС 35 кВ КГ3 для технологического присоединения энергопринимающих устройств жилого дома Заявителя Кочарян А.Ж., Ростовская область, Кагальницкий р-н, ст. Кировская, ул. Колхозная д.16А (1 шт.)</t>
  </si>
  <si>
    <t>Установка коммерческого учета электрической энергии (мощности) на границе земельного участка, подключенного от опоры №б/н ВЛ- 0,4 кВ КТП-10/0,4 кВ №279 (балансовая принадлежность КТП №279, ВЛ-0,4 кВ ИП Усачев В.И. (п.Беловодье) по ВЛ-10 кВ №1815 ПС 35/10 кВ "А-18", для электроснабжения жилого дома заявителя Волченсковой С.Г., х.Обуховка, Ростовская область</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</si>
  <si>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Шарковой Н.Л., Ломакиной Р.М., Плотниковой О.И., Карасевой Г.Р., Луговской А.Г., Азовский р-он Ростовская область (5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</si>
  <si>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Матвиенко С.П., Татаринцева И.Е., Тен Л.А., ИП Чермантеевой С.П., Щербаковой В.И., Азовский р-он Ростовская область (5 шт.)</t>
  </si>
  <si>
    <t>Установка приборов коммерческого учета электрической энергии (мощности) на границе земельного участка,подключенного от опоры №111-82 ВЛ-0,4 кВ №3 КТП 10/0,4кВ №111 ВЛ-10кВ №3113 ПС 110/35/10 кВ «А-31» для технологического присоединения энергопринимающих устройств жилого дома Заявителя Малой А.В.,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</si>
  <si>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№111-71 ВЛ-0,4 кВ №3 КТП 10/0,4кВ №111 ВЛ-10кВ №3113 ПС 110/35/10 кВ А-31 для технологического присоединения энергопринимающих устройств жилого дома Дворниченко Т.Н. с.Пешково,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</si>
  <si>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№154-23 ВЛ-0,4 кВ №1 КТП 10/0,4кВ №154 ВЛ-10кВ №1901 РП-19 ПС 110/35/10 кВ «Самарская» для технологического присоединения энергопринимающих устройств жилого дома Заявителя Половинкина И.А. п. Каяльский,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</si>
  <si>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№156-19 ВЛ 0,4 кВ №2 КТП 10/0,4кВ №156 ВЛ 10кВ №910 ПС 35/10 кВ А-9 для технологического присоединения энергопринимающих устройств жилого дома Смалюк Ю.Ю. х.Павловка,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</si>
  <si>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№305-16 ВЛ-0,4 кВ №1 КТП 10/0,4кВ №305 ВЛ-10кВ №2608 ПС 110/10 кВ «А-26» для технологического присоединения энергопринимающих устройств жилого дома Заявителя Витчикова О.В.,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</si>
  <si>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№185-62/22 ВЛ-0,4кВ №4 (балансовая принадлежность ДНТ «Эдем») КТП 10/0,4 кВ №185 ВЛ-10кВ №106Н ПС 110/6/10 кВ «НС-1» для технологического присоединения энергопринимающих устройств жилого дома Заявителя Ступникова А.В., ДНТ «Эдем»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</si>
  <si>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№181-17 ВЛ-0,4 кВ №1 КТП-10/0,4 кВ №181 по ВЛ-10 кВ № 3113 ПС 110/35/10 кВ «А-31»  для технологического присоединения энергопринимающих устройств жилого дома Заявителя Четверикова А.Н.,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</si>
  <si>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№173-120 ВЛ 0,4 кВ №2 КТП 10/0,4кВ №173 ВЛ 10кВ №902 ПС 35/10 кВ А-9 для технологического присоединения энергопринимающих устройств жилого дома Заявителя Кислица А.А., х. Павловка,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</si>
  <si>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№185-62/21 ВЛ-0,4кВ №4 КТП 10/0,4 кВ №185 ВЛ 10кВ №106Н ПС 110/6/10 кВ НС-1 для технологического присоединения энергопринимающих устройств жилого дома Заявителя Харитонова И.И., ДНТ «Эдем»,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</si>
  <si>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№221-3 ВЛ 0,4 кВ №1 КТП 10/0,4кВ №221 ВЛ 10кВ №901 ПС 35/10 кВ А-9 для технологического присоединения энергопринимающих устройств жилого дома Заявителя Темникова В.Г. с. Высочино,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</si>
  <si>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№99-12 ВЛ 0,4 кВ №1 КТП 10/0,4кВ №99 ВЛ 10кВ №106Н ПС 110/6/10 кВ НС-1 для технологического присоединения энергопринимающих устройств жилого дома Заявителя Мартиросян Л.С.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</si>
  <si>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№151-17 ВЛ 0,4 кВ №1 КТП 10/0,4кВ №151 ВЛ 10кВ №1101 ПС 35/10 кВ А-11 для технологического присоединения энергопринимающих устройств жилого дома Заявителя Жамкочян Е.Е.,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</si>
  <si>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№157-65 ВЛ 0,4 кВ №3 КТП 10/0,4кВ №157 ВЛ 10кВ №1101 ПС 35/10 кВ А-11 для технологического присоединения энергопринимающих устройств жилого дома Заявителя Жамкочян С.Р.,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</si>
  <si>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№381-58 ВЛ 0,4 кВ №1 КТП 10/0,4кВ №381 ВЛ 10кВ №106Н ПС 110/6/10 кВ НС-1 для технологического присоединения энергопринимающих устройств жилого дома Заявителя Погосян Е.А.,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</si>
  <si>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№81-41 ВЛ 0,4 кВ №1 КТП 10/0,4кВ №81 ВЛ 10кВ №803 ПС 35/10 кВ А-8 для технологического присоединения энергопринимающих устройств жилого дома Заявителя Дениченко Т.Л., с. Семибалки,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</si>
  <si>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№86-6 ВЛ 0,4 кВ №1 КТП 10/0,4кВ №86 ВЛ 10кВ №1107 ПС 35/10 кВ А-11 для технологического присоединения энергопринимающих устройств жилого дома Заявителя Демяненко К.В., х. Узяк,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</si>
  <si>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Диденко Р.Г., Бажановой Л.М., Азовский район Ростовская область (2 шт.)</t>
  </si>
  <si>
    <t>Установка приборов коммерческого учета электрической энергии (мощности) на границе земельного участка, подключенного от опоры №240-49 ВЛ-0,4 кВ №2 КТП 10/0,4кВ №240 ВЛ-10кВ №106Н ПС 110/6/10 кВ «НС-1» для технологического присоединения энергопринимающих устройств жилого дома Заявителя Клименко Е.А.,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</si>
  <si>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№40-27 ВЛ-0,4 №1 от КТП-40 по ВЛ-10 103 ПС 110 кВ Звонкая, для электроснабжения жилого дома заявителя Мурадяна М.С., Ростовская область, Кагальницкий р-н, п. Березовая Роща, ул. Степная д.15 (1 шт.)</t>
  </si>
  <si>
    <t>Установка прибора коммерческого учета электрической энергии (мощности) на границе земельного участка, подключенного от опоры No129-99 ВЛ-0,4 No3 от КТП-129 по ВЛ-10 313 ПС 35 кВ КГ3, для электроснабжения жилого дома заявителя РедькинаА.Ю., Ростовская область, Аксайский р-н, Истоминское сельское поселение, в юго-восточном направлении 2500м от центра х. Истомино, СНТ «Садко», участок No3652 (1 шт.)</t>
  </si>
  <si>
    <t>Установка прибора коммерческого учета электрической энергии (мощности) на границе земельного участка, подключенного от опоры №122-18 ВЛ-0,4 №2 от КТП-122 по ВЛ-10 313 ПС 35 кВ КГ3, для электроснабжения садового дома заявителя Щепкин В.А., Ростовская область, Аксайский р-н, х. Истомино, СНТ «Железнодорожник» уч.2667 (1 шт.)</t>
  </si>
  <si>
    <t>Установка прибора коммерческого учета электрической энергии (мощности) на границе земельного участка, подключенного от опоры №124-48 ВЛ-0,4 №1 от КТП-124 по ВЛ-10 313 ПС 35 кВ КГ3, для электроснабжения садового дома заявителя Азаровой С.Г., Ростовская область, Аксайский р-н, х. Истомино, СНТ «Железнодорожник» уч.3183 (1 шт.)</t>
  </si>
  <si>
    <t>Установка прибора коммерческого учета электрической энергии (мощности) на границе земельного участка, подключенного от опоры №194-60 ВЛ-0,4 №2 от КТП-194 по ВЛ-10 612 ПС 35 кВ КГ6, для электроснабжения личного подсобного хозяйсва заявителя Трапезниковой Н.П., Ростовская область, Кагальницкий р-н, с. Новобатайск ул. Зудова д.18 (1 шт.)</t>
  </si>
  <si>
    <t>Установка прибора коммерческого учета электрической энергии (мощности) на границе земельного участка, подключенного от опоры №28-281 ВЛ-0,4 №1 от ЗТП-28 по ВЛ-10 313 ПС 35 кВ КГ3, для электроснабжения личного подсобного хозяйства заявителя Аристакесян С.А., Ростовская область, Кагальницкий р-н. ст-ца Кировская ул. Олимпийская д. 26а (1 шт.)</t>
  </si>
  <si>
    <t>Установка прибора коммерческого учета электрической энергии (мощности) на границе земельного участка, подключенного от опоры №28-282 ВЛ-0,4 №1 от ЗТП-28 по ВЛ-10 313 ПС 35 кВ КГ3, для электроснабжения личного подсобного хозяйства заявителя  Мкртчян С.С., Ростовская область, Кагальницкий р-н. ст-ца Кировская ул. Олимпийская д. 27а (1 шт.)</t>
  </si>
  <si>
    <t>Установка прибора коммерческого учета электрической энергии (мощности) на границе земельного участка, подключенного от опоры №28-282 ВЛ-0,4 №1 от ЗТП-28 по ВЛ-10 313 ПС 35 кВ КГ3, для электроснабжения личного подсобного хозяйства заявителя Мкртчян С.С., Ростовская область, Кагальницкий р-н. ст-ца Кировская ул. Олимпийская д. 27б (1 шт.)</t>
  </si>
  <si>
    <t>Установка прибора коммерческого учета электрической энергии (мощности) на границе земельного участка, подключенного от опоры №64-48 ВЛ-0,4 №1 от КТП-64 по ВЛ-10 1102 ПС 35 кВ ЗР-11, для электроснабжения личного подсобного хозяйства заявителя Назаренко И.Н., Ростовская область, Зерноградский р-н, с. ноябрьское, пер. Торговый д.7/6 (1 шт.)</t>
  </si>
  <si>
    <t>Установка прибора коммерческого учета электрической энергии (мощности) на границе земельного участка, подключенного от опоры №27-35 ВЛ 0,4 кВ №2 КТП 10/0,4кВ №27 ВЛ 10кВ №1815 ПС 35/10 кВ А-18 для технологического присоединения энергопринимающих устройств жилого дома Заявителя Цыбан М.А.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</si>
  <si>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№112-17 ВЛ 0,4 кВ №1 КТП 10/0,4кВ №112 ВЛ 10кВ №3113 ПС 110/35/10 кВ А-31 для технологического присоединения энергопринимающих устройств жилого дома Заявителя Ткаченко С.В.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</si>
  <si>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 №226-130 ВЛ 0,4 кВ №2 КТП 10/0,4кВ №226 ВЛ 10кВ №2608 ПС 110/10 кВ «А-26» для технологического присоединения энергопринимающих устройств садового дома Заявителя Агакеримова В.А. СТ «Ягодка-2»,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</si>
  <si>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№62-6 ВЛ-0,4 кВ №1 КТП 10/0,4кВ №62 ВЛ-10кВ №302Н ПС 110/35/6/10 кВ «НС-3» для технологического присоединения энергопринимающих устройств жилого дома Заявителя Кийко Н.А., с. Еремеевка,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</si>
  <si>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№101-76 ВЛ 0,4 кВ №2 КТП 10/0,4кВ №101 ВЛ 10кВ №2412 ПС 35/10 кВ А-24 для технологического присоединения энергопринимающих устройств жилого дома Заявителя Нечепуренко Н.М., х. Полушкин,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</si>
  <si>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№381-48 ВЛ-0,4 кВ №1 КТП 10/0,4кВ №381 ВЛ 10кВ №106Н ПС 110/6/10 кВ НС-1 для технологического присоединения энергопринимающих устройств жилого дома Заявителя Сухомлинова В.И., ДНТ СН Кулешовка-2,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</si>
  <si>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оп. №223-48 ВЛ 0,4 кВ №3 КТП 10/0,4кВ №223 ВЛ-10кВ №901 ПС 35/10 кВ А-9 для технологического присоединения энергопринимающих устройств жилого дома Заявителя Розаренова В.М., с. Высочино, Азовский район Ростовская область (1 шт.)</t>
  </si>
  <si>
    <t xml:space="preserve">Установка коммерческого учета электрической энергии (мощности) на границе земельного участка, подключенного от оп. №б/н ВЛ-0,4 кВ (балансовая принадлежность Квартального Комитета №39) КТП 6/0,4 кВ №11 по ВЛ-6 кВ №10701 ПС 110/35/6 кВ "А-1", для электроснабжения жилого дома заявителя Шукирова И.А., г. Азов, Азовский р-он,  Ростовская область </t>
  </si>
  <si>
    <t>Строительство участка ВЛИ 0,4кВ от опоры № 257-94 ВЛ 0,4 кВ №2 КТП 6/0,4 кВ №257 КВЛ 6 кВ №10701 ПС 110/35/6 кВ «А-1» и системы учета электрической энергии (мощности) на границе земельного участка для электроснабжения жилого дома заявителя Сибиль Г.Н., г. Азов Ростовская область (ориентировочная протяженность ЛЭП – 0,100 км)</t>
  </si>
  <si>
    <t>Установка прибора коммерческого учета электрической энергии (мощности) на границе земельного участка, подключенного от опоры №257-91 ВЛ-0,4 кВ №2 КТП 6/0,4кВ №257 ВЛ-6кВ №10701 ПС 110/35/6 кВ «А-1» для технологического присоединения энергопринимающих устройств жилого дома Заявителя Певник А.В., г. Азов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</si>
  <si>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№25-23 ВЛ-0,4 №1 от КТП-25 по ВЛ-10 1009 ПС 35 кВ ЗР-10, для электроснабжения жилого дома заявителя Крецова А.А., Ростовская область, Зерноградский р-н, г. Зерноград, ул. Российская д.34 (1 шт.)</t>
  </si>
  <si>
    <t>Обеспечение коммерческим учетом электрической энергии (мощности) в точке поставки и установка шкафа 0,4 кВ по присоединению жилого дома Вострецовой В.В., расположенного по адресу: Ростовская область, Волгодонской район, станица Романовская, ул. Язева, д.40,  к.н. 61:08:0600601:4531</t>
  </si>
  <si>
    <t>Обеспечение коммерческим учетом электрической энергии (мощности) в точке поставки и установка шкафа 0,4 кВ по присоединению жилого дома Лысенко С.В., расположенного по адресу: Ростовская область, Волгодонской район, станица Романовская, пер. Октябрьский, д.56, к.н. 61:08:0070118:127</t>
  </si>
  <si>
    <t>Обеспечение коммерческим учетом электрической энергии (мощности) в точке поставки и установка шкафа 0,4 кВ по присоединению жилого дома Шевченко О.Ю., расположенного по адресу: Ростовская область, Волгодонской район, станица Романовская, ул. Базарная, д.34А, к.н. 61:08:0070125:382</t>
  </si>
  <si>
    <t>Обеспечение коммерческим учетом электрической энергии (мощности) в точке поставки и установка шкафа 0,4 кВ по присоединению жилого дома Урмаева А.П., расположенного по адресу: Ростовская область, Цимлянский район, п. Саркел, пер. Боевой Славы, д.5, к.н. 61:41:0011104:462</t>
  </si>
  <si>
    <t>Обеспечение коммерческим учетом электрической энергии (мощности) в точке поставки и установка шкафа 0,4 кВ по присоединению жилого дома Кружилиной М.А., расположенного по адресу: Ростовская область, Цимлянский район, п. Дубравный, ул. Красноярская, д.16,  к.н. 61:41:0030401:217</t>
  </si>
  <si>
    <t>Обеспечение коммерческим учетом электрической энергии (мощности) в точке поставки по присоединению жилого дома Рыбалкина А.А., расположенного по адресу: Ростовская область, Цимлянский район, станица Красноярская, пер. Береговой, д. 20, к.н. 61:41:0020127:899</t>
  </si>
  <si>
    <t>Обеспечение коммерческим учетом электрической энергии (мощности) в точке поставки и установка шкафа 0,4 кВ по присоединению жилого дома Копейкина С.В., расположенного по адресу: Ростовская область, Цимлянский район, станица Камышевская, ул. Бакреневская, д.17а, к.н. 61:41:0040109:16</t>
  </si>
  <si>
    <t>Обеспечение коммерческим учетом электрической энергии (мощности) в точке поставки и установка шкафа 0,4 кВ по присоединению жилого дома Киселевой Д.Б., расположенного по адресу: Ростовская область, Цимлянский район, п. Дубравный, ул. Красноярская,  д. 6, кв./оф. 2, к.н. 61:41:0030401:129</t>
  </si>
  <si>
    <t>Обеспечение коммерческим учетом электрической энергии (мощности) в точке поставки и установка шкафа 0,4 кВ по присоединению базовой станции сотовой связи БС61-02761 ПАО "МТС", расположенной по адресу: Ростовская область, Цимлянский район, х. Крутой, ул. Советская, д.2, к.н. 61:41:0020310:26</t>
  </si>
  <si>
    <t>Обеспечение коммерческим учетом электрической энергии (мощности) в точке поставки и установка шкафа 0,22 кВ по присоединению жилого дома Шульдика Д.А., расположенного по адресу: Ростовская область, Цимлянский район, станица Лозновская, ул. Лесная, д.7, к.н. 61:41:0040205:11</t>
  </si>
  <si>
    <t xml:space="preserve">Обеспечение коммерческим учетом электрической энергии (мощности) в точке поставки и установка шкафа 0,4 кВ по присоединению склада ИП главы К(Ф)Х Магомедова М.А., расположенного по адресу: Ростовская область, Цимлянскимй район, х. Ремизов,  400 м восточнее х.Ремизов к.н. 61:41:0000000:19112
</t>
  </si>
  <si>
    <t>Обеспечение коммерческим учетом электрической энергии (мощности) в точке поставки и установка шкафа 0,4 кВ по присоединению жилого дома Бацараева Х.Х., расположенного по адресу: Ростовская область, Дубовский район,  станица Подгоренская, ул. Школьная,  д. 8, к.н. 61:09:030301:0000:0885</t>
  </si>
  <si>
    <t xml:space="preserve">Обеспечение коммерческим учетом электрической энергии (мощности) в точке поставки и установка шкафа 0,4 кВ по присоединению квартиры Савченко И.С., расположенной по адресу: Ростовская область, Ремонтненский район, с. Кормовое, ул. Красная, кв./оф. 2,к.н. 61:32:0060101:237
</t>
  </si>
  <si>
    <t>Обеспечение коммерческим учетом электрической энергии (мощности) в точке поставки по присоединению жилого дома Сатуева М.Х., расположенного по адресу: Ростовская область, Ремонтненский район, п. Привольный, ул. Прудовая, д. 29, к.н. 61:32:0100101:15 (прибор учета коммерческой электрической энергии-1шт)</t>
  </si>
  <si>
    <t xml:space="preserve">Обеспечение коммерческим учетом электрической энергии (мощности)в точке поставки по присоединению полевого стана Главы К(Ф)Х Полоусова С.В., расположенного по адресу: Ростовская область, Ремонтненский район, с. Богородское, с/п Калининское, северо-восточнее с. Богородское, к.н. 61:32:0600009:4705
</t>
  </si>
  <si>
    <t xml:space="preserve">Обеспечение коммерческим учетом электрической энергии (мощности) в точке поставки по присоединению парка Администрации Приволенского сельского поселения Ремонтненского района Ростовской области, расположенного по адресу: Ростовская область, Ремонтненский район, п. Привольный, на расстоянии 70 м на запад от здания Администрации Приволенского сельского поселения, к.н. 61:32:0100101:1835 </t>
  </si>
  <si>
    <t>Обеспечение коммерческим учетом электрической энергии (мощности) в точке поставки и установка шкафа 0,4 кВ по присоединению жилого дома Богданова Ф.В., расположенного по адресу: Ростовская область, Ремонтненский район, с. Первомайское, ул. Богданова, д.151, к.н. 61:32:0080102:1953</t>
  </si>
  <si>
    <t>Обеспечение коммерческим учетом электрической энергии (мощности) в точке поставки и установка шкафа 0,4 кВ по присоединению жилого дома Наконечной О.В., расположенного по адресу: Ростовская область, Мартыновский район, х. Кривой Лиман, ул. Набережная, д.8, к.н. 61:20:0080401:2128</t>
  </si>
  <si>
    <t>Обеспечение коммерческим учетом электрической энергии (мощности) в точке поставки и установка шкафа 0,4 кВ по присоединению жилого дома Стецко Е.В., расположенного по адресу: Ростовская область, Константиновский район, станица Николаевская, ул. Ермакова, д. 83, кадастровый номер земельного участка: 61:17:0050101:1631</t>
  </si>
  <si>
    <t>Обеспечение коммерческим учетом электрической энергии (мощности) в точке поставки и установка шкафа 0,4 кВ по присоединению жилого дома Грудцина Д.В., расположенного по адресу: Ростовская область, Константиновский район, х. Старозолотовский, ул. Донских казаков, д. 16-г, кадастровый номер земельного участка: 61:17:0000000:7576</t>
  </si>
  <si>
    <t>Обеспечение коммерческим учетом электрической энергии (мощности) в точке поставки и установка шкафа 0,4 кВ по присоединению квартиры Пасько П.Г., расположенной по адресу: Ростовская область, Заветинский район, х. Савдя, ул. Школьная, д.4, кв.2, к.н. 61:11:0060101:1495</t>
  </si>
  <si>
    <t>Обеспечение коммерческим учетом электрической энергии (мощности) в точке поставки и установка шкафа 0,4 кВ по присоединению квартиры Ульяновой Т.В., расположенной по адресу: Ростовская область, Заветинский район, с. Тюльпаны, пер. Центральный, д. 3, кв. 2, кадастровый номер земельного участка: 61:11:040101:961</t>
  </si>
  <si>
    <t>Обеспечение коммерческим учетом электрической энергии (мощности) в точке поставки и установки шкафа 0,4 кВ по присоединению подсобного помещения для ведения личного подсобного хозяйства Горбачева Н.И., расположенного по адресу: Ростовская область, Заветинский район, х. Золотое Руно, ул. Заречная, д.5, к.н. 61:11:0040301:60</t>
  </si>
  <si>
    <t xml:space="preserve">Обеспечение коммерческим учетом электрической энергии (мощности) в точке поставки по присоединению жилого дома Аникеенко Н.Н., расположенного по адресу: Ростовская область, Волгодонской район, х. Холодный, ул. Набережная, д.29,  к.н. 61:08:0030303:58
</t>
  </si>
  <si>
    <t>Обеспечение коммерческим учетом электрической энергии (мощности) в точке поставки и установка шкафа 0,4 кВ по присоединению квартиры Попова В.С., расположенной по адресу: Ростовская область, Волгодонской район, х. Семенкин, ул. Школьная, д.8, кв./оф. 2, к.н. 61:08:0070503:73</t>
  </si>
  <si>
    <t>Обеспечение коммерческим учетом электрической энергии (мощности) в точке поставки и установка шкафа 0,4 кВ по присоединению жилого дома Шигалева А.В., расположенного по адресу: Ростовская область, Дубовский район, станица Подгоренская,пер. Солнечный, д. 20, кадастровый номер земельного участка: 61:09:0301:0049:332 (прибор учета коммерческой электрической энергии-1шт)</t>
  </si>
  <si>
    <t>Установка коммерческого учета электрической энергии (мощности) в точке поставки и установка шкафа 0,4 кВ по присоединению магазина №67 ИП Рудяшко В.А., расположенного по адресу: Ростовская область, Константиновский район, х. Гапкин, ул. Центральная, д.55, кадастровый номер земельного участка 61:17:0040101:444</t>
  </si>
  <si>
    <t>Обеспечение коммерческим учетом электрической энергии (мощности) в точке поставки и установка шкафа 0,4 кВ по присоединению БССС №78024 ПАО «Вымпел-Коммуникации», расположенной по адресу: Ростовская область, г. Волгодонск, ул. Лодочная, д.25, к.н. 61:48:0010401:13</t>
  </si>
  <si>
    <t>Обеспечение коммерческим учетом электрической энергии (мощности) в точке поставки и установка шкафа 0,4 кВ по присоединению жилого дома Топорова Е.В., расположенного по адресу: Ростовская область, Дубовский район, станица Подгоренская, ул. Школьная, д. 14, кадастровый номер земельного участка: 61:09:0030301:519</t>
  </si>
  <si>
    <t>Установка коммерческого учета электрической энергии (мощности) в точке поставки и установка шкафа 0,4 кВ по присоединению здания магазина ИП Василевич Е.В., расположенного по адресу: Ростовская область, Константиновский район, х. Ведерников, ул. Южная, д. 5, кадастровый номер земельного участка 61:17:0010501:232</t>
  </si>
  <si>
    <t>Установка коммерческого учета электрической энергии (мощности) в точке поставки и установка шкафа 0,4 кВ по присоединению гаража ООО «Стычное», расположенного по адресу: Ростовская область, Константиновский район, п. Стычновский, ул. Центральная, д. 2а, кадастровый номер земельного участка 61:17:0070101:434</t>
  </si>
  <si>
    <t>Обеспечение коммерческим учетом электрической энергии (мощности) в точке поставки и установка шкафа 0,4 кВ по присоединению жилого дома Царукян А.В., расположенного по адресу: Ростовская область, г. Волгодонск, ул. Отдыха, д.39в46, к.н. 61:48:0020101:1520</t>
  </si>
  <si>
    <t>Обеспечение коммерческим учетом электрической энергии (мощности) в точке поставки и установка шкафа 0,4 кВ по присоединению жилого дома Переверзевой Н.Ф., расположенного по адресу: Ростовская область, Цимлянский район, х. Лозной, ул. Советская, д. 54, кадастровый номер земельного участка: 61:41:0030109:196</t>
  </si>
  <si>
    <t>Установка прибора коммерческого учета электрической энергии (мощности) в точке поставки для присоединения части здания (магазин) ИП Опариной Н.В., расположенной по адресу: Ростовская область, Цимлянский район, станица Красноярская, ул. Победы, д.112б, кадастровый номер земельного участка: 61:41:0020108:50</t>
  </si>
  <si>
    <t>Установка коммерческого учета электрической энергии (мощности) в точке поставки и установка шкафа 0,4 кВ по присоединению жилого дома Ковтун А.С., расположенного по адресу: Ростовская область, Цимлянский район, станица Красноярская, ул. Набережная, д. 137в, кадастровый номер земельного участка 61:41:0020114:126</t>
  </si>
  <si>
    <t>Установка прибора коммерческого учета электрической энергии (мощности) в точке поставки для присоединения жилого дома Изаренковой М.И., расположенного по адресу: Ростовская область, Константиновский район, х. Ведерников, ул. Донская, д.21, кадастровый номер земельного участка: 61:17:0010502:27</t>
  </si>
  <si>
    <t>Установка коммерческого учета электрической энергии (мощности) в точке поставки и установка шкафа 0,4 кВ по присоединению жилого дома Арутюновой В.К., расположенного по адресу: Ростовская область, Волгодонской район, х. Погожев, ул. Гладкова, д. 22, кадастровый номер земельного участка 61:08:0600601:4708</t>
  </si>
  <si>
    <t>Установка коммерческого учета электрической энергии (мощности) в точке поставки и установка шкафа 0,4 кВ по присоединению жилого дома блокированной застройки Тамилиной Л.А., расположенного по адресу: Ростовская область, Волгодонской район, х. Погожев, ул. Гладкова, д. 24, кадастровый номер земельного участка 61:08:0600601:4709 (1 шт)</t>
  </si>
  <si>
    <t>Обеспечение коммерческим учетом электрической энергии (мощности) в точке поставки и установка шкафа 0,4 кВ по присоединению спального домика Поздняковой В.И., расположенного по адресу: Ростовская область, г. Волгодонск, ул. Отдыха, д.67, к.н. 61:48:0020101:1236</t>
  </si>
  <si>
    <t>Обеспечение коммерческим учетом электрической энергии (мощности) в точке поставки и установка шкафа 0,4 кВ по присоединению жилого дома  Кравец Н.Л., расположенного по адресу: Ростовская область, Волгодонской район, х. Лагутники, ул. Степная, 49, кадастровый номер земельного участка: 61:08:0070209:87</t>
  </si>
  <si>
    <t>Установка коммерческого учета электрической энергии (мощности) в точке поставки и установка шкафа 0,4 кВ по присоединению жилого дома Абдулвахабова У., расположенного по адресу: Ростовская область, Дубовский район, х. Ивановка, ул. Дорожная, д. 1, кадастровый номер земельного участка 61:09:0080201:41</t>
  </si>
  <si>
    <t>Установка прибора коммерческого учета электрической энергии (мощности) в точке поставки для присоединения склада №1 ИП главы К(Ф)Х Недорубова А.А., расположенного по адресу: Ростовская область, Константиновский район, 0,2 км севернее станицы Мариинская, к.н.з.у.: 61:17:0600016:2266</t>
  </si>
  <si>
    <t>Установка прибора коммерческого учета электрической энергии (мощности) в точке поставки для присоединения сооружения связи ООО «ДонСвязьКонструкция», расположенного по адресу: Ростовская область, Волгодонской район, станица Романовская, ул. Жемчужная, на пересечении ул. Жемчужной и пер. Союзного, вблизи жилого дома с к.н. 61:08:0070114:629, с кадастровым кварталом 61:08:0600601, к.н.з.у. 61:08:0070114:629</t>
  </si>
  <si>
    <t>Установка прибора коммерческого учета электрической энергии (мощности) в точке поставки для присоединения жилого дома Жукова В.И., расположенного по адресу: Ростовская область, Волгодонской район, станица Романовская, ул. 75 лет Победы, д. 39, к.н.з.у.: 61:08:0600601:4596</t>
  </si>
  <si>
    <t>Установка прибора коммерческого учета электрической энергии (мощности) в точке поставки для присоединения нежилого здания ИП Убейкина Д.Г., расположенного по адресу: Ростовская область, г. Волгодонск, ул. Отдыха, д.47, кадастровый номер земельного участка: 61:48:0020101:327</t>
  </si>
  <si>
    <t>Установка коммерческого учета электрической энергии (мощности) в точке поставки и установка шкафа 0,4 кВ по присоединению жилого дома Мельника В.С., расположенного по адресу: Ростовская область, Мартыновский район, х. Московский, ул. Московская, д. 11, кадастровый номер земельного участка 61:20:0070601:431</t>
  </si>
  <si>
    <t>Установка коммерческого учета электрической энергии (мощности)  в точке поставки и установка шкафа 0,4 кВ по присоединению нежилого здания Ложниченко В.С., расположенного по адресу: Ростовская область, Ремонтненский район, п. Денисовский, жт. Денисова, д. 11, строение 2, кадастровый номер земельного участка 61:32:0600008:9246</t>
  </si>
  <si>
    <t>Установка прибора коммерческого учета электрической энергии (мощности) в точке поставки для присоединения квартиры Юхно Н.Г., расположенной по адресу: Ростовская область, Ремонтненский район, п. Денисовский, ул. 40 лет Победы, д. 3, кв. 2, к.н.з.у.: 61:32:0030101:1593</t>
  </si>
  <si>
    <t>Установка прибора коммерческого учета электрической энергии (мощности) в точке поставки для присоединения индивидуального жилого дома Фисенко В.Д., расположенного по адресу: Ростовская область, Волгодонской район, станица Романовская, ул. 75 лет Победы, д. 45, к.н.з.у.: 61:08:0600601:4602</t>
  </si>
  <si>
    <t>Установка прибора коммерческого учета электрической энергии (мощности) в точке поставки для присоединения малоэтажной жилой застройки Ким М.А., расположенной по адресу: Ростовская область, Волгодонской район, станица Романовская, ул. 75 лет Победы, д.59, кадастровый номер земельного участка: 61:08:0600601:4616</t>
  </si>
  <si>
    <t>Установка прибора коммерческого учета электрической энергии (мощности) в точке поставки для присоединения жилого дома Каймачникова Д.Г., расположенного по адресу: Ростовская область, Волгодонской район, станица Романовская, ул. 75 лет Победы, д. 65, к.н.з.у.: 61:08:0600601:4621</t>
  </si>
  <si>
    <t>Установка прибора коммерческого учета электрической энергии (мощности) в точке поставки для присоединения здания администрации ИП Коваленко О.С., расположенного по адресу: Ростовская область, Волгодонской район, примерно в 1,5 км на северо-восток от станицы Романовская, к.н.з.у: 61:08:0070104:281</t>
  </si>
  <si>
    <t>Установка коммерческого учета электрической энергии (мощности) в точке поставки и установка шкафа 0,4 кВ по присоединению жилого дома Косаревой Н.С., расположенного по адресу: Ростовская область, Волгодонской район, станица Романовская, ул. Язева, д. 25, кадастровый номер земельного участка 61:08:0600601:3833 (1шт)</t>
  </si>
  <si>
    <t xml:space="preserve">Установка приборов коммерческого учета электрической энергии (мощности) в точке поставки для присоединения жилого дома Усенко М.В. и индивидуального жилого дома Шейкиной Л.П., расположенных по адресу: Ростовская область, Волгодонской район, станица Романовская, ул. 75 лет Победы, д.57, к.н.з.у.: 61:08:0600601:5144 и д.61, к.н.з.у.: 61:08:0600601:4618 </t>
  </si>
  <si>
    <t>Установка прибора коммерческого учета электрической энергии (мощности) в точке поставки для присоединения индивидуального жилого дома Удодовой Г.С., расположенного по адресу: Ростовская область, Волгодонской район, станица Романовская, ул. 75 лет Победы, д. 71, к.н.з.у.: 61:08:0600601:4627</t>
  </si>
  <si>
    <t>Установка прибора коммерческого учета электрической энергии (мощности) в точке поставки для присоединения магазина ИП Акмалиева А.Е., расположенного по адресу: Ростовская область, Волгодонской район, станица Романовская, ул. Тюхова, д. 80б, к.н.з.у.: 61:08:0000000:3578</t>
  </si>
  <si>
    <t>Установка коммерческого учета электрической энергии (мощности) в точке поставки и установка шкафа 0,4 кВ по присоединению жилого дома Шейкина С.В., расположенного по адресу: Ростовская область, Волгодонской район, станица Романовская, ул. Соловьевых, д. 75а, кадастровый номер земельного участка 61:08:0070121:292</t>
  </si>
  <si>
    <t>Установка прибора коммерческого учета электрической энергии (мощности) в точке поставки для присоединения индивидуального жилого дома Кучиной М.А., расположенного по адресу: местоположение установлено относительно ориентира, расположенного в границах участка. Почтовый адрес ориентира: Ростовская область, Волгодонской район, станица Романовская, пер. Союзный. 2, кадастровый номер земельного участка: 61:08:0070120:688</t>
  </si>
  <si>
    <t>Установка прибора коммерческого учета электрической энергии (мощности) в точке поставки для присоединения жилого дома Прокопенко И.А., расположенного по адресу: Ростовская область, Волгодонской район, х. Потапов, ул. Комсомольская, д.62,  к.н.з.у: 61:08:0040104:74</t>
  </si>
  <si>
    <t>Установка прибора коммерческого учета электрической энергии (мощности) в точке поставки для присоединения складского здания ИП Московой И.С., расположенного по адресу: Ростовская область, Волгодонской район, х. Потапов, ул. Комсомольская, д. 63Г, к.н.з.у.: 61:08:0040103:93</t>
  </si>
  <si>
    <t>Установка прибора коммерческого учета электрической энергии (мощности) в точке поставки для присоединения жилого дома Рябышева П.А., расположенного по адресу: Ростовская область, Дубовский район, х. Овчинников, ул. Весенняя, д. 21, к.н.з.у.: 61:09:0030201:62:21</t>
  </si>
  <si>
    <t>Установка прибора коммерческого учета электрической энергии (мощности) в точке поставки для присоединения жилого дома Крюковой В.Н., расположенного по адресу: Ростовская область, Дубовский район, х. Овчинников, ул. Центральная, д. 5, к.н.з.у.: 61:09:0030201:635</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</si>
  <si>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(Индивидуальный жилой дом/Садовый/Дачный дом) Стеценко С.В., расположенной по адресу: Ростовская область, Дубовский район, х. Овчинников, ул. Береговая, д.22, кадастровый номер земельного участка: 61:09:0030201:35</t>
  </si>
  <si>
    <t>Обеспечение коммерческим учетом электрической энергии (мощности) в точке поставки и установка шкафа 0,4 кВ по присоединению магазина Сардалиева Э.Н., расположенного по адресу: Ростовская область, Мартыновский район, слобода Большая Орловка, ул. Революционная, д.65-а, к.н. 61:20:0020101:13067</t>
  </si>
  <si>
    <t>Установка прибора коммерческого учета электрической энергии (мощности) в точке поставки для присоединения квартиры Крюкова С.А., расположенной по адресу: Ростовская область, Константиновский район, х. Нижнекалинов, ул. Степная, д.6, кв.2, к.н.з.у: 61:17:0060801:314</t>
  </si>
  <si>
    <t>Установка коммерческого учета электрической энергии (мощности) в точке поставки и установка шкафа 0,4 кВ по присоединению жилого дома Абраменко Г.А., расположенного по адресу: Ростовская область, Константиновский район, станица Николаевская, ул. Коммунистическая, д. 8, кадастровый номер земельного участка 61:17:0050101:6434</t>
  </si>
  <si>
    <t>Установка прибора коммерческого учета электрической энергии (мощности) в точке поставки для присоединения жилого дома Болдырева Д.П., расположенного по адресу: Ростовская область, Константиновский район, х. Суворов, ул. Центральная, д. 36, к.н.з.у.: 61:17:0040601:444</t>
  </si>
  <si>
    <t>Установка коммерческого учета электрической энергии (мощности) в точке поставки и установка шкафа 0,4 кВ по присоединению жилого дома Поповой Г.И., расположенного по адресу: Ростовская область, Ремонтненский район, с. Кормовое, ул. Мира, д. 38, кадастровый номер земельного участка 61:32:0060101:267 (1 шт)</t>
  </si>
  <si>
    <t>Установка прибора коммерческого учета электрической энергии (мощности) в точке поставки для присоединения жилого дома Титова П.А., расположенного по адресу: Ростовская область, Цимлянский район, станица Камышевская, ул. Большая Садовая, д. 59, к.н.з.у.: 61:41:0040110:32</t>
  </si>
  <si>
    <t>Установка прибора коммерческого учета электрической энергии (мощности) в точке поставки для присоединения модульного отделения почтовой связи АО «Почта России», расположенного по адресу: Ростовская область, Заветинский район, х. Шебалин, ул. Гагарина, д. 20а, к.н.з.у.: 61:11:0090101:1423</t>
  </si>
  <si>
    <t>Установка прибора коммерческого учета электрической энергии (мощности) в точке поставки для присоединения жилого дома Тарасенко Л.В., расположенного по адресу: Ростовская область, Заветинский район, с. Кичкино, ул. Октябрьская, д. 43, к.н.з.у.: 61:11:0030101:7</t>
  </si>
  <si>
    <t>Обеспечение коммерческим учетом электрической энергии (мощности) в точке поставки и установка шкафа 0,4 кВ по присоединению квартиры Мироненко Е.А., расположенной по адресу: Ростовская область, Заветинский район, с. Кичкино, ул. Школьная, д. 6, кв.2, кадастровый номер земельного участка 61:11:0030101:584</t>
  </si>
  <si>
    <t>Обеспечение коммерческим учетом электрической энергии (мощности) в точке поставки и установка шкафа 0,4 кВ по присоединению жилого дома Поддубной С.В., расположенного по адресу: Ростовская область, Заветинский район, с. Кичкино, ул. Солнечная, д. 10, кадастровый номер земельного участка 61:11:0030101:519</t>
  </si>
  <si>
    <t>Установка прибора коммерческого учета электрической энергии (мощности) в точке поставки для присоединения жилого дома Салеевой Л.М., расположенного по адресу: Ростовская область, Заветинский район, х. Шебалин, ул. Набережная, д.13, кадастровый номер объекта: 61:11:090101:0498:2300/А:0/7320</t>
  </si>
  <si>
    <t xml:space="preserve"> 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Большая Федоровка, въезд в х. Большая Федоровка, х. Большая Федоровка, ул. Заречная (Администрация Владимирского сельского поселения). (2шт)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</si>
  <si>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Петровский, ул. Центральная, д.33, Козменко В.И. (1шт)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</si>
  <si>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Садки, пер. Крутой, д.5, Галатова В.П. (1шт)</t>
  </si>
  <si>
    <t xml:space="preserve"> 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р.п. Усть-Донецкий, ул. Дачная, д. 53 (Димитренков О.М.) (1 шт.)</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</si>
  <si>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х. Чумаковский, ул. Колхозная, д. 7 (Токарев Н.И.) (1 шт.)</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</si>
  <si>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х. Бронницкий, ул. Советская, д. 36 (Счанян О.Л.) (1 шт.)</t>
  </si>
  <si>
    <t xml:space="preserve"> Обеспечение коммерческим учетом электрической энергии (мощности) в точке поставки по присоединению объекта заявителя. Ростовская область р-н. Аксайский, х. Горизонт (Каверин Д.Л.) (1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</si>
  <si>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п. Красногорняцкий, ул. Михайличенко д.15, ул. Петренко д 17 (Кузнецова О.А., Андриянцев Р.В.) (2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</si>
  <si>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Марьевка, ул. Вишневая, д. 20 (Матвиенко Т.В.) (1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</si>
  <si>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Шевченко, ул. Подгорная, д. 22 (Шерешев И.В.) (1 шт.)</t>
  </si>
  <si>
    <t>Обеспечение коммерческим учетом электрической энергии (мощности) в точке поставки по присоединению объекта заявителя. Ростовская область, Родионово-Несветайский район, х. Болдыревка, ул. Дубовая, д. 11 (Дроменко И.П.) (1 шт.)</t>
  </si>
  <si>
    <t>Обеспечение коммерческим   учетом электрической энергии (мощности) в точке поставки и установка шкафа 0,4 кВ для электроснабжения «ВРУ-0,4 кВ для наружного освещения автомобильной дороги», от опоры №19 ВЛ 0,4кВ № 1 от КТП 303 ВЛ 10кВ "Мир" ПС Н-9, расположенной по адресу Родионово-Несветайский район, х. Новотроицкий, ул. Центральная  Ростовской области</t>
  </si>
  <si>
    <t>Обеспечение коммерческим   учетом электрической энергии (мощности) в точке поставки и установка шкафа 0,4 кВ для электроснабжения «ВРУ-0,4 кВ для наружного освещения автомобильной дороги», от опоры №1 ВЛ 0,4кВ № 1 от КТП 10/0,4 № 34 ВЛ 10кВ "Мир" ПС Н-9, расположенной по адресу Родионово-Несветайский район, х. Новотроицкий, ул. Центральная  Ростовской области</t>
  </si>
  <si>
    <t>Обеспечение коммерческим учетом электрической энергии (мощности) в точке поставки по присоединению объекта заявителя. Ростовская область, Родионово-Несветайский район, сл. Родионово-Несветайская, ул. Сосновая,5, (ИП Комендатова Н.С.)</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</si>
  <si>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ст. Кривянская, ул. Орджоникидзе д.20 (Лиманцева С.И) (1 шт.)</t>
  </si>
  <si>
    <t>Установка прибора учета для присоединения базовой станции сотовой связи АО «ПБК», расположенной по адресу: Ростовская область Родионово-Несветайский район, х. Каменный Брод, ул. Первомайская,  участок в 60 м от дома № 4, в пределах кадастрового квартала 61:33:0030501, расположенный в территориальной зоне Р1 (1шт.)</t>
  </si>
  <si>
    <t>Установка прибора учета для присоединения ЛЭП 0,4 кВ жилого дома Бакушкиной Л.Г., расположенного по адресу: Ростовская область,  Родионово-Несветайский район,  х. Волошино, ул. Заречная,  д. 20, КН ЗУ: 61:33:0070101:1437 (1шт.)</t>
  </si>
  <si>
    <t>Установка прибора учета для присоединения жилого дома Бабушкина И.А., расположенного по адресу: Ростовская область, Родионово-Несветайский район,  х. Каменный Брод, ул. Смирнова,  д. 8б, КН ЗУ: 61:33:0030501:156 (1шт.)</t>
  </si>
  <si>
    <t>Установка прибора учета для присоединения объекта Малоэтажная жилая застройка (Индивидуальный жилой дом/Садовый/Дачный дом) Бунь А.П., расположенного по адресу: Ростовская область, Родионово-Несветайский район,  х. Октябрьский, СНТ "Электромонтажник", участок № 214А, КН ЗУ: 61:33:0500201:288 (1шт.)</t>
  </si>
  <si>
    <t>Установка прибора учета для присоединения Малоэтажной жилой застройки (Индивидуальный жилой дом/Садовый/Дачный дом) Данько М.В., расположенной по адресу: Ростовская область, Родионово-Несветайский район, с. Генеральское, ул. Советская,  д. 28, КН ЗУ: 61:33:0070601:36 (1шт.)</t>
  </si>
  <si>
    <t>Установка прибора учета для присоединения жилого дома Шумейко С.Н., расположенного по адресу: Ростовская область, Родионово-Несветайский район, х. Греково-Балка, ул. Центральная,  д. 24, КН ЗУ: 61:33:0021001:47 (1шт.)</t>
  </si>
  <si>
    <t>Установка прибора учета для присоединения Малоэтажной жилой застройки (Индивидуальный жилой дом/Садовый/Дачный дом) Петровой В.П., расположенной по адресу: Ростовская область, Родионово-Несветайский район, сл. Барило-Крепинская, ул. Гончарова,  д. 7, КН ЗУ: 61:33:0050101:270 (1шт.)</t>
  </si>
  <si>
    <t>Установка прибора учета для присоединения СТОА ИП Понимаш В.Н., расположенной по адресу: Ростовская область, Родионово-Несветайский район, сл. Родионово-Несветайская, ул. Гвардейцев-Танкистов,  д. 2М, КН ЗУ: 61:33:0040133:99 (1шт.)</t>
  </si>
  <si>
    <t>Установка прибора учета для присоединения жилого дома Долженко С.В., расположенного по адресу: Ростовская область, Родионово-Несветайский район, сл. Родионово-Несветайская, ул. 30 лет Победы,  д. 15, КН ЗУ: 61:33:0040123:79 (1шт.)</t>
  </si>
  <si>
    <t>Установка прибора учета для присоединения «Малоэтажной жилой застройки (Индивидуальный жилой дом/Садовый/Дачный дом)» Петровой И.В., расположенной по адресу: Ростовская область, Родионово-Несветайский район, х. Каменный Брод, ул. Каменка,  д. 43, КН ЗУ: 61:33:0030501:632 (1шт.)</t>
  </si>
  <si>
    <t>Установка прибора учета для присоединения ВРУ-0,4кВ  здания администрации Садковского сельского поселения, расположенного по адресу: Ростовская область, Красносулинский район, х.Садки, ул. Советская, д.17, к.н.з.у.: 61:18:0090104:295 (1шт.)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</si>
  <si>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Большое Зверево, ул. Колхозная, д.15,Баранова А.С. (1шт)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</si>
  <si>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п. Черевково, ул. Октябрьская д.26, кв./оф.1 (Стогнеев Г.А.) (1шт.)</t>
  </si>
  <si>
    <t>Установка прибора учета для присоединения зернохранилища ИП Поливанова В.П., расположенного по адресу: Ростовская область, Красносулинский район, с.Ребриковка, ул. Веселая, д. 5, КН ЗУ: 61:18:0050701:112» (1шт.)</t>
  </si>
  <si>
    <t>Установка прибора учета для присоединения базовой станции/ оборудование сотовой связи Красносулинского района ООО «Герц», расположенной по адресу: Ростовская область, Красносулинский район, п. Пригородный, ул. Ленина (1шт.)</t>
  </si>
  <si>
    <t>Установка прибора  учета  для  присоединения Базовой станции/ оборудование сотовой связи ООО «Герц», расположенной по адресу: Ростовская область,  Красносулинский район, х. Пушкин, Пролетарское сельское поселение, 7,5 км на юго-запад от ул. Центральная (1шт.)</t>
  </si>
  <si>
    <t>Установка прибора учета для присоединения «Малоэтажная жилая застройка (Индивидуальный жилой дом/Садовый/Дачный дом)» Кравченко А.Н. расположенной по адресу: р-н. Родионово-Несветайский с. Генеральское, ул. Ленина,  д. 28а, к.н.з.у. 61:33:0070601:1750</t>
  </si>
  <si>
    <t>Установка прибора учета для присоединения жилого дома Миронова И.В., расположенного по адресу: Ростовская область, Родионово-Несветайский район, сл. Родионово-Несветайская, ул. Панфиловцев,  д. 39,  д. 1, КН ЗУ: 61:33:0040137:5 (1шт.)</t>
  </si>
  <si>
    <t>Установка прибора учета для присоединения «Малоэтажная жилая застройка (Индивидуальный жилой дом/Садовый/Дачный дом)» Михно Г.В.. расположенной по адресу: р-н. Родионово-Несветайский, сл. Большекрепинская, ул. Заречная, д. 42а, к.н.з.у. 61:33:0060101:3032</t>
  </si>
  <si>
    <t>Установка прибора учета для присоединения жилого дома Шакарян А.В., расположенного по адресу: Ростовская область, Родионово-Несветайский район,  сл. Родионово-Несветайская, ул. Айвовая,  д. 17, КН ЗУ: 61:33:0040123:251 (1шт.)</t>
  </si>
  <si>
    <t>Строительство ВЛИ-0,4 кВ от оп.32 по 64 по ВЛ 0,4кВ № 2 от ТП № 48 ВЛ-10 кВ Новоегорьевка ПС Н-9, для электроснабжения земельного участка ИП Лигус В.Н. по адресу: Родионово-Несветайский район, х. Греково-Балка, к.н.з.у. 61:33:0600006:146, (ориентировочная протяженность ЛЭП – 0,290 км)</t>
  </si>
  <si>
    <t xml:space="preserve">Обеспечение коммерческим учетом электрической энергии (мощности) в точке поставки и установка шкафа с коммутационным аппаратом для электроснабжения ВРУ-0,4 кВ ремонтного цеха ИП Ванян С.А., Ростовская область, Красносулинский район, на землях ПСХ «Аютинское», к.н.з.у.: 61:18:0600022:158 </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</si>
  <si>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с. Прохоровка, ул. Центральная, д.94 (Конкин Артур Петрович) (1шт.)</t>
  </si>
  <si>
    <t>Установка  прибора  учета  для  присоединения детского сада на 60 мест Муниципального казенного учреждения Красносулинского района «Отдел капитального строительства», расположенного по адресу: Ростовская область, Красносулинский район, ст. Владимировская, ул. Школьная, б/н, КН ЗУ: 61:18:0020103:171 (1шт.)</t>
  </si>
  <si>
    <t>Обеспечение коммерческим учетом электрической энергии (мощности) в точке поставки по присоединению объекта Заявителя ВРУ-0,4 кВ для электроснабжения хозяйственной постройки Ващенко Е.В., расположенного по адресу: Ростовская область, Семикаракорский район, ст. Кочетовская, ул. Набережная,  д. 51, к.н.з.у.: 61:35:0080101:4074 (1шт)</t>
  </si>
  <si>
    <t>Обеспечение коммерческим учетом электрической энергии (мощности) в точке поставки по присоединению объекта заявителя. Ростовская обл., р-н Усть-Донецкий, х. Пухляковский, ул. Западная, д. 13-В (Малейко Г.В.)</t>
  </si>
  <si>
    <t>Установка прибора учета для присоединения жилого дома Бойко С.В., расположенного по адресу: Ростовская область, Усть-Донецкий район, х. Пухляковский, ул. Садовая,  д. 5, КН ЗУ: 61:39:0090101:368» (1шт.)</t>
  </si>
  <si>
    <t>Установка прибора учета для присоединения жилого дома Коробова С.Е., расположенного по адресу: Ростовская область, Усть-Донецкий район, ст. Нижнекундрюченская, ул. Нечаевская,  д. 2, КН ЗУ: 61:39:0060101:117 (1шт.)</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</si>
  <si>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ст. Нижнекундрюченская, ул. Пролетарская, д.25 (ИП Автонов П.В.)</t>
  </si>
  <si>
    <t>Установка прибора учета для присоединения жилого дома  Шабановой Е.А., расположенного по адресу: Ростовская область, Усть-Донецкий район, х. Апаринский, ул. Университетская,  д. 8, кадастровый номер земельного участка: 61:39:0050102:48 (1шт.)</t>
  </si>
  <si>
    <t>Установка прибора учета для присоединения объекта ВРУ-0.4кВ жилого дома Попова М.В., расположенного по адресу: Ростовская область, Усть-Донецкий район, х. Апаринский, ул. Первомайская, д. 18, кадастровый номер земельного участка: 61:39:050102:0022 (1 шт)</t>
  </si>
  <si>
    <t>Установка прибора учета для присоединения  жилого дома  Залепиловой О.М., расположенного по адресу: Ростовская область, Усть-Донецкий район, р.п. Усть-Донецкий, ул. Шолохова,  д. 52, КН ЗУ: 61:39:0010104:44 (1шт.)</t>
  </si>
  <si>
    <t>Установка прибора учета для присоединения жилого дома  Токаревой С.М., расположенного по адресу: Ростовская область, Усть-Донецкий район, р.п. Усть-Донецкий, ул. Виноградная,  д. 39, кадастровый номер земельного участка: 61:39:0010104:219 (1шт.)</t>
  </si>
  <si>
    <t>Установка прибора учета для присоединения жилого дома  Бузулуцкой Л.И., расположенного по адресу: Ростовская область, Октябрьский район, п. Равнинный, ул. Майская,  д. 23, кадастровый номер земельного участка: 61:28:0020601:87 (1шт.)</t>
  </si>
  <si>
    <t>Установка прибора учета для присоединения объекта ВРУ-0.4кВ жилого дома Каменева М.В., расположенного по адресу: Ростовская область, Усть-Донецкий район, ст. Нижнекундрюченская, ул. Почтовая,  д. 41, кадастровый номер земельного участка: 61:39:0060102:143 (1 шт)</t>
  </si>
  <si>
    <t>Обеспечение коммерческим учетом электрической энергии (мощности) в точке поставки для электроснабжения ВРУ-0.4кВ объекта благоустройства прибрежной зоны вдоль реки Северский Донец Администрации Апаринского с/п, расположенного по адресу: Ростовская область, Усть-Донецкий район, х. Апаринский, примерно в 150 м по направлению на юго-восток от земельного участка № 58 по ул. Донецкая, кадастровый номер земельного участка 61:39:0600009:348</t>
  </si>
  <si>
    <t>Установка прибора учета для присоединения дошкольной образовательной организации (учреждения) МКУ «Служба заказчика» Усть-Донецкого района, расположенного по адресу: Ростовская область, Усть-Донецкий район, х. Апаринский, ул. Виноградная,  д. 22, КН ЗУ 61:39:0050101:1461 (1шт.)</t>
  </si>
  <si>
    <t>Строительство ВЛИ-0,4 кВ от оп.3 ВЛ 0,4 кВ № 1 от МТП 10/0,4кВ № М-2 по ВЛ-10кВ «Маяки» ПС Н-15, для электроснабжения жилого дома Семенова А.А.по адресу: р-н. Родионово-Несветайский, х. Атамано-Власовка, ул. Чапаева, д. 3, (ориентировочная протяженность ЛЭП – 0,040 км)</t>
  </si>
  <si>
    <t>Обеспечение коммерческим учетом электрической энергии (мощности) в точке поставки по присоединению объекта заявителя. Ростовская область, Родионово-Несветайский район, сл. Родионово-Несветайская, ул. Айвовая, д. 32  (Сухин Ю.С.)</t>
  </si>
  <si>
    <t>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х. Новотроицкий, ул. Степная, д. 6 (Лимарев А.А.)</t>
  </si>
  <si>
    <t>Установка прибора учета  для присоединения базовой станции/оборудования сотовой связи ПАО междугородной и международной электрической связи «Ростелеком», расположенной по адресу: Ростовская область, Красносулинский район, с. Павловка (1шт.)</t>
  </si>
  <si>
    <t>Установка прибора учета для присоединения базовой станции/оборудования сотовой связи ПАО междугородной и международной электрической связи «Ростелеком», расположенной по адресу: Ростовская область, Красносулинский район, х. Васецкий (1шт.)</t>
  </si>
  <si>
    <t>Установка прибора учета для присоединения склада ИП Данилова Н.В., расположенного по адресу: Ростовская область, Красносулинский район, с. Киселево, ул. Лермонтова, д. 6, КН ЗУ: 61:18:0050104:105 (1шт.)</t>
  </si>
  <si>
    <t>Установка прибора учета для присоединения жилого дома Абанина Д.Н, расположенного по адресу: Ростовская область, Красносулинский район, п. Пригородный, ул. 47-й Гвардейской Стрелковой Дивизии, д. 66, КН ЗУ: 61:18:0110104:26 (1шт.)</t>
  </si>
  <si>
    <t>Установка прибора учета для присоединения жилого дома Димитрова Н.И., расположенного по адресу: Ростовская область, Красносулинский район, х. Молаканский, пер. Школьный, д. 3 (1шт.)</t>
  </si>
  <si>
    <t>Обеспечение коммерческим учетом электрической энергии«Обеспечение коммерческим учетом электрической энергии  в точке поставки, по присоединению жилого дома Кривовой А.Н., расположенного по адресу: Ростовская область, Белокалитвинский район,  х. Гусынка, ул. Хуторская, д. № 8, к.н. (1шт)</t>
  </si>
  <si>
    <t>Обеспечение коммерческим учетом электрической энергии в точке поставки, по присоединению телятника № 2 индивидуального предпринимателя Вдовенко Л.Н., расположенного по адресу: Ростовская область, Белокалитвинский район, х. Ильинка, 200 метров восточнее х. Ильинка, к.н. 61:04:0600002:393(1шт)</t>
  </si>
  <si>
    <t>Обеспечение коммерческим учетом электрической энергии в точке поставки, по присоединению жилого дома Бобик Р.В., расположенного по адресу: Ростовская область, Милютинский район, ст.Селивановская, ул.Череватенко, д.6, к.н. 61:23:080101:148 (прибор учёта электроэнергии - 1шт)</t>
  </si>
  <si>
    <t>Обеспечение коммерческим учетом электрической энергии  в точке поставки, по присоединению жилого дома Романова В.Г., расположенного по адресу: Ростовская область, Милютинский район, х. Сулинский, пер. Тенистый, д.5, к.н. 61:23:010101:12 (прибор учёта электроэнергии - 1шт)</t>
  </si>
  <si>
    <t>Обеспечение коммерческим учетом электрической энергии  в точке поставки, по присоединению жилого дома Кузнецова Сергея Генадьевича расположенного по адресу: Ростовская область, Обливский район, хутор Кзыл-Аул, улица Муссы Джалиля, дом 3, к.н. 61:27:0071201:98 (прибор учёта электроэнергии - 1шт).</t>
  </si>
  <si>
    <t>Обеспечение коммерческим учетом электрической энергии в точке поставки, по присоединению жилого дома Пивневой О.И., расположенного по адресу: Ростовская область, Обливский район, х. Караичев, ул. Новая, д. 11, к.н. 61:27:0040104:66(прибор учета электроэнергии – 1шт).</t>
  </si>
  <si>
    <t>Обеспечение коммерческим учетом электрической энергии в точке поставки, по присоединению жилого дома Давыдова А.А., расположенного по адресу: Ростовская область, Белокалитвинский район, п. Сосны, ул. Севастопольская д, 8 кв.2, к.н. 61:04:0150405:221(1шт)</t>
  </si>
  <si>
    <t>Обеспечение коммерческим учетом электрической энергии в точке поставки, по присоединению жилого дома ООО «АСБ-Калитва»., расположенного по адресу: Ростовская область, Белокалитвинский район, х. Ильинка, ул. Первомайская, д. 9, к.н. 61:04:0140103:47 (прибор учёта электроэнергии - 1шт)</t>
  </si>
  <si>
    <t>Установка прибора коммерческого учёта электрической энергии для присоединения жилого дома Мушаковой М.В., расположенного по адресу: Ростовская область, Белокалитвинский район, х. Ильинка, ул. Советская, д. № 12, к.н. 61:04:0140107:95 (прибор учета электроэнергии – 1шт)</t>
  </si>
  <si>
    <t>Установка прибора коммерческого учёта электрической энергии для присоединения строящегося жилого дома Морозова Д.Д., расположенного по адресу: Ростовская область, Белокалитвинский район, п. Сосны, ул. Энергетиков, д. № 15 а, к.н. 61:04:0150407:277(прибор учета электроэнергии – 1шт).</t>
  </si>
  <si>
    <t>Установка прибора коммерческого учёта электрической энергии для присоединения строящегося жилого дома Петросяна А.Р., расположенного по адресу: Ростовская область, Белокалитвинский район, х. Апанасовка, ул. Луговая д, 2 к.н. 61:04:0130103:130(прибор учета электроэнергии – 1шт).</t>
  </si>
  <si>
    <t>Установка прибора коммерческого учёта электрической энергии,  для присоединения Фельдшерского-акушерского пункта «Центральная Районная больница»., расположенного по адресу: Ростовская область, Белокалитвинский район, х. Насонтов, ул. Центральная, д. № 64, к.н. з.у. 61:04:070301:0040 (прибор учета электроэнергии – 1шт)</t>
  </si>
  <si>
    <t>Обеспечение коммерческим учетом электрической энергии  в точке поставки, по присоединению жилого дома Панкратова Михаила Валерьевича, расположенного по адресу: Ростовская область, Обливский район,  хутор Солонецкий,  улица Подгорная, дом 4, к.н. 61:27:0060101:177 (прибор учёта электроэнергии - 1шт).</t>
  </si>
  <si>
    <t>Обеспечение коммерческим учетом электрической энергии в точке поставки, по присоединению «здание пожарного депо» Администрации муниципального образования «Обливское сельское поселение» Обливского района Ростовской области, расположенного по адресу: Ростовская область, Обливский район, хутор Ковыленский,    улица Центральная, дом 16а, к.н. 61:27:0071101:224» (прибор учёта электроэнергии - 1шт).</t>
  </si>
  <si>
    <t>Установка прибора коммерческого учёта электрической энергии для присоединения административного здания, Администрации муниципального образования «Калач –Куртлакского сельского поселения», расположенного по адресу: Ростовская область, Советский район, сл. Калач-Куртлак, ул. Молодежная, д.9, к.н. 61:36:0040101:346 (прибор учета электроэнергии – 1шт).</t>
  </si>
  <si>
    <t>Обеспечение коммерческим учетом электрической энергии в точке поставки, по присоединению жилого дома Степикина А.П., расположенного по адресу: Ростовская область, Тацинский район, х. Верхнеобливский, ул. Советская, 13 (1 шт)</t>
  </si>
  <si>
    <t>'Установка прибора коммерческого учёта электрической энергии для присоединения жилого дома Зинаковой С.О., расположенного по адресу: Ростовская область, Белокалитвинский район, х. Поцелуев, ул. Газодобытчиков д,4 к.н. 61:04:0050104:36 (прибор учёта электроэнергии - 1шт).</t>
  </si>
  <si>
    <t>Установка прибора коммерческого учёта электрической энергии, для присоединения зернохранилища № 2 ИП Главы КФХ Курилина В.Н., расположенного по адресу: Ростовская область, Милютинский район, х. Николаевка, ул. Северная д. 11, к.н.з.у. 61:23:0600011:692 (прибор учёта электроэнергии      30 кВт - 1шт.)</t>
  </si>
  <si>
    <t>Установка прибора коммерческого учёта электрической энергии для присоединения жилого дома Желещиковой М.И., расположенного по адресу: Ростовская область, Морозовский район, х. Вознесенский, ул. Заречная, д.21, к.н. 61:24:0030504:17 (прибор учёта электроэнергии - 1шт.)</t>
  </si>
  <si>
    <t>Установка прибора коммерческого учёта электрической энергии для присоединения жилого дома Кулюк В.В., расположенного по адресу: Ростовская область, Морозовский район, х. Золотой, ул. Золотая, д. 10, к.н. 61:24:0080201:30 (прибор учёта электроэнергии - 1шт.)</t>
  </si>
  <si>
    <t>Установка прибора коммерческого учёта электрической энергии для присоединения гаража Ткачевой Н.А., расположенного по адресу: Ростовская область, Тарасовский район,  
х. Ерофеевка, ул. Школьная, д. 8, к.н. 61:37:0050401:603 (прибор учёта электроэнергии - 1шт).</t>
  </si>
  <si>
    <t>Установка прибора коммерческого учёта электрической энергии, для присоединения кафе ООО «Топ фудс лтд», расположенного по адресу: Ростовская область, Тарасовский р-н, Дячкинское сельское поселение, 2,3 км на северо-восток от сл. Дячкино, к.н. 61:37:0600012:1899 (прибор учёта электроэнергии - 1шт)</t>
  </si>
  <si>
    <t>65</t>
  </si>
  <si>
    <t>Установка прибора коммерческого учёта электрической энергии, для присоединения объекта сельскохозяйственного производства Скорикова В.Ф., расположенного по адресу: Ростовская область, Каменский район, Красновское сельское поселение, к.н.з.у. 61:15:0601001:1804 (прибор учёта электроэнергии - 1шт.)</t>
  </si>
  <si>
    <t>Обеспечение коммерческим учетом электрической энергии в точке поставки, по присоединению здания модульный ФАП МБУЗ «ЦРБ» расположенного по адресу: Ростовская область, Морозовский район, х. Трофименков, ул. Садовая, д.19 в, к.н. 61:24:0020501:624 (1шт)</t>
  </si>
  <si>
    <t>Обеспечение коммерческим учетом электрической энергии в точке поставки, по присоединению жилого дома Кисловой А.В., расположенного по адресу: Ростовская область, Тарасовский район, х. Липовка, ул. Пролетарская, д. 63, к.н. 61:37:0020301:83 (прибор учёта электроэнергии - 1шт)</t>
  </si>
  <si>
    <t>Обеспечение коммерческим учетом электрической энергии в точке поставки, по присоединению жилого дома Пивоварова В.А., расположенного по адресу: Ростовская область, Тарасовский район, сл. Колушкино, ул. Степная, д. 1, к.н. 61:37:090101:0220 (прибор учёта электроэнергии - 1шт)</t>
  </si>
  <si>
    <t>Установка прибора коммерческого учёта электрической энергии для присоединения жилого дома Шипиловой А.А., расположенного по адресу: Ростовская область, Милютинский район,                              х. Сулинский, ул. Заречная, д. № 4, к.н. 61:23:0010101:225 (прибор учёта электроэнергии - 1шт)</t>
  </si>
  <si>
    <t>Обеспечение коммерческим учетом электрической энергии  в точке поставки, по присоединению автогаража Середенко А.В., расположенного по адресу: Ростовская область, Милютинский район, х.Николовка, ул.Торговая, д.28, к.н. 61:23:0600011:735(прибор учёта электроэнергии - 1шт)</t>
  </si>
  <si>
    <t>Обеспечение коммерческим учетом электрической энергии  в точке поставки, по присоединению жилого дома Аникина С.Н., расположенного по адресу: Ростовская область, Милютинский район, ст. Селивановская, ул. Кооперативная, д. № 27, к.н. 61:023:0080101:1056 (прибор учета электроэнергии – 1шт)</t>
  </si>
  <si>
    <t>Установка прибора коммерческого учёта электрической энергии для присоединения здания детского сада № 7 Муниципального бюджетного дошкольного образовательного учреждения х. Новодмитриевский, расположенного по адресу: Ростовская область, Милютинский район, х.Новодмитриевский, ул. Новодмитриевка, д. № 10, к.н. 61:23:0050401:207(прибор учета электроэнергии – 1шт).</t>
  </si>
  <si>
    <t xml:space="preserve">Установка прибора коммерческого учёта электрической энергии, для присоединения крытого тока Диденко Н.И., 
расположенного по адресу: Ростовская область, Милютинский район сл. Маньково-Берёзовская, в 930 метрах на запад от сл. Маньково-Берёзовская КН ЗУ 61:23:0600006:773 (прибор учета электроэнергии – 1шт)
</t>
  </si>
  <si>
    <t>Установка прибора коммерческого учёта электрической энергии, для присоединения жилого дома Соколова А.И., расположенного по адресу: Ростовская обл., Милютинский р-н, х. Николовка, ул. Заречная, д.16, к.н. з.у. 61:23:0040301:70, (прибор учёта электроэнергии - 1шт)</t>
  </si>
  <si>
    <t>Установка прибора коммерческого учёта электрической энергии, для присоединения ВРУ- 0,22 кВ квартиры Давыдовой В.С., расположенной по адресу: Ростовская область, Милютинский район, х. Юдин, пер. Космонавтов, д. № 8, стр.1, кв.2, к.н. 61:23:0030101:2113 (прибор учёта электроэнергии - 1шт.).</t>
  </si>
  <si>
    <t>Обеспечение коммерческим учетом электрической энергии  в точке поставки, по присоединению сельского клуба МБУК «Покровский СК», расположенного по адресу: Ростовская область, Морозовский р-н, х. Покровский, ул. Покровская, д. 52, к.н. 61:21:0080501:52 (прибор учёта электроэнергии - 1шт).</t>
  </si>
  <si>
    <t>Обеспечение коммерческим учетом электрической энергии  в точке поставки, по присоединению жилого дома Гаврильчик А.Н., расположенного по адресу: Ростовская область, Морозовский р-н, х. Чекалов, ул. Молодежная, д. 1, к.н. 61:24:0070505:25 (прибор учёта электроэнергии - 1шт).</t>
  </si>
  <si>
    <t>Обеспечение коммерческим учетом электрической энергии  в точке поставки, по присоединению жилого дома Коренькова А.П., расположенного по адресу: Ростовская область, Морозовский р-н,  ст-ца. Вольно-Донская, ул. Молодежная, д. 15, к.н. 61:24:0060104:75 (прибор учёта электроэнергии - 1шт).</t>
  </si>
  <si>
    <t>Обеспечение коммерческим учетом электрической энергии  в точке поставки, по присоединению жилого дома Ганжа А.А.,  расположенного по адресу: Ростовская область, Советский район,слобода Чистяково, ул. Советская, д.12 к.н.з.у. 61:36:0020101:285 (прибор учета электроэнергии – 1шт)</t>
  </si>
  <si>
    <t>Установка прибора коммерческого учёта электрической энергии, для присоединения строящегося нежилого здания ИП Беркутова М.А., расположенного по адресу: Ростовская область, Советский район,  сл. Петрово, ул. Центральная, д.27 «а» к.н. 61:36:0040301:906 (прибор учета электроэнергии – 1шт)</t>
  </si>
  <si>
    <t>Установка прибора коммерческого учёта электрической энергии для присоединения ВРУ-0,4 кВ жилого дома  Кисленко В.Н., расположенного по адресу: Ростовская область, Тацинский район, х. Верхнеобливский, ул. Советская, 17 (прибор учёта электроэнергии - 1шт).</t>
  </si>
  <si>
    <t>Установка прибора коммерческого учёта электрической энергии, для присоединения ВРУ-0,4 кВ строящегося здания ИП Демидовой Н.Н., расположенного по адресу: Ростовская область, Тацинский район, х. Верхнеобливский, примерно в 50 м на восток от ул. Школьная, 48, к.н. 61:38:0600003:1007 (прибор учёта электроэнергии - 1шт.)</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</si>
  <si>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Скляровой И.С., расположенного по адресу: Ростовская область, Миллеровский район, х. Терновой, ул. Школьная, д. 98, к.н.з.у. 61:22:0061001:170 (1 шт)</t>
  </si>
  <si>
    <t>Обеспечение коммерческим учетом электрической энергии (мощности) в точке поставки и установка шкафа 0,4 кВ с коммутационным аппаратом, для присоединения ВРУ-0,4 кВ уличного освещения, расположенного по адресу: Ростовская область, Боковский район, ст-ца Каргинская, ул. Чирская, д. 31 Б, к.н. 61:05:0040101:257</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</si>
  <si>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Афанасьевой Н.В., расположенного по адресу: Ростовская область, Шолоховский район, х. Дударевский, ул. Мостовая, д. 5, к.н. 61:43:041901:0046</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</si>
  <si>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Горбуновой Т.В., расположенного по адресу: Ростовская область, Кашарский район, п. Дибровый, кв-л. Школьный, д.21, к.н. 61:16:0130301:347</t>
  </si>
  <si>
    <t>Обеспечение коммерческим учетом электрической энергии (мощности) в точке поставки и установка шкафа 0,4 кВ с коммутационным аппаратом, для присоединения ЩРУ-0,4 кВ для сельскохозяйственного производства Дорониной Н.А., расположенного по адресу: Ростовская область, Верхнедонской  район, х. Громчанский, к.н. 61:07:0600026:320</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</si>
  <si>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Ермаковой О.С., расположенного по адресу: Ростовская область, Шолоховский район, х. Дубровский, пер. Степной, д. 10, к.н. 61:43:0030101:530</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</si>
  <si>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квартиры Казакова В.И., расположенного по адресу: Ростовская область, Кашарский район, с. Первомайское, ул. Торговая, д.5, кв./оф. 2, к.н. 61:16:0110102:194</t>
  </si>
  <si>
    <t>Обеспечение коммерческим учетом электрической энергии (мощности) в точке поставки и установка шкафа 0,4 кВ с коммутационным аппаратом, для присоединения жилого дома Кораблева В.Ю., расположенного по адресу: Ростовская область, Миллеровский район, х. Еритовка, ул. Октябрьская, д.13, к.н. 61:22:0080301:26 (1 шт)</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</si>
  <si>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Парамонова А.М., расположенного по адресу: Ростовская область, Шолоховский район, х. Антиповский, ул. Асфальтная, д. 36, к.н. 61:43:0030201:368</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</si>
  <si>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Магазина 111,заявителя ИП Щусь А.П., расположенного по адресу: Ростовская область, Чертковский район, х. Сидоровский, д. 5,  к.н. 61:42:0070201:73</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</si>
  <si>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Луганской Т.Н., расположенного по адресу: Ростовская область, Кашарский район, с. Первомайское, ул. Калинина, д.5, к.н. 61:16:0110102:690</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</si>
  <si>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Попова М.А., расположенного по адресу: Ростовская область, Кашарский район, с. Россошь, ул. Центральная, д.60, к.н. 61:16:0140101:723</t>
  </si>
  <si>
    <t>Обеспечение коммерческим учетом электрической энергии (мощности) в точке поставки и установка шкафа 0,4 кВ с коммутационным аппаратом, для энергоснабжения домовладения Симонова П.А., расположенного по адресу: Ростовская область, Верхнедонской район, х. Озерский, ул. Верхняя, д. 14, к.н. 61:07:0080301:484 (1 шт.)</t>
  </si>
  <si>
    <t>Обеспечение коммерческим учетом электрической энергии (мощности) в точке поставки и установка шкафа 0,4 кВ с коммутационным аппаратом, для энергоснабжения жилого помещения Теймурова Л.А., расположенного по адресу: Ростовская область, Верхнедонской район, ст. Мешковская, ул. Молодежная, д. 8, кв. 2, к.н. 61:07:0110501:229 (1 шт.)</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</si>
  <si>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Ягольник А.Ю., расположенного по адресу: Ростовская область, Кашарский район, с. Первомайское, ул. Торговая, д.7, к.н. 61:16:0110102:192</t>
  </si>
  <si>
    <t xml:space="preserve">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квартиры, заявителя Осадченко А.Т., расположенного по адресу: Ростовская область, Миллеровский район, х.Каменка, ул. Школьная, д. 21,кв/оф 2 </t>
  </si>
  <si>
    <t>Обеспечение коммерческим учетом электрической энергии (мощности) в точке поставки и установка шкафа 0,4 кВ с коммутационным аппаратом, для энергоснабжения объекта придорожного сервиса заявителя Савельева Д.Д., расположенного по адресу: Ростовская область, Верхнедонской район,х. Ароматный, ул. Лисовенко, д. 1, к.н. 61:07:0050201:284 (1 шт)</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</si>
  <si>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квартиры заявителя Соловьевой Т.А., расположенного по адресу: Ростовская область, Шолоховский район, х. Калининский, ул. Центральная, д. 26, кв. 1 к.н.з.у. 61:43:050101:0776</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</si>
  <si>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Чукарина А.П., расположенной по адресу: Ростовская область, Шолоховский район, х. Затонский, ул. Центральная, д. 48, к.н.з.у. 61:43:0080401:88 (1 шт)</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</si>
  <si>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Вяликовай Л.А., расположенной по адресу: Ростовская область, Шолоховский район, х. Варваринский, ул. Горская, д. 51, к.н.з.у. 61:43:0080201:136 (1 шт)</t>
  </si>
  <si>
    <t>"Обеспечение коммерческим учетом электрической энергии(мощности) в точке поставки и установка шкафа 0,4 кВ с коммутационным аппаратом для электроснабжения жилого дома заявителя Гладковой Л.Н.,расположенного по адресу:Ростовская область,Кашарский район,х.Третий Интернационал,ул.Заветная,д.25,к.н.з.у. 61:16:0070401:161"</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</si>
  <si>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заявителя,Лаврова Н.Н.., расположенной по адресу: РО, Чертковский район, х. Маньковский, ул. Маньковская, д.9б, к.н.з.у. 61:42:0070301:178"</t>
  </si>
  <si>
    <t>"Обеспечение коммерческим учетом электрической энергии(мощности) в точке поставки и установка шкафа 0,4 кВ с коммутационным аппаратом для электроснабжения жилого дома заявителя Монастырсков А.А.., расположенного по адресу: Ростовская область, Верхнедонской район, х.Гормиловский, ул.Гормиловская, д.50, к.н.з.у. 61:07:0080501:42"</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</si>
  <si>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Скорикова А.П., расположенной по адресу: Ростовская область, Верхнедонской район, х. Михайловский, ул. Степная, д. 42, к.н.з.у. 61:07:0100201:10» (1 шт)</t>
  </si>
  <si>
    <t>"Обеспечение коммерческим учетом электрической энергии(мощности) в точке поставки и установка шкафа 0,4 кВ с коммутационным аппаратом для электроснабжения жилого дома заявителя Топольскова С.Ф.,расположенного по адресу:Ростовская область,Верхнедонской  район,х.Солонцовский,ул.Солонцовская,д.12, к.н.з.у. 61:07:0060401:12"</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</si>
  <si>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Агафонова Ю.М., расположенного по адресу: Ростовская область, Верхнедонской район, х. Назаровский, ул. Назаровская, д. 12, к.н.з.у. 61:07:0110401:80 (1 шт.)</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</si>
  <si>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Агафоновой Е.С., расположенного по адресу: Ростовская область, Верхнедонской  район, х. Поповка, ул. Атаманская, д. 93, к.н.з.у. 61:07:0040401:562"</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</si>
  <si>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Воробьева Л.В., расположенного по адресу: Ростовская область, Шолоховский район, х. Громковский, ул. Почтовая, д. 496 а, к.н. 61:43:0010501:1176"</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</si>
  <si>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квартиры заявителя, Дудукаловой В.Н., расположенного по адресу: Ростовская область, Верхнедонской  район, х. Верхняковский, ул. Садовая, д.2, к. 1, к.н.з.у. 61:07:0100501:147"</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</si>
  <si>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Титова В.А., расположенного по адресу: Ростовская область, Верхнедонской район, х. Верхняковский, ул. Дорожная, д. 5, к.н.з.у. 61:07:0100501:378 (1 шт)</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</si>
  <si>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склада заявителя, СПК "Крестьянин"., расположенного по адресу: Ростовская область, Верхнедонской  район, ст. Шумилинская, ул. Чехова,  д. 6/2,  к.н.з.у. 61:07:0030101:1503</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</si>
  <si>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здания конторы Заявителя, СПК (колхоз) "Мир"., расположенного по адресу: Ростовская область, Чертковский  район, с. Сохрановка, ул. Школьная,  д. 2 б,  к.н.з.у. 61:42:0150101:612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</si>
  <si>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Киселева Ю.В., расположенного по адресу: Ростовская область, Миллеровский  район, сл. Волошино, ул. Первомайская, д. 52, к.н.з.у. 61:22:0020101:484</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</si>
  <si>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Капелюшного В.Е., расположенного по адресу: Ростовская область, Кашарский район, х. Семеновка, ул. Заречная, д. 20, к.н.з.у. 61:16:0130701:145</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</si>
  <si>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квартиры Заявителя, Лиманского И.Н., расположенной по адресу: Ростовская область, Кашарский район, п. Индустриальный, ул. Зеленая, д. 2, кв. 1, к.н.з.у. 61:16:0060101:470 (1 шт.)</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</si>
  <si>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Поповой Н.П., расположенного по адресу: Ростовская область, Шолоховский район, х. Дударевский, ул. Свдовая, д. 3, к.н.з.у. 61:43:0040101:482</t>
  </si>
  <si>
    <t>Строительство ВЛ-0,4кВ от опоры №52/3 по ВЛ-0,4кВ №2 КТП-10/0,4 кВ №284 по ВЛ-10кВ №5 ПС 35/10кВ "Ореховская",  установка прибора коммерческого учета электрической энергии (мощности) в точке поставки и установка шкафа 0,4кВ с коммутационным аппаратом (1 шт.) для технологического присоединения личного подсобного хозяйства заявителя Шишкова Ю.А.,расположенного по адресу: Ростовская область, Миллеровский р-н ,х. Ореховка,(к.н.з.у. 61:22:0600027:2077) (ориентировочная протяженность ЛЭП-0,055 км,)</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</si>
  <si>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Семиляковой О.И., расположенного по адресу: Ростовская область,Кашарский  район, х. Новодонецкий, ул. Ольховая, д.50, к.н.з.у. 61:16:0010201:134</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</si>
  <si>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Рыбаковой С.А., расположенного по адресу: Ростовская область, Шолоховский район, х. Колундаевский, пер. Новый, д.4, к.н.з.у. 61:43:0060101:497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</si>
  <si>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Харченко Ю.А., расположенного по адресу: Ростовская область, Кашарский район, с. Россошь, ул. Центральная, д. 53, к.н.з.у. 61:16:0140101:52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</si>
  <si>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Подкуйко А.В., расположенного по адресу: Ростовская область, Миллеровский  район, х. Новоандреевка, ул. Донецкая, д. 12, кв. 1, к.н.з.у. 61:22:0010801:29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</si>
  <si>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Сакменновой В.Ф., расположенного по адресу: Ростовская область, Верхнедонской  район, х. Базковский, ул. Базковская, д.15, к.н.з.у. 61:07:0060201:11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</si>
  <si>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Абаевой Х.Х., расположенного по адресу: Ростовская область, Шолоховский  район, х. Плешаковский, ул. Лесная, д. 37, к.н.з.у. 61:43:0050501:60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</si>
  <si>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Кибасова В.А., расположенного по адресу: Ростовская область, Миллеровский  район, х. Треневка, ул. Российская, д. 30, к.н.з.у. 61:22:0061101:141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</si>
  <si>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Пугачевой О.Н., расположенного по адресу: Ростовская область, Миллеровский  район, х. Треневка, ул. Восточная, д. 17, к.н.з.у. 61:22:0061101:75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</si>
  <si>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Шуруповой Е.С., расположенного по адресу: Ростовская область, Верхнедонской район,   ст. Казанская, ул. Дальняя, д.17, к.н.з.у. 61:07:0050101:3323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</si>
  <si>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Решетниковой Е.А., расположенного по адресу: Ростовская область, Верхнедонской  район, х. Поповка, ул. Атаманская, д.79, к.н.з.у. 61:07:0040401:572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</si>
  <si>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Дрынкина С.А., расположенного по адресу: Ростовская область, Верхнедонской  район, ст. Мешковская, ул.Молодежная, д.41, к.н.з.у. 61:06:49:05:00:00:509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</si>
  <si>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Бондарева В.Н., расположенного по адресу: Ростовская область, Шолоховский район,   х. Колундаевский, ул. Гвардейская, д.26, к.н.з.у. 61:43:0060101:463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</si>
  <si>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Нестерович Д.Ю., расположенного по адресу: Ростовская область, г. Миллерово, сад. Маслодел, проезд 4, участок 16,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</si>
  <si>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нежилого здания  заявителя, ИП Лиховидова И.И., расположенного по адресу: Ростовская область, Шолоховский  район, х. Меркуловский, ул. Центральная, д. 51, к.н.з.у. 61:43:0080101:512 (1 шт.)</t>
  </si>
  <si>
    <t>Строительство ВЛ-10 кВ от опоры №3/51/209 по ВЛ-10 кВ №18  ПС 110/35/10 кВ "ГОК" с установкой ТП и строительством ВЛ-0,4 кВ установка коммерческого учета электрической энергии (мощности) в точке поставки и установка шкафа 0,4 кВ с коммутационным аппаратом (1шт.), для технологического присоединения мастерской по ремонту сельскохозяйственной техники заявителя, ООО "Агросервис", расположенной в  Ростовская область, г. Миллерово, (61:54:0100001:17) (ориентировочная протяженность ЛЭП-0,48 км, ориентировочная мощность ТП- 0,16 МВА)</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</si>
  <si>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Мазанова С.П., расположенного по адресу: Ростовская область, Шолоховский  район, х. Громковский, ул. Почтовая, д. 141а, к.н.з.у. 61:43:0010501:1216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</si>
  <si>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Насоновой О.С., расположенного по адресу: Ростовская область, Верхнедонской  район, х. Макаровский, ул.Макаровская, д.25, к.н.з.у. 61:07:0100101:52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</si>
  <si>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Голубева Е.А., расположенного по адресу: Ростовская область, Шолоховский  район, х. Калининский, ул. Донская, д. 5, к.н.з.у. 61:43:0050101:612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</si>
  <si>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Мирошниченко С.А., расположенного по адресу: Ростовская область, Миллеровский  район, сл. Титовка, ул. Пушкина, д. 18, 61:22:0150101:141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</si>
  <si>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Тюрина А.А., расположенного по адресу: Ростовская область, Миллеровский  район, сл. Дегтево, ул. Садовая, д. 40,  61:22:0030101:45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</si>
  <si>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Тесля А.Н., расположенного по адресу: Ростовская область,Кашарский  район, с. Россошь, ул. Центральная, д.114, к.н.з.у. 61:16:0140101:642</t>
  </si>
  <si>
    <t>Установка прибора учета электрической энергии (мощности) в точке поставки и установка шкафа 0,4 кВ с коммутационным аппаратом для электроснабжения склада заявителя, ИП Шоста А.Н., расположенного по адресу: Ростовская область, Миллеровский район, Криворожское сельское поселение, к.н.з.у. 61:22:0600024:548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</si>
  <si>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Саламахина А.В., расположенного по адресу: Ростовская область, Миллеровский  район, Дегтевское сельское поселение, к.н.з.у. 61:22:0030101:2331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</si>
  <si>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Зимовнова П.В., расположенного по адресу: Ростовская область, Шолоховский район, х. Антиповский, ул. Заречная, д. 50, к.н.з.у. 61:43:0030201:323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</si>
  <si>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ШНО-2 х. Мрыховский, линии наружного освещения подъезда от автодороги "Магистраль Дон" - ст. Мешковская - ст. Казанская к х. Мещеряковский на участке км 11+400-км 12+000 заявителя, Министерство транспорта Ростовской области, расположенного по адресу: Ростовская область, Верхнедонской район, х. Мрыховский, ул. Мрыховская. к.н.з.у. 61:07:0000000:339, (1 шт.)</t>
  </si>
  <si>
    <t>Строительство ВЛ-0,4кВ от опоры №5 по ВЛ-0,4кВ №2 КТП-10/0,4 кВ №722 по ВЛ-10кВ №5 ПС 110/10кВ "Маяк",  установка прибора коммерческого учета электрической энергии (мощности) в точке поставки и установка шкафа 0,4кВ с коммутационным аппаратом (1 шт.) для технологического присоединения базовой станции заявителя, ООО "Т2 Мобайл",расположенной по адресу: Ростовская область, Миллеровский р-н , сл. Никольская, ул. Российская, д. 12, кв. 2  к.н.з.у. 61:22:0100101:53 (ориентировочная протяженность ЛЭП-0,16 км,)</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</si>
  <si>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Гуртовой З.И., расположенного по адресу: Ростовская область,Кашарский  район, с. Первомайское, ул. Калинина, д.20, к.н.з.у. 61:16:0110102:717 91 шт.)</t>
  </si>
  <si>
    <t>Строительство ВЛ-0,4 кВ от опоры №2/27 по ВЛ-0,4 кВ №2 КТП-10/0,4 кВ №28 по ВЛ-10 кВ №4 ПС 35/10 кВ "Боковская" , установка прибора коммерческого учета  электрической энергии (мощности) в точке поставки и установки шкафа 0,4кВ с коммутационным аппаратом, (1 шт) для технологического присоединения жилого дома заявителя, Гладковой Н.В., расположенного по адресу: Ростовская область, Боковский р-н , х. Дуленков, ул. Огородная, д 23-Г., (к.н.з.у. 61:05:0010603:198), (ориентировочная протяженность ЛЭП-0,066 км)</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</si>
  <si>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Беловой Е.Ю., расположенного по адресу: Ростовская область, Шолоховский  район, х. Меркуловский, пер. Донской, д. 16, к.н.з.у. 61:43:0080101:543</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</si>
  <si>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сотовой связи заявителя, ООО «ТехноСтройГрупп», расположенной по адресу: Ростовская область, Шолоховский район, х. Калининский, к.н.з.у. 61:43:0050101</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</si>
  <si>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Крючковой Н.А., расположенной по адресу: Ростовская область, Миллеровский район, г. Миллерово, ул. Хозяйственная, д. 8, кв, 2 к.н.з.у. 61:54:0050001:156</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</si>
  <si>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Хмеловского А.А., расположенного по адресу: Ростовская область, Миллеровский район, х. Банниково-Александровский, ул. Степная, д. 6, корп. а, к.н.з.у. 61:22:0010201:672»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</si>
  <si>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Губарева А.С., расположенного по адресу: Ростовская область, Шолоховский район, х. Калиновский, пер. Южный, д. 6, к.н.з.у. 61:43:0080501:342"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</si>
  <si>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Литовченко Н.Т., расположенного по адресу: Ростовская область, Миллеровский район, х. Кумшацкий, ул. Майская, д. 69, корп. а, к.н.з.у. 61:22:0010601:107</t>
  </si>
  <si>
    <t>Установка прибора учета электрической энергии (мощности) в точке поставки и установка шкафа 0,4 кВ с коммутационным аппаратом для электроснабжения земельного участка заявителя Горбачева П.А., расположенного по адресу: Ростовская область, Верхнедонской район, х. Заикинский, 0,1 км. на север, к.н.к. 61:07:0600010:208</t>
  </si>
  <si>
    <t>Установка прибора учета электрической энергии (мощности) в точке поставки и установка шкафа 0,4 кВ с коммутационным аппаратом для электроснабжения земельного участка заявителя Захаренко В.В., расположенного по адресу: Ростовская область, Верхнедонской район, ст. Казанская, ул. Трудовая, д. 7, к.н.з.у. 61:07:0050101:3307,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</si>
  <si>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уличного освещения заявителя Администрация Михайлово-Александровского СП, расположенного по адресу: Ростовская область, Чертковский район,с.Михайлово-Александровка,ул..Большевистская д.36,к.н.з.у. 61:42:0090101:896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</si>
  <si>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Муратовой Е.А., расположенного по адресу: Ростовская область, Миллеровский  район,х.Банниково-Александровский,ул.Студенческая д.8, к.н.з.у. 61:22:0010201:113</t>
  </si>
  <si>
    <t>Установка прибора учета для присоединения жилого дома Антонова С.М., расположенного по адресу: Ростовская обл., р-н. Аксайский, х. Махин, ул. Дружбы,  д. 20/6, кадастровый номер земельного участка: 61:02:0600015:5732»(1шт)</t>
  </si>
  <si>
    <t>Установка прибора учета для присоединения жилого дома Арутюняна Р.Р., расположенного по адресу: Ростовская обл., р-н. Аксайский, х. Ленина, ул. Победы, д. 13, кадастровый номер земельного участка: 61:02:0060101:391»(1шт)</t>
  </si>
  <si>
    <t>Установка прибора учета для присоединения жилого дома Кузьменко В.Г., расположенного по адресу: Ростовская обл., р-н. Аксайский, х. Алитуб, ул. Заречная,  д. 1, кадастровый номер земельного участка: 61:02:0020101:728»(1шт)</t>
  </si>
  <si>
    <t>Установка прибора учета для присоединения жилого дома Лямкиной Н.Б., расположенного по адресу: Ростовская обл., р-н. Аксайский, х. Верхнеподпольный, ул. Советская,  д. 110,  корп. А, кадастровый номер земельного участка: 61:02:0020201:634»(1шт)</t>
  </si>
  <si>
    <t>Установка прибора учета для присоединения жилого дома Ситниковой М.А., расположенного по адресу: Ростовская обл., р-н. Аксайский, ст-ца. Ольгинская, ул. Кузнецкая,  д. 57,  корп. А, кадастровый номер земельного участка: 61:02:0090102:3439»(1шт)</t>
  </si>
  <si>
    <t>Установка прибора учета для присоединения жилого дома Багдасарян С.Г., расположенного по адресу: Ростовская обл., р-н. Аксайский, п. Темерницкий, ул. Ореховая,  д. 2,  корп. В, кадастровый номер земельного участка: 61:02:0600005:5935»(1шт)</t>
  </si>
  <si>
    <t>Установка прибора учета для присоединения жилого дома Бесединой Р.Н., расположенного по адресу: Ростовская обл., р-н. Аксайский, п. Янтарный, пер. Незабудковый,  д. 5, кадастровый номер земельного участка: 61:02:0010102:3 (1шт)</t>
  </si>
  <si>
    <t>Установка прибора учета для присоединения жилого дома Васильева С.П., расположенного по адресу: Ростовская обл., р-н. Аксайский, ст-ца. Старочеркасская, ул. Революционная, д. 12, кадастровый номер земельного участка: 61:02:0110101:114»(1шт),</t>
  </si>
  <si>
    <t>Установка прибора учета для присоединения жилого дома Головиной Е.В., расположенного по адресу: Ростовская обл., р-н. Аксайский, г. Аксай, ул. Ильинская,  д. 58, кадастровый номер земельного участка: 61:02:0600010:4143 (1 шт)</t>
  </si>
  <si>
    <t>Установка прибора учета для присоединения жилого дома Лагоды М.А., расположенного по адресу: Ростовская обл., р-н. Аксайский, ст-ца. Мишкинская, ул. Платова, д. 12, кадастровый номер земельного участка: 61:02:0070201:667» (1шт)</t>
  </si>
  <si>
    <t>Установка прибора учета для присоединения жилого дома Ледник Е.В., расположенного по адресу: Ростовская обл., р-н. Аксайский, п. Щепкин, ул. Первомайская, д. 136, кадастровый номер земельного участка: 61:02:0080505:21» (1шт)</t>
  </si>
  <si>
    <t>Установка прибора учета для присоединения жилого дома Лубенец А.С., расположенного по адресу: Ростовская обл., р-н. Аксайский, п. Октябрьский, ул. Советская,  д. 38а, кадастровый номер земельного участка: 61:02:0080106:309»(1шт)</t>
  </si>
  <si>
    <t>Установка прибора учета для присоединения жилого дома Назарян Н.Р., расположенного по адресу: Ростовская обл., р-н. Аксайский, ст-ца. Старочеркасская, ул. Мира,  д. 7-г/1, кадастровый номер земельного участка: 61:02:0600013:2438»(1шт)</t>
  </si>
  <si>
    <t>Установка прибора учета для присоединения жилого дома Плахотниковой Галины Ивановны расположенного по адресу: Ростовская обл., р-н. Аксайский, п. Октябрьский, ул. Советская,  д. 28, кадастровый номер земельного участка: 61:02:0080103:571(1шт)</t>
  </si>
  <si>
    <t>Установка прибора учета для присоединения жилого дома Ревидович М.Н., расположенного по адресу: Ростовская обл., р-н. Аксайский, п. Октябрьский, ул. Лесная, д. 23, кадастровый номер земельного участка: 61:02:0600004:21549(1шт)</t>
  </si>
  <si>
    <t>Установка прибора учета для присоединения жилого дома Румянцевой Н.И., расположенного по адресу: Ростовская обл., р-н. Аксайский, п. Щепкин, ул. Еременко, в районе уч. 33, кадастровый номер земельного участка: 61:02:0600006:6220(1шт)</t>
  </si>
  <si>
    <t>Установка прибора учета для присоединения жилого дома Степанова П.В., расположенного по адресу: Ростовская обл., р-н. Аксайский, п. Красный, ул. Толстого, д. 12, кадастровый номер земельного участка: 61:02:00080601:1449»(1шт)</t>
  </si>
  <si>
    <t>Установка прибора учета для присоединения жилого дома Чернеева В.А., расположенного по адресу: Ростовская обл., Аксайский р-н., ст-ца. Старочеркасская, ул. Ильинская,  д. 17, кадастровый номер земельного участка:  61:02:0600013:1915» (1шт),</t>
  </si>
  <si>
    <t>Установка прибора учета для присоединения жилого дома Шепетина В.С., расположенного по адресу: Ростовская обл., р-н. Аксайский, г. Аксай, ул. Иевлева/Солнечная, д. 56/10 кадастровый номер земельного участка: 61:02:0120145:123(1шт)</t>
  </si>
  <si>
    <t>Установка прибора учета для присоединения  жилого дома Жукова М.Г., расположенного по адресу: Ростовская область, Багаевский район, х. Красный, ул. Полевая, д. 28, к.н. 61:03:060111:0019</t>
  </si>
  <si>
    <t>Установка прибора учета для присоединения  жилого дома Нам П.А., расположенного по адресу: Ростовская область, Багаевский район, х. Усьман, ул. Братская, д. 4, к.н. 61:03:060405:0021</t>
  </si>
  <si>
    <t>Установка прибора учета для присоединения жилого дома Аванесяна А.Ю., расположенного по адресу: Ростовская обл., р-н. Аксайский, ст-ца. Старочеркасская, ул. Минаева, д. 29, кадастровый номер земельного участка: 61:02:0110102:3645»(1шт)</t>
  </si>
  <si>
    <t>Установка прибора учета для присоединения жилого дома Безрук Е.А., расположенного по адресу: Ростовская обл., г. Новочеркасск, СТ №6, д. 67, кадастровый номер земельного участка: 61:55:0011016:51»(1шт)</t>
  </si>
  <si>
    <t>Установка прибора учета для присоединения жилого дома Бросалина С.А., расположенного по адресу: Ростовская обл., р-н. Аксайский, п. Водопадный, ул. Вишневая, д. 5, кадастровый номер земельного участка: 61:02:0010802:73.»(1шт)</t>
  </si>
  <si>
    <t>Установка прибора учета для присоединения жилого дома Гончаровой М. Д., расположенного по адресу: Российская Федерация, Ростовская обл., р-н. Аксайский, х. Махин, пер. Радужный, д. 13, кадастровый номер земельного участка: 61:02:0600015:5347»(1шт)</t>
  </si>
  <si>
    <t>Установка прибора учета для присоединения жилого дома Горбачева В.Ю., расположенного по адресу: Ростовская обл., р-н. Аксайский, ст-ца. Ольгинская, ул. Верхне-Луговая,  д. 108,  корп. Б, кадастровый номер земельного участка: 61:02:0090103:2447»(1шт)</t>
  </si>
  <si>
    <t>Установка прибора учета для присоединения жилого дома Ивановского П.С., расположенного по адресу: Ростовская обл., р-н. Аксайский, х. Камышеваха, пер. Хризолитовый, д. 4, кадастровый номер земельного участка: 61:02:0010401:747»(1шт)</t>
  </si>
  <si>
    <t>Установка прибора учета для присоединения жилого дома Ковнеристовой Л.Н., расположенного по адресу: Ростовская обл., Родионово-Несветайский район, южнее х. Каменный Брод, уч. 5, кадастровый номер земельного участка: 61:33:0600015:1475»(1шт)</t>
  </si>
  <si>
    <t>Установка прибора учета для присоединения жилого дома Колтакова Е.В., расположенного по адресу: Ростовская обл., р-н. Аксайский, п. Щепкин, ул. Южная, д. 5, корп. Д, кадастровый номер земельного участка: 61:02:0080504:542» (1шт)</t>
  </si>
  <si>
    <t>Установка прибора учета для присоединения жилого дома Мелентьевой Э.М., расположенного по адресу: Ростовская обл., р-н. Аксайский, ст-ца. Грушевская, ул. Советская,  д. 75, кадастровый номер земельного участка: 61:02:0030111:97»(1шт)</t>
  </si>
  <si>
    <t>Установка прибора учета для присоединения жилого дома Носова А.В., расположенного по адресу: Ростовская обл., р-н. Аксайский, п. Темерницкий, ул. Самшитовая,  д. 17, кадастровый номер земельного участка: 61:02:0600005:7311(1шт)</t>
  </si>
  <si>
    <t>Установка прибора учета для присоединения жилого дома Ованесова А.С., расположенного по адресу: Ростовская обл., р-н. Аксайский, п. Темерницкий, ул. Березовая, д. 23, кадастровый номер земельного участка: 61:02:0600005:10146»(1 шт)</t>
  </si>
  <si>
    <t>Установка прибора учета для присоединения жилого дома Орлянского Ю.В., расположенного по адресу: Ростовская обл., р-н. Аксайский, х. Ленина, ул. Платова, д. 24, кадастровый номер земельного участка: 61:02:060101:0606»(1шт)</t>
  </si>
  <si>
    <t>Установка прибора учета для присоединения жилого дома Палий О.И., расположенного по адресу: Ростовская обл., р-н. Аксайский, п. Щепкин, ул. Западная, д. 2, корп. А, кадастровый номер земельного участка: 61:02:0080501:732»(1шт)</t>
  </si>
  <si>
    <t>Установка прибора учета для присоединения жилого дома Рудюк В.В., расположенного по адресу: Ростовская обл., р-н. Аксайский, ст-ца. Ольгинская, пер. 1-й,  д. 12, кадастровый номер земельного участка: 61:02:0090102:2979»(1шт)</t>
  </si>
  <si>
    <t>Установка прибора учета для присоединения жилого дома Топорова Н.М., расположенного по адресу: Ростовская обл., р-н. Аксайский, х. Большой Лог, пер. Мирный,  д. 2/1, кадастровый номер земельного участка: 61:02:0010201:6120»(1шт)</t>
  </si>
  <si>
    <t>Установка прибора учета для присоединения жилого дома Хмеленко Е. В., расположенного по адресу: Ростовская обл., совх. Каменобродский, район Родионово-Несветайский, кадастровый номер земельного участка: 61:33:0600015:554»(1шт)</t>
  </si>
  <si>
    <t>Установка прибора учета для присоединения жилого дома Частухина Д.К., расположенного по адресу: Ростовская обл., р-н. Аксайский, п. Щепкин, ул. Западная, д. 2, кадастровый номер земельного участка: 61:02:0081101:2340»(1шт)</t>
  </si>
  <si>
    <t xml:space="preserve">Установка прибора учета для присоединения жилого дома Чиркун С.А., расположенного по адресу: Ростовская обл., р-н. Аксайский, х. Пчеловодный, ул. Подтелкова,  д. 52, кадастровый номер земельного участка: 61:02:0010501:865»(1шт)
</t>
  </si>
  <si>
    <t xml:space="preserve">Установка приборов учета для присоединения жилых домов Абраменко А.А. Дробицкой В.В., расположенных по адресу: Ростовская обл., р-н. Аксайский, п. Российский, кадастровый номер земельного участка: 61:02:0600010:12257; Ростовская обл., р-н. Аксайский, п. Российский, северо-западное направление 2,0 км от центра х. Большой Лог, поле № 33, (2 шт) </t>
  </si>
  <si>
    <t>Установка приборов учета для присоединения жилых домов Акининой В.О, Емельянченко О.Н, расположенных по адресу: Ростовская обл., р-н. Аксайский, х. Большой Лог, кадастровые номера земельных участков: 61:02:0600011:1749, 61:02:0600011:1706» (2шт)</t>
  </si>
  <si>
    <t>Установка прибора учета для присоединения жилых домов Гниленко Т.Н., Намазова Е.А., Семенишиной А.Н., расположенных по адресу: Ростовская обл., р-н. Аксайский, п. Янтарный, КН ЗУ 61:02:0010125:49 ул. Рябиновая, д. 123, ул. Персиковая, 11/123,: (3шт),</t>
  </si>
  <si>
    <t>Установка приборов учета для присоединения жилых домов Говорухиной Л.В., Морланг Т.А., расположенных по адресу: Ростовская обл., р-н. Аксайский, г. Аксай, ул. Юрия Жульева, д. 18, , ул. Виктора Дацко, д. 63,(2шт)</t>
  </si>
  <si>
    <t>Установка приборов учета для присоединения жилых домов Гужвина Е.А Першиной О.В. Березиной Е.В. Руденко Т.Б. Соколова Е.А. Срапионян Т.С, расположенных по адресу: Ростовская обл., р-н. Аксайский, г. Аксай, пер. Генеральский, д. 15, пер. Генеральский, д. 14, пер. Генеральский, д. 17, пер. Генеральский, д. 11, ул. Ефремова, д. 15, ул. Ефремова, д. 20, (6шт)</t>
  </si>
  <si>
    <t>Установка прибора учета для присоединения жилых домов, Шарифовой А.Ш,. Шахвардиян Л.С , расположенных по адресу: Ростовская обл., р-н. Аксайский, п. Янтарный, ул. Кедровая, д. 7, кадастровый номер земельного участка: 61:02:0600010:3717, с/х. АО "Аксайское", поле № 42-Б, кадастровый номер земельного участка: 61:02:0600010:3655, (2шт)</t>
  </si>
  <si>
    <t>Установка прибора учета для присоединения жилого дома Мальцева Д.А., расположенного по адресу: Ростовская обл., р-н. Аксайский, п. Российский, ул. Теннистая,  д. 46/3, кадастровый номер земельного участка: 61:02:0600010:10274»(1 шт)</t>
  </si>
  <si>
    <t>Установка приборов учета для присоединения жилых домов Матвиенко Д.С. Савченко Н.В., расположенных по адресу: Ростовская обл., р-н. Азовский, п. Красный Сад, ул. Пушкина, д. 67  корп. А, д. 67, д. 67,  корп. Б, ул. Павловой,  д. 16,  корп. А, (4шт), мощность 60 кВт</t>
  </si>
  <si>
    <t>Установка прибора учета для присоединения жилых домов, расположенных по адресу: Ростовская обл., р-н. Аксайский, х. Нижнетемерницкий, 2-я Озерная, д.2а, кадастровый номер земельного участка: 61:02:0600005:10204, ул. 2-я Озерная, кадастровый номер земельного участка:  61:02:0600005:10184, ул. 2-я Озерная, к.н. 61:02:0600005:10194»(3шт)</t>
  </si>
  <si>
    <t>Установка прибора учета для присоединения жилых домов Подгорновой М. Н., Костюковой Е. Н., расположенных по адресу: Ростовская обл., р-н. Аксайский, ст-ца. Старочеркасская, пер. Степной, д. 7, корп. А, пер. Степной,  д.7, кадастровые номера земельных участков: 61:02:0110102:3560, 61:02:0110102:3562» (2шт)</t>
  </si>
  <si>
    <t>Установка прибора учета для присоединения нежилых зданий, расположенных по адресу: Ростовская обл., р-н. Аксайский, х. Камышеваха, ул. Светлая,  д. 2,  корп. В, кадастровый номер земельного участка: 61:02:0600010:15994, ул. Авантюриновая, д.4,  кадастровый номер земельного участка: 61:02:0600010:10293»(2шт)</t>
  </si>
  <si>
    <t>Установка прибора учета для присоединения жилых домов Сошниковой Е.В., Карпун О.А., расположенных по адресу: Ростовская обл., р-н. Азовский, п. Красный Сад, ул. Крылова, д. 36, корп. Б; д. 36, корп. В, кадастровые номера земельных участков: 61:01:0130201:4570; 61:01:0130201:4742» (2шт)</t>
  </si>
  <si>
    <t>Установка прибора учета для присоединения жилых домов, расположенных по адресу: Ростовская обл., р-н. Аксайский, п. Российский, ул. Средняя,  д. 18, кадастровый номер земельного участка: 61:02:010301:0146, ул. Нижняя,  д. 1-а, кадастровый номер земельного участка: 61:02:0010301:1150, ул. Заповедная, д. 30, кадастровый номер земельного участка: 61:02:0010301:1315 (3 шт)</t>
  </si>
  <si>
    <t>Установка приборов учета для присоединения жилых домов, расположенных по адресу: Ростовская обл., р-н. Аксайский, ст-ца. Мишкинская, пер. Степной, д. 7, кадастровый номер земельного участка:  61:02:0600009:1074, ул. Привольная,  д. 9а/6, кадастровый номер земельного участка:  61:02:0600009:2859, с/х. КСП им. М. Горького, кадастровый номер земельного участка:  61:02:0600009:1260»(3 шт)</t>
  </si>
  <si>
    <t>Установка приборов учета для присоединения жилых домов Чернова А.А, Шейко Е.А., расположенных по адресу: Ростовская обл., р-н. Аксайский, х. Большой Лог, ул. Майская, д. 15/14, и ЗУ с КН 61:02:0600011:869(2шт)</t>
  </si>
  <si>
    <t>Установка приборов учета для присоединения жилых домов, расположенных по адресу: Ростовская обл., р-н. Аксайский, п. Щепкин, ул. Крестьянская,  д. 16, кадастровый номер земельного участка: 61:02:0080505:1010, 61:02:0080505:1011»(2шт)</t>
  </si>
  <si>
    <t>Установка прибора учета для присоединения  вагончика Александрова Ю. А., расположенного по адресу: РО, Веселовский район, х. Верхний Хомутец, ул. Курская, 1-г, к.н. 61:06:0010207:147</t>
  </si>
  <si>
    <t xml:space="preserve">Установка прибора учета для присоединения  нежилого помещения Колотовкина В. Ф., расположенного по адресу: РО, Веселовский район, п. Веселый, пер. Комсомольский, 54-а, пом. № 1, к.н. 61:06:0010126:792
</t>
  </si>
  <si>
    <t>Установка прибора учета для присоединения  магазин ИП Моржуковой Е. В., расположенный по адресу: Ростовская область, Веселовский район, п. Веселый, ул. Ленинская, 84-а, к.н. 61:06:0010126:181</t>
  </si>
  <si>
    <t>Установка прибора учета для присоединения  жилого дома Нестеренко А. А., расположенного по адресу: Ростовская область, Веселовский район, п. Веселый, ул. Заречная, 26, к.н. 61:06:0010138:813</t>
  </si>
  <si>
    <t>Установка прибора учета для присоединения  жилого дома Шебалковой А. В, расположенного по адресу: Ростовская область, Веселовский район, п. Веселый, ул. Демьяна Бедного, 70, к.н. 61:06:0010121:43(1шт)</t>
  </si>
  <si>
    <t>Установка прибора учета для присоединения  жилого дома Якунина А. Е., расположенной по адресу: РО, Веселовский район, х. Позднеевка, ул. Мира, 2, к.н. 61:06:0060102:18</t>
  </si>
  <si>
    <t>Установка прибора учета для присоединения  (ВРУ-0,4 кВ парка)., расположенной по адресу: Ростовская область, Аксайский район, ст. Ольгинская, ул. Ленина, д.152, КН 61:02:0090102:2929</t>
  </si>
  <si>
    <t>Установка прибора учета для присоединения  ВРУ 0,4 кВ жилого дома Краснова В. И., расположенного по адресу: Ростовская обл., Аксайский р-н, п. Красный Колос, ул. Куренная, 2А, участок с КН 61:02:0600007:3092</t>
  </si>
  <si>
    <t>Установка прибора учета для присоединения  жилого дома Лигай О.Т., расположенного по адресу: Ростовская область, Багаевский район, х. Елкин, пер. Новый, д. 3, к.н. 61:03:0030104:13 (1 шт)</t>
  </si>
  <si>
    <t>Установка прибора учета для присоединения  жилого дома Неведровой Т.С., расположенного по адресу: Ростовская область, Багаевский район, х. Арпачин, ул. Советская, д. 26-а, к.н. 61:03:0040204:37</t>
  </si>
  <si>
    <t>Строительство ВЛ 0,4 кВ от ВЛ 0,4 кВ №1 КТП №3 ВЛ 10 кВ №158 ПС 110 кВ В1 для электроснабжения гаража Беляева В. А. по адресу РО, Веселовский район, п. Веселый, ул. Октябрьская, 2-ж, к.н. 61:06:0010135:243 (ориентировочная протяжённость ЛЭП 0,2 км)</t>
  </si>
  <si>
    <t>Установка прибора учета для присоединения ВРУ Базовой станции сотовой связи БС-1338 заявителя ООО «Т2 Мобайл»., расположенной по адресу: Ростовская обл., р-н. Семикаракорский, ст-ца. Новозолотовская, ул. Октябрьская, д. 5, кадастровый номер земельного участка: 61:35:0060101:486</t>
  </si>
  <si>
    <t>Установка прибора учета для присоединения ВРУ 0,4 кВ жилого дома Ушакова В.И., расположенного по адресу: Ростовская обл., р-н. Семикаракорский, х. Шаминка, ул. Ромашенко,  д. 58,  кв./оф. 2, кадастровый номер земельного участка: 61:35:0100301:1438 ( 1 шт)</t>
  </si>
  <si>
    <t>Установка приборов учета  для присоединения жилых домов в Аксайском районе Ростовской области (2этап 10 шт)</t>
  </si>
  <si>
    <t xml:space="preserve">Строительство ВЛ 0,4 кВ от проектируемой ВЛ 0,4 кВ (по договору №61-1-19-00444581 от 03.06.2019 г.) КТП №72 ВЛ 6 кВ №804 ПС 35 кВ АС8 для электроснабжения жилого дома Травенко Н. И. по ул. Еловая, 16 в п. Российский Аксайского района Ростовской области  </t>
  </si>
  <si>
    <t xml:space="preserve">Установка коммерческого учета электрической энергии (мощности) 
в точке поставки по присоединению МБОУ «Федуловская средняя общеобразовательная школа», расположенной по адресу: Ростовская область, Багаевский район, х. Федулов, ул. Школьная, д. 16, к.н. 61:03:010204:0003 (1 шт)
</t>
  </si>
  <si>
    <t>Установка прибора учета для присоединения  жилого дома Чернышова О.Г., расположенного по адресу: Ростовская область, Багаевский район, х. Арпачин, ул. Береговая, д. 26, к.н. 61:03:0040215:17(1шт)</t>
  </si>
  <si>
    <t>Установка прибора учета для присоединения  жилого дома Криворотова Р. П, расположенного по адресу: Ростовская область, Веселовский район, п. Веселый, ул. Советская, 122-а, к.н. 61:06:0010107:45(1шт)</t>
  </si>
  <si>
    <t xml:space="preserve">Установка прибора учета для присоединения  шкафа телекоммуникационного ПАО «Ростелеком»  по адресу РО, Веселовский район, х. Казачий, вблизи ул. Школьная, 18
</t>
  </si>
  <si>
    <t>Установка прибора учета для присоединения  жилого дома Самары Н. С., расположенного по адресу: РО, Веселовский район, п. Веселый, ул. Первомайская, 4-а, пом. № 1, к.н. 61:06:0010133:412</t>
  </si>
  <si>
    <t>Установка прибора учета для присоединения ВРУ 0,4 кВ жилого дома Непошивайленко М. Н., расположенного по адресу: Ростовская обл., р-н Аксайский, п. Темерницкий, ул. Тисовая, 60, участок с КН 61:02:0600005:10015 (1 шт.)</t>
  </si>
  <si>
    <t>Установка прибора учета для присоединения  жилого дома Галка Р.Ю., расположенного по адресу: Ростовская область, Багаевский район, х. Арпачин, ул. Советская, д. 13, к.н. 61:03:0040211:27 (1 шт)</t>
  </si>
  <si>
    <t>Установка прибора учета для присоединения  жилого дома Малик Ю.В., расположенного по адресу: Ростовская область, Багаевский район, х. Арпачин, ул. Советская, д. 78-з, к.н. 61:03:0040207:504(1шт)</t>
  </si>
  <si>
    <t>Установка прибора учета для присоединения  жилого дома Смоляковой И.А., расположенного по адресу: Ростовская область, Багаевский район, х. Карповка, ул. Зеленая, д. 9-а, к.н. 61:03:0020203:404 (1шт)</t>
  </si>
  <si>
    <t>Установка прибора учета для присоединения  магазина ИП Форопонова Н.Н., расположенного по адресу: Ростовская область, Багаевский район, х. Арпачин, ул. Советская, д. 48, к.н. 61:03:0040207:213(1шт)</t>
  </si>
  <si>
    <t>Установка прибора учета для присоединения  жилого дома Испирян А. З, расположенного по адресу: Ростовская область, Веселовский район, п. Веселый, ул. Ленинская, 48 а, к.н. 61:06:0010129:489 (1шт)</t>
  </si>
  <si>
    <t>Установка прибора учета для присоединения жилого дома Анохиной Е. Г. расположенного по адресу: Ростовская область, Веселовский район, п. Веселый, ул. Садовая, 11 к.н. 61:06:060010138:115 (1 шт)</t>
  </si>
  <si>
    <t>Установка прибора учета для присоединения магазина непродовольственных товаров и мест для хранения автотранспортных средств ИП Варданян М. О. расположенных по адресу: Ростовская область, Веселовский район, п. Веселый, ул. Ленинская, 181-а к.н. 61:06:0010114:858</t>
  </si>
  <si>
    <t xml:space="preserve">Строительство ВЛ 0,4 кВ от ВЛ 0,4 кВ №1 КТП №414 ВЛ 10 кВ №1003 ПС 110 кВ АС10 для электроснабжения ВРУ 0,4 кВ жилых домов Бандурина М. А., Бандуриной Т. М. по ул. Подтелкова в х. Камышеваха Аксайского района Ростовской области (ориентировочная протяжённость ЛЭП 0,31 км)
</t>
  </si>
  <si>
    <t xml:space="preserve">Строительство ВЛ 0,4 кВ техперевооружаемого (проектируемого по договору № 61-1-19-00488413 от 05.12.2019г.) КТП 10/0,4 кВ проектируемой ВЛ 10 от опоры № 1/122 ВЛ 10 кВ  № 1208 ПС 110/10 кВ АС 12 для электроснабжения ВРУ 0,4 кВ жилого дома Елистратовой Т.В. на участке с КН 61:02:0080503:36 в п. Щепкин, ул. Строителей, 85, Аксайского района Ростовской области, ВРУ 0,4 кВ жилого дома Павленко Ю.В. на участке с КН 61:02:0080503:1244 в п. Щепкин, ул. Строителей, Аксайского района Ростовской области, ВРУ 0,4 кВ жилого дома Волошина Д.Д. на участке с КН 61:02:0080503:943 в п. Щепкин, ул. Строителей, 77Б, Аксайского района Ростовской области </t>
  </si>
  <si>
    <t xml:space="preserve">Строительство ВЛ 0,4 кВ от проектируемой ВЛ 0,4 кВ проектируемой КТПН 10/0,4 кВ (по договору №61-1-20-00517323 от 25.06.2020 г.) ВЛ 10 кВ №1208 ПС 110 кВ АС12 для электроснабжения ВРУ 0,4 кВ жилого дома Казак Л. Д. в п. Щепкин Аксайского района Ростовской области </t>
  </si>
  <si>
    <t xml:space="preserve">Строительство ВЛ 0,4 кВ от существующей опоры № 11 ВЛ 0,4 кВ №2 КТП 10/0,4 кВ № 89 ВЛ 10 кВ №706 ПС 110/10 кВ АС 7 для электроснабжения ВРУ 0,4 кВ жилого дома Корнейчука А.В. на участке с КН 61:02:0600007:2759, в ул. Мелиховская, 75, п. Красный Колос, Аксайский район Ростовской области </t>
  </si>
  <si>
    <t>Строительство ВЛ 0,4 кВ от ВЛ 0,4 кВ №1 КТП №164 ВЛ 10 кВ №1208 ПС 110 кВ АС12 для электроснабжения ВРУ 0,4 кВ жилого дома Логиновой М. В. на участке с КН 61:02:0080103:581 в п. Октябрьский Аксайского района Ростовской области (ориентировочная протяжённость ЛЭП 0,025 км)</t>
  </si>
  <si>
    <t>Строительство ВЛ 0,4 кВ от ВЛ 0,4 кВ №2 КТП №89 ВЛ 10 кВ №706 ПС 110 кВ АС7 для электроснабжения ВРУ 0,4 кВ жилого дома Морикова С. И. по ул. Станичная, 27А в п. Красный Колос Аксайского района Ростовской области (ориентировочная протяжённость ЛЭП 0,045 км)</t>
  </si>
  <si>
    <t>Строительство ВЛ 0,4 кВ от ВЛ 0,4 кВ №2 КТП №175 ВЛ 10 кВ №1208 ПС 110 кВ АС12 для электроснабжения ВРУ 0,4 кВ жилого дома Мурадян Л. Т. на участке с КН 61:02:0000000:6208 в п. Щепкин Аксайского района Ростовской области (ориентировочная протяжённость ЛЭП 0,1 км</t>
  </si>
  <si>
    <t xml:space="preserve">Строительство ВЛ 0,4 кВ от ВЛ 0,4 кВ №1 КТП №260 ВЛ 10 кВ №3 ПС 35 кВ Б. Салы для электроснабжения ВРУ 0,4 кВ жилых домов по ул. 2-я Озерная в п. Нижнетемерницкий Аксайского района Ростовской области (ориентировочная протяжённость ЛЭП 0,145 км)
</t>
  </si>
  <si>
    <t>Строительство ВЛ 0,4 кВ от ВЛ 0,4 кВ №1 КТП №62 ВЛ 6 кВ №804 ПС 35 кВ АС8 для электроснабжения ВРУ 0,4 кВ жилого дома Папанага А. С. на участке с КН 61:02:0600010:12246 в п. Российский Аксайского района Ростовской области (ориентировочная протяжённость ЛЭП 0,055 км)</t>
  </si>
  <si>
    <t>«Строительство ВЛ 0,4 кВ от ВЛ 0,4 кВ №1 техперевооружаемой КТП №80 (по договорам №61-1-19-00798325, №61-1-19-00492221, №61-1-20-00508891) ВЛ 10 кВ №3 ПС 35 кВ Б. Салы для электроснабжения ВРУ 0,4 кВ жилого дома Потапенко И. А. на участке с КН 61:02:0600005:5202 в п. Темерницкий Аксайского района Ростовской области (ориентировочная протяжённость ЛЭП 0,115 км)»</t>
  </si>
  <si>
    <t>Строительство ВЛ 0,4 кВ от ВЛ 0,4 кВ №3 ТП 6 кВ №72 ВЛ 6 кВ №804 ПС 35 кВ АС8 для электроснабжения ВРУ 0,4 кВ жилого дома Денисовой О. В. на участке с КН 61:02:0600010:3494 в п. Российский Аксайского района Ростовской области (ориентировочная протяжённость ЛЭП 0,025 км)</t>
  </si>
  <si>
    <t>Строительство ВЛ 0,4 кВ от ВЛ 0,4 кВ №1 КТП №261 ВЛ 10 кВ №1547 ПС 110 кВ АС15 для электроснабжения ВРУ 0,4 кВ жилого дома Кузьмич А. А. по ул. Грушевая, 19 в п. Водопадный Аксайского района Ростовской области (ориентировочная протяжённость ЛЭП 0,03 км)</t>
  </si>
  <si>
    <t>Строительство ВЛ 0,4 кВ от ВЛ 0,4 кВ №1 КТП №434 ВЛ 10 кВ №1103 ПС 110 кВ АС11 для электроснабжения ВРУ 0,4 кВ жилого дома Чащиной А. И. на участке с КН 61:02:0600009:978 в ст-це Мишкинская Аксайского района Ростовской области (ориентировочная протяжённость ЛЭП 0,030 км)</t>
  </si>
  <si>
    <t>Строительство ВЛ 0,4 кВ от ВЛ 0,4 кВ №1 КТП №726 ВЛ 10 кВ №105 ПС 110 кВ АС1 для электроснабжения ВРУ 0,4 кВ жилого дома Дворчанской О. В. на участке с КН 61:02:0090201:1140 в х. Нижнеподпольный Аксайского района Ростовской области (ориентировочная протяжённость ЛЭП 0,075 км)</t>
  </si>
  <si>
    <t>Строительство ВЛ 0,4 кВ от ВЛ 0,4 кВ №3 КТП №740 ВЛ 10 кВ №101 ПС 110 кВ АС1 для электроснабжения ВРУ 0,4 кВ жилого дома Трифоновой С. В. на участке с КН 61:02:0600015:5726 в х. Махин Аксайского района Ростовской области (ориентировочная протяжённость ЛЭП 0,045 км)»</t>
  </si>
  <si>
    <t xml:space="preserve">Строительство ВЛ 0,4 кВ от проектируемой ВЛ 0,4 кВ (по договору №61-1-20-00508999 от 16.04.2020 г.) от ВЛ 0,4 кВ №2 КТП №626 ВЛ 10 кВ №111 ПС 110 кВ АС1 для электроснабжения ВРУ 0,4 кВ жилого дома Хачатрян В. В. в п. Дорожный Аксайского района Ростовской области </t>
  </si>
  <si>
    <t>Установка приборов учета для присоединения жилых домов, расположенных по адресу: Ростовская обл., р-н. Аксайский, х. Камышеваха, п. Российский, ст-ца. Старочеркасская, п. Красный Колос, х. Большой Лог, п. Реконструктор, ст-ца. Мишкинская, р-н. Азовский, п. Красный Сад (32шт)</t>
  </si>
  <si>
    <t xml:space="preserve">Строительство ВЛ 0,4 кВ от проектируемой ВЛ 0,4 кВ (по договору №61-1-20-00508999 от 16.04.2020 г.) от ВЛ 0,4 кВ №2 ТП 10 кВ №626 ВЛ 10 кВ №111 ПС 110 кВ АС1 для электроснабжения ВРУ 0,4 кВ жилого дома Хачатрян В. В. по пер. Садовый в п. Дорожный Аксайского района Ростовской области </t>
  </si>
  <si>
    <t>Строительство ВЛ 0,4 кВ от ВЛ 0,4 кВ №2 КТП 10/0,4 кВ №11 ВЛ 10 кВ №259 ПС 110 кВ БГ2 для электроснабжения жилого дома Федорова А.Г. по адресу РО, Багаевский район, ст. Манычская, ул. Горбачева, д. 51, к.н. 61:03:040119:0001. (ориентировочная протяжённость ЛЭП 0,09 км)</t>
  </si>
  <si>
    <t>Строительство ВЛ 0,4 кВ от ВЛ 0,4 кВ №2 КТП 10/0,4 кВ №506 ВЛ 10 кВ №402 ПС 35 кВ БГ4 для электроснабжения жилого дома Новикова С.А. по адресу РО, Багаевский район, х. Тузлуков, ул. Береговая, д. 8-в, к.н. 61:03:0600011:980. (ориентировочная протяжённость ЛЭП 0,03 км)</t>
  </si>
  <si>
    <t>Строительство ВЛ 0,4 кВ от ВЛ 0,4 кВ №1 КТП 10/0,4 кВ №136 ВЛ 10 кВ №108 ПС 110 кВ БГ1 для электроснабжения жилого дома Перевертайло А.В. по адресу РО, Багаевский район, х. Елкин, ул. Подпольная, д. 65, к.н. 61:03:030139:0027. (ориентировочная протяжённость ЛЭП 0,14 км)</t>
  </si>
  <si>
    <t>Строительство ВЛ 0,4 кВ от ВЛ 0,4 кВ №1 КТП 10/0,4 кВ №150 ВЛ 10 кВ №307 ПС 35 кВ БГ3 для электроснабжения жилого дома Эминова И.А. по адресу РО, Багаевский район, х. Елкин, ул. Тимирязева, д. 1-а, к.н. 61:03:0030138:21. (ориентировочная протяжённость ЛЭП 0,025 км)</t>
  </si>
  <si>
    <t>Строительство ВЛ 0,4 кВ от ВЛ 0,4 кВ №2 КТП 10/0,4 кВ №9 ВЛ 10 кВ №259 ПС 110 кВ БГ2 для электроснабжения жилого дома Аксентий Р. по адресу РО, Багаевский район, ст. Манычская, ул. Горбачева, д. 42, к.н. 61:03:0040125:14. (ориентировочная протяжённость ЛЭП 0,185 км)</t>
  </si>
  <si>
    <t>Установка прибора учета для присоединения склада, здания весовой Ахметова А.У., расположенного по адресу: Ростовская область, Багаевский район, х. Красный, 20 м от а/д Красный-Садовый 1(шт.)</t>
  </si>
  <si>
    <t>Установка прибора учета для присоединения  жилого дома Горевой Т.Н., расположенного по адресу: Ростовская область, Багаевский район, ст. Манычская, ул. Поповкина, д. 17А (1 шт.)</t>
  </si>
  <si>
    <t>Установка прибора учета для присоединения  квартиры Горох Ф.В., расположенного по адресу: Ростовская область, Багаевский район, х. Ажинов, ул. Зеленая, д. 13, кв. 1, к.н. 61:03:0020103:33(1шт)</t>
  </si>
  <si>
    <t>Установка прибора учета для присоединения  жилого дома Ермоченко В.Н., расположенного по адресу: Ростовская область, Багаевский район, х. Ажинов, пер. Молодежный, д. 3 А, к.н. 61:03:0020107:452(1шт)</t>
  </si>
  <si>
    <t>Установка прибора учета для присоединения  жилого дома Ивко А.И., расположенного по адресу: Ростовская область, Багаевский район, х. Тузлуков, ул. Береговая, д. 1/1А, к.н. 61:03:0050201:430(1шт)</t>
  </si>
  <si>
    <t>Установка прибора учета для присоединения жилого дома Калашникова С.В.., расположенного по адресу: Ростовская область, Багаевский район, х. Арпачин, ул. Советская, д. 64 Б (1 шт.)</t>
  </si>
  <si>
    <t>Установка прибора учета для присоединения  жилого дома Кирьяковой М.Э., расположенного по адресу: Ростовская область, Багаевский район, ст. Манычская, пер. Малый Садовый, д. 5, к.н. 61:03:0040123:5 (1шт)</t>
  </si>
  <si>
    <t>Установка прибора учета для присоединения  жилого дома Кочконян А.К., расположенного по адресу: Ростовская область, Багаевский район, х. Красный, ул. Садовая, д. 17, к.н. 61:03:0060102:32 (1шт)</t>
  </si>
  <si>
    <t>Установка прибора учета для присоединения  жилого дома Маилевой Р.А., расположенного по адресу: Ростовская область, Багаевский район, х. Верхнеянченков, пер. Полевой, д. 16, к.н. 61:03:0030301:171(1шт)</t>
  </si>
  <si>
    <t>Установка прибора учета для присоединения  жилого дома Матвеева А.Н., расположенного по адресу: Ростовская область, Багаевский район, х. Елкин, пер. Рязанова, д. 8, к.н. 61:03:0030114:10 9 (1 шт)</t>
  </si>
  <si>
    <t>Установка прибора учета для присоединения  жилого дома Папинян К.Р., расположенного по адресу: Ростовская область, Багаевский район, х. Ажинов, ул. Советская, д. 15, к.н. 61:03:0020101:6 (1шт)</t>
  </si>
  <si>
    <t>Установка прибора учета для присоединения  жилого дома Русакова Д.Ю., расположенного по адресу: Ростовская область, Багаевский район, х. Арпачин, ул. Фрунзе, д. 21, к.н. 61:03:0040207:212 (1шт)</t>
  </si>
  <si>
    <t>Установка прибора учета для присоединения  жилого дома Терновой К.С., расположенного по адресу: Ростовская область, Багаевский район, х. Слава Труда, ул. Славянская, д. 11, к.н. 61:02:0020301:43 (1шт)</t>
  </si>
  <si>
    <t>Установка прибора учета для присоединения  жилого дома Бесалашвили И. Д. расположенного по адресу: Ростовская область, Веселовский район, п. Веселый, ул. Советская, 27-б к.н. 61:06:0010128:514»(1шт)</t>
  </si>
  <si>
    <t>Установка прибора учета для присоединения БС №61-0429, расположенной по адресу: Ростовская область, Веселовский район, п. Веселый, ул. Коллективная, 34-а, к.н. 61:06:0010134:599 ( 1 шт)</t>
  </si>
  <si>
    <t>Установка прибора учета для присоединения ВРУ 0,4 кВ жилого дома Малеевой Т.Ю., расположенного по адресу: Ростовская обл., р-н. Семикаракорский, ст-ца. Новозолотовская, ул. Донская, д. 20, к.н.:  61:35:0060101:245(1шт)</t>
  </si>
  <si>
    <t>Установка прибора учета для присоединения ВРУ 0,4 кВ жилого дома Приходкин В.В., расположенного по адресу: Ростовская обл., р-н. Семикаракорский, ст-ца. Новозолотовская, ул. Ленина, д. 61, к.н.: 61:35:0060101:2653527</t>
  </si>
  <si>
    <t xml:space="preserve">Строительство ВЛ 0,4 кВ от проектируемой ВЛ 0,4 кВ проектируемой КТПН 10/0,4 кВ (по договору №61-1-20-00524817 от 18.08.2020 г.) ВЛ 10 кВ №657 ПС 110 кВ АС6 для электроснабжения ВРУ 0,4 кВ жилого дома Горшкова А. А. в ст-це Старочеркасская Аксайского района Ростовской области </t>
  </si>
  <si>
    <t>Строительство ВЛ 0,4 кВ от ВЛ 0,4 кВ №3 КТП №5 ВЛ 10 кВ №657 ПС 110 кВ АС6 для электроснабжения ВРУ 0,4 кВ жилого дома Мосенцевой М. Е. на участке с КН 61:02:0110102:3378 в ст-це Старочеркасская Аксайского района Ростовской области (ориентировочная протяжённость ЛЭП 0,046 км)»</t>
  </si>
  <si>
    <t xml:space="preserve">Строительство ВЛ 0,4 кВ от ВЛ 0,4 кВ №1 КТП №1 ВЛ 10 кВ №657 ПС 110 кВ АС6 для электроснабжения ВРУ 0,4 кВ жилых домов по ул. Серафимовская, ул. Георгиевская в ст-це Старочеркасская Аксайского района Ростовской области (ориентировочная протяжённость ЛЭП 0,165 км)
</t>
  </si>
  <si>
    <t>Строительство ВЛ 0,4 кВ от ВЛ 0,4 кВ №1 КТП №1 ВЛ 10 кВ №657 ПС 110 кВ АС6 для электроснабжения ВРУ 0,4 кВ жилого дома Фролкиной О. В. на участке с КН 61:02:0600013:2100 в ст-це Старочеркасская Аксайского района Ростовской области (ориентировочная протяжённость ЛЭП 0,085 км)</t>
  </si>
  <si>
    <t>«Строительство ВЛ 0,4 кВ от ВЛ 0,4 кВ №2 КТП №32 ВЛ 10 кВ №657 ПС 110 кВ АС6 для электроснабжения ВРУ 0,4 кВ жилого дома Тамилина К. Ф. на участке с КН 61:02:0110102:2438 в ст-це Старочеркасская Аксайского района Ростовской области (ориентировочная протяжённость ЛЭП 0,116 км)»</t>
  </si>
  <si>
    <t>Строительство ВЛ 0,4 кВ от ВЛ 0,4 кВ проектируемой КТПН 10/0,4 кВ (по договору №61-1-19-00433103 от 18.03.2019 г.) ВЛ 10 кВ №1103 ПС 110 кВ АС11 для электроснабжения ВРУ 0,4 кВ жилого дома Арутюновой В. К. по ул. Вишневая, 11 в х. Александровка Аксайского района Ростовской области</t>
  </si>
  <si>
    <t>Строительство ВЛ 0,4 кВ от ВЛ 0,4 кВ №1 КТП №450 ВЛ 10 кВ №1103 ПС 110 кВ АС11 для электроснабжения ВРУ 0,4 кВ жилого дома Сагарь С. С. на участке с КН 61:02:0600009:1076 в  с/х КСП им. М. Горького Аксайского района Ростовской области (ориентировочная протяжённость ЛЭП 0,070 км)</t>
  </si>
  <si>
    <t>Строительство ВЛ 0,4 кВ от ВЛ 0,4 кВ №2 ТП 10/0,4 кВ №34 ВЛ 10 кВ №657 ПС 110 кВ АС6 для электроснабжения ВРУ 0,4 кВ жилого дома Московченко К. П. на участке с КН 61:02:0110102:2327 в ст-це Старочеркасская Аксайского района Ростовской области (ориентировочная протяжённость ЛЭП 0,05 км)</t>
  </si>
  <si>
    <t xml:space="preserve">Строительство ВЛ 0,4 кВ от ВЛ 0,4 кВ №1 КТП №446 ВЛ 10 кВ №1109 ПС 110 кВ АС11 с заменой силового трансформатора КТП №446 ВЛ 10 кВ №1109 ПС 110 кВ АС11 для электроснабжения ВРУ 0,4 кВ жилого дома Харитоновой Е. Н. на участке с КН 61:02:0030301:97 в х. Веселый Аксайского района Ростовской области </t>
  </si>
  <si>
    <t>Строительство ВЛ 0,4 кВ от ВЛ 0,4 кВ №2 КТП 10/0,4 кВ №575 ВЛ 10 кВ №704 ПС 35 кВ БГ7 для электроснабжения жилого дома Полегуевой М.Ф. по адресу РО, Багаевский район, х. Красный, ул. Кужниковская 3-я, д. 2/1, к.н. 61:03:0060109:71. (ориентировочная протяжённость ЛЭП 0,08 км)</t>
  </si>
  <si>
    <t>Строительство ВЛ 0,4 кВ от РУ 0,4 кВ КТП10 кВ №431 ВЛ 10 кВ №1001 ПС 110 кВ В10 для электроснабжения электронасосной станции  ИП Главы КФХ Карпенко В. В. по адресу РО, Веселовский район, Верхнесоленовское сельское поселение, к.н. 61:06:0600009:241(ориентировочная протяжённость ЛЭП 0,14 км)</t>
  </si>
  <si>
    <t>Строительство ВЛ 0,4 кВ по ВЛ 0,4 кВ №3 КТП10 кВ №34 ВЛ 10 кВ №151 ПС 110 кВ В1 для электроснабжения жилого дома Полякова С. В. по адресу РО, Веселовский район, п. Веселый, пер. Кленовый, 76, к.н. 61:06:0600012:1144 (ориентировочная протяжённость ЛЭП 0,13 км</t>
  </si>
  <si>
    <t>Установка прибора учета для присоединения магазина  Ильдимиркина А. В. расположенного по адресу: Ростовская область, Веселовский район, п. Чаканиха, ул. Молодежная, 27 А к.н. 61:06:0020812:119»(1шт)</t>
  </si>
  <si>
    <t>Установка прибора учета для присоединения  жилого дома Ильиной Е. В, расположенного по адресу: Ростовская область, Веселовский район, п. Веселый, ул. Максима Горького, 30-а, к.н. 61:06:0010110:476(1шт)</t>
  </si>
  <si>
    <t>Установка прибора учета для присоединения  жилого дома Лемешевского М. Г., расположенного по адресу: Ростовская область, Веселовский район, х. Нижнесоленый, ул. Казима Мустафаева, 49, к.н. 61:06:0020308:13(1шт)</t>
  </si>
  <si>
    <t>Установка прибора учета для присоединения  жилого дома Невидимова К. В, расположенного по адресу: Ростовская область, Веселовский район, п. Веселый, ул. Мелиораторов, 4-а к.н. 61:06:0010139:419»(1шт)</t>
  </si>
  <si>
    <t>Установка прибора учета для присоединения магазина «Промтовары» ИП Василенко Е. А. расположенного по адресу: Ростовская область, Веселовский район, п. Средний Маныч, ул. Ленина, 6 к.н. 61:06:0050103:124»(1шт)</t>
  </si>
  <si>
    <t>Установка прибора учета для присоединения  жилого дома Скороходовой О. Н, расположенного по адресу: Ростовская область, Веселовский район, п. Веселый, ул. Луговая, 12, к.н. 61:06:0010138:773» (1шт)</t>
  </si>
  <si>
    <t>Установка прибора учета для присоединения жилого дома Сопливенко А. В. расположенного по адресу: Р.О., Веселовский район, х. Нижнесоленый, ул. Саманная, д. 29 (1 шт)</t>
  </si>
  <si>
    <t>Установка прибора учета для присоединения здания магазина ИП Улиханян А. Ш. расположенного по адресу: Р.О., Веселовский район, х. Верхнесоленый, ул. Центральная, д. 71,( 1 шт)</t>
  </si>
  <si>
    <t>Установка прибора учета для присоединения жилого дома Шебалкова В. В. расположенного по адресу: Ростовская область, Веселовский район, х. Новоселовка, ул. Коллективная, д.37-а, к. н. 61:06:0040301:74»(1шт)</t>
  </si>
  <si>
    <t xml:space="preserve">Установка прибора учета для присоединения  квартиры Шульги Л. Л., расположенной по адресу: РО, Веселовский район, х. Позднеевка, пер. Цветочный, 11, кв.  1, к.н. 61:06:0060105:76
</t>
  </si>
  <si>
    <t xml:space="preserve">Строительство ВЛ 0,4 кВ от проектируемой ВЛ-0,4 кВ нового КТП (по договорам ТП № 61-1-19-00427405 от 27.02.2019 г. Павлов И.В, № 61-1-19-00427443 от 27.02.2019 г. Гавшева Л.М., № 61-1-19-00427459 от 27.02.2019г. Симакина Е.В., № 61-1-19-00427423 от 18.02.2019 г. Попова Г.Н.)  с установкой на границе земельного участка заявителя прибора учета для электроснабжения БС-1373 заявителя ООО «Т2 Мобайл» по адресу: РО, Семикаракорский р-н, х. Чебачий, ул. Горького, д. 59а, кадастровый номер земельного участка: 61:35:0060201:2675 </t>
  </si>
  <si>
    <t>Установка системы учета для технологического присоединения «жилого дома», расположенного по адресу: 347609 Российская Федерация, Ростовская обл.,  р-н Сальский, п. Белозёрный,               ул. Речная, д. 24, к.н.з.у.: 61:34:0080101:421, заявитель              Зиновьев Э. В. (1 шт.)</t>
  </si>
  <si>
    <t>Строительство ВЛ 0,4 кВ от опоры №3-00/4 ВЛ 0,4 кВ Л-3 от                         КТП 10/0,4 кВ №495 по ВЛ 10 кВ Л-3 Красный Партизан, для электроснабжения объекта – «жилой дом», расположенного по адресу: Российская Федерация, Ростовская обл., р-н Сальский, п. Белозёрный,                        ул. Орджоникидзе, д.19, кв.1, кадастровый номер земельного участка: 61:34:080101:0320, заявитель Зеленко А.И.». (Ориентировочная протяженность ЛЭП-0,025 км)</t>
  </si>
  <si>
    <t>Строительство ВЛ 0,4 кВ от опоры №1-00/13-2 ВЛ 0,4 кВ Л-1 от КТП 10/0,4 кВ №404 по ВЛ 10 кВ Л-1 Фрунзе 1, для электроснабжения объекта – «жилой дом», расположенного по адресу: 347602 Российская Федерация, Ростовская обл., р-н Сальский, п. Степной Курган, ул. Октябрьская, д. 4, кв./оф. 1, кадастровый номер земельного участка: 61:34:0100101:414, заявитель Головлев С.Н.» (Ориентировочная протяженность ЛЭП-0,015 км)</t>
  </si>
  <si>
    <t>Строительство участка ВЛ 0,4 кВ от опоры №3-00/16 ВЛ 0,4 кВ Л-3 КТП 10/0,4 кВ №153 по ВЛ 10 кВ Л-3 Уютная для электроснабжения объекта  «жилой дом», расположенного по адресу: РФ, Ростовская область, Пролетарский район, х. Уютный, ул. Ленина. 118, кв. 2, заявитель Кравцов А.И.» (Ориентировочная протяженность ЛЭП – 0,025км)</t>
  </si>
  <si>
    <t xml:space="preserve"> «Установка системы учета для технологического присоединения «Здания детского сада», расположенного по адресу: 347603 Российская Федерация, Ростовская обл., р-н Сальский, п. Конезавод имени Будённого, ул. Ленина, д.15, корп. ж, кадастровый номер земельного участка: 61:34:0040101:4260, заявитель Управление образования Сальского района» (1 шт.)</t>
  </si>
  <si>
    <t>Установка системы учета для технологического присоединения «жилого дома», расположенного по адресу: 347760, РФ, Ростовская область, Целинский район, п. Новая Целина, ул. Макаренко, д. 33, к.н.з.у.:61:40:0010147:54, заявитель Стороженко Оксана Николаевна (1 шт.)</t>
  </si>
  <si>
    <t xml:space="preserve"> «Строительство ВЛ 0,4кВ от опоры №1-01/8 ВЛ 0,4кВ Л-1 КТП-10/0,4кВ №163 по ВЛ 10кВ Л-4 Уютная для электроснабжения объекта – «жилой дом», расположенного по адресу: РФ, Ростовская область, Пролетарский район, х. Уютный, ул. Первомайская, д. 42а, к.н. 61:31:0100201:63, заявитель Величко Е.В.» (1 шт.)</t>
  </si>
  <si>
    <t>Установка системы учета для технологического присоединения «парка»», расположенного по адресу: 347560, РФ, Ростовская область, Песчанокопский район, с. Развильное, пер. Пионерский,13-а, к.н.з. у.: 61:30:0090101:9223, заявитель Администрация Развильненского сельского поселения (1 шт.)</t>
  </si>
  <si>
    <t xml:space="preserve">«Строительство ВЛ 0,4 кВ от опоры №2-00/7 ВЛ 0,4 кВ Л-2 КТП-10/0,4 кВ №31 по ВЛ 10 кВ Л-8 Пролетарская для электроснабжения объекта - "фельдшерско - акушерский пункт", расположенного по адресу: РФ, Ростовская область,  Пролетарский район, х. Привольный, ул. Мира, д.32/2, к.н. 61:31:0050201:699, заявитель МБУЗ "ЦРБ" Пролетарского района  (ориентировочная протяжённость ЛЭП - 0,025 км)» </t>
  </si>
  <si>
    <t>«Установка системы учета для технологического присоединения электроснабжения объекта – «сети уличного освещения (ул. Мира, х. Малая Бургуста)», расположенного по адресу: РФ, Ростовская область, Пролетарский район, х. Малая Бургуста, ул. Мира, заявитель Администрация Ковринского сельского поселения (1 шт.)»</t>
  </si>
  <si>
    <t>Установка системы учета для технологического присоединения объекта – «жилой дом», расположенного по адресу: РФ, Ростовская область, Пролетарский район, ДНТ Ручеек №3", ул. Вишневая, д. 17, к.н. 61:31:0500101:142, заявитель Доношенко С.А. (1 шт.)"</t>
  </si>
  <si>
    <t>Строительство участка ВЛ 0,4 кВ от опоры №1-01/18 ВЛ 0,4 кВ Л-1 КТП 10/0,4 кВ №5 по ВЛ 10 кВ Л-3 Пролетарская для электроснабжения  объекта - «жилой дом», расположенного по адресу: РФ, Ростовская область, Пролетарский район, г. Пролетарск, ул. Плугина, д. 2, заявитель Снеткова О.В.(Ориентировочная протяженность ЛЭП – 0,025км)</t>
  </si>
  <si>
    <t>«Установка системы учета для технологического присоединения «Базовой станции сотовой связи», расположенного по адресу: 347608, Российская Федерация, Ростовская обл., р-н. Сальский, с. Бараники, ул. Пришкольная, возле кадастрового номера земельного участка: 61:34:0020101:1837, заявитель АО «Первая Башенная Компания» (1 шт.)</t>
  </si>
  <si>
    <t>Установка системы учета для технологического присоединения «мастерских», расположенного по адресу: РФ, Ростовская область, Сальский район, п. Супрун, в кадастровом квартале 61:34:0600003, с условным центром в п. Супрун отделение №2, поле 14г, с к.н. 61:34:0600003:1136, заявитель ИП глава К(Ф)Х Алиев А.А.  (1 шт.)</t>
  </si>
  <si>
    <t>Установка системы учета для технологического присоединения «жилого дома», расположенного по адресу: 347560, РФ, Ростовская область, Песчанокопский район, с. Развильное, ул. Шоссейная, 16 к.н. з. у.: 61:30:0090101:163, заявитель Галызина Е.С. (1 шт.)</t>
  </si>
  <si>
    <t>Установка системы учета для технологического присоединения «жилого дома», расположенного по адресу: 347563, РФ, Ростовская область, Песчанокопский район, с. Поливянка, пер. Кирпичный,4, к.н. з. у.: 61:30:0080101:200, заявитель Горобец В.И. (1 шт.)</t>
  </si>
  <si>
    <t>Установка системы учета для технологического присоединения «базовой станции сотовой связи БС 2679», расположенного по адресу: Российская Федерация, Ростовская обл., р-н Сальский, с. Шаблиевка, ул. Димитрова, кадастровый номер земельного участка: 61:34:0050201:2504, заявитель ООО «Т2 Мобайл»» (1 шт.)</t>
  </si>
  <si>
    <t>Установка системы учета для технологического присоединения «сооружение (объекты дорожного хозяйства)», расположенного по адресу: 347570, РФ, Ростовская область, Песчанокопский район, автомобильная дорога г. Ростов-на-Дону (от магистрали Дон") - г. Ставрополь (до границы Ставропольского края),к.н.з. у.: 61:30:0000000:2508, заявитель Министерство транспорта РО (1 шт.)"</t>
  </si>
  <si>
    <t>Установка системы учета для технологического присоединения «жилого дома», расположенного по адресу: Российская Федерация, Ростовская обл., р-н Сальский, с. Кручёная Балка, ул. Тихая, д. 26, кадастровый номер земельного участка: 61:34:0090101:1143, заявитель Мовчан Д.И. (1 шт.)</t>
  </si>
  <si>
    <t>Строительство ВЛ 0,4 кВ от опоры №2-00/6 ВЛ 0,4 кВ Л-2 КТП-10/0,4 кВ №250 по ВЛ 10 кВ Л-4 КРС для электроснабжения объекта - жилой дом", расположенного по адресу: РФ, Ростовская область, Пролетарский район, п. Опенки, ул. молодежная, д.10, кв.1, к.н. 61:31:0080101:680, заявитель Ларионова Н.А. (ориентировочная протяженность ЛЭП-0,025 км)"</t>
  </si>
  <si>
    <t>«Установка системы учета для технологического присоединения объекта – «дачный дом», расположенного по адресу:
 РФ, Ростовская область, Пролетарский район, ДНТ «Ручеек №3», ул. Садовая, д. 48, кв. 1, к.н. 61:31:0500101:225, заявитель Рацев Г.В.» (1 шт.)</t>
  </si>
  <si>
    <t>Установка системы учета для технологического присоединения «жилой дом», расположенного по адресу: 347767, РФ, Ростовская область, Целинский район, ст-ца Сладкая Балка, ул. Егорлыкская, д. 72, к.н.з.у.:61:40:0040201:5, заявитель Башанаев М.С.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</si>
  <si>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пер. Мостовой, д. 9, кв. 2 к.н. з.у.: 61:29:0060133:66, заявитель Воронкова М.В.»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</si>
  <si>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ул. Кирова, д. 106, к.н. з.у.: 61:29:0060104:14, заявитель Добрицын Н.А. (1шт.)</t>
  </si>
  <si>
    <t>Установка системы учета для технологического присоединения «жилого дома», расположенного по адресу: 347627 Российская Федерация, Ростовская обл., р-н Сальский, п. Сеятель Северный, ул. Садовая, д. 76, кадастровый номер земельного участка: 61:34:0070101:2026,  заявитель Лесная Е.А. (1 шт.)</t>
  </si>
  <si>
    <t>«Установка системы учета для технологического присоединения «жилого дома», расположенного по адресу: 347627 Российская Федерация, Ростовская обл., р-н Сальский, 
п. Сеятель Южный, линия 1-я, д. 26, кадастровый номер земельного участка: 61:34:0070201:165, заявитель Дочинец В.И.»</t>
  </si>
  <si>
    <t>«Установка системы учета для технологического присоединения «жилого дома», расположенного по адресу: 347769, РФ, Ростовская область, Целинский район, с. Лопанка, ул. Калинина, д. 12, к.н.з.у.:61:40:0040101:2660, заявитель Закуркин Андрей Викторович» (1 шт.)</t>
  </si>
  <si>
    <t>Установка системы учета для технологического присоединения «квартира», расположенного по адресу: 347760, РФ, Ростовская область, Целинский район, п. Тихий, ул. Светлая, д. 10, кв. 2, к.н. з.у.: 61:40:0010601:39, заявитель Зарудняя Анастасия Михайловна (1 шт.)</t>
  </si>
  <si>
    <t>"Установка системы учета для технологического присоединения «жилого дома», расположенного по адресу: 347776, РФ, Ростовская область, Целинский район, х. Васильевка, ул. Солнечная, д. 97, к.н.з.у.:61:40:0100201:128, заявитель Зубков Геннадий Николаевич" (1 шт.)</t>
  </si>
  <si>
    <t>"Установка системы учета для технологического присоединения объекта «комнаты 1,2,3,5», расположенного по адресу: 347521, РФ, Ростовская область, Орловский район, х. Быстрянский, ул. Мира, д. 12/1, к.н. з.у.: 61:29:0010201:2977, заявитель Карпенко Ю.А." (1 шт.)</t>
  </si>
  <si>
    <t>"Установка системы учета для технологического присоединения «жилого дома», расположенного по адресу: 347500, РФ, Ростовская область, Орловский район, п. Красноармейский, пер. Южный, д. 31, к.н. з.у.: 61:29:0060135:72, заявитель Красилина Л.В." (1 шт.)</t>
  </si>
  <si>
    <t>«Установка системы учета для технологического присоединения «дома», расположенного по адресу: Российская Федерация, Ростовская обл., р-н Сальский, х. Бровки, ул. Степная, 32, кадастровый номер земельного участка: 61:34:0500801:778, заявитель Пикалев О.А.»</t>
  </si>
  <si>
    <t>«Установка системы учета для технологического присоединения «базовая станция сотовой связи», расположенного по адресу: Российская Федерация, Ростовская обл.,
 р-н. Сальский, п. Клены, пересечение ул. Пруцакова и ул. Солнечная, рядом с земельным участком с кад. номером 61:34:0010401:329, заявитель ПАО «Ростелеком»</t>
  </si>
  <si>
    <t>«Установка системы учета для технологического присоединения «базовая станция сотовой связи», расположенного по адресу: Российская Федерация, Ростовская обл., р-н. Сальский, п. Тальники, рядом с земельным участком с кад. номером 61:34:0100501:98, заявитель ПАО «Ростелеком»</t>
  </si>
  <si>
    <t>"Установка системы учета для технологического присоединения «квартира», расположенного по адресу: 347773, РФ, Ростовская область, Целинский район, с. Плодородное, ул. Молодежная, д. 37, кв. 1, к.н.з.у.:61:40:0070101:360, заявитель Сбоева Светлана Сергеевна" (1 шт.)</t>
  </si>
  <si>
    <t>«Установка системы учета для технологического присоединения «дома», расположенного по адресу: Российская Федерация, Ростовская обл., р-н Сальский, х. Бровки, СНТ №2 «Бровки», ул. Камышовая, 93, кадастровый номер земельного участка: 61:34:0500801:192, заявитель Сикорская И.А.»</t>
  </si>
  <si>
    <t>«Установка системы учета для технологического присоединения объекта «жилой дом», расположенного по адресу: 347500, РФ, Ростовская область, 
Орловский район, х. Широкий, ул. Степная, д. 26, к.н. з.у.: 61:29:0061101:179, заявитель Челиков Н.Н.»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</si>
  <si>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ул. Восточная, д. 182, к.н. з.у.: 61:29:0060103:41, заявитель Шептиев А.А. (1 шт.)</t>
  </si>
  <si>
    <t>«Установка системы учета для технологического присоединения «жилой дом», расположенного по адресу: 347760, РФ, Ростовская область, Целинский район, п. Новая Целина, ул. Дружбы, д.24, к.н.з.у.:61:40:0010146:64, заявитель Шульга В.А.» (1 шт.)</t>
  </si>
  <si>
    <t>"Установка системы учета для технологического присоединения «жилой дом», расположенного по адресу: РФ, Ростовская область, Целинский район, п. Новая Целина, ул. Первомайская, д. 30, к.н. з.у.: 61:40:0010150:79, заявитель Щербина Михаил Андреевич (1 шт.)"</t>
  </si>
  <si>
    <t>"Установка системы учета для технологического присоединения «магазина », расположенного по адресу: 347566, РФ, Ростовская область, Песчанокопский район, п. Дальнее Поле, ул. Молодежная, 5/2, к.н.з. у.: 61:30:0040101:21, заявитель ИП Кожуро А.И. (1 шт.)"</t>
  </si>
  <si>
    <t>"Установка системы учета для технологического присоединения «дом агронома», расположенного по адресу: 347570, РФ, Ростовская область, Песчанокопский район, вблизи с. Песчанокопского, граф. учет №26 к.н.з. у.: 61:30:0600004:4428, заявитель ИП глав КФХ Кононов В.А. (1 шт.)"</t>
  </si>
  <si>
    <t>"Установка системы учета для технологического присоединения «здание», расположенного по адресу: 347570, РФ, Ростовская область, Песчанокопский район, вблизи с. Песчанокопского, к.н.з. у.: 61:30:0600004:6132, заявитель ИП глава КФХ Федоров В.И. (1 шт.)"</t>
  </si>
  <si>
    <t>Установка системы учета для технологического присоединения «складское здание (помещение)», расположенного по адресу: Российская Федерация, Ростовская обл., г. Сальск, справа от автодороги 338 км+850 м «Песчанокопское-Котельниково», кадастровый номер земельного участка: 61:57:0010101:38, заявитель ООО «Белозерное» (1 шт.)</t>
  </si>
  <si>
    <t>"Установка системы учета для технологического присоединения «жилого дома», расположенного по адресу: 347565, РФ, Ростовская область, Песчанокопский район, с. Красная Поляна, ул. Красная, 60, к.н.з. у.: 61:30:0050101:1391, заявитель Солодов В.В. (1 шт.)"</t>
  </si>
  <si>
    <t>"Установка системы учета для технологического присоединения «жилого дома», расположенного по адресу: 347565, РФ, Ростовская область, Песчанокопский район, с. Красная Поляна, пер. Речной, 4-а, к.н.з. у.: 61:30:0050101:5392, заявитель Хворостов Г.В. (1 шт.)"</t>
  </si>
  <si>
    <t>"Установка системы учета для технологического присоединения объекта – «зернохранилище», расположенного по адресу: РФ, Ростовская область, Пролетарский район, примерно в 8 км по направлению на восток от ориентира п.п. 1260 (Красный кут), к.н. 61:31:0600007:396, заявитель Абросимов А.А. (1 шт.)"</t>
  </si>
  <si>
    <t>"Установка системы учета для технологического присоединения объекта – «базовая станция/оборудование сотовой связи», расположенного по адресу: РФ, Ростовская область, Пролетарский район, п. Опенки, ул. Молодежная, участок в 20 м от дома №1, заявитель АО «ПБК» (1 шт.)"</t>
  </si>
  <si>
    <t>"Установка системы учета для технологического присоединения объекта – «жилой дом», расположенного по адресу: 347552 Российская Федерация, Ростовская обл., р-н. Пролетарский, х. Сухой, ул. Строительная, д. 16, кв.2, к.н 61:31:0090101:608, заявитель Магомедрасулова И.В.» (1 шт.)"</t>
  </si>
  <si>
    <t>"Установка системы учета для технологического присоединения объекта – «дачный дом», расположенного по адресу: РФ, Ростовская область, Пролетарский район, садовое товарищество «Заречное», к.н. 61:31:0500401:50, заявитель Минор А.А." (1 шт.)</t>
  </si>
  <si>
    <t>«Установка системы учета для технологического присоединения электроснабжения объекта – «домик рыбака», расположенного по адресу: РФ, Ростовская область, Пролетарский район, рядом с земельным участком с кадастровым номером 61:31:0600011:887, расположенным по адресу: Ростовская область, Пролетарский район, 5,55 км юго-западнее х. Уютный, кв. 1, к.н. 61:31:0600011:902, заявитель Радченко С.С.» (1 шт.)</t>
  </si>
  <si>
    <t>"Установка системы учета для технологического присоединения объекта – «жилой дом», расположенного по адресу: РФ, Местоположение установлено относительно ориентира, расположенного в границах участка. Почтовый адрес ориентира: Ростовская область, р-н. Пролетарский, х. Уютный, ул. Первомайская, д.20, к.н 61:31:0100201:10, заявитель Редько С.А." (1 шт.)</t>
  </si>
  <si>
    <t>"Установка системы учета для технологического присоединения объекта – «жилой дом», расположенного по адресу: РФ, Ростовская область, Пролетарский район, ст-ца. Буденновская, ул. Южная, д. 38, к.н. 61:31:0020101:896, заявитель Сылкин А.Н." (1 шт.)</t>
  </si>
  <si>
    <t>«Установка системы учета для технологического присоединения объекта – «жилой дом», расположенного по адресу: РФ, Ростовская обл., р-н. Пролетарский, п. Приманычский, ул. Приманычская, д. 7, к.н 61:31:0010301:105, заявитель Тельнов С.Е.» (1 шт.)</t>
  </si>
  <si>
    <t>"Установка системы учета для технологического присоединения объекта – «жилой дом», расположенного по адресу: РФ, Ростовская область, Пролетарский район, х. Татнинов, ул. Лесная, д. 1, к.н. 61:31:0070301:50, заявитель Челомбасова В.В." (1 шт.)</t>
  </si>
  <si>
    <t>"Установка системы учета для технологического присоединения «манеж», расположенного по адресу: 347771, РФ, Ростовская область, Целинский район, п. Юловский, Юловское сельское поселение, северная окраина, к.н. з.у.: 61:40:0600009:1405, заявитель ООО «Агрофирма «Целина» (1 шт.)"</t>
  </si>
  <si>
    <t>«Установка системы учета для технологического присоединения «домовладения», расположенного по адресу: 347614 Российская Федерация, Ростовская обл., р-н. Сальский, с. Березовка, ул. Юбилейная, д. 11, кадастровый номер земельного участка: 61:34:0030101:828, заявитель    Александровский Н.Н.» (1 шт.)</t>
  </si>
  <si>
    <t>"Установка системы учета для технологического присоединения «жилого дома», расположенного по адресу: 347603 Российская Федерация, Ростовская обл., р-н. Сальский, п. Конезавод имени Буденного, ул. Восточная, д. 25, кадастровый номер земельного участка: 61:34:0040101:515, заявитель Бездудный Д. В.»  (1 шт.)"</t>
  </si>
  <si>
    <t xml:space="preserve">«Установка системы учета для технологического присоединения объекта «квартира», расположенного по адресу: 347527, РФ, Ростовская область, Орловский район, п. Волочаевский, ул. Степная,27, кв. 1, к.н. з.у.: 61:29:00201011:72, заявитель Борилко Н.И.  (1 шт.)» </t>
  </si>
  <si>
    <t>"Установка системы учета для технологического присоединения объекта «жилой дом», расположенного по адресу: 347500, РФ, Ростовская область, Орловский район, х. Токмацкий, ул. Солнечная, д. 3, к.н. з.у.: 61:29:0061001:9, заявитель Быкадорова Л.В. (1шт.)"</t>
  </si>
  <si>
    <t>«Установка системы учета для технологического присоединения «жилого дома», расположенного по адресу: Российская Федерация, Ростовская обл., р-н. Сальский, п. Конезавод имени Буденного ул. 40 лет Победы, 8а, кадастровый номер земельного участка: 61:34:0040101:4233, заявитель    Гладкий Э.Н.» (1 шт.)</t>
  </si>
  <si>
    <t>"Установка системы учета для технологического присоединения объекта «квартира», расположенного по адресу: 347523, РФ, Ростовская область, Орловский район, х. Веселый, ул. Советская, д. 21, кв. 1 к.н. з.у.: 61:29:0070401:79, заявитель Гричук С.А.» (1 шт.)"</t>
  </si>
  <si>
    <t>«Установка системы учета для технологического присоединения «жилого дома», расположенного по адресу: 347767, РФ, Ростовская область, Целинский район, ст. Сладкая Балка, ул. Прогресс, д. 37, к.н.з.у.:61:40:0040501:203, заявитель Дерлыш Анатолий Александрович» (1 шт.)</t>
  </si>
  <si>
    <t>"Установка системы учета для технологического присоединения «жилого дома», расположенного по адресу: 347609, Российская Федерация, Ростовская обл., р-н. Сальский, п. Белозерный, ул. Степная, д. 1, кадастровый номер земельного участка: 61:34:0080101:359, заявитель Добрынина Н. П. (1 шт.)"</t>
  </si>
  <si>
    <t>«Установка системы учета для технологического присоединения «жилого дома», расположенного по адресу: 347767, РФ, Ростовская область, Целинский район, ст. Сладкая Балка, ул. Центральная, д. 46, к.н.з.у.:61:40:0040501:16, заявитель Дубровин Дмитрий Вадимович» (1 шт.)</t>
  </si>
  <si>
    <t>"Установка системы учета для технологического присоединения «Храм», расположенного по адресу: 347618 Российская Федерация, Ростовская обл., р-н Сальский, с. Кручёная Балка, ул. Челнокова, д. 67,  кадастровый номер земельного участка: 61:34:0090101:4202, заявитель Местная религиозная организация православный Приход Храма Архистратига Михаила село Кручёная Балка Сальского района Ростовской области Религиозной организации «Волгодонская Епархия Русской Православной Церкви (Московский Патриархат)» (1 шт.)"</t>
  </si>
  <si>
    <t>«Установка системы учета для технологического присоединения объекта «жилой дом», расположенного по адресу: 347526, РФ, Ростовская область, Орловский район, х. Нижнеантоновский, ул. Антоновская, д. 40, к.н. з.у.: 61:29:0050401:339, заявитель Зайченко Е.Н. (1 шт.)»</t>
  </si>
  <si>
    <t>"Установка системы учета для технологического присоединения «жилого дома», расположенного по адресу: 347612 Российская Федерация, Ростовская обл., р-н Сальский, с. Сандата, ул. Мира, д. 5, к.н.з.у.:61:34:0170101:495, заявитель Кезина О.Н. (1 шт.)"</t>
  </si>
  <si>
    <t>"Установка системы учета для технологического присоединения «жилого дома», расположенного по адресу: 347760, РФ, Ростовская область, Сальский район,            п. Конезавод имени Буденного, ул. Садовая, 15, к.н.з.у.: 61:34:0040101:4288, заявитель Конкин Сергей Сергеевич (1 шт.)"</t>
  </si>
  <si>
    <t>"Установка системы учета для технологического присоединения объекта «гараж», расположенного по адресу: 347523, РФ, Ростовская область, Орловский район, х. Островянский, ул. Советская, д. 1В, к.н. з.у.: 61:29:0070101:2461, заявитель ИП Кузин С.А. глава К(Ф)Х (1шт.)"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</si>
  <si>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пер. Красноармейский,48, к.н. з.у.: 61:29:0060122:20, заявитель Лукашов Е.В.» (1 шт.)"</t>
  </si>
  <si>
    <t>"Установка системы учета для технологического присоединения «жилого дома», расположенного по адресу: 347613 Российская Федерация, Ростовская обл., р-н Сальский, х. Сладкий, ул. Новомирская, д. 10, кадастровый номер земельного участка: 61:34:0060301:1, заявитель Лукьяненко С.Н. (1 шт.)"</t>
  </si>
  <si>
    <t>«Установка системы учета для технологического присоединения объекта «квартира», расположенного по адресу: 347525, РФ, Ростовская область, Орловский район, х. Камышевка, ул. Школьная, 10, кв.2, к.н. з.у.: 61:29:0050101:343, заявитель Лупиногина Т.М.» (1 шт.)»</t>
  </si>
  <si>
    <t>"Установка системы учета для технологического присоединения «нежилого объекта», расположенного по адресу: Российская Федерация, Ростовская обл., р-н Сальский, п. Степной Курган, кадастровый номер земельного участка: 61:34:0600001:2593, заявитель Миргородский С.Н. (1 шт.)"</t>
  </si>
  <si>
    <t xml:space="preserve"> «Установка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ул. Школьная, д. 75 к.н. з.у.: 61:29:0050101:280, заявитель Орлов С.П.» (1 шт.) </t>
  </si>
  <si>
    <t>"Установка системы учета для технологического присоединения «жилого дома», расположенного по адресу: 347612 Российская Федерация, Ростовская обл., р-н Сальский, с. Сандата, ул. Ленина, д. 109, кадастровый номер земельного участка: 61:34:0170101:1679, заявитель Остапенко И.И.» (1 шт.)"</t>
  </si>
  <si>
    <t>"Установка системы учета для технологического присоединения «жилого дома», расположенного по адресу: 347615, Российская Федерация, Ростовская обл., р-н. Сальский, с. Новый Егорлык, ул. Ленина, 10а, кадастровый номер земельного участка: 61:34:0110101:6626, заявитель Пономарь В.Н.» (1 шт.)"</t>
  </si>
  <si>
    <t>"Установка системы учета для технологического присоединения «жилой дом», расположенного по адресу: 347773, РФ, Ростовская область, Целинский район, х. Благодарный, ул. Луговая, д. 44, к.н.з.у.:61:40:0070201:47, заявитель Рамазанов Ахмед Мичошоевич"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</si>
  <si>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пер. Пролетарский,18, к.н. з.у.: 61:29:0060127:43, заявитель Савина О.А.» (1 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</si>
  <si>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ул. Школьная, 13, к.н. з.у.: 61:29:0050101:324, заявитель Скляров Р.И.»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</si>
  <si>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х. Широкий, ул. Южная, д. 10, к.н. з.у.: 61:29:0061101:10, заявитель Соловьянова В.И. (1шт.)"</t>
  </si>
  <si>
    <t>"Установка системы учета для технологического присоединения объекта «магазин», расположенного по адресу: 347500, РФ, Ростовская область, Орловский район, п. Красноармейский, пер. Красноармейский, д.1, к.н. з.у.: 61:29:0060123:114, заявитель ИП Сычев Н.Н. (1шт.)"</t>
  </si>
  <si>
    <t>«Установка системы учета для технологического присоединения «жилого дома с мансардой», расположенного по адресу: 347618 Российская Федерация, Ростовская обл., р-н. Сальский, с. Крученая Балка, ул. Комсомольская, д. 22, кадастровый номер земельного участка: 61:34:0090101:810, заявитель Тарасенко И.Е.»  (1 шт.)</t>
  </si>
  <si>
    <t>«Установка системы учета для технологического присоединения «жилого дома», расположенного по адресу: 347617 Российская Федерация, Ростовская обл., р-н. Сальский, х. Новоселый 1-й, ул. Речная, д. 1, кадастровый номер земельного участка: 61:34:0120401:201, заявитель Хохлачев К.А.»  (1 шт.)</t>
  </si>
  <si>
    <t>«Установка системы учета для технологического присоединения объекта «квартира», расположенного по адресу: 347524, РФ, Ростовская область, Орловский район, х. Пролетарский, пер. Спортивный, д. 3, кв. 3 к.н. з.у.: 61:29:110201:2706, заявитель Чумакова Л.В.» (1 шт.)</t>
  </si>
  <si>
    <t>«Установка системы учета для технологического присоединения объекта «квартира», расположенного по адресу: 347525, РФ, Ростовская область, Орловский район, х. Камышевка, ул. Школьная, д. 83, кв. 2, к.н. з.у.: 61:29:0050101:272, заявитель Шевченко Н.А. (1 шт.)»</t>
  </si>
  <si>
    <t>«Установка системы учета для технологического присоединения объекта «квартира», расположенного по адресу: 347525, РФ, Ростовская область, Орловский район, х. Камышевка, ул. А.Муравина, д. 28, кв. 1 к.н. з.у.: 61:29:0050101:391, заявитель Шевченко С.А.» (1 шт.)</t>
  </si>
  <si>
    <t>"Установка системы учета для технологического присоединения «дачного дома», расположенного по адресу: 347563, РФ, Ростовская область, Песчанокопский район, с. Поливянка, ул. Набережная, 1-а к.н.з. у.: 61:30:0080101:2782, заявитель Алексеева А.И. (1 шт.)"</t>
  </si>
  <si>
    <t>"Установка системы учета для технологического присоединения «административное здание», расположенное по адресу: 347568, РФ, Ростовская область, Песчанокопский район, с. Летник, ул. Ленина, 148-б, к.н.з. у.: 61:30:0030101:1089, заявитель ИП Алфутова Н.И." (1 шт.)"</t>
  </si>
  <si>
    <t>"Установка системы учета для технологического присоединения «жилого дома», расположенного по адресу: 347560, РФ, Ростовская область, Песчанокопский район, с. Развильное, ул. Буденного, 102-а к.н. з. у.: 61:30:0090101:2451, заявитель Ващенко С.В.» (1 шт.)"</t>
  </si>
  <si>
    <t>«Установка системы учета для технологического присоединения «жилого дома», расположенного по адресу: 347570, РФ, Ростовская область, Песчанокопский район, х. Терновой, ул. Ленина, д. 46-а, к.н. з. у.: 61:30:0010501:506, заявитель Гудков А.П.» (1 шт.)</t>
  </si>
  <si>
    <t xml:space="preserve">«Установка системы учета для технологического присоединения «кухни», расположенной по адресу: 347562, РФ, Ростовская область, Песчанокопский район, с. Богородицкое, ул. Калинина, д. 82 к.н. з. у.: 61:30:0020101:855, заявитель Гусев А.Ю.» (1 шт.) </t>
  </si>
  <si>
    <t>"Строительство ВЛ 0,4 кВ от опоры №1-00/3 ВЛ 0,4 кВ Л-1 КТП 10/0,4 кВ № 46 по ВЛ 10 кВ Л-2 Жуковская, установка системы учета для технологического присоединения – «дачный дом», расположенного по адресу: РФ, Ростовская область, Песчанокопский район, с. Жуковское, ул.1 Мая, участок №26-а, к.н. з.у.: 61:30:0030101:1059, заявитель Жилин В.Н. (Ориентировочная протяженность ЛЭП – 0,020 км)"</t>
  </si>
  <si>
    <t>"Установка системы учета для технологического присоединения «жилого дома», расположенного по адресу: 347567, РФ, Ростовская область, Песчанокопский район, с. Жуковское, ул. Социалистическая, 1 к.н.з. у.: 61:30:0030101:303, заявитель Жуков П.В. (1 шт.)"</t>
  </si>
  <si>
    <t>"Установка системы учета для технологического присоединения «жилого дома», расположенного по адресу: 347561, РФ, Ростовская область, Песчанокопский район, с. Развильное, ул. Первомайская, д. 78 к.н. з. у.: 61:30:0090101:9550, заявитель Кондабаров А.И." (1 шт)</t>
  </si>
  <si>
    <t>"Установка системы учета для технологического присоединения «здание амбулатории», расположенной по адресу: 347562, РФ, Ростовская область, Песчанокопский район, с. Богородицкое, ул. Кирова, д. 96 к.н. з. у.: 61:30:0020101:3736, заявитель МБУЗ «ЦРБ» Песчанокопского района (1 шт.)"</t>
  </si>
  <si>
    <t>"Установка системы учета для технологического присоединения «незавершенный строительством объект», расположенный по адресу: 347560, РФ, Ростовская область, Песчанокопский район, с. Развильное, ул. Фабричная, д. 15 к.н. з. у.: 61:30:0090101:918, заявитель Мельников Е.О." (1 шт)</t>
  </si>
  <si>
    <t>"Установка системы учета для технологического присоединения «административное здание», расположенное по адресу: 347560, РФ, Ростовская область, Песчанокопский район, с. Развильное, ул. Строителей, д. 111, к.н. з. у.: 61:30:0090101:9786, заявитель СПССОК «Развилкино» (1 шт.)"</t>
  </si>
  <si>
    <t>"Установка системы учета для технологического присоединения «жилого дома», расположенного по адресу: 347568, РФ, Ростовская область, Песчанокопский район, с. Летник, ул. Московская, 61 к.н.з. у.: 61:30:060101:0066, заявитель Сухинина М.Ю. (1 шт.)"</t>
  </si>
  <si>
    <t xml:space="preserve">«Установка системы учета для технологического присоединения «жилого доиа», расположенного по адресу: 347561, РФ, Ростовская область, Песчанокопский район, с. Развильное, ул. Жолоба, д. 59-а к.н. з. у.: 61:30:0090101:10145, заявитель Ткаля Р.М.» (1 шт) </t>
  </si>
  <si>
    <t>"Установка системы учета для технологического присоединения «жилого дома», расположенного по адресу: 347560, РФ, Ростовская область, Песчанокопский район, с. Развильное, ул. Комсомольская, 58 к.н. з. у.: 61:30:0090101:8914, заявитель Тхагова С.А.» (1 шт)"</t>
  </si>
  <si>
    <t>"Установка системы учета для технологического присоединения «жилого дома», расположенного по адресу: 347569, РФ, Ростовская область, Песчанокопский район, с. Рассыпное, ул. Котовского, д. 41 к.н. з. у.: 61:30:0100101:539, заявитель Шаров В.В.» (1 шт.)"</t>
  </si>
  <si>
    <t>«Строительство участка ВЛ 0,4 кВ от опоры №3-00/1-5 ВЛ 0,4кВ Л-3 КТП 10/0,4 кВ №815 по ВЛ 10 кВ Л-2 Будённовская для электроснабжения объекта «магазин «автозапчасти», расположенного по адресу: РФ, Ростовская область, Пролетарский район, ст-ца Будённовская, ул. Ленина, д. 22/4, заявитель Бурим М.В.» (Ориентировочная протяженность ЛЭП – 0,025км)</t>
  </si>
  <si>
    <t>Установка системы учета для технологического присоединения объекта – «гараж с подвалом», расположенного по адресу: РФ, Ростовская область, Пролетарский район, г. Пролетарск, ул. Матвеева, д. 11/45, к.н 61:31:0110262:30, заявитель Андрианова Н.А. (1 шт.)</t>
  </si>
  <si>
    <t>Строительство ВЛ 0,4 кВ от РУ 0,4 кВ ТП 10/0,4 кВ №5-3 по ВЛ 10 кВ №5 ПС 35/10 кВ Б.Салы, техническое перевооружение ТП 10/0,4 кВ №5-3 по ВЛ 10 кВ №5 ПС 35/10 кВ Б.Салы для технологического присоединения производственной базы Заявителя (Гаричева Л.С.) по адресу: Ростовская область, Мясниковский район, с. Б.Салы, ул. Абовяна, д.48 к.н.  №61:25:0040101:5275 (ориентировочная протяженность ЛЭП 0,09 км; мощность силового трансформатора 160 кВА)</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</si>
  <si>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-(61-1-21-00592973)</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</si>
  <si>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-(61-1-21-00591061)</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</si>
  <si>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-(61-1-21-00591623)</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</si>
  <si>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-(61-1-21-00591625)</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</si>
  <si>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-(61-1-21-00593031)</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</si>
  <si>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-(61-1-21-00593021)</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</si>
  <si>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-(61-1-21-00593341)</t>
  </si>
  <si>
    <t xml:space="preserve">Установка коммерческого учета электрической энергии (мощности) на границе земельного участка, подключенного от опоры №172-22   ВЛ-0,4  № 1 КТП-172 ВЛ-10  904  ПС 110 кВ Балко-Грузская, для электроснабжения жилого дома заявителя Мищенко В.А., х.Балко-Грузский, Егорлыкский район, Ростовская область   </t>
  </si>
  <si>
    <t xml:space="preserve">Установка коммерческого учета электрической энергии (мощности) на границе земельного участка, подключенного от опоры №250-8а ВЛ-0,4  № 1 КТП-250 ВЛ-10  507  ПС 35 кВ Е-5, для электроснабжения участка заявителя МБУК Егорлыкского района "Межпоселенческая центральная библиотека", х.Новая Деревня, Егорлыкский район, Ростовская область  </t>
  </si>
  <si>
    <t xml:space="preserve">Установка коммерческого учета электрической энергии (мощности) на границе земельного участка, подключенного от опоры №1-48 ВЛ-0,4 кВ №1 КТП-10/0,4 кВ №1 по ВЛ-10 кВ №612 ПС 35/10 кВ "КГ-3", для электроснабжения жилого дома заявителя Бедросова Ц.А., Кагальницкий р-н, с. Новобатайск ул. Горожанова д.2А, Ростовская область </t>
  </si>
  <si>
    <t xml:space="preserve">Установка коммерческого учета электрической энергии (мощности) на границе земельного участка, подключенного от опоры №17-12 ВЛ-0,4 кВ №1 КТП-10/0,4 кВ №1  ВЛ-10 кВ №501 ПС 35/10 кВ "ЗР-5", для электроснабжения квартиры заявителя Деречей Л.Ф., х. Гуляй-Борисовка, Зерноградский р-он, Ростовская область   </t>
  </si>
  <si>
    <t>Установка коммерческого учета электрической энергии (мощности) на границе земельного участка, подключенного от опоры № 8-48 ВЛ-0,4 кВ №1 КТП-10/0,4 кВ №8 по ВЛ-10 кВ № 305 ПС 35/10 кВ «КГ-3», для электроснабжения жилого дома заявителя Долговой Т.В. Кагальницкий р-н. п. Глубокий Яр, ул. Лесная д.10 Ростовская область»</t>
  </si>
  <si>
    <t>Установка коммерческого учета электрической энергии (мощности) на границе земельного участка, подключенного от опоры №323-3 ВЛ-0,4 кВ №2 КТП-10/0,4 кВ №323 ВЛ-10 кВ №1108 ПС 35/10 кВ Е-11, для электроснабжения участка заявителя ИП Банько С.А., нежилое помещение (склад), х.Изобильный, Егорлыкский район, Ростовская область</t>
  </si>
  <si>
    <t xml:space="preserve">Установка коммерческого учета электрической энергии (мощности) на границе земельного участка, подключенного от опоры №50-23 ВЛ-0,4 кВ № 2 КТП-10/0,4 кВ №50 ВЛ-10 кВ №707 от ПС 35/10 кВ «ЗР-7», для электроснабжения жилого дома заявителя Иванова П.Г.  Ростовская область, Зерноградский р-н, х. Путь Правды, ул. Ленина д.67  </t>
  </si>
  <si>
    <t xml:space="preserve">Установка коммерческого учета электрической энергии (мощности) на границе земельного участка, подключенного от опоры №85-44 ВЛ-0,4 кВ № 2 КТП-10/0,4 кВ №85 ВЛ-10 кВ №415 от ПС 35/10 кВ «КГ-4», для электроснабжения жилого дома заявителя Яковлева М.А.  Ростовская область, Кагальницкий р-н., х. Кагальничек  </t>
  </si>
  <si>
    <t xml:space="preserve">Установка коммерческого учета электрической энергии (мощности) на границе земельного участка, подключенного от опоры №89-37 ВЛ-0,4 кВ № 1 КТП-10/0,4 кВ №89 ВЛ-10 кВ №319 от ПС 35/10 кВ «КГ-3», для электроснабжения жилого дома заявителя Заверюхина А.Е.,  Ростовская область, Кагальницкий р-н., ст. Кировская, ул. Майская д.2А </t>
  </si>
  <si>
    <t xml:space="preserve">Установка коммерческого учета электрической энергии (мощности) на границе земельного участка, подключенного от опоры №33-41 ВЛ-0,4 кВ № 2 КТП-10/0,4 кВ №33 ВЛ-10 кВ №313 от ПС 35/10 кВ «КГ-3», для электроснабжения жилого дома заявителя Баранцева Е.Р.  Ростовская область, Кагальницкий р-н., ст. Кировская, ул. Суворова д.27А  </t>
  </si>
  <si>
    <t>Установка коммерческого учета электрической энергии (мощности) на границе земельных участков, подключенных от оп. оп. № 95-43 ВЛ-0,4 кВ №3 КТП-95 по ВЛ-10 кВ №1106 ПС 35 кВ Е-11, для электроснабжения жилого дома по заявке Гузь Н.Ю.,  № 181-6 ВЛ-0,4 кВ №1 КТП-181 по ВЛ-10 кВ №904 ПС 110 кВ Балко-Грузская, для электроснабжения наружного освещения (светодиодные светильники) и фоторадарного комплекса измерения скорости транспортных средств «Кордон-М» 2 по заявке Министерства Транспорта, Егорлыкский р-он. Ростовская область (2 шт.)</t>
  </si>
  <si>
    <t xml:space="preserve">Установка прибора коммерческого учета электрической энергии (мощности) на границе земельного участка, подключенного от оп. №24-32 ВЛ-0,4 № 1 КТП-24 ВЛ-10 807 ПС 110 кВ Роговская, для электроснабжения жилого дома заявителя Настакалова П.М., ст. Новороговская, Егорлыкский р-он Ростовская область (1 шт)  </t>
  </si>
  <si>
    <t>Установка прибора коммерческого учета электрической энергии (мощности) на границе земельного участка, подключенного от оп. №92-33   ВЛ-0,4  № 1 КТП-92 ВЛ-10  502  ПС 35 кВ Е-5, для электроснабжения жилого дома заявителя Шинкарева А.В., х.Калмыков, Егорлыкский р-он Ростовская область» (1шт)</t>
  </si>
  <si>
    <t xml:space="preserve">Установка прибора коммерческого учета электрической энергии (мощности) на границе земельного участка, подключенного от оп. №132-62   ВЛ-0,4  № 1 КТП-132 ВЛ-10  506  ПС 35 кВ Е-5, для электроснабжения жилого дома заявителя Дарбинян А.В., х.Объединенный, Егорлыкский р-он Ростовская область» (1шт) </t>
  </si>
  <si>
    <t xml:space="preserve">Установка прибора коммерческого учета электрической энергии (мощности) на границе земельного участка, подключенного от оп. №418-5 ВЛ-0,4  № 1 КТП-418 ВЛ-10 кВ № 612  ПС 35 кВ Е-6, для электроснабжения жилого дома заявителя Тоноян А.З., х.Шаумяновский, Егорлыкский р-он Ростовская область» (1шт)  </t>
  </si>
  <si>
    <t>Установка прибора коммерческого учета электрической энергии (мощности) на границе земельного участка, подключенного от оп. №418-49 ВЛ-0,4  № 2 КТП-418 ВЛ-10 кВ № 612  ПС 35 кВ Е-6, для электроснабжения нежилого здания (склада) заявителя ИП Карапетян Г.Р., х.Шаумяновский, Егорлыкский р-он Ростовская область (1шт).</t>
  </si>
  <si>
    <t xml:space="preserve">Строительство участка ВЛИ-0,4кВ от оп. №36-42 ВЛ-0,4кВ №2 КТП-10/0,4 кВ №36 ВЛ-10 кВ №313 ПС 35/10 кВ «КГ-3» и системы учета электрической энергии (мощности) на границе земельного участка для электроснабжения жилого дома заявителя Мышакиной Л.А., Ростовская область, Кагальницкий р-н, ст. Кировская, ул. Кирова д.73Б (ориентировочная протяженность ЛЭП – 0,03 км)  </t>
  </si>
  <si>
    <t>Установка коммерческого учета электрической энергии (мощности) для технологического присоединения энергопринимающих устройств Заявителей: Ключников И.Н., Соколенко Л.Т., Комитет по управлению имуществом, Кагальницкого района, Силкин А.В., Зерноградский р-н, Ростовская область ( 4 шт.)</t>
  </si>
  <si>
    <t xml:space="preserve">Строительство системы учета для технологического присоединения энергопринимающих устройств Заявителей: Головченко Н.Ф., Кутровский А.Н. в Зерноградском, Кагальницком районе Ростовской области </t>
  </si>
  <si>
    <t>Установка коммерческого учета электрической энергии (мощности) на границе земельного участка, подключенного от оп. №48-34 ВЛ-0,4 кВ №3 КТП-10/0,4 кВ №48 по ВЛ-10 кВ № 318 ПС 35/10 кВ «КГ-3», для электроснабжения ЛПХ заявителя Мизюковой Т.В., х.Николаевский, Кагальницкий р-он, Ростовская область (1шт)</t>
  </si>
  <si>
    <t xml:space="preserve">Установка коммерческого учета электрической энергии (мощности)  для технологического присоединения энергопринимающих устройств Заявителей: Никифоровой В.В., Павленко В.П., Трофимова А.В. Зерноградский р-он, Кагальницкий р-он Ростовская область (3 шт.) </t>
  </si>
  <si>
    <t>Установка коммерческого учета электрической энергии  (мощности) для технологического присоединения энергопринимающих устройств Заявителей: Живцов А.В. Кагальницкий р-н, Минаев А.В., Животкевич А.А. Зерноградский р-н, Ростовская область ( 3 шт.)</t>
  </si>
  <si>
    <t>Строительство участка ВЛИ-0,4кВ от оп. №134-4 ВЛ-0,4кВ №1 КТП-10/0,4 кВ №134 ВЛ-10 кВ №101 ПС 220/110/35/10 кВ «Зерновая» и системы учета электрической энергии (мощности) на границе земельного участка для электроснабжения жилого дома заявителя Ващаева Н.Н., г. Зерноград, Ростовская область, Зерноградский р-он, г. Зерноград, ул. Аксайская д.12 (ориентировочная протяженность ЛЭП – 0,04 км)</t>
  </si>
  <si>
    <t>Строительство участка ВЛИ-0,4кВ от оп. №134-36 ВЛ-0,4кВ №2 КТП-10/0,4 кВ №134 ВЛ-10 кВ №101 ПС 220/110/35/10 кВ «Зерновая» и системы учета электрической энергии (мощности) на границе земельного участка для электроснабжения жилого дома заявителя Маркова А.В., Ростовская область, Зерноградский р-н, г. Зерноград, пер. Ярославский д.34 (ориентировочная протяженность ЛЭП – 0,08 км)</t>
  </si>
  <si>
    <t xml:space="preserve">Строительство участка ВЛИ-0,4кВ от оп. №202-21 ВЛ-0,4кВ №1 КТП-10/0,4 кВ №202 ВЛ-10 кВ №319 ПС 35/10 кВ «КГ-3» и системы учета электрической энергии (мощности) на границе земельного участка для электроснабжения ЛПХ заявителя Христюченко И.В., Ростовская область, Кагальницкий р-н, п. Мокрый Батай, ул. Садовая д.93 (ориентировочная протяженность ЛЭП – 0,025 км) </t>
  </si>
  <si>
    <t xml:space="preserve">Строительство участка ВЛИ-0,4кВ от оп. №4-73 ВЛ-0,4кВ №2 КТП-10/0,4 кВ №4 ВЛ-10 кВ №305 ПС 35/10 кВ «КГ-3» и системы учета электрической энергии (мощности) на границе земельного участка для электроснабжения ЛПХ заявителя Шеметовой О.Ю., Ростовская область, Кагальницкий р-н, ст. Кировская ул. Садовая д. 34  (ориентировочная протяженность ЛЭП – 0,03км) </t>
  </si>
  <si>
    <t xml:space="preserve">Установка коммерческого учета электрической энергии (мощности) для технологического присоединения энергопринимающих устройств Заявителей: Харло М. С. Кагальницкий р-н,  Зерноградское районное потребительское общество Зерноградский р-н, Ростовская область ( 2 шт.)  </t>
  </si>
  <si>
    <t xml:space="preserve">Строительство участка ВЛИ-0,4кВ от оп. №101-26 ВЛ 0,4 кВ №2 КТП 10/0,4 кВ №101 ВЛ-10кВ №2412 ПС 35/10 кВ «А-24» и системы учета электрической энергии (мощности) на границе земельного участка для электроснабжения жилого дома заявителя Срединской Е.А., х. Полушкин, Азовский р-он Ростовская область (ориентировочная протяженность ЛЭП – 0,03 км) </t>
  </si>
  <si>
    <t xml:space="preserve">Строительство участка ВЛИ-0,4кВ от РУ-0,4 кВ КТП 10/0,4 кВ №162 ВЛ-10кВ №1101 ПС 35/10 кВ «А-11» и установка системы учета электрической энергии (мощности) на границе земельного участка для электроснабжения жилого дома заявителя Журовой Л.П., с. Кагальник, Азовский р-он Ростовская область (ориентировочная протяженность ЛЭП – 0,100 км) </t>
  </si>
  <si>
    <t xml:space="preserve">Строительство участка ВЛИ-0,4кВ от проектируемой ВЛ-0,4 кВ (по договору №61-1-19-00474079 от 23.10.2019г.) КТП 10/0,4 кВ №233 ВЛ-10 кВ №1815 ПС «А-18» и установка системы учета электрической энергии (мощности) на границе земельного участка для электроснабжения жилого дома заявителя Мардаревой О.Н., Рыболовецкий колхоз им. Ленина, Азовский р-он Ростовская область (ориентировочная протяженность ЛЭП – 0,140 км) </t>
  </si>
  <si>
    <t>Строительство участка ВЛИ-0,4кВ от № 25-161 ВЛ-0,4 кВ №3 КТП 10/0,4 кВ №25 ВЛ-10кВ №1815 ПС 35/10 кВ «А-18» и системы учета электрической энергии (мощности) на границе земельного участка для электроснабжения жилого дома заявителя Тихомирова Г.А., х.Колузаево, Азовский р-он Ростовская область (ориентировочная протяженность ЛЭП – 0,200 км)</t>
  </si>
  <si>
    <t>Строительство участка ВЛИ-0,4кВ от оп. № 25-10 ВЛ-0,4 кВ №3 КТП 10/0,4 кВ №25 ВЛ-10кВ №1815 ПС 35/10 кВ «А-18» и системы учета электрической энергии (мощности) на границе земельного участка для электроснабжения жилого дома заявителя Тюрина С.В., х. Колузаево Ростовская область (ориентировочная протяженность ЛЭП – 0,08 км)</t>
  </si>
  <si>
    <t>'Строительство участка ВЛИ-0,4кВ от РУ-0,4 кВ КТП 10/0,4 кВ №99 ВЛ-10кВ №106Н ПС 110/6/10 кВ «НС-1» и системы учета электрической энергии (мощности) на границе земельного участка для электроснабжения жилого дома заявителя Шрамко А.С., п. Овощной, Азовский р-он Ростовская область (ориентировочная протяженность ЛЭП – 0,300 км)</t>
  </si>
  <si>
    <t xml:space="preserve">Установка прибора коммерческого учета электрической энергии (мощности) на границе земельного участка, подключенного от оп. №227-8 ВЛ-0,4 № 1 КТП-227 ВЛ-10 605 ПС 35 кВ Е-6, для электроснабжения нежилого здания заявителя ИП Савченко Н.Г, 45 м. на юг от южной окраины х.Кавалерский, Егорлыкский р-он Ростовская область»(1шт) </t>
  </si>
  <si>
    <t xml:space="preserve">Установка прибора коммерческого учета электрической энергии (мощности) на границе земельного участка, подключенного от оп. №211-25 ВЛ-0,4 № 2 КТП-211 ВЛ-10 612 ПС 35 кВ Е-6, для электроснабжения нежилого здания заявителя ИП Сафарян А.П., ул.Баграмяна, 16а, х. Шаумяновский, Егорлыкский р-он Ростовская область»(1шт) </t>
  </si>
  <si>
    <t xml:space="preserve">Строительство участка ВЛИ-0,4кВ от оп. №91-84 ВЛ-0,4кВ №1 КТП 10/0,4 кВ №91 ВЛ-10 кВ №415 ПС 35/10 кВ «КГ-4» и системы учета электрической энергии (мощности) на границе земельного участка для электроснабжения личного подсобного хозяйства заявителя Самсонова А.В., Ростовская область, Кагальницкий район, п. Лугань, ул. Луганская д.20 (ориентировочная протяженность ЛЭП – 0,03км) </t>
  </si>
  <si>
    <t>Строительство участка ВЛИ-0,4кВ от оп. №83-36 по ВЛ-0,4 кВ №1 КТП 10/0,4 кВ №83 ВЛ-10 кВ №801 ПС 35/10 кВ «ЗР-8» для электроснабжения ангара заявителя ООО «Эдельвейс», х. Клюев, Зерноградский район, Ростовская область (ориентировочная протяженность ЛЭП – 0,26 км)</t>
  </si>
  <si>
    <t>Установка коммерческого учета электрической энергии (мощности) на границе земельного участка, подключенного от опоры №184-65 ВЛ-0,4 кВ №4 КТП-10/0,4 кВ №184 по ВЛ-10 кВ №3113 ПС 110/35/10 кВ "А-31", для электроснабжения жилого дома заявителя Зарецкой Н.Г., с. Пешково, Азовский р-он Ростовская область</t>
  </si>
  <si>
    <t xml:space="preserve">Установка коммерческого учета электрической энергии (мощности) на границе земельного участка, подключенного от опоры №168-57 ВЛ-0,4 кВ №1 КТП-10/0,4 кВ №168 ВЛ-10 кВ №1708 ПС 35/10 кВ "А-17", для электроснабжения жилого дома заявителя ИП Аветисян В.С., с. Круглое, Азовский р-он Ростовская область </t>
  </si>
  <si>
    <t>Установка коммерческого учета электрической энергии (мощности) на границе земельного участка, подключенного от опоры №45-29/5 ВЛ-0,4 кВ №1 ЗТП-10/0,4 кВ №45 по ВЛ-10 кВ № 211 ПС 35/10 кВ «А-2», для электроснабжения жилого дома заявителя Килигиной О.С., х. Новоалександровка,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</si>
  <si>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№113-13 ВЛ-0,4 кВ №1 КТП-10/0,4 кВ №113 по ВЛ-10 кВ №3113 ПС 110/35/10 кВ "А-31", для электроснабжения жилого дома заявителя Кузьмина Б.И., с.Пешково, Ростовская область</t>
  </si>
  <si>
    <t>Установка коммерческого учета электрической энергии (мощности) на границе земельного участка, подключенного от опоры №93-7 ВЛ-0,4 кВ №2 КТП-10/0,4 кВ №93 по ВЛ-10 кВ № 202Н ПС 110/6/10 кВ «НС-2», для электроснабжения жилого дома заявителя Недоводова А.В., с. Кулешовка, Азовский р-он Ростовская область</t>
  </si>
  <si>
    <t>Строительство участка ВЛИ-0,4кВ от оп. 311-3/4 ВЛ-0,4 кВ №2 КТП 10/0,4 кВ №311 ВЛ-10кВ №106Н ПС 110/6/10 кВ «НС-1» и системы учета электрической энергии (мощности) на границе земельного участка для электроснабжения жилого дома заявителя Щербиной С.Н., СХА "Кулешовское" поле III, Азовский район Ростовская область (ориентировочная протяженность ЛЭП – 0,120 км)</t>
  </si>
  <si>
    <t>Установка коммерческого учета электрической энергии (мощности) на границе земельного участка, подключенного от опоры №240-149 ВЛ-0,4 кВ №3 КТП-10/0,4 кВ №240 ВЛ-10 кВ №106Н ПС 110/6/10 кВ "НС-1", для электроснабжения жилого дома заявителя Кузнецовой А.Ю., п. Овощной, Азовский р-он Ростовская область</t>
  </si>
  <si>
    <t xml:space="preserve">Установка коммерческого учета электрической энергии (мощности) на границе земельного участка, подключенного от опоры №9-1 ВЛ-0,4 кВ №1 КТП-10/0,4 кВ №9 (на балансе ООО "Рыбколхоз им. Ленина") ВЛ-10 кВ №1815 ПС 35/10 кВ "А-18", для электроснабжения жилого дома заявителя Кочубинской О.А., х. Городище, Азовский р-он Ростовская область </t>
  </si>
  <si>
    <t>Установка коммерческого учета электрической энергии (мощности) на границе земельного участка, подключенного от опоры №157-57 ВЛ-0,4 кВ №2 КТП-10/0,4 кВ №157 по ВЛ-10 кВ №1101 ПС 35/10 кВ "А-11", для электроснабжения жилого дома заявителя Морозова Д.А., с. Кагальник, Азовский р-он Ростовская область</t>
  </si>
  <si>
    <t xml:space="preserve">Установка коммерческого учета электрической энергии (мощности) на границе земельного участка, подключенного от опоры №66-39 ВЛ-0,4 кВ №2 КТП 10/0,4 кВ №66 ВЛ-10 кВ №307 Н ПС 110/35/6/10 кВ "НС-3", для электроснабжения жилого дома заявителя Бельчич А.Д., х. Зеленый Мыс, Азовский р-он,  Ростовская область </t>
  </si>
  <si>
    <t xml:space="preserve">Установка коммерческого учета электрической энергии (мощности) на границе земельного участка, подключенного от оп. №86-7 ВЛ-0,4 кВ №1 КТП-10/0,4 кВ №86 по ВЛ-10 кВ № 1107 ПС 35/10 кВ «А-11», для электроснабжения жилого дома заявителя Шульгиной Е.В., х. Павловка, Азовский р-он Ростовская область  </t>
  </si>
  <si>
    <t xml:space="preserve">'Строительство участка ВЛИ- 0,4 кВ от оп. №48-25 ВЛ-0,4 кВ №2 КТП-10/0,4 кВ №48 ВЛ-10 кВ №1815 ПС 35/10 "А-18" и установка коммерческого учета электрической энергии (мощности) на границе земельного участка для электроснабжения жилого дома заявителя Кравченко О.Е., Рыболовецкий колхоз им. Ленина, Азовский р-он, Ростовская область (ориентировочная протяженность ЛЭП-0,220км) </t>
  </si>
  <si>
    <t xml:space="preserve">Установка приборов коммерческого учета электрической энергии (мощности) для технологического присоединения энергопринимающих устройств Заявителей: Щипко С.С., х.Объединенный, Машкина С.В., п.Роговский, Егорлыкский р-он Ростовская область (2 шт.) </t>
  </si>
  <si>
    <t xml:space="preserve">Строительство участка ВЛИ-0,4 кВ от проектируемой ТП 10/0,4 кВ (по договору ТП № 61-1-20-00475639 от 14.04.20г.) по ВЛ-10 кВ №313 ПС 35/10 кВ «КГ-3»  и системы учета электрической энергии (мощности) на границе земельного участка для электроснабжения офисного здание заявителя  Гурова Ю.А. Ростовская область, Кагальницкий район, ст. Кировская  (ориентировочная протяженность ЛЭП– 0,17 км) </t>
  </si>
  <si>
    <t xml:space="preserve">Строительство участка ВЛИ-0,4кВ от оп. №182-34 ВЛ-0,4кВ №3 КТП-10/0,4 кВ №182 ВЛ-10 кВ №805 ПС 110/10 кВ «БОС» и системы учета электрической энергии (мощности) на границе земельного участка для электроснабжения жилого дома заявителя Кузьменко С.В., Ростовская область, Кагальницкий р-н, п. Мокрый Батай, пер. Осенний д.2 (ориентировочная протяженность ЛЭП – 0,05 км) </t>
  </si>
  <si>
    <t>Установка коммерческого учета электрической энергии (мощности) на границе земельного участка, подключенного от РУ-0,4 кВ КТП 10/0,4 кВ №39 по ВЛ 10 кВ №121 ПС 220/110/35/10 кВ «Зерновая», для электроснабжения производственной базы по заявке Зерноградского районного потребительского общества, г. Зерноград, ул. Гагарина, Ростовская область (1шт)</t>
  </si>
  <si>
    <t xml:space="preserve">Установка прибора коммерческого учета электрической энергии (мощности) на границе земельного участка, подключенного от опоры №121-37 ВЛ-0,4 кВ № 1 КТП-10/0,4 кВ №121 ВЛ-10 кВ №122 от ПС 220/110/35/10 кВ «Зерновая», для электроснабжения личного подсобного хозяйства заявителя Колесник В.А., Ростовская область, Зерноградский р-н, х. Ракитный, ул. Заречная д.7Б ( 1 шт.) </t>
  </si>
  <si>
    <t>Установка прибора коммерческого учета электрической энергии (мощности) на границе земельного участка, подключенного от опоры №10-24 ВЛ-0,4 кВ № 2 КТП-10/0,4 кВ №10 ВЛ-10 кВ №501 от ПС 35/10 кВ «ЗР-5», для электроснабжения магазина заявителя Вьюкова О.В., Ростовская область, Зерноградский р-н, х. Гуляй-Борисовка, ул. Ленина д.17А (1 шт.)</t>
  </si>
  <si>
    <t xml:space="preserve">Установка приборов коммерческого учета электрической энергии (мощности) для технологического присоединения энергопринимающих устройств Заявителей: Беликовой Н.А., Генрих В.Р., Зерноградский р-он, Фещенко Е.Н., Кагальницкий р-он Ростовская область ( 3 шт.)  </t>
  </si>
  <si>
    <t>Установка прибора коммерческого учета электрической энергии (мощности) на границе земельного участка, подключенного от опоры №22-77 ВЛ-0,4 кВ № 2 КТП-10/0,4 кВ №22 ВЛ-10 кВ №1507 от ПС 110/10 кВ «ЗР-15», для электроснабжения жилого дома заявителя Ломакина А.В., Ростовская область, Зерноградский р-н, г. Зерноград, ул. Липовая д.12 ( 1 шт.)</t>
  </si>
  <si>
    <t xml:space="preserve">Установка прибора коммерческого учета электрической энергии (мощности) на границе земельного участка, подключенного от опоры №95-9 ВЛ-0,4 № 2 от КТП-95 по ВЛ-10 1501 ПС 110 кВ ЗР-15, для электроснабжения ЛПХ заявителя Федотовой В.В., Ростовская область, Зерноградский р-н, п. Экспериментальный, ул. Гагарина д.25 (1 шт.) </t>
  </si>
  <si>
    <t xml:space="preserve">Установка прибора коммерческого учета электрической энергии (мощности) на границе земельного участка, подключенного от опоры №41-43 ВЛ-0,4 № 1 от КТП-41 по ВЛ-10 103 ПС 110 кВ Звонкая, для электроснабжения личного подсобного хозяйства заявителя  Палиева И.В., Ростовская область, Кагальницкий р-н., п. Березовая Роща, ул. Цветочная,  д. 26Б " (1 шт.)  </t>
  </si>
  <si>
    <t xml:space="preserve">Строительство участка ВЛИ-0,4кВ от оп. №75-57 ВЛ-0,4кВ №3 КТП-10/0,4 кВ №75 ВЛ-10 кВ №1501 ПС 35/10 кВ «ЗР-15» и системы учета электрической энергии (мощности) на границе земельного участка для электроснабжения фельдшерско-акушерского пункта заявителя Муниципальное бюджетное учреждение здравоохранения "Центральная районная больница", Ростовская обл., р-н. Зерноградский п. Экспериментальный ул. Гастелло д.2а (ориентировочная протяженность ЛЭП – 0,3 км) </t>
  </si>
  <si>
    <t xml:space="preserve">Установка коммерческого учета электрической энергии (мощности) на границе земельного участка, подключенного от опоры №350-57/4 ВЛ- 0,4 кВ №2 КТП 6/0,4 кВ №350 по ВЛ-6 кВ №207Н ПС 110/6/10 кВ "НС-2", для электроснабжения участка заявителя Лущай Д.О., СНТ "Квант", Ростовская область  </t>
  </si>
  <si>
    <t>Установка коммерческого учета электрической энергии (мощности) на границе земельного участка, подключенного от опоры №57-27 ВЛ-0,4 кВ №1 КТП-10/0,4 кВ №57 по ВЛ-10 кВ № 1019 ПС 110/35/10 кВ «Самарская», для электроснабжения жилого дома заявителя Федоровой Д.А., х. Победа,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</si>
  <si>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№25-44 ВЛ-0,4 кВ №2 КТП-10/0,4 кВ №25 по ВЛ-10 кВ № 1815 ПС 35/10 кВ «А-18», для электроснабжения жилого дома заявителя Святкину И.П., х. Колузаево, Азовский р-он Ростовская область</t>
  </si>
  <si>
    <t xml:space="preserve">Строительство участка ВЛИ-0,4кВ от проектируемой ВЛ-0,4 кВ (по договору № 61-1-20-00499303 от 04.03.2020 г.) КТП-6/0,4 кВ №350 по ВЛ-6 кВ № 207Н ПС 110/6/10 кВ «НС-2» и установка системы учета электрической энергии (мощности) на границе земельных участков для электроснабжения объектов заявителей Гамзюковой О.Д., Бухтояровой В.А., Гуриной Л.В., СТ «Квант», Азовский р-он Ростовская область (ориентировочная протяженность ЛЭП – 0,115 км)     </t>
  </si>
  <si>
    <t xml:space="preserve">Строительство участка ВЛИ-0,4кВ от проектируемой ВЛ-0,4 кВ (по договору ТП № 61-1-20-00519109 от 11.08.2020 г.) КТП 10/0,4 кВ №334 ВЛ-10 202Н ПС 110/6/10 кВ «НС-2» и установка системы учета электрической энергии (мощности) на границе земельных участков для электроснабжения жилых домов заявителей Додвинова С.А., Трусовой Е.А., ЗАО «Обильное» Азовский р-он Ростовская область (ориентировочная протяженность ЛЭП – 0,04 км)   </t>
  </si>
  <si>
    <t xml:space="preserve">'Строительство участка ВЛИ 0,4кВ от опоры №18-1 ВЛ 0,4кВ №1 КТП 10/0,4 кВ №18 ВЛ 10 кВ №3113 ПС 110/35/10 А-31 и системы учета электрической энергии (мощности) на границе земельного участка для электроснабжения жилого дома заявителя Урамовой М.В., с. Пешково, Азовский район Ростовская область (ориентировочная протяженность ЛЭП – 0,04 км)  </t>
  </si>
  <si>
    <t xml:space="preserve">Установка прибора коммерческого учета электрической энергии (мощности) на границе земельного участка, подключенного от опоры №157-60 ВЛ-0,4 кВ №3 КТП 10/0,4кВ №157 ВЛ-10кВ №301Н ПС 110/35/6/10 кВ «НС-3» для технологического присоединения энергопринимающих устройств жилого дома Заявителя Шмидт С.Н., х. Песчаный Азовский район, Ростовская область (1 шт.) </t>
  </si>
  <si>
    <t>'Установка прибора коммерческого учета электрической энергии (мощности) на границе земельного участка, подключенного от опоры №153-16 ВЛ 0,4 кВ №1 КТП 10/0,4кВ №153 ВЛ 10кВ №915 ПС 35/10 кВ «А-9» для технологического присоединения энергопринимающих устройств жилого дома Заявителя Гасымова В.А., с. Платоно-Петровка Азовский район, Ростовская область (1 шт.)</t>
  </si>
  <si>
    <t xml:space="preserve">Установка прибора коммерческого учета электрической энергии (мощности) на границе земельного участка, подключенного от оп. №52-53   ВЛ-0,4 № 1 КТП-52 ВЛ-10  203  ПС 110 кВ Егорлыкская, для электроснабжения жилого дома заявителя Кубаревой Р.К., х.Рассвет, ул.Солнечная, 13б, Егорлыкский р-он Ростовская область» (1шт)  </t>
  </si>
  <si>
    <t xml:space="preserve">Установка прибора коммерческого учета электрической энергии (мощности) на границе земельного участка, подключенного от оп. №205-20   ВЛ-0,4 № 1 КТП-205 ВЛ-10  612  ПС 35 кВ Е-6, для электроснабжения жилого дома заявителя Киракосова Ю.Э., х.Шаумяновский, ул. Южная, 140а, Егорлыкский р-он Ростовская область» (1шт)  </t>
  </si>
  <si>
    <t xml:space="preserve">Установка прибора коммерческого учета электрической энергии (мощности) на границе земельного участка, подключенного от оп. №205-3   ВЛ-0,4 № 1 КТП-205 ВЛ-10 612  ПС 35 кВ Е-6, для электроснабжения жилого дома заявителя Татевосян Л.Н., х.Шаумяновский, ул. Южная, 172а, Егорлыкский р-он, Ростовская область (1шт)  </t>
  </si>
  <si>
    <t xml:space="preserve">Установка приборов коммерческого учета электрической энергии (мощности) для технологического присоединения энергопринимающих устройств Заявителей: Кольвах Ю.С., Любимовой А.И. Кагальницкий р-он Ростовская область ( 2 шт.)  </t>
  </si>
  <si>
    <t xml:space="preserve">Установка прибора коммерческого учета электрической энергии (мощности) на границе земельного участка, подключенного от опоры РУ-0,4 кВ № 1 ЗТП-10/0,4 кВ №20 (на балансе ИП Папаяни А.А.) ВЛ-10 кВ №711 от ПС 110/35/10 кВ «Юбилейная», для электроснабжения базовой станции сотовой связи №66108 «РсО Новобатайск –ТЦ» заявителя ПАО «Вымпел-коммуникации», Ростовская область, Кагальницкий р-н, с. Новобатайск, южная окраина ( 1 шт.)   </t>
  </si>
  <si>
    <t xml:space="preserve">Установка приборов коммерческого учета электрической энергии (мощности) для технологического присоединения энергопринимающих устройств Заявителей: Щербина А.Н., Зерноградский р-он, Алояна Р.М., Хатояна З.М. Кагальницкий р-он, Ростовская область ( 3 шт.) </t>
  </si>
  <si>
    <t xml:space="preserve">Установка приборов коммерческого учета электрической энергии (мощности) для технологического присоединения энергопринимающих устройств Заявителей: Топорковой Н.В., Стукалова М.Н., Зерноградский район Ростовская область (2 шт.) </t>
  </si>
  <si>
    <t xml:space="preserve">Строительство участка ВЛИ-0,4кВ от оп. №57-128 ВЛ-0,4кВ №2 КТП-10/0,4 кВ №128 ВЛ-10 кВ №313 ПС 35/10 кВ «КГ-3» и системы учета электрической энергии (мощности) на границе земельного участка для электроснабжения магазина заявителя Кареник Н.А., Ростовская область, Кагальницкий р-н, ст Кировская, ул. Кирова д.94 (ориентировочная протяженность ЛЭП – 0,05 км)  </t>
  </si>
  <si>
    <t xml:space="preserve">Строительство участка ВЛИ 0,4кВ от опоры № 182-36 ВЛ 0,4 кВ №3 КТП 10/0,4 кВ №182 ВЛ 10кВ №805 ПС 110/10 кВ «БОС» и системы учета электрической энергии (мощности) на границе земельного участка для электроснабжения жилого дома заявителя Борисюк Д.П., п. Мокрый Батай, Кагальницкий район, Ростовская область (ориентировочная протяженность ЛЭП – 0,065 км)   </t>
  </si>
  <si>
    <t>Установка прибора коммерческого учета электрической энергии (мощности) на границе земельного участка, подключенного от опоры №128-59 ВЛ-0,4 № 2 от КТП-128 по ВЛ-10 313 ПС 35 кВ КГ3, для электроснабжения торгового павильона заявителя Слоян С.С., Ростовская область, Кагальницкий р-н, ст. Кировская ул. Кирова д.90 (1 шт.)</t>
  </si>
  <si>
    <t xml:space="preserve">Установка прибора коммерческого учета электрической энергии (мощности) на границе земельного участка, подключенного от опоры №196-36 ВЛ-0,4 № 1 от МТП-196 по ВЛ-10 805 ПС 110 кВ БОС, для электроснабжения склада заявителя  Дмитриевой Т.Н., Ростовская область, Кагальницкий р-н. п. Мокрый Батай, участок находится примерно в 460м по направлению на юго-запад от ориентира СПК "Вишневый" (1 шт.)  </t>
  </si>
  <si>
    <t xml:space="preserve">Установка прибора коммерческого учета электрической энергии (мощности) на границе земельного участка, подключенного от опоры №31-45 ВЛ-0,4 № 3 от КТП-31 по ВЛ-10 1402 ПС 110 кВ ЗР14, для электроснабжения магазина заявителя Бондаренко А.Г., Ростовская область, Зерноградский р-н, с. Светлоречное, ул. Специалистов д.15 кв.1 (1 шт.) </t>
  </si>
  <si>
    <t xml:space="preserve">Установка прибора коммерческого учета электрической энергии (мощности) на границе земельного участка, подключенного от опоры №100-67 ВЛ-0,4 № 2 от КТП-100 по ВЛ-10 1210 ПС 110 кВ Манычская, для электроснабжения склада заявителя главы крестьянского (фермерского) хозяйства Юнкиной И.В., Ростовская область, Зерноградский р-н, п. Сорговый в 1,028км на запад от юго-западной его окраины (1 шт.)  </t>
  </si>
  <si>
    <t>Установка прибора коммерческого учета электрической энергии (мощности) на границе земельного участка, подключенного от опоры №29-1 ВЛ-0,4 № 1 от КТП-29 по ВЛ-10 1402 ПС 110 кВ ЗР14, для электроснабжения ЛПХ заявителя Перетятько В.И., Ростовская область, Зерноградский р-н, с. Светлоречное, ул. Садовая д.20 кв.3 (1 шт.)</t>
  </si>
  <si>
    <t>Строительство ЛЭП-10 кВ от оп. №8 ВЛ-10 кВ №318 ПС 35/10 кВ "КГ-3", ТП-10/0,4 кВ, ЛЭП-0,4 кВ, для электроснабжения частной клиники заявителя ИП Зайцева П.П., ст. Кировская Кагальницкий район, Ростовская область (ориентировочная протяженностьЛЭП-0,36 км, ориентировочная трансформаторная мощность-0,250 МВА)</t>
  </si>
  <si>
    <t>Строительство участка ВЛИ-0,4кВ от проектируемой ВЛ-0,4 кВ (по договору №61-1-20-00519721 от 07.08.2020г.) КТП 10/0,4 кВ №48 по ВЛ-10кВ №1815 ПС 35/10 кВ «А-18» и установка системы учета электрической энергии (мощности) на границе земельных участков для электроснабжения жилых домов заявителей Зарецкого А.В., Давыдовой А.В., Рыболовецкий колхоз им. Ленина, Азовский р-он Ростовская область (ориентировочная протяженность ЛЭП – 0,055 км)».</t>
  </si>
  <si>
    <t xml:space="preserve">Установка прибора коммерческого учета электрической энергии (мощности) на границе земельного участка, подключенного от опоры №21-1 ВЛ-0,4 кВ №1 КТП 10/0,4кВ №21 ВЛ-10кВ №1411 РП-14 ПС 110/35/10 кВ «А-32» для технологического присоединения энергопринимающих устройств ангара Заявителя ООО "Бизон Юг", х. Полтава 1-я Азовский район, Ростовская область (1 шт.)  </t>
  </si>
  <si>
    <t xml:space="preserve">Установка прибора коммерческого учета электрической энергии (мощности) на границе земельного участка, подключенного от опоры б/н ВЛ-0,4 кВ КТП 10/0,4кВ №230 (балансовая принадлежность ВЛ-0,4кВ, ТП 10/0,4 кВ №230 Амаева М.А.) ВЛ-10кВ №105Н ПС 110/6/10 кВ «НС-1» для технологического присоединения энергопринимающих устройств жилого дома Заявителя Амаева М.А., х. Усть-Койсуг Азовский район, Ростовская область (1 шт.) </t>
  </si>
  <si>
    <t xml:space="preserve">Установка прибора коммерческого учета электрической энергии (мощности) на границе земельного участка, подключенного от опоры №115-82 ВЛ-0,4 кВ №4 КТП 10/0,4кВ №115 ВЛ-10кВ №3125 ПС 110/35/10 кВ «А-31» для технологического присоединения энергопринимающих устройств жилого дома Заявителя Дворниченко С.О., с. Пешково Азовский район, Ростовская область (1 шт.) </t>
  </si>
  <si>
    <t xml:space="preserve">Установка прибора коммерческого учета электрической энергии (мощности) на границе земельного участка, подключенного от опоры №240-138 ВЛ-0,4 кВ №3 КТП 10/0,4кВ №240 ВЛ-10кВ №106Н ПС 110/6/10 кВ «НС-1» для технологического присоединения энергопринимающих устройств жилого дома Заявителя Карпаевой Н.И., п. Овощной Азовский район, Ростовская область (1 шт.)  </t>
  </si>
  <si>
    <t xml:space="preserve">Установка прибора коммерческого учета электрической энергии (мощности) на границе земельного участка, подключенного от опоры №184-32 ВЛ 0,4 кВ №3 КТП 10/0,4кВ №184 ВЛ 10кВ №3113 ПС 110/35/10 кВ А-31 для технологического присоединения энергопринимающих устройств жилого дома Заявителя Кузьменко В.Ю., с. Пешково Азовский район, Ростовская область (1 шт.)  </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</si>
  <si>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Кузьменко В.Н. Кагальницкий район, Собянин С.Н. Аксайский район Ростовская область (2 шт.)</t>
  </si>
  <si>
    <t>Установка приборов коммерческого учета электрической энергии (мощности) на границе земельного участка, подключенного от опоры №16-6 ВЛ-0,4кВ №1 КТП-10/0,4 кВ №16 ВЛ-10кВ №605 ПС 35/10 кВ «КГ-6» для технологического присоединения энергопринимающих устройств ЛПХ Заявителя Титовского А.В., Ростовская область, Зерноградский, с. Новобатайск, ул. Советская, д. 53а (1 шт.)</t>
  </si>
  <si>
    <t>Установка прибора коммерческого учета электрической энергии (мощности) на границе земельного участка, подключенного от опоры №19-10 ВЛ-0,4 кВ № 1 КТП-10/0,4 кВ №19 ВЛ-10 кВ №612 от ПС 35/10 кВ «КГ-6», для электроснабжения жилого дома заявителя Шульги Т.Е., Ростовская область, Кагальницкий р-н, с. Новобатайск, ул. Илларионова д.5А ( 1 шт.)</t>
  </si>
  <si>
    <t>Установка прибора коммерческого учета электрической энергии (мощности) на границе земельного участка, подключенного от опоры №18-15 ВЛ-0,4 №1 от КТП-18 по ВЛ-10 605 ПС 35 кВ КГ6, для электроснабжения объекта торговли заявителя Кравцовой А.А., Ростовская область, Кагальницкий р-н, с. Новобатайск, ул. Ленина д.44 (1 шт.)</t>
  </si>
  <si>
    <t>Установка прибора коммерческого учета электрической энергии (мощности) на границе земельного участка, подключенного от опоры №2-15 ВЛ-0,4 №1 от КТП-2 по ВЛ-10 605 ПС 35 кВ КГ6, для электроснабжения ЛПХ заявителя Коноваловой С.Н., Ростовская область, Кагальницкий р-н, с. Новобатайск, ул. Азовская д.1А (1 шт.)</t>
  </si>
  <si>
    <t>Установка прибора коммерческого учета электрической энергии (мощности) на границе земельного участка, подключенного от опоры №19-58 ВЛ-0,4 № 1 от КТП-19 по ВЛ-10 211 ПС 35 кВ КГ2, для электроснабжения жилого дома заявителя Левченко С.С., Ростовская область, Кагальницкий р-н, х. Кагальничек (Кагальницкое с/п), ул. Трудовая д.27А (1 шт.)</t>
  </si>
  <si>
    <t>'Строительство участка ВЛИ 0,4кВ от опоры №136-61 ВЛ 0,4 кВ №3 КТП 10/0,4 кВ №136 ВЛ 10кВ №3113 ПС 110/35/10 кВ А-31 и системы учета электрической энергии (мощности) на границе земельного участка для электроснабжения жилого дома заявителя Герасименко Д.А., с. Пешково, Азовский район, Ростовская область (ориентировочная протяженность ЛЭП – 0,100 км)</t>
  </si>
  <si>
    <t>'Установка прибора коммерческого учета электрической энергии (мощности) на границе земельного участка, подключенного от опоры №67-36 ВЛ 0,4 кВ №2 КТП 10/0,4кВ №67 ВЛ 10кВ №606 ПС 35/10 кВ А-6 для технологического присоединения энергопринимающих устройств жилого дома Заявителя Толмачева В.В., с. Порт-Катон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</si>
  <si>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№167-24 ВЛ-0,4 кВ №1 КТП-10/0,4 кВ №167 по ВЛ-10 кВ № 106Н ПС 110/6/10 кВ «НС-1» для технологического присоединения энергопринимающих устройств нежилого строения Заявителя ИП Мушегян К.Х.,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</si>
  <si>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№184-32 ВЛ-0,4 кВ №3 КТП 10/0,4кВ №184 ВЛ-10кВ №3113 ПС 110/35/10 кВ «А-31» для технологического присоединения энергопринимающих устройств жилого дома Заявителя Кузьменко В.Ю.,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</si>
  <si>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№3-106 ВЛ-0,4 кВ №3 КТП 10/0,4кВ №3 ВЛ-10кВ №2903 РП-29 ПС 35/10 кВ «А-18» для технологического присоединения энергопринимающих устройств жилого дома Заявителя Чадов А.А.,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</si>
  <si>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на оп. №132-102   ВЛ-0,4 № 3 КТП-132 ВЛ-10 506 ПС 35 кВ Е-5, для электроснабжения заготовительного пункта заявителя ИП Слюсаренко В.В., х.Объединенный, ул. Зеленая, 29а, Егорлыкский р-он Ростовская область» (1шт)</t>
  </si>
  <si>
    <t>Установка прибора коммерческого учета электрической энергии (мощности) на границе земельного участка, подключенного на оп. №418-11   ВЛ-0,4 № 1 КТП-418 ВЛ-10 612 ПС 35 кВ Е-6, для электроснабжения жилой кухни заявителя Авакян А.А., х.Шаумяновский, ул. Тоноян, 47, Егорлыкский р-он Ростовская область (1шт)</t>
  </si>
  <si>
    <t>Установка прибора коммерческого учета электрической энергии (мощности) на границе земельного участка, подключенного от оп. №350-1 ВЛ-0,4 № 1 КТП-350 ВЛ-10 707 ПС 35 кВ Е-7, для электроснабжения жилого дома заявителя Гаджирагимовой С.Х., х.Прощальный, ул. Железнодорожная, 50, Егорлыкский р-он Ростовская область»(1шт)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</si>
  <si>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Лаврик В.Г., Давиденко З.А., Газарова В.В., Кагальницкий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</si>
  <si>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Нестерова В.И., Тереховой А.Ю., Кагальницкий район, Столяровой Л.В. Зерноградский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</si>
  <si>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№109-91 ВЛ 0,4 №3 КТП-109 ВЛ-10 805 ПС 110 кВ БОС для технологического присоединения энергопринимающих устройств ЛПХ Заявителя Стрелкова Д.Ю., Ростовская область, Кагальницкий р-н, п. Мокрый Батай, ул. Солнечная д.33 (1 шт.)</t>
  </si>
  <si>
    <t>Установка прибора коммерческого учета электрической энергии (мощности) на границе земельного участка, подключенного от опоры №1-10 ВЛ-0,4 №1 от КТП-1 по ВЛ-10 612 ПС 35 кВ КГ6, для электроснабжения объекта ЛПХ заявителя Щербаковой Е.П., Ростовская обл., р-н. Кагальницкий, с. Новобатайск, пер. Западный,  д. 12 (1 шт.)</t>
  </si>
  <si>
    <t>Установка прибора коммерческого учета электрической энергии (мощности) на границе земельного участка, подключенного от опоры №18-8 ВЛ 0,4 №1 КТП-18 ВЛ-10 605 ПС 35 кВ КГ6 для технологического присоединения энергопринимающих устройств ЛПХ Заявителя Быкова А.Н., Ростовская область, Кагальницкий р-н, с. Новобатайск, ул. Ленина д.60 (1 шт.)</t>
  </si>
  <si>
    <t>Установка прибора коммерческого учета электрической энергии (мощности) на границе земельного участка, подключенного от опоры №83-114 ВЛ-0,4 №1 от КТП-83 по ВЛ-10 801 ПС 35 кВ ЗР8, для электроснабжения склада заявителя ООО «КХ Исаева», Ростовская область, Зерноградский р-н, в 0,063 км на восток х. Клюев (1 шт.)</t>
  </si>
  <si>
    <t>Установка прибора коммерческого учета электрической энергии (мощности) на границе земельного участка, подключенного от опоры №89-50 ВЛ 0,4 №2 КТП-89 ВЛ-10 1207 ПС 110 кВ Манычская для технологического присоединения энергопринимающих устройств ЛПХ Заявителя Багмат В.А., Ростовская область, Зерноградский р-н, п. Сорговый, ул. Заполосная д.7А (1 шт.)</t>
  </si>
  <si>
    <t>Установка прибора коммерческого учета электрической энергии (мощности) на границе земельного участка, подключенного от опоры №109-43 ВЛ-0,4 № 2 от КТП-109 по ВЛ-10 805 ПС 110 БОС, для электроснабжения жилого дома заявителя Подкользиной В.Е., Ростовская область, Кагальницкий р-н, п. Мокрый Батай, ул. Строителей д.12 (1 шт.)</t>
  </si>
  <si>
    <t>Установка прибора коммерческого учета электрической энергии (мощности) на границе земельного участка, подключенного от опоры №182-24 ВЛ-0,4 № 2 от КТП-182 по ВЛ-10 805 ПС 110 кВ БОС, для электроснабжения жилого дома заявителя Кобезева К.Ю., Ростовская область, Кагальницкий р-н, п. Мокрый Батай, ул. Первостроителей д.1 (1 шт.)</t>
  </si>
  <si>
    <t>Установка прибора коммерческого учета электрической энергии (мощности) на границе земельного участка, подключенного от опоры №18-6 ВЛ 0,4 №1 КТП-18 ВЛ-10 605 ПС 35 кВ КГ6 для технологического присоединения энергопринимающих устройств магазина Заявителя ИП Щерба И.А., Ростовская область, Кагальницкий р-н, с. Новобатайск, ул. Ленина д.64А (1 шт.)</t>
  </si>
  <si>
    <t>Установка прибора коммерческого учета электрической энергии (мощности) на границе земельного участка, подключенного от опоры №204-19 ВЛ 0,4 №1 КТП-204 ВЛ-10 605 ПС 35 кВ КГ6 для технологического присоединения энергопринимающих устройств ЛПХ Заявителя Руденко Т.И., Ростовская область, Кагальницкий р-н, с. Новобатайск, ул. Пушкинская д.55А (1 шт.)</t>
  </si>
  <si>
    <t>Установка прибора коммерческого учета электрической энергии (мощности) на границе земельного участка, подключенного от опоры №25-1 ВЛ 0,4 №1 МТП-25 ВЛ-10 806 ПС 35 кВ ЗР8 для технологического присоединения энергопринимающих устройств ЛПХ Заявителя Краснощекова Ю.В., Ростовская область, Зерноградский р-н, х. Донской, ул. Первостроителей д.1 (1 шт.)</t>
  </si>
  <si>
    <t>Установка прибора коммерческого учета электрической энергии (мощности) на границе земельного участка, подключенного от опоры №4-119 ВЛ 0,4 №4 КТП-4 ВЛ-10 305 ПС 35 кВ КГ3 для технологического присоединения энергопринимающих устройств жилого дома Заявителя Зайцева П.П., Ростовская область, Кагальницкий р-н, ст. Кировская, ул. Садовая д.28 (1 шт.)</t>
  </si>
  <si>
    <t>Установка прибора коммерческого учета электрической энергии (мощности) на границе земельного участка, подключенного от опоры №4-47 ВЛ 0,4 №2 КТП-4 ВЛ-10 305 ПС 35 кВ КГ3 для технологического присоединения энергопринимающих устройств жилого дома Заявителя Фомина А.С., Ростовская область, Кагальницкий р-н, ст. Кировская, ул. Садовая д.16 (1 шт.)</t>
  </si>
  <si>
    <t>Установка коммерческого учета электрической энергии (мощности) на границе земельного участка, подключенного от опоры №42-30 ВЛ- 0,4 кВ №1 КТП-10/0,4 кВ №42 по ВЛ-10 кВ №2608 ПС 110/6/10 кВ "А-26", для электроснабжения жилого дома заявителя Картавцевой Н.А., с.Кулешовка, Ростовская область</t>
  </si>
  <si>
    <t>Установка коммерческого учета электрической энергии (мощности) на границе земельного участка, подключенного от опоры №115-132 ВЛ-0,4 кВ №4 КТП-10/0,4 кВ №115 по ВЛ-10 кВ №3125 ПС 110/35/10 кВ "А-31", для электроснабжения жилого дома заявителя Борисова А.А., с. Пешково,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</si>
  <si>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№27-53 ВЛ-0,4 кВ №1 КТП-10/0,4 кВ №27 по ВЛ-10 кВ №1815 ПС 35/10 кВ «А-18», для электроснабжения жилого дома заявителя Хлудневой Е.А., х. Городище,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</si>
  <si>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№311-1/3 ВЛ-0,4 кВ №3 КТП-10/0,4 кВ №311 ВЛ-10 кВ №106Н ПС 110/6/10 кВ "НС-1", для электроснабжения жилого дома заявителя Шаповалова В.В.,СХА "Кулешовское" поле III о, Азовский р-он Ростовская область</t>
  </si>
  <si>
    <t>Установка прибора коммерческого учета электрической энергии (мощности) на границе земельного участка, подключенного от опоры №103-14 ВЛ 0,4 кВ №3 КТП 10/0,4 кВ №103 ВЛ 10кВ 2608 ПС 110/10 кВ А-26 для технологического присоединения энергопринимающих устройств жилого дома Заявителя Арутюнян М.Г., с. Кулешовка Азовский район, Ростовская область (1 шт.)</t>
  </si>
  <si>
    <t>Установка коммерческого учета электрической энергии (мощности) на границе земельного участка, подключенного от опоры оп. №185-62/18 ВЛ-0,4 кВ №2 (на балансе ДНТ «Эдем») КТП 10/0,4 кВ №185 ВЛ-10кВ №106Н ПС 110/6/10 кВ «НС-1», для электроснабжения жилого дома заявителя Игнатовой А.А., ДНТ «Эдем», Азовский р-он Ростовская область</t>
  </si>
  <si>
    <t>Строительство системы учета электрической энергии (мощности) на границе земельного участка, подключенного от оп. №201-59 ВЛ-0,4 кВ №2 КТП-10/0,4 кВ №201 по ВЛ-10 кВ № 1019 ПС 110/35/10 кВ «Самарская», для электроснабжения автомойки заявителя ИП Ивановой Е.Ю., х. Победа, Азовский р-он Ростовская область</t>
  </si>
  <si>
    <t>Установка коммерческого учета электрической энергии (мощности) на границе земельного участка, подключенного от оп. №8-32 ВЛ-0,4 кВ №1 КТП-10/0,4 кВ №8 по ВЛ-10 кВ № 1014 ПС 110/35/10 кВ «Самарская», для электроснабжения магазина заявителя ООО «Нуар», с. Самарское, Азовский р-он Ростовская область (1шт)</t>
  </si>
  <si>
    <t>Установка прибора коммерческого учета электрической энергии (мощности) на границе земельного участка, подключенного от опоры №221-56 ВЛ-0,4 кВ №2 КТП 10/0,4кВ №221 ВЛ-10кВ №901 ПС 35/10 кВ «А-9» для технологического присоединения энергопринимающих устройств жилого дома Заявителя Литовченко С.Н., с. Высочино,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</si>
  <si>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Малейко В.А., Золотаревой А.А., Мелкозеров Д.А. Азовский район Ростовская область (3 шт.)</t>
  </si>
  <si>
    <t>Установка приборов коммерческого учета электрической энергии (мощности) на границе земельного участка, подключенного от опоры №9-1 ВЛ-0,4 кВ №1 КТП 10/0,4кВ №9 ВЛ-10кВ №801 ПС 35/10 кВ «А-8» для технологического присоединения энергопринимающих устройств домика для отдыха Заявителя Бойко С.Е., восточная сторона мыса Павло-Очаковской косы, Азовский район Ростовская область (1 шт.)</t>
  </si>
  <si>
    <t>Установка коммерческого учета электрической энергии (мощности) на границе земельного участка, подключенного от РУ 0,4 кВ ТП 10/0,4 кВ №66 по ВЛ 10 кВ №3127 ПС 110/35/10 кВ А-31, для электроснабжения магазина заявителя ИП Инатаевой Л.Н., с. Займо-Обрыв, Азовский район Ростовская область (1шт)</t>
  </si>
  <si>
    <t>Установка прибора коммерческого учета электрической энергии (мощности) на границе земельного участка, подключенного от опоры №18-34 ВЛ 0,4 кВ №2 КТП 10/0,4кВ №18 ВЛ 10кВ №3113 ПС 110/35/10 кВ А-31 для технологического присоединения энергопринимающих устройств жилого дома Нарыжного А.С.,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</si>
  <si>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№51-82 ВЛ 0,4 кВ №2 КТП 10/0,4кВ №51 ВЛ 10кВ №211 ПС 35/10 кВ А-2 для технологического присоединения энергопринимающих устройств жилого дома Улитиной М.С., х. Новоалександровка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</si>
  <si>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Пицкова И.И., Петреченко Н.Г., Азовский район Ростовская область (2 шт.)</t>
  </si>
  <si>
    <t>Установка прибора коммерческого учета электрической энергии (мощности) на границе земельного участка, подключенного от опоры №17-33/1 ВЛ-0,4 кВ №1 КТП 10/0,4кВ №17 ВЛ-10кВ №107Н ПС 110/6/10 кВ НС-1 для технологического присоединения энергопринимающих устройств жилого дома Заявителя Дуюнова М.А.,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</si>
  <si>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№240-163 ВЛ-0,4кВ №3 КТП 10/0,4 кВ №240 ВЛ-10кВ №106Н ПС 110/6/10 кВ НС-1 для технологического присоединения энергопринимающих устройств жилого дома Заявителя Гребеневой О.А.,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</si>
  <si>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№358-15 ВЛ 0,4 кВ №2 КТП 10/0,4кВ №358 ВЛ 10кВ №202Н ПС 110/6/10 кВ НС-2 для технологического присоединения энергопринимающих устройств жилого дома Заявителя Дементьевой А.В., ЗАО «Обильное» поля 86-88, 1 км. от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</si>
  <si>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№358-3 ВЛ 0,4 кВ №1 КТП 10/0,4кВ №358 ВЛ 10кВ №202Н ПС 110/6/10 кВ НС-2 для технологического присоединения энергопринимающих устройств жилого дома Заявителя Хамицевич А.А., ЗАО Обильное, поля 86-88, 1 км от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</si>
  <si>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№88-4/3 ВЛ 0,4 кВ №1 КТП 10/0,4кВ №88 ВЛ 10кВ №3127 ПС 110/35/10 кВ А-31 для технологического присоединения энергопринимающих устройств жилого дома Заявителя Сиденко С.А., с. 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</si>
  <si>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№101-14 ВЛ 0,4 кВ №1 КТП 10/0,4кВ №101 ВЛ 10кВ №1904 РП-19 ПС 110/35/10 кВ Самарская для технологического присоединения энергопринимающих устройств жилого дома Заявителя Орлова Д.П., с. Новотроицкое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</si>
  <si>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№111-56 ВЛ 0,4 кВ №3 КТП 10/0,4кВ №111 ВЛ 10кВ №3113 ПС 110/35/10 кВ А-31 для технологического присоединения энергопринимающих устройств жилого дома Заявителя Кужель Ю.М.,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</si>
  <si>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№144-47 ВЛ 0,4 кВ №2 КТП 10/0,4кВ №144 ВЛ 10кВ №1107 ПС 35/10 кВ А-11 для технологического присоединения энергопринимающих устройств жилого дома Заявителя Сухомлиновой Е.А.,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</si>
  <si>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№166-57 ВЛ 0,4 кВ №1 КТП 10/0,4кВ №166 ВЛ 10кВ №1606 ПС 35/10 кВ А-16 для технологического присоединения энергопринимающих устройств жилого дома Заявителя Арутюнян Л.Н., п. Новомирский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</si>
  <si>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№17-30 ВЛ 0,4 кВ №1 КТП 10/0,4кВ №17 ВЛ 10кВ №107Н ПС 110/6/10 кВ НС-1 для технологического присоединения энергопринимающих устройств жилого дома Заявителя Кошель Н.С.,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</si>
  <si>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№240-137 ВЛ 0,4 кВ №3 КТП 10/0,4кВ №240 ВЛ 10кВ №106Н ПС 110/6/10 кВ НС-1 для технологического присоединения энергопринимающих устройств жилого дома Заявителя Задорожней Л.П.,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</si>
  <si>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№24-5 ВЛ-0,4 кВ №1 ЗТП 10/0,4кВ №24 КЛ-10кВ №1205 ПС 110/10 кВ А-12 для технологического присоединения энергопринимающих устройств базовой станции сотовой связи Заявителя ПАО «МТС»,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</si>
  <si>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№24-54 ВЛ 0,4 кВ №1 КТП 10/0,4кВ №24 ВЛ 10кВ №1815 ПС 35/10 кВ А-18 для технологического присоединения энергопринимающих устройств гаража Заявителя Фоменко Е.А., х. Колузаево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</si>
  <si>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№27-100 ВЛ-0,4 кВ №3 КТП-10/0,4 кВ №27 по ВЛ-10 кВ №1701 ПС 35/10 кВ «А-17» для технологического присоединения энергопринимающих устройств жилого дома Заявителя Талпа С.Б.,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</si>
  <si>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№346-1 ВЛ 0,4 кВ №1 КТП 10/0,4кВ №346 ВЛ 10кВ №105Н ПС 110/6/10 кВ НС-1 для технологического присоединения энергопринимающих устройств жилого дома Заявителя Аведова С.С., х. Шмат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</si>
  <si>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проектируемой ВЛИ-0,4 кВ проектируемой ТП 10/0,4 кВ (по договору ТП №61-1-20-00538899 от 16.11.2020г.) ВЛ-10кВ №3127 ПС 110/35/10 кВ «А-31» для технологического присоединения энергопринимающих устройств жилого дома Заявителя Донченко С.А., с. Займо-Обрыв, Азовский р-он Ростовская область (1 шт.)</t>
  </si>
  <si>
    <t>Установка приборов коммерческого учета электрической энергии (мощности) на границе земельного участка, подключенного от оп. №201-20 ВЛ-0,4 кВ №2 КТП-10/0,4 кВ №201 по ВЛ-10 кВ №1019 ПС 110/35/10 кВ «Самарская» для технологического присоединения энергопринимающих устройств жилого дома Заявителя Хакиева Н.Р., Азовский район Ростовская область (1шт.)</t>
  </si>
  <si>
    <t>Установка прибора коммерческого учета электрической энергии (мощности) на границе земельного участка, подключенного на оп. №211-53   ВЛ-0,4 № 2 КТП-211 ВЛ-10 612 ПС 35 кВ Е-6, для электроснабжения жилого дома заявителя Григорян А.А., х.Шаумяновский, ул. Молодежная, 10, Егорлыкский р-он Ростовская область» (1шт)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</si>
  <si>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Исламова Е.В., Гайдарова Д.В., Козорезовой И.А., Кагальницкий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</si>
  <si>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Куцеваловой А.А., Паруна А.М., Борисова Н.Ю., Зерноградский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</si>
  <si>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Лютовой Е.Н., Пустоветова А.И, Зерноградский район Ростовская область (2 шт.)</t>
  </si>
  <si>
    <t>Установка прибора коммерческого учета электрической энергии (мощности) на границе земельного участка, подключенного от опоры №54-99 ВЛ-0,4 №3 от КТП-54 по ВЛ-10 318 ПС 35 кВ КГ3, для электроснабжения артезианской скважины заявителя МУП ЖКХ Кагальницкого сельского поселения, Ростовская область, Кагальницкий р-н, ст. Кировская, ул. Буденновская д. 44А (1 шт.)</t>
  </si>
  <si>
    <t>Установка прибора коммерческого учета электрической энергии (мощности) на границе земельного участка, подключенного от опоры №16-59 ВЛ-0,4 №2 от КТП-16 по ВЛ-10 605 ПС 35 кВ КГ6, для электроснабжения личного подсобного хозяйства заявителя Новосельцевой А.А., Ростовская область, Кагальницкий р-н, с. Новобатайск, пер. Ткачевский д.15 (1 шт.)</t>
  </si>
  <si>
    <t>Установка прибора коммерческого учета электрической энергии (мощности) на границе земельного участка, подключенного от опоры №117-39 ВЛ-0,4 №1 от КТП-117 по ВЛ-10 805 ПС 110 кВ БОС, для электроснабжения жилого дома заявителя Оттева А.С., Ростовская область, Кагальницкий р-н, п. Мокрый Батай, ул. Солнечная д.13А (1 шт.)</t>
  </si>
  <si>
    <t>Установка прибора коммерческого учета электрической энергии (мощности) на границе земельного участка, подключенного от опоры №109-92 ВЛ-0,4 №3 от КТП-109 по ВЛ-10 805 ПС 110 кВ БОС, для электроснабжения ЛПХ заявителя Чернышева А.В., Ростовская область, Кагальницкий р-н, п. Мокрый Батай, ул. Солнечная д.37    (1 шт.)</t>
  </si>
  <si>
    <t>Установка прибора коммерческого учета электрической энергии (мощности) на границе земельного участка, подключенного от опоры №13-40 ВЛ-0,4 №3 от КТП-13 по ВЛ-10 612 ПС 35 кВ КГ6, для электроснабжения ЛПХ заявителя Юрьевой Г.А., Ростовская область, Кагальницкий р-н, с. Новобатайск, ул. Фабричная д.11А (1 шт.)</t>
  </si>
  <si>
    <t>Установка прибора коммерческого учета электрической энергии (мощности) на границе земельного участка, подключенного от опоры №101-23 ВЛ-0,4 №2 от КТП-101 по ВЛ-10 1319 ПС 35 кВ ЗР13, для электроснабжения артскважины заявителя Богатского Ю.А., Ростовская область, Зерноградский р-н, х. Заполосный, левый склон б.Хомутец (1 шт.)</t>
  </si>
  <si>
    <t>Установка прибора коммерческого учета электрической энергии (мощности) на границе земельного участка, подключенного от опоры №109-23 ВЛ-0,4 №1 от КТП-109 по ВЛ-10 805 ПС 110 кВ БОС, для электроснабжения ЛПХ заявителя Кочерга Н.В., Ростовская область, Кагальницкий р-н, п. Мокрый Батай ул. Садовая д.29 кв. 2 (1 шт.)</t>
  </si>
  <si>
    <t>Установка прибора коммерческого учета электрической энергии (мощности) на границе земельного участка, подключенного от опоры №77-30 ВЛ 0,4 №1 КТП-77 ВЛ-10 313 ПС 35 кВ КГ3 для технологического присоединения энергопринимающих устройств жилого дома Заявителя Кучмаревой Л.А., Ростовская область, Кагальницкий р-н, ст. Кировская, ул. Менделеева д.48 (1 шт.)</t>
  </si>
  <si>
    <t>Установка прибора коммерческого учета электрической энергии (мощности) на границе земельного участка, подключенного от опоры №9-9 ВЛ-0,4 №1 от КТП-9 по ВЛ-10 612 ПС 35 кВ КГ6, для электроснабжения жилого дома заявителя Жаткин В.Е., Ростовская область, Кагальницкий р-н, с. Новобатайск ул. Садовая д. 7 (1 шт.)</t>
  </si>
  <si>
    <t>Установка коммерческого учета электрической энергии (мощности) на границе земельного участка, подключенного от опоры №102-2 ВЛ 0,4 кВ №1 КТП 10/0,4кВ №102 ВЛ 10кВ №2907 РП-29 ПС 35/10 кВ А-18, для электроснабжения жилого дома заявителя Чекодановой Н.В., х. Обуховка, Азовский район Ростовская область</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</si>
  <si>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Бурого А.Н., Басаранович И.И., Трухманова А.А.,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</si>
  <si>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№30-8 ВЛ-0,4 кВ №1 КТП 10/0,4кВ №30 ВЛ-10кВ №2907 РП-29 ПС 35/10 кВ «А-18» для технологического присоединения энергопринимающих устройств жилого дома Заявителя Картичева С.В., ст-ца. Елизаветинская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</si>
  <si>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№9-1 ВЛ-0,4 кВ №1 КТП 10/0,4кВ №9 ВЛ-10кВ №801 ПС 35/10 кВ «А-8» для технологического присоединения энергопринимающих устройств домика отдыха Заявителя Каплиной А.В., восточная сторона мыса Павло-Очаковской косы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</si>
  <si>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№334-8 ВЛ 0,4 кВ №1 КТП 10/0,4кВ №334 ВЛ 10кВ №202Н ПС 110/6/10 кВ НС-2 для технологического присоединения энергопринимающих устройств жилого дома Заявителя Короп О.М.,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</si>
  <si>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№55-57 ВЛ-0,4 кВ №3 КТП 10/0,4кВ №55 ВЛ-10кВ №1019 ПС 110/35/10 кВ «Самарская» для технологического присоединения энергопринимающих устройств жилого дома Заявителя Мельниковой Н.В., х. Победа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</si>
  <si>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№82-13 ВЛ-0,4 кВ №1 КТП 10/0,4кВ №82 ВЛ-10кВ №1802 ПС 35/10 кВ «А-18» для технологического присоединения энергопринимающих устройств жилого дома Заявителя Остапенко А.А., х. Рогожкино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</si>
  <si>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№103-6 ВЛ 0,4 кВ №1 КТП 10/0,4кВ №103 ВЛ 10кВ №1913 ПС 110/35/10 кВ Самарская для технологического присоединения энергопринимающих устройств жилого дома Заявителя Голубовой Л.А., х. Ельбузд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</si>
  <si>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№148-10 ВЛ 0,4 кВ №1 КТП 10/0,4кВ №148 ВЛ 10кВ №1019 ПС 110/35/10 кВ Самарская для технологического присоединения энергопринимающих устройств жилого дома Заявителя Лаптева В.В., х. Победа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</si>
  <si>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№157-9 ВЛ 0,4 кВ №1 КТП 10/0,4кВ №157 ВЛ 10кВ №301Н ПС 110/6/10 кВ НС-3 для технологического присоединения энергопринимающих устройств жилого дома Заявителя Белоусовой С.Т., х. Песчаный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</si>
  <si>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№184-2 ВЛ 0,4 кВ №1 КТП 10/0,4кВ №184 ВЛ 10кВ №3113 ПС 110/35/10кВ А-3 1для технологического присоединения энергопринимающих устройств жилого дома Заявителя Лазаревой А.М.,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</si>
  <si>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№185-23 ВЛ 0,4 кВ №2 КТП 10/0,4кВ №185 ВЛ 10кВ №3125 ПС 110/35/10 кВ А-31 для технологического присоединения энергопринимающих устройств жилого дома Заявителя Мырковой О.В.,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</si>
  <si>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№316-17 ВЛ 0,4 кВ №1 КТП 10/0,4кВ №3169 ВЛ 10кВ №211 ПС 35/10 кВ А-2 для технологического присоединения энергопринимающих устройств жилого дома Заявителя Громыко Н.В.,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</si>
  <si>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№329-28 ВЛ 0,4 кВ №2 КТП 10/0,4кВ №329 ВЛ 10кВ №106Н ПС 110/6/10 кВ НС-1 для технологического присоединения энергопринимающих устройств жилого дома Заявителя Громыко Н.В., Кулешовское сельское поселение, ДНТ "Виктория"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</si>
  <si>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№350-30/2 ВЛ 0,4 кВ №4 КТП 10/0,4кВ №350 ВЛ 10кВ №207Н ПС 110/6/10 кВ НС-2 для технологического присоединения энергопринимающих устройств дачного дома Заявителя Герасимова И.М., СТ «Квант» Азовский район, Ростовская область (1 шт.)</t>
  </si>
  <si>
    <t>Строительство участка ВЛИ-0,4 кВ от проектируемой ВЛ-0,4 кВ (по договору ТП №61-1-18-00409567 от 12.12.2018г.) КТП 10/0,4 кВ №48 по ВЛ-10кВ №1815 ПС 35/10 кВ "А-18" для электроснабжения жилого дома заявителя Заряева П.В., Рыболовецкий колхоз им. Ленина, Азовский район, Ростовская область (ориентировочная протяженность ЛЭП - 0,120 км)</t>
  </si>
  <si>
    <t xml:space="preserve">Установка коммерческого учета электрической энергии (мощности) на границе земельного участка, подключенного от опоры №134-37 ВЛ-0,4 кВ №2 КТП-10/0,4 кВ №134 по ВЛ-10 кВ №101 ПС 220/110/35/10 кВ "Зерновая", для электроснабжения жилого дома заявителя Маркова А.В., Ростовская область, г. Зерноград пер. Ярославский, дом 33  </t>
  </si>
  <si>
    <t xml:space="preserve">Строительство участка ВЛИ-0,4кВ от оп. №253-124 по ВЛ 0,4 кВ №4 КТП 6/0,4 кВ №253 ВЛ-6 кВ №10701 ПС 110/35/6 кВ «А-1» и системы учета электрической энергии (мощности) на границе земельного участка для электроснабжения жилых домов заявителя Авакяна Р.Р., г. Азов Ростовская область (ориентировочная протяженность ЛЭП – 0,04 км)  </t>
  </si>
  <si>
    <t xml:space="preserve">Установка коммерческого учета электрической энергии (мощности) на границе земельного участка, подключенного от опоры оп. №б/н ВЛ-0,4кВ (балансовая принадлежность Квартального комитета №39) КТП-6/0,4 кВ №101 по ВЛ-6кВ №10701 ПС 110/35/6 кВ «А-1», для электроснабжения жилого дома заявителя Бувайловой Н.А., г. Азов, Ростовская область  </t>
  </si>
  <si>
    <t xml:space="preserve">'Установка прибора коммерческого учета электрической энергии (мощности) на границе земельного участка, подключенного от опоры №44-39 ВЛ-0,4 кВ № 1 МТП-10/0,4 кВ №44 ВЛ-10 кВ №1002 от ПС 110/10 кВ «ЗР-10», для электроснабжения жилого дома заявителя Галян С.О., Ростовская область, Зерноградский р-н, г. Зерноград, ул. 50-летия Победы д.50 ( 1 шт.) </t>
  </si>
  <si>
    <t xml:space="preserve">Строительство участка ВЛИ 0,4кВ от проектируемой ВЛ 0,4 кВ (по договору ТП № 61-1-20-00515125 от 15.06.2020 г.) КТП 6/0,4 кВ №257 ВЛ 6 кВ №10701 ПС 110/35/6 кВ «А-1» и системы учета электрической энергии (мощности) на границе земельного участка для электроснабжения жилого дома заявителя Таутиевой А.Н., г.Азов Ростовская область (ориентировочная протяженность ЛЭП – 0,085 км) </t>
  </si>
  <si>
    <t>'Строительство участка ВЛИ 0,4кВ от опоры №257-94 ВЛ 0,4 кВ №2 КТП 6/0,4 кВ №257 ВЛ 6 кВ №10701 ПС 110/35/6 кВ А-1 и системы учета электрической энергии (мощности) на границе земельных участков для электроснабжения жилых домов заявителей Головневой О.В., Холкина А.Я., г. Азов, Ростовская область (ориентировочная протяженность ЛЭП – 0,135 км)</t>
  </si>
  <si>
    <t>Установка прибора коммерческого учета электрической энергии (мощности) на границе земельного участка, подключенного от опоры №46-8 ВЛ-0,4кВ №1 КТП 10/0,4 кВ №46 ВЛ-10кВ №1106 ПС 35/10 кВ А-11 для технологического присоединения энергопринимающих устройств жилого дома Заявителя Таибовой О.А., городской округ "Город Азов", г. Азов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</si>
  <si>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№253-20 ВЛ 0,4 кВ №2 КТП 6/0,4кВ №253 ВЛ 6кВ №10706 ПС 110/35/6 кВ А-1 для технологического присоединения энергопринимающих устройств жилого дома Заявителя Семисиновой С.Н., г. Азов, Ростовская область (1 шт.)</t>
  </si>
  <si>
    <t>Установка прибора учета  для присоединения складов минеральных удобрений АО «А1 АГРОХИМ», расположенных по адресу: Ростовская область, Усть-Донецкий район, р.п. Усть-Донецкий, ул. Вокзальная, д. 1, к.н.з.у.: 61:39:0010110:37 (1шт.)</t>
  </si>
  <si>
    <t>Установка прибора учета для присоединения детского оздоровительного лагеря ИП Цыбрий А.В., расположенного по адресу: Ростовская область,  Усть-Донецкий район, х. Пухляковский, ул. Центральная, д. 164, КН ЗУ 61:39:0600012:13 (1шт.)</t>
  </si>
  <si>
    <t>Строительство ВЛ 0,4 кВ от проектируемой ВЛ 0,4 кВ проектируемой КТПН 10/0,4 кВ (по договору №61-1-19-00465385 от 01.10.2019 г.) ВЛ 10 кВ №403 ПС 110 кВ АС4 для электроснабжения ВРУ 0,4 кВ жилого дома Васильева В. А. на участке с КН 61:02:0600021:1871 в х. Истомино Аксайского района Ростовской области</t>
  </si>
  <si>
    <t>Строительство ТП 10/0,4 кВ, ЛЭП 0,4 кВ, ЛЭП 10 кВ от ВЛ 10 кВ №406 ПС 110 кВ АС4 для электроснабжения нежилых застроек и складских зданий/помещений ИП Гулуа Р. З. в пос. АО «Родина» Аксайского района Ростовской области (ориентировочная мощность трансформатора 1,0 МВА, ориентировочная протяженность ЛЭП 1,8 км)</t>
  </si>
  <si>
    <t>Строительство ВЛ 0,4 кВ от РУ 0,4 кВ КТП №239 ВЛ 10 кВ №3 ПС 35 кВ Б. Салы для электроснабжения индивидуальных жилых домов блокированной застройки ООО “Строительная компания Экодом” на участке с КН 61:02:0600005:9378 в Аксайском районе Ростовской области</t>
  </si>
  <si>
    <t>Установка прибора учета для присоединения магазина ИП Раджабова А. М. расположенного по адресу: Р.О., Веселовский район, х. Красное Знамя, ул. Центральная, д. 23-а» (1шт.)</t>
  </si>
  <si>
    <t xml:space="preserve"> Строительство ТП-10/0,4, ВЛ-10 кВ от существующей оп. №3 отпайки к КТП 1 по ВЛ 10 кВ Красюковка ПС Ш-39, и ВЛИ-0,4 кВ от вновь установленной ТП-10/0,4 кВ для присоединения дошкольной образовательной организации на 120 мест в сл. Красюковская, Октябрьского района, Ростовской области (ориентировочная протяженность ЛЭП 0,34 км, ориентировочная мощность трансформатора 160 кВА)</t>
  </si>
  <si>
    <t>Установка пункта коммерческого учета для присоединения складского помещения ООО «Армопласт», расположенного по адресу: Ростовская обл., р-н. Аксайский, тер. СХПК колхоз «Заря», поле №51, участок с КН 61:02:0600006:6421 (1 шт.)</t>
  </si>
  <si>
    <t>Установка прибора учета для присоединения склада со встроенными помещениями общественного назначения ООО “Белла-Дон”, расположенного по адресу: Ростовская обл., Аксайский р-н, х. Камышеваха, ул. Металлургическая, 12, участок с КН 61:02:0600010:4925</t>
  </si>
  <si>
    <t>Обеспечение коммерческим учетом электрической энергии (мощности) в точке поставки по присоединению нежилого здания Ишханян М. К., расположенного по адресу: Ростовская обл., Аксайский р-н, ст-ца Ольгинская, участок с КН 61:02:0600014:1948</t>
  </si>
  <si>
    <t>Установка пункта коммерческого учета для присоединения объекта торговли ИП Спасибова С. И., расположенного по адресу: Ростовская обл., р-н. Аксайский, ст-ца Мишкинская, ул. Просвещения, 2А, участок с КН 61:02:0070202:651 (1 шт.)</t>
  </si>
  <si>
    <t>Установка приборов учета для присоединения производственной базы ООО “Технопласт”, расположенной по адресу: Ростовская обл., р-н. Аксайский, х. Большой Лог, ул. Ленина, 66, кадастровый номер земельного участка: 61:02:010201:0121» (4шт)</t>
  </si>
  <si>
    <t xml:space="preserve">Установка прибора учета для присоединения нежилого здания ИП Умарова А.А., расположенного по адресу: Ростовская обл., р-н. Аксайский, Щепкинское сельское поселение, п. Красный, ул. Промышленная, 3, кадастровый номер земельного участка: 61:02:0600006:5638» </t>
  </si>
  <si>
    <t>Установка пункта коммерческого учета для присоединения ТП-10/0,4 кВ (здание мукомольного цеха) ЗАО «Красный Октябрь», расположенного по адресу: Ростовская обл., р-н. Веселовский, п. Веселый, ул. Донская, д. 33, кадастровый номер земельного участка: 61:06:0010136:16 (1 шт.)</t>
  </si>
  <si>
    <t>Установка пункта коммерческого учета для присоединения ТП-10/0,4 кВ (насосная станция) ЗАО «Красный Октябрь», расположенного по адресу: РО, р-н. Веселовский, Веселовское сельское поселение, кадастровый номер земельного участка: 61:06:0600012:718 (1 шт.)</t>
  </si>
  <si>
    <t xml:space="preserve">Установка пункта коммерческого учета для присоединения КТП-10/0,4 кВ объекта КФХ, заявителя ИП Глава КФХ Вакуленко И. Н. расположенного по адресу Ростовская обл., р-н. Семикаракорский, примерно в 1 км от ориентира по направлению на север. ориентир п. Крымский, к.н.: 61:35:0600009:236 </t>
  </si>
  <si>
    <t>Строительство ВЛ 10 кВ от ВЛ 10 кВ №307 ПС 35 кВ В-3 для электроснабжения цеха грануляции  ИП Главы КФХ Убийко А. А. на участке с КН 61:06:0060517:8 в Веселовском районе Ростовской области, х. Свобода, ул. Трудовая, 10</t>
  </si>
  <si>
    <t>Установка прибора учета для присоединения ТП 10/0,4 кВ АО «Бакланниковское», расположенного по адресу: Ростовская обл., р-н. Семикаракорский, к.н.: 61:35:0600013:379» (1шт)</t>
  </si>
  <si>
    <t xml:space="preserve">"Строительство ПКУ на границе балансовой принадлежности от опоры 2-00/2-3 по ВЛ 10 кВ Л-2 Целинский ССК для электроснабжения объекта – «Материальный склад (АБК, галерея, трансформаторная РУ-10, гараж, столовая, здание хлораторной, градирня)», расположенного по адресу: РФ, Ростовская область, Целинский район, п. Целина, ул. 2-я линия, д. 237, к.н. 61:40:0010101:79, заявитель ИП Уколова Инна Валерьевна" (1 шт.) </t>
  </si>
  <si>
    <t>Строительство КТПН 10/0,4 кВ, ВЛ 10 кВ, ВЛ 0,4 кВ от ВЛ 10 кВ №1103 ПС 110 кВ АС11 для электроснабжения ВРУ 0,4 кВ жилых домов в ст-це Мишкинская Аксайского района Ростовской области (ориентировочная мощность трансформатора 0,630 МВА, ориентировочная протяжённость ЛЭП 2,115 км)</t>
  </si>
  <si>
    <t>«Строительство КЛ 6 кВ от КЛ 6 кВ №31-44 ПС 110 кВ Р31 для электроснабжения производственного и складских помещений ООО «БРИЗ», расположенной по адресу: г. Ростов-на-Дону, ул. 2-я Луговая, д. 18б, КН 61:44:0062505:166 (ориентировочная протяжённость ЛЭП 0,12 км)» (объект DB)».</t>
  </si>
  <si>
    <t>Строительство 2КЛ 6кВ от проектируемых линейных ячеек 6кВ на I, II секции шин ПС 110кВ Р24 для электроснабжения многоэтажного жилого комплекса с помещениями общественного назначения (ООО "Галактика"), расположенного по адресу: г. Ростов-на-Дону, ул. Оганова, кад. №61:44:0080503:1 (2 этап ориентировочная протяженность ЛЭП 0,3 км)</t>
  </si>
  <si>
    <t>Строительство ВЛ 0,4 кВ от ВЛ 0,4 кВ №1 КТП 10/0,4 кВ №13м ВЛ 10 кВ №3 ПС 35/10 кВ «ГСКБ» для технологического присоединения личного подсобного хозяйства заявителя Кучеровский С.В.: Ростовская область, Неклиновский район, с. Александрова Коса, ул. Транспортная, 31-а</t>
  </si>
  <si>
    <r>
      <t>Строительство центров питания, подстанций уровнем напряжения 35 кВ и выше (ПС) (C</t>
    </r>
    <r>
      <rPr>
        <b/>
        <vertAlign val="subscript"/>
        <sz val="14"/>
        <color indexed="8"/>
        <rFont val="Times New Roman"/>
        <family val="1"/>
        <charset val="204"/>
      </rPr>
      <t>7,i</t>
    </r>
    <r>
      <rPr>
        <b/>
        <sz val="14"/>
        <color indexed="8"/>
        <rFont val="Times New Roman"/>
        <family val="1"/>
        <charset val="204"/>
      </rPr>
      <t>)</t>
    </r>
  </si>
  <si>
    <t>3.6.2.1.1.1.</t>
  </si>
  <si>
    <t>№ п/п СТС</t>
  </si>
  <si>
    <t>Строительство ВЛ на железобетонных опорах изолированным сталеалюминиевым проводом сечением до 50 квадратных мм включительно одноцепные</t>
  </si>
  <si>
    <t>Строительство ВЛ на железобетонных опорах  изолированным сталеалюминиевым проводом сечением от 50 до 100 квадратных мм включительно одноцепные</t>
  </si>
  <si>
    <t>Строительство ВЛ на железобетонных опорах  изолированным сталеалюминиевым проводом сечением от 100 до 200 квадратных мм включительно одноцепные</t>
  </si>
  <si>
    <t>Строительство ВЛ на железобетонных опорах  изолированным алюминиевым проводом сечением до 50 квадратных мм включительно одноцепные</t>
  </si>
  <si>
    <t>Строительство ВЛ на железобетонных опорах  изолированным алюминиевым проводом сечением от 50 до 100 квадратных мм включительно одноцепные</t>
  </si>
  <si>
    <t>Строительство ВЛ на железобетонных опорах  изолированным алюминиевым проводом сечением от 100 до 200 квадратных мм включительно одноцепные</t>
  </si>
  <si>
    <t>Строительство ВЛ на железобетонных опорах неизолированным сталеалюминевый проводом сечением до 50 квадратных мм включительно одноцепные</t>
  </si>
  <si>
    <t>Строительство ВЛ на железобетонных опорах неизолированным сталеалюминевый проводом сечением от 50 до 100 квадратных мм включительно одноцепные</t>
  </si>
  <si>
    <t>Строительство ВЛ на железобетонных опорах неизолированным сталеалюминевый проводом сечением от 100 до 200 квадратных мм включительно одноцепные</t>
  </si>
  <si>
    <t>Строительство ВЛ на железобетонных опорах неизолированным алюминиевым проводом сечением до 50 квадратных мм включительно одноцепные</t>
  </si>
  <si>
    <t>Строительство КЛ в траншеях одножильные с резиновой и пластмассовой изоляцией сечением провода до 50 квадратных мм включительно с одним кабелем в траншее</t>
  </si>
  <si>
    <t>Строительство КЛ в траншеях одножильные с резиновой и пластмассовой изоляцией сечением провода от 50 до 100 квадратных мм включительно с одним кабелем в траншее</t>
  </si>
  <si>
    <t>Строительство КЛ в траншеях одножильные с резиновой и пластмассовой изоляцией сечением провода от 100 до 200 квадратных мм включительно с одним кабелем в траншее</t>
  </si>
  <si>
    <t>Строительство КЛ в траншеях одножильные с резиновой и пластмассовой изоляцией сечением провода от 100 до 200 квадратных мм включительно с двумя кабелями в траншее</t>
  </si>
  <si>
    <t>Строительство КЛ в траншеях одножильные с резиновой и пластмассовой изоляцией сечением провода от 250 до 300 квадратных мм включительно с двумя кабелями в траншее</t>
  </si>
  <si>
    <t>Строительство КЛ в траншеях одножильные с резиновой и пластмассовой изоляцией сечением провода от 300 до 400 квадратных мм включительно с двумя кабелями в траншее</t>
  </si>
  <si>
    <t>Строительство КЛ в траншеях одножильные с бумажной изоляцией сечением провода от 50 до 100 квадратных мм включительно с одним кабелем в траншее</t>
  </si>
  <si>
    <t>Строительство КЛ в траншеях одножильные с бумажной изоляцией сечением провода от 100 до 200 квадратных мм включительно с двумя кабелями в траншее</t>
  </si>
  <si>
    <t>Строительство КЛ в траншеях многожильные с резиновой и пластмассовой изоляцией сечением провода от 200 до 250 квадратных мм включительно с двумя кабелями в траншее</t>
  </si>
  <si>
    <t>Многожильный кабель</t>
  </si>
  <si>
    <t>Строительство КЛ в траншеях многожильные с резиновой и пластмассовой изоляцией сечением провода от 200 до 250 квадратных мм включительно с четырьмя кабелями в траншее</t>
  </si>
  <si>
    <t>Строительство КЛ в траншеях многожильные с резиновой и пластмассовой изоляцией сечением провода до 50 квадратных мм включительно с одним кабелем в траншее</t>
  </si>
  <si>
    <t>Строительство КЛ в траншеях многожильные с резиновой и пластмассовой изоляцией сечением провода до 50 квадратных мм включительно с двумя кабелями в траншее</t>
  </si>
  <si>
    <t>Строительство КЛ в траншеях многожильные с резиновой и пластмассовой изоляцией сечением провода от 50 до 100 квадратных мм включительно с одним кабелем в траншее</t>
  </si>
  <si>
    <t>Строительство КЛ в траншеях многожильные с бумажной изоляцией сечением провода до 50 квадратных мм включительно с двумя кабелями в траншее</t>
  </si>
  <si>
    <t>3.1.2.2.1.2</t>
  </si>
  <si>
    <t>Строительство КЛ в траншеях многожильные с бумажной изоляцией сечением провода от 50 до 100 квадратных мм включительно с одним кабелем в траншее</t>
  </si>
  <si>
    <t>Строительство КЛ в траншеях многожильные с бумажной изоляцией сечением провода от 100 до 200 квадратных мм включительно с одним кабелем в траншее</t>
  </si>
  <si>
    <t>Строительство КЛ в каналах одножильные с резиновой и пластмассовой изоляцией сечением провода от 100 до 200 квадратных мм включительно с одним кабелем в канале</t>
  </si>
  <si>
    <t>Строительство КЛ в каналах многожильные с резиновой и пластмассовой изоляцией сечением провода от 50 до 100 квадратных мм включительно с одним кабелем в канале</t>
  </si>
  <si>
    <t>Горизонтальное наклонное бурение</t>
  </si>
  <si>
    <t>Кабельные линии, прокладываемые методом горизонтального наклонного бурения, одножильные с резиновой или пластмассовой изоляцией сечением провода от 200 до 250 квадратных мм включительно с двумя трубами в скважине</t>
  </si>
  <si>
    <t>Кабельные линии, прокладываемые методом горизонтального наклонного бурения, многожильные с резиновой или пластмассовой изоляцией сечением провода до 50 квадратных мм включительно с одной трубой в скважине</t>
  </si>
  <si>
    <t>Реклоузеры номинальным током  от 100 до 250 А включительно</t>
  </si>
  <si>
    <t>Реклоузеры номинальным током  от 500 до 1 000 А включительно</t>
  </si>
  <si>
    <t>Однотрансформаторные подстанции (за исключением РТП) мощностью до 25 кВА включительно столбового/мачтового типа</t>
  </si>
  <si>
    <t>Однотрансформаторные подстанции (за исключением РТП) мощностью до 25 кВА включительно шкафного или киоскового типа</t>
  </si>
  <si>
    <t>Однотрансформаторные подстанции (за исключением РТП) мощностью от 25 до 100 кВА включительно столбового/мачтового типа</t>
  </si>
  <si>
    <t>Однотрансформаторные подстанции (за исключением РТП) мощностью от 25 до 100 кВА включительно шкафного или киоскового типа</t>
  </si>
  <si>
    <t>Однотрансформаторные подстанции (за исключением РТП) мощностью от 100 до 250 кВА включительно столбового/мачтового типа</t>
  </si>
  <si>
    <t>Однотрансформаторные подстанции (за исключением РТП) мощностью от 100 до 250 кВА включительно шкафного или киоскового типа</t>
  </si>
  <si>
    <t>Однотрансформаторные подстанции (за исключением РТП) мощностью от 100 до 250 кВА включительно блочного типа</t>
  </si>
  <si>
    <t>Однотрансформаторные подстанции (за исключением РТП) мощностью от 250 до 400 кВА включительно столбового/мачтового типа</t>
  </si>
  <si>
    <t>Однотрансформаторные подстанции (за исключением РТП) мощностью от 250 до 400 кВА включительно шкафного или киоскового типа</t>
  </si>
  <si>
    <t>Однотрансформаторные подстанции (за исключением РТП) мощностью от 400 до 1000 кВА включительно столбового/мачтового типа</t>
  </si>
  <si>
    <t>Однотрансформаторные подстанции (за исключением РТП) мощностью от 400 до 1 000 кВА включительно шкафного или киоскового типа</t>
  </si>
  <si>
    <t>7.2.10.2</t>
  </si>
  <si>
    <t>Двухтрансформаторные подстанции мощностью свыше 100 МВА закрытого типа</t>
  </si>
  <si>
    <t>Средства коммерческого учета электрической энергии (мощности) однофазные прямого включения</t>
  </si>
  <si>
    <t>Средства коммерческого учета электрической энергии (мощности) трехфазные прямого включения</t>
  </si>
  <si>
    <t>Средства коммерческого учета электрической энергии (мощности) трехфазные полукосвенного включения</t>
  </si>
  <si>
    <t>Средства коммерческого учета электрической энергии (мощности) трехфазные косвенного включения</t>
  </si>
  <si>
    <t>от 30 июня 2022 г. № 490/22</t>
  </si>
  <si>
    <t>Строительство ВЛ 0,4кВ от ВЛ 0,4кВ №2 ТП 10/0,4кВ №4-29 по ВЛ 10кВ №4 ПС 110/35/10кВ Чалтырь, для технологического присоединения жилого дома Заявителя (Аветикян А.М.) по адресу: Ростовская область, Мясниковский район, с. Крым, ул. 2-й Тупик, д. 5а к.н. 61:25:0201024:539 (ориентировочная протяженность ЛЭП 0,22км)</t>
  </si>
  <si>
    <t>Строительство ВЛ 0,4 кВ от РУ 0,4 кВ новой ТП 10/0,4 кВ, строительство ТП 10/0,4 кВ, строительство ВЛ 10 кВ от ВЛ 10 кВ №1 ПС 110/35/10 кВ Чалтырь, отпайки на ТП 10/0,4 кВ №1-54, запитанной от ВЛ 10 кВ №29-35 ПС Р-29, для технологического присоединения магазина, заявителя (Попов А.В.) по адресу: Ростовская область, Мясниковский р-н, х. Ленинаван, ул. Садовая д. 37 корп. А, к.н. № 61:25:0030202:3762 (ориентировочная протяженность ЛЭП - 0,006 км, ориентировочная мощность ТП – 25 кВА)</t>
  </si>
  <si>
    <t>Строительство ВЛ 0,4 кВ от ВЛ 0,4 кВ №3 КТП №562 ВЛ 10 кВ №4 ПС Покровская для технологического присоединения нежилого здания Заявителя (Кузьмина Л.А.) по адресу: Ростовская область, Неклиновский район, с. Покровское, СПК колхоз «Миусский, поле №110, к.н. 61:26:0600006:1385 (ориентировочная протяженность ЛЭП 0,18 км)</t>
  </si>
  <si>
    <t>Строительство ВЛ 0,4 кВ от ВЛ 0,4 кВ №2 КТП 10/0,4 кВ №266м ВЛ 10 кВ №2 ПС 110/35/10 кВ «Дарагановская» для технологического присоединения жилого дома Заявителя (Шевцов А.Н.) по адресу: Ростовская область, Неклиновский район, х. Дарагановка, ул. Северная, 46, к.н. 61:26:0180701:0386 (ориентировочная протяженность ЛЭП 0,11 км)</t>
  </si>
  <si>
    <t>Строительство ВЛ 0,4 кВ от РУ 0,4 кВ КТП №132 ВЛ 10 кВ №2 ПС 35/10 кВ «Троицкая» для технологического присоединения летней кухни Заявителя (Зеленковская Н.Л.) по адресу: Ростовская область, Неклиновский район, с. Троицкое, ул. Межевая, 34, к.н. 61:26:0010101:1533 (ориентировочная протяженность ЛЭП 0,39 км)</t>
  </si>
  <si>
    <t>Строительство ВЛ 0,4 кВ от РУ 0,4 кВ новой ТП 10/0,4 кВ; строительство ТП 10/0,4 кВ; строительство ВЛ 10 кВ от ВЛ 10 кВ №3 ПС 110/35/10 кВ «Синявская» до новой ТП 10/0,4 кВ для технологического присоединения садового участка заявителя Супрунова Ю.В. по адресу: Ростовская область, Неклиновский р-н, с. Приморка, СНТ «Металлург-5,6», уч. 1108, к.н. № 61:26:00505901:5 (ориентировочная протяженность ЛЭП – 0,28 км; ориентировочная мощность ТП – 25 кВА)</t>
  </si>
  <si>
    <t>Строительство ВЛ 0,4 кВ от РУ 0,4 кВ новой ТП 10/0,4 кВ, строительство ТП 10/0,4 кВ, строительство ВЛ 10 кВ от ВЛ 10 кВ №3 ПС 110/35/10 кВ Чалтырь, для технологического присоединения жилого дома заявителя Абеленцева И.Н. по адресу: Ростовская область, Мясниковский р-н, с. Чалтырь, ул. 15-я Линия 18а  к.н. № 61:25:0101243:581  (ориентировочная протяженность ЛЭП - 0,01 км, ориентировочная мощность ТП – 25 кВА)</t>
  </si>
  <si>
    <t>Строительство ВЛ 0,4 кВ от ВЛ 0,4кВ №7 ТП 6/0,4 кВ №32 по КЛ 6кВ №106 ПС Т-1, для технологического присоединения нежилого помещения магазин, заявителя (ООО «Катюша») по адресу: Ростовская область, Таганрог, пер. 2-й Кожевенный, 6  к.н. 61:58:03206:0002. (ориентировочная протяженность ЛЭП 0,14 км.)</t>
  </si>
  <si>
    <t>Строительство ВЛ 0,4 кВ от опоры по ВЛ 0,4 кВ №5 ТП 10/0,4 кВ №5-35 по ВЛ 10 кВ №3 ПС 110/35/10 кВ Чалтырь для технологического присоединения жилого дома Заявителя (Мартиросян Н.А.) по адресу: Ростовская область, Мясниковский район, с. Чалтырь, ул. Синявская, д. 44/а, 44/б, к.н.  №61:25:0101605:191, 61:25:0101605:190, (ориентировочная протяженность ЛЭП 0,05 км)</t>
  </si>
  <si>
    <t>Строительство ВЛ 0,4 кВ от опоры по ВЛ 0,4 кВ проектируемой по договору №61-1-20-00503929 от 17.03.2020 г ТП 10/0,4 кВ №7-12 по ВЛ 10 кВ №7 ПС 110/35/10 кВ Синявская, для технологического присоединения жилого дома Заявителя (Волокитина Е.В.) по адресу: Ростовская область, Мясниковский район, х. Хапры, ул. Луговая, д. 14, корп. А к.н. №61:25:0070201:544, (ориентировочная протяженность ЛЭП 0,02 км)</t>
  </si>
  <si>
    <t>Строительство ВЛ 0,4 кВ от ВЛ 0,4 кВ №2 КТП №41 ВЛ 10 кВ №3 ПС 110/10 кВ «Некрасовская» для технологического присоединения ВРУ 0,4 кВ Жилого дома Заявителя (Беляев В.Н.) по адресу: Ростовская область, Неклиновский район, с. Большая Неклиновка, ул. Школьная, 58, к.н. 61:26:0130101:120 (ориентировочная протяженность ЛЭП 0,075 км)</t>
  </si>
  <si>
    <t>Строительство ВЛ 0,4 кВ от опоры ВЛ 0,4 кВ №2 от КТП 10/0,4 кВ №108 по ВЛ 10 кВ №2 ПС 110/35/10 кВ Новиковская для технологического присоединения антенно-мачтового сооружения заявителя (Администрация Куйбышевского района) по адресу: 346950 Российская Федерация, Ростовская обл., р-н. Куйбышевский, примерно 75 метров на юг от с. Новиковка, пер. Юбилейный, д. 20, кадастровый номер земельного участка: 61:19:0050401:795 (ориентировочная протяжённость ЛЭП 0,21 км)</t>
  </si>
  <si>
    <t>Строительство ВЛ 0,4 кВ от РУ 0,4 кВ ТП 10/0,4 кВ, строительство ТП 10/0,4 кВ, строительство ВЛ 10 кВ от ВЛ 10 кВ №3 ПС 110/35/10 кВ Рябиновская для технологического присоединения жилого дома Заявителя: (ИП Сухоруков А.Н.), по адресу: Неклиновский район, х. Николаево-Отрадное, ул. Ленина, д.32, к.н. 61:26:0030301:130 (ориентировочная протяженность ЛЭП 0,03 км; мощность силового трансформатора – 160 кВА)</t>
  </si>
  <si>
    <t>Строительство ВЛ 0,4 кВ от РУ 0,4 кВ ТП 10/0,4 кВ, строительство ТП 10/0,4 кВ, строительство ВЛ 10 кВ от ВЛ 10 кВ №6 ПС 110/35/10 кВ Чалтырь для технологического присоединения нежилого помещения Заявителя: (ИП Барнагян В.С.), по адресу: Мясниковский район, с. Чалтырь, тер. Промзона 2, к.н. 61:25:0101330:59 (ориентировочная протяженность ЛЭП 0,02 км; мощность силового трансформатора – 25 кВА)</t>
  </si>
  <si>
    <t>Строительство ВЛ 0,4 кВ от РУ 0,4 кВ ТП 10/0,4 кВ №1-170 по ВЛ 10 кВ №1 ПС 110/35/10 кВ Чалтырь, для технологического присоединения жилого дома Заявителя (Аракелян Ю.Г.) по адресу: Ростовская область, Мясниковский район, х. Ленинаван, ул. Ленина, д. 88, корп. А, к.н. 61:25:0030202:4441, (ориентировочная протяженность ЛЭП 0,09 км)</t>
  </si>
  <si>
    <t>Строительство ВЛ 0,4 кВ от опоры по ВЛ 0,4 кВ №1 ТП 10/0,4 кВ №4-19 по ВЛ 10 кВ №1 ПС 110/35/10 кВ Чалтырь для технологического присоединения жилого дома Заявителя (Запечнова С.А.) по адресу: Ростовская область, Мясниковский район, х. Красный Крым, ул. Еловая, д.44 к.н. №61:25:0600401:13929 (ориентировочная протяженность ЛЭП 0,06 км)</t>
  </si>
  <si>
    <t>Строительство ВЛ 0,4 кВ от ВЛ 0,4 кВ №2 КТП 10/0,4 кВ №488м ВЛ 10 кВ №1 ПС 35/10/6 кВ «Гаевка» для технологического присоединения Заявителя (Ануфриева М.С.) по адресу: Ростовская область, Неклиновский р-н, с. Никольское, ул. Центральная, 60-б, к.н. 61:26:0180901:643 (ориентировочная протяженность ЛЭП 0,14 км)</t>
  </si>
  <si>
    <t>Строительство ВЛ 0,4 кВ от РУ 0,4 кВ ТП 10/0,4 кВ, строительство ТП 10/0,4 кВ, строительство ВЛ 10 кВ от ВЛ 10 кВ №6 ПС 110/10 кВ «Самбек» для технологического присоединения жилого дома Заявителя: (ИП Богохвалова Н.В.), по адресу: Ростовская область, г. Таганрог, ул. Михайловская, 78-г, к.н. 61:58:0007029:167 (ориентировочная протяженность ЛЭП 0,023 км; мощность силового трансформатора – 160 кВА)</t>
  </si>
  <si>
    <t>Строительство ВЛ 0,4 кВ от ВЛ 0,4 кВ №4 КТП 10/0,4 кВ №147 ВЛ 10 кВ №4 ПС 110/10 кВ «Самбек» для технологического присоединения Заявителя (ИП Ярош Э.С.) по адресу: Ростовская область, Неклиновский р-н, с. Самбек, ул. Центральная, 11-в, к.н. 61:26:0020101:5155 (ориентировочная протяженность ЛЭП 0,08 км)</t>
  </si>
  <si>
    <t>Строительство ВЛ 0,4 кВ от КТП 10/0,4 кВ №779 ВЛ 10 кВ №3 ПС 35/10 кВ «ГСКБ» для технологического присоединения жилого дома Заявителя (Тараненко А.А.) по адресу: Ростовская область, Неклиновский р-н, п. Дмитриадовка, ул. 3-я Степная, 10-б, к.н. 61:26:0180401:1636 (ориентировочная протяженность ЛЭП 0,047 км)</t>
  </si>
  <si>
    <t>Строительство ЛЭП 0,4 кВ от РУ 0,4 кВ ТП 10/0,4 кВ, строительство ТП 10/0,4 кВ, строительство ЛЭП 10 кВ от ВЛ 10 кВ №7 ПС 110/35/10 кВ Латоновская для технологического присоединения здания птичника Заявителя (ИП Болдырев В.Н.), по адресу: Матвеево-Курганский район, 751м на юго-восток от х. Лесной, к.н. 61:21:0600018:861 (ориентировочная протяженность ЛЭП 0,505 км; мощность силового трансформатора – 40 кВА)</t>
  </si>
  <si>
    <t>Строительство ВЛ 0,4 кВ от РУ 0,4 кВ ТП 10/0,4 кВ, строительство ТП 10/0,4 кВ, строительство ВЛ 10 кВ от ВЛ 10 кВ №4 ПС 35/10 кВ «ГСКБ» для технологического присоединения жилого дома Заявителя: (Венченко А.Г.), по адресу: Ростовская область, Неклиновский район, с. Петрушино, в границах хозяйства ОАО «Заря», к.н. 61:58:0600024:5290 (ориентировочная протяженность ЛЭП 0,01 км; мощность силового трансформатора – 25 кВА)</t>
  </si>
  <si>
    <t>Строительство ВЛ 0,4 кВ от РУ 0,4 кВ ТП 10/0,4 кВ, строительство ТП 10/0,4 кВ, строительство ВЛ 10 кВ от отпайки на ТП 10/0,4 кВ №1-37А по ВЛ 10 кВ №1 ПС 110/35/10 кВ Чалтырь для технологического присоединения Заявителя: (ИП Юшков Д.Г.) по адресу: х. Ленинакан, ул. Дзержинского, д. 2-д/е, к.н. 61:25:0030301:1269 (ориентировочная протяженность ЛЭП 0,02 км; мощность силового трансформатора – 160 кВА)</t>
  </si>
  <si>
    <t>Строительство ВЛ 0,4 кВ от опоры по ВЛ 0,4 кВ №1 ТП 10/0,4 кВ7-16 по ВЛ 10 кВ №7 ПС 110/35/10 кВ Синявская, для технологического присоединения жилого дома Заявителя (Дворяк О.В.) по адресу: Ростовская область, Мясниковский район, х. Недвиговка, ул. Октябрьская, д. 50/д, к.н. №61:25:0070101:4657 (ориентировочная протяженность ЛЭП 0,03 км)</t>
  </si>
  <si>
    <t>Строительство ВЛ 0,4 кВ от опоры по ВЛ 0,4 кВ №1 ТП 10/0,4 кВ №1-106 по ВЛ 10 кВ №1 ПС 110/35/10 кВ Чалтырь, для технологического присоединения жилых домов Заявителей (Однороб С.В., Шевченко Л.А.) по адресу: Ростовская область, Мясниковский район, х. Ленинаван, ул. Софийская, д. 3, 7, 7/а, к.н. №61:25:0600401:5539, 61:25:0600401:15382, 61:25:0600401:15383 (ориентировочная протяженность ЛЭП 0,06 км)</t>
  </si>
  <si>
    <t>Строительство ВЛ 0,23 кВ от ВЛ 0,4 кВ №1 КТП 10/0,4 кВ №643 ВЛ 10 кВ №1/3 ПС 110/35/10 кВ «Троицкая-1» для технологического присоединения жилого дома Заявителя (Пироженко Н.В.) по адресу: Ростовская область, Неклиновский р-н, х. Гаевка, ул. Кольцова, 53, к.н. 61:26:0110201:318 (ориентировочная протяженность ЛЭП 0,05 км)</t>
  </si>
  <si>
    <t>Строительство ВЛ 0,4 кВ от РУ 0,4 кВ ТП 10/0,4 кВ №20-3 по ВЛ 10 кВ № 20-04 от ПС 220/110/10 кВ Р-20 для технологического присоединения нежилого помещения Заявителя: (ИП Самсонова К.И.) по адресу: Ростовская обл. Мясниковский р-н, х. Калинин, ул. Рябиновая, д. 2, к.н. 61:25:0601001:3417 (ориентировочная протяженность ЛЭП - 0,35 км)</t>
  </si>
  <si>
    <t>Строительство ВЛ 0,4 кВ от РУ 0,4 кВ ТП 10/0,4 кВ, строительство ТП 10/0,4 кВ, строительство ВЛ 10 кВ от ВЛ 10 кВ №1 ПС 110/35/10 кВ Чалтырь запитанной от ВЛ 10 кВ №29-35 ПС 110/10 кВ Р-29, для технологического присоединения нежилого здания Заявителя: (ИП Шабанян М.С.), по адресу: Мясниковский район, Краснокрымское сельское поселение северо-восточная окраина хутора Ленинаван, уч. 7/а, к.н. 61:25:0600401:13706 (ориентировочная протяженность ЛЭП 0,085 км; мощность силового трансформатора – 100 кВА)</t>
  </si>
  <si>
    <t>Строительство ВЛ 0,4 кВ от ВЛ 0,4 кВ №1 ЗТП 10/0,4 кВ №15 ВЛ 10 кВ №2 ПС 35/10 кВ «Троицкая» для технологического присоединения жилого дома Заявителя (Толкачев В.В.) по адресу: Ростовская область, Неклиновский район, с. Троицкое, ул. Лермонтова, 2-В, к.н. 61:26:0010101:4677 (ориентировочная протяженность ЛЭП 0,09 км)</t>
  </si>
  <si>
    <t>Строительство ВЛ 0,4 кВ от ВЛ 0,4 кВ, проектируемой по договору № 61-1-20-00540611 от 02.11.2020 г. с ИП Аракелян К.К., для технологического присоединения объекта сельскохозяйственного производства Заявителя (ИП Сарксян Р.А.) по адресу: Ростовская область, Неклиновский район, с. Троицкое, 1,6 км южнее с. Троицкое, к.н. 61:26:0600014:189 (ориентировочная протяженность ЛЭП 0,27 км)</t>
  </si>
  <si>
    <t>Строительство ВЛ 0,4 кВ от ВЛ 0,4 кВ №1 КТП 10/0,4 кВ №274м ВЛ 10 кВ №4 ПС 35/10 кВ «ГСКБ» для технологического присоединения жилого дома Заявителя (Слепухина В.А.) по адресу: Ростовская область, Неклиновский район, с. Новобессергеневка, ул. Энгельса, 13А, к.н. 61:26:0180101:7870 (ориентировочная протяженность ЛЭП 0,065 км)</t>
  </si>
  <si>
    <t>Строительство ВЛ 0,4 кВ от новой ТП 10/0,4 кВ, строительство ТП 10/0,4 кВ, строительство ВЛ 10 кВ от ВЛ 10 кВ №5 ПС 35/10 кВ «Куйбышево-1», для технологического присоединения объектов Заявителей (Воронина Н.Г., ИП Измайлова А.И., МУП «Водоканал» Куйбышевского района) расположенных: Ростовская обл., Куйбышевский район, х.Свободный к.н. 61:19:0600004:534, 61:19:0600004:446, 61:19:0600004:254 (ориентировочная протяженность ЛЭП 0,29 км; мощность силового трансформатора 63 кВА)</t>
  </si>
  <si>
    <t>Строительство ВЛ 0,4 кВ от КТП №55 по ВЛ 10 кВ №7 ПС Куйбышево-1 для технологического присоединения энергопринимающих устройств Заявителя (Юдин Е.И.) в Куйбышевском районе Ростовской области (ориентировочная протяжённость ЛЭП 0,26 км)</t>
  </si>
  <si>
    <t>Строительство ВЛ 0,4 кВ от опоры по ВЛ 0,4 кВ №2 ТП 10/0,4 кВ №7-13 по ВЛ 10 кВ №7 ПС 110/35/10 кВ Синявская для технологического присоединения жилого дома Заявителя (Половинкин Г.И.) по адресу: Ростовская область, Мясниковский район, х. Хапры, пер. Ромашка, д. 8, к.н. №61:25:0070201:2360 (ориентировочная протяженность ЛЭП 0,23 км)</t>
  </si>
  <si>
    <t>Строительство ВЛ 0,4 кВ от ВЛ 0,4 кВ по договору № 61-1-21-00578565 от 05.06.2021 г., для технологического присоединения жилого дома Заявителя (Парамонова О.А.) по адресу: Ростовская область, Неклиновский район, х. Дарагановка, ул. Северная, д.62 к.н. 61:26:0180701:385 (ориентировочная протяженность ЛЭП 0,04 км)</t>
  </si>
  <si>
    <t>Строительство ВЛ 0,4 кВ от РУ 0,4 кВ ТП 10/0,4 кВ № 4-28 по ВЛ 10 кВ № 4 ПС 110/35/10 кВ Чалтырь, для технологического присоединения ангара Заявителя: (ИП Бабиян М. О.) по адресу: Ростовская область Мясниковский район, с. Крым, ул. 2-ая линия, д. 24, к.н. 61:25:0600101:135  (ориентировочная протяжённость ЛЭП 0,24 км)</t>
  </si>
  <si>
    <t>Строительство ВЛИ 0,4 кВ от РУ 0,4 кВ ТП 10/0,4 кВ № 13-11 по ВЛ 10 кВ № 13 ПС 110/35/10 кВ Чалтырь для технологического присоединения склада строительных материалов Заявителя (ИП Бабиян С. С.) по адресу: Ростовская область, Мясниковский район, с. Крым, ул. Большесальская, д. 28/5  (ориентировочная протяжённость ЛЭП 0,22 км)</t>
  </si>
  <si>
    <t>Строительство ВЛ 0,4 кВ от опоры по ВЛ 0,4 кВ №1 ТП 10/0,4 кВ №6-26 по ВЛ 10 кВ №6 ПС 110/35/10 кВ Чалтырь, для технологического присоединения жилого дома Заявителя (Хлгатян Л.А.) по адресу: Ростовская область, Мясниковский район, с. Чалтырь, ул. Кристостуряна, д. 15/г, к.н. №61:25:0101421:136 (ориентировочная протяженность ЛЭП 0,21 км)</t>
  </si>
  <si>
    <t>Строительство ВЛ 0,4 кВ от РУ 0,4 кВ ТП 10/0,4 кВ проектируемой по договору № 61-1-18-00413589, для технологического присоединения нежилого помещения заявителя: (Гирагосян К.Г.) по адресу: Ростовская область, Мясниковский район, с.  Крым, ул. Восточная д. 7-м. к.н. 61:25:0600201:557 (ориентировочная протяженность ЛЭП 0,19 км)</t>
  </si>
  <si>
    <t>Строительство ВЛ 0,4 кВ от ВЛ 0,4 кВ №1 КТП №232 ВЛ 10 кВ №5/3 ПС 110/35/10 кВ Троицкая-1 для технологического присоединения нежилого здания Заявителя (ИП Кириченко Е.Н.) по адресу: Ростовская область, Неклиновский район, с. Троицкое, СПК колхоз «Россия», 140 метров севернее с. Николаевка, к.н. 61:26:0600014:1775 (ориентировочная протяженность ЛЭП 0,22 км)</t>
  </si>
  <si>
    <t>Строительство ВЛ 0,4 кВ от ВЛ 0,4 кВ №2 КТП 10/0,4 кВ №229 ВЛ 10 кВ №5 ПС 110/10 кВ «Лиманная» для технологического присоединения жилого дома Заявителя (Махиня В.С.) по адресу: Ростовская область, Неклиновский район, п. Дарьевка, пер. Дружбы, 8, к.н. 61:26:0090901:458 (ориентировочная протяженность ЛЭП 0,35 км)</t>
  </si>
  <si>
    <t>Строительство ВЛ 0,4 кВ от ВЛ 0,4 кВ №5 ТП 6/0,4 кВ №12 по КЛ-6 кВ №1702 от ПС-110/6 кВ Т-17 для технологического присоединения здания Краеведческого музея Заявителя (ГБУК РО «Таганрогский государственный литературный и историко-архитектурный музей-заповедник») по адресу: Ростовская область, г. Таганрог, ул. Фрунзе, д.41/пер. А. Глушко, д.13, к.н. 61:58:0001110:143 (ориентировочная протяженность ЛЭП 0,26 км)</t>
  </si>
  <si>
    <t>Строительство ВЛ 0,4 кВ от ВЛ 0,4 кВ №1 КТП 10/0,4 кВ №118м ВЛ 10 кВ №2 ПС 110/35/10 кВ «Ефремовская» для технологического присоединения жилого дома Заявителя (Казарян А.С.) по адресу: Ростовская область, Неклиновский район, х. Атамановка, ул. Свободы, 32, к.н. 61:26:0170201:100 (ориентировочная протяженность ЛЭП 0,57 км)</t>
  </si>
  <si>
    <t>Строительство ВЛ 0,4 кВ от ВЛ 0,4 кВ №1 КТП 10/0,4 кВ №70м ВЛ 10 кВ №3 ПС 110/35/10 кВ «Рябиновская» для технологического присоединения хозяйственных строений Заявителя (ГКУС РФ «ПС РО») по адресу: Ростовская область, Неклиновский район, с. Натальевка, ул. Чехова, 2-ж, к.н. 61:26:0000000:6539 (ориентировочная протяженность ЛЭП 0,53 км)</t>
  </si>
  <si>
    <t>Строительство ВЛ 0,4 кВ от ВЛ 0,4 кВ №1 КТП 10/0,4 кВ №580 ВЛ 10 кВ №5 ПС 110/35/10 кВ «Самбек» для технологического присоединения жилого дома Заявителя (Пузанов А.Ю.) по адресу: Ростовская область, Неклиновский район, с. Бессергеновка, ул. К.Зуева, 15, к.н. 61:26:0040201:2936 (ориентировочная протяженность ЛЭП 0,31 км)</t>
  </si>
  <si>
    <t>Строительство ВЛ 0,4 кВ от новой ТП 10/0,4 кВ, строительство ТП 10/0,4 кВ, строительство ВЛ 10 кВ от ВЛ 10 кВ №1 ПС 35/10 кВ «Таганрогская», для технологического присоединения жилых домов Заявителей (Литвишко С.А., Тихонов Ю.В., Гуркевич С.В.) по адресу: Ростовская область, Неклиновский район, с. Весело-Вознесенка, ул. Пограничная, 34, 38, 38-б, к.н. 61:26:0100101:4721, 61:26:0100101:5080, 61:26:0100101:5082 (ориентировочная протяженность ЛЭП 0,49 км; мощность силового трансформатора 160 кВА)</t>
  </si>
  <si>
    <t>Строительство ВЛ 0,4 кВ от новой ТП 10/0,4 кВ, строительство ТП 10/0,4 кВ, строительство ВЛ 10 кВ от ВЛ 10 кВ №5/3 ПС 110/35/10 кВ «Троицкая-1», для технологического присоединения ЛЭП 0,4 кВ Заявителя (СНТ «Восход НИИ связи») по адресу: Ростовская область, г. Таганрог, шоссе Николаевское, 7-2 (ориентировочная протяженность ЛЭП 0,02 км; мощность силового трансформатора 160 кВА)</t>
  </si>
  <si>
    <t>Строительство ВЛ 0,4 кВ от РУ 0,4 кВ ТП 10/0,4 кВ, строительство ТП 10/0,4 кВ, строительство ВЛ 10 кВ от ВЛ 10 кВ №5 ПС 110/35/10 кВ Чалтырь для технологического присоединения ледового катка Заявителя: (СПК-колхоз имени С.Г. Шаумяна), по адресу: Мясниковский район, с. Чалтырь, ул. Синявская, уч. 29, к.н. 61:25:0101523:42 (ориентировочная протяженность ЛЭП 0,03 км; мощность силового трансформатора – 160 кВА)</t>
  </si>
  <si>
    <t>Строительство ВЛ 0,4 кВ от новой ТП 10/0,4 кВ, строительство ТП 10/0,4 кВ, строительство ВЛ 10 кВ от отпайки на ТП-10/0,4кв №329(А) по ВЛ 10 кВ №3 ПС 35/10 кВ Колесниковская, для технологического присоединения ЛЭП 0,4 кВ Заявителя (ЗАО «Матвеев-Курганагрохимсервис») по адресу: Ростовская область, Матвеево-Курганский район, п. Матвеев Курган, ул. Лунная, д. 6, к.н. 61:21:0010152:43 (ориентировочная протяженность ЛЭП 0,285 км; мощность силового трансформатора 40 кВА)</t>
  </si>
  <si>
    <t>Строительство ВЛ 0,4 кВ от РУ 0,4 кВ ТП 10/0,4 кВ проектируемой по договору № 61-1-18-00408779, для технологического присоединения жилого дома заявителя: (Кузнецов А.В.) по адресу: Ростовская область, Мясниковский район, х. Ленинаван ул. Садовая, д. 11/11 к.н. 61:25:0600401:11284 (ориентировочная протяженность ЛЭП 0,18 км)</t>
  </si>
  <si>
    <t xml:space="preserve">Строительство автономного источника питания для обеспечения II категории надежности электроснабжения заявителя ФГУП «РТРС» «Ростовский ОРТПЦ» по адресу: Р.О. Матвеево-Курганский р-н, п. Матвеев Курган, ул. Комсомольская, в 3 км. северо-восточнее п. Матвеев Курган. к.н: 61:21:0600001:132. (ориентировочная мощность автономного источника питания – не менее 45 кВт) </t>
  </si>
  <si>
    <t xml:space="preserve">Строительство автономного источника питания для обеспечения II категории надежности электроснабжения заявителя ФГУП «РТРС» филиал «Ростовский ОРТПЦ» по адресу: Ростовская область, Неклиновский р-н, с. Ефремовка, в 5 км на северо-запад от с. Ефремовка, к.н: 61:26:0600002:361. (ориентировочная мощность автономного источника питания – не менее 22 кВт) </t>
  </si>
  <si>
    <t>Строительство ВЛ 0,4 кВ от новой ТП 10/0,4 кВ, строительство ТП 10/0,4 кВ, строительство ВЛ 10 кВ от ВЛ 10 кВ №20-04 ПС 220/110/10 кВ «Р-20», для технологического присоединения хоз. построек Заявителей (Наноян К.А., Тер-Багдасарян Х.О., Тер-Багдасарян Ш.А.) по адресу: Ростовская область, Мясниковский район, земли колхоза имени Мясникяна, к.н. 61:25:0601001:3349, 61:25:0000000:6154, 61:25:0000000:6155 (ориентировочная протяженность ЛЭП 0,18 км; мощность силового трансформатора 0,063 МВА)</t>
  </si>
  <si>
    <t>Строительство BЛ 0,4 кВ от новой ТП 10/0,4 кВ, строительство ТП 10/0,4 кВ, строительство ВЛ 10 кВ от ВЛ 10 кВ №2 ПС 110/35/10 кВ «Дарагановская», для технологического присоединения жилого дома Заявителя (Мантаржиев O.K.) по адресу: Ростовская область, Неклиновский район, СГЖ колхоз «Приазовье», к.н. 61:26:0600024:863 (ориентировочная протяженность ЛЭП 2,05 км; мощность силового трансформатора 25 кВА)</t>
  </si>
  <si>
    <t>Строительство ВЛ 0,4 кВ от РУ 0,4 кВ новой ТП 10/0,4 кВ, строительство новой ТП 10/0,4 кВ, строительство ВЛ 10 кВ от ВЛ 10 кВ  №5 ПС 110/35/10 кВ Чалтырь, для технологического присоединения станции технического обслуживания автомобилей заявителя  Сарабашьян С.А.. по адресу: Ростовская область, Мясниковский р-н, с. Чалтырь, ул. Красноармейская 2д  к.н. № 61:25:0101217:1  (ориентировочная протяженность ЛЭП - 0,075 км, ориентировочная мощность ТП – 25 кВА)</t>
  </si>
  <si>
    <t>Строительство ВЛ 0,4 кВ от РУ 0,4 кВ ТП 10/0,4 кВ, строительство ТП 10/0,4 кВ, строительство ВЛ 10 кВ от ВЛ 10 кВ №7 ПС35/10 кВ Б.Салы, для технологического присоединения жилого дома Заявителя: (Смоян Г.С.), по адресу: Мясниковский район, с. Большие Салы, ул. Ленинская 2-я, д12 (ориентировочная протяженность ЛЭП 0,08 км; мощность силового трансформатора – 25 кВА)</t>
  </si>
  <si>
    <t>Строительство ВЛ 0,4 кВ от РУ 0,4 кВ ТП 10/0,4 кВ, строительство ТП 10/0,4 кВ, строительство ВЛ 10 кВ от ВЛ 10 кВ №1 ПС110/35/10 кВ Чалтырь, для технологического присоединения складского помещения Заявителя: ( ИП Беляков В.В.), по адресу: Мясниковский район, 1-й км а/д Ростов-на-Дону – Новошахтинск, участок № 1/6 , (ориентировочная протяженность ЛЭП 0,03 км; мощность силового трансформатора –100 кВА)</t>
  </si>
  <si>
    <t>Строительство ВЛ 0,4 кВ от РУ 0,4 кВ КТП 10/0,4 кВ №846 ВЛ 10 кВ №1/3 ПС 110/35/10 кВ «Троицкая-1» для технологического присоединения нежилого помещения Заявителя (ИП Петрусь А.П.) по адресу: Ростовская область, Неклиновский район, с. Николаевка, к.н. 61:26:0600014:2266 (ориентировочная протяженность ЛЭП 0,275 км)</t>
  </si>
  <si>
    <t>Строительство ВЛ 0,4 кВ от новой ТП 10/0,4 кВ, строительство ТП 10/0,4 кВ, строительство ВЛ 10 кВ от ВЛ 10 кВ №5/3 ПС 110/35/10 кВ «Троицкая-1», для технологического присоединения нежилой застройки Заявителя (ИП Моор Д.В.) по адресу: Ростовская область, г. Таганрог, Николаевское шоссе, 30-а, к.н. 61:58:0005268:16 (ориентировочная протяженность ЛЭП 0,02 км; мощность силового трансформатора 160 кВА)</t>
  </si>
  <si>
    <t>Строительство ВЛ 0,4 кВ от РУ 0,4 кВ ТП 10/0,4 кВ, строительство ТП 10/0,4 кВ, строительство ВЛ 10 кВ от ВЛ 10 кВ №4 ПС 35/10 кВ Б.Салы, для технологического присоединения магазина Заявителя: (ИП Хатламаджиян М.А.), по адресу: Мясниковский район, с. Большие Салы, ул. Красноармейская, д. 19, к.н 61:25:0040101:350 (ориентировочная протяженность ЛЭП 0,02 км; мощность силового трансформатора – 160 кВА)</t>
  </si>
  <si>
    <t>Строительство ВЛ 0,4 кВ от новой ТП 10/0,4 кВ, строительство ТП 10/0,4 кВ, строительство ВЛ 10 кВ от ВЛ 10 кВ №4 ПС 35/10 кВ «ГСКБ», для технологического присоединения нежилого здания Заявителя (ИП Петрусь А.П.) по адресу: Ростовская область, Неклиновский район, с. Петрушино, х-во ОАО «Заря», к.н. 61:26:0600024:4753 (ориентировочная протяженность ЛЭП 0,025 км; мощность силового трансформатора 63 кВА)</t>
  </si>
  <si>
    <t>Строительство ВЛ 0,4 кВ от РУ 0,4 кВ ТП 10/0,4 кВ, строительство ТП 10/0,4 кВ, строительство ВЛ 10 кВ от опоры отпайки на ТП 10/0,4 кВ №1-26А по ВЛ 10 кВ №6 ПС 35/10 кВ Б. Салы, для технологического присоединения склада Заявителя: (ООО «БЕТОНСНАБ»), по адресу: Мясниковский район, с. Большие Салы, южная окраина, уч. 3/1, к.н 61:25:0600501:2189 (ориентировочная протяженность ЛЭП 0,09 км; мощность силового трансформатора – 0,16 МВА)</t>
  </si>
  <si>
    <t xml:space="preserve">Строительство ВЛ 0,4 кВ от новой ТП 10/0,4 кВ, строительство ТП 10/0,4 кВ, строительство ВЛ 10 кВ от ВЛ 10 кВ №1/3 ПС 110/35/10 кВ «Троицкая-1», для технологического присоединения нежилого здания Заявителя (ИП Мизерный И.А.) по адресу: Ростовская область, Неклиновский район, с. Троицкое, х-во СПК к-з «Россия», Поле №2, к.н. 61:26:0600014:1468 (ориентировочная протяженность ЛЭП 0,15 км; мощность силового трансформатора 0,16 МВА) </t>
  </si>
  <si>
    <t>Строительство ВЛ 0,4 кВ от новой ТП 10/0,4 кВ, строительство ТП 10/0,4 кВ, строительство ВЛ 10 кВ от отпайки на ТП 10/0,4 кВ №1-95 по ВЛ 10 кВ №1 ПС 110/35/10 кВ Чалтырь, для технологического присоединения производственного здания Заявителя (ИП Кюрджиев Д.Д.)  по адресу: Ростовская область, Мясниковский район, х. Ленинакан, пер. Содружества, д. 6/2, к.н. 61:25:0600401:16718 (ориентировочная протяженность ЛЭП 0,02 км; мощность силового трансформатора 0,1 МВА)</t>
  </si>
  <si>
    <t>Строительство  ВЛ-0,4 кВ от РУ 0,4 кВ КТП 10/0,4 кВ №851 ВЛ 10 кВ №5/3 ПС 110/35/10 кВ "Троицкая-1" для технологического присоединения жилого дома Заявителя (Гаджиев Р.А.) по адресу: Ростовская область, Неклиновский район, с. Николаевка, ул. Пушкина, д. 110, к.н. 61:26:0600014:4228  (ориентировочная протяженность ЛЭП 0,21 км)</t>
  </si>
  <si>
    <t>Строительство ВЛ 0,4 кВ от опоры проектируемой ВЛ 0,4 кВ по договору №61-1-21-00569179 от 06.04.2021г. от ВЛ 0,4 кВ №3 КТП 10/0,4 кВ №215АМ ВЛ 10 кВ №2 ПС 110/35/10 кВ «Дарагановская» для технологического присоединения жилого дома Заявителя (Смирнов А.А.) по адресу: Ростовская область, Неклиновский район, х. Дарагановка, ул. Прохладная,  д.21, к.н. 61:26:0180701:475 (ориентировочная протяженность ЛЭП 0,250 км)</t>
  </si>
  <si>
    <t>«Строительство ВЛ 0,4 кВ от BЛ 0,4 кВ №1 МТП 10/0,4 кВ №264м ВЛ 10 кВ №3 ПС 110/35/10 кВ «Рябиновская» для технологического присоединения жилого дома Заявителя (Матиев П.О.) по адресу: Ростовская область, Неклиновский район, с. Николаево-Отрадное, ул. Ленина, Д.2-Г, к.н. 61:26:0030301:116 (ориентировочная протяженность ЛЭП 0,210 км)»</t>
  </si>
  <si>
    <t>Строительство BЛ 0,4 кВ от BЛ 0,4 кВ №5 ЗТП 10/0,4 кВ №82 ВЛ 10 кВ №4 ПС 110/10 кВ «Лиманная» для технологического присоединения жилого дома Заявителя (Меняйленко С.В.) по адресу: Ростовская область, Неклиновский район, п. Сухосарматка, ул. Лесная, д. 35-Б, к.н. 61:26:0600013:1560 (ориентировочная протяженность ЛЭП 0,240 км)</t>
  </si>
  <si>
    <t>Строительство ВЛ 0,4 кВ от ВЛ 0,4 кВ №1 КТП 10/0,4 кВ №3/17 ВЛ 10 кВ №3 ПС 110/35/10 кВ «Синявская» для технологического присоединения объекта туристической отрасли Заявителя (Симонян Т.В.) по адресу: Ростовская область, Неклиновский район, х. Мержаново, пер. Дачный, д. 1-В, к.н. 61:26:0600016:1017 (ориентировочная протяженность ЛЭП 0,210 км)</t>
  </si>
  <si>
    <t>Строительство ВЛ 0,4 кВ от ВЛ 0,4 кВ № 1 КТП 10/0,4 кВ № 662 ВЛ 10 кВ № 1/3 ПС 110/358/10 кВ "Троицкая-1" для технологического присоединения жилого дома Заявителя (Котельникова Н. П.) по адресу: Ростовская область, Неклиновский район, с. Николаевка, ул. Юности, 4, к.н. № 61:26:0110101:443   (ориентировочная протяжённость ЛЭП 0,34 км)</t>
  </si>
  <si>
    <t>Строительство ВЛ 0,4 кВ от новой ТП 10/0,4 кВ, строительство ТП 10/0,4 кВ, строительство ВЛ 10 кВ от ВЛ 10 кВ №8 ПС 35/10 кВ «Куйбышево-1», для технологического присоединения объекта Заявителя Муниципальное бюджетное образовательное учреждение дополнительного образования Детско-юношеская спортивная школа, расположенного: Ростовская обл., Куйбышевский район, с. Куйбышево, ул. Пролетарская 7а к.н. 61:19:0010160:157, (ориентировочная протяженность ЛЭП 1,75 км; мощность силового трансформатора 0,16 МВА)</t>
  </si>
  <si>
    <t>Строительство ВЛ 0,4 кВ от новой ТП 10/0,4 кВ, строительство ТП 10/0,4 кВ, строительство ВЛ 10 кВ от ВЛ 10 кВ №1 ПС 110/35/10 кВ Чалтырь для технологического присоединения жилых домов заявителей (Таран Н.И., Явруян С.А.) по адресу: Ростовская область, Мясниковский район, х. Ленинаван ул. Мясникяна, д.№32/2, №32/5, ул. Кавказская, д.№41 (ориентировочная протяженность ЛЭП 0,52 км; мощность силового трансформатора 63 кВА)</t>
  </si>
  <si>
    <t>Строительство  ВЛ-0,4 кВ от ВЛ-0,4 кВ №2 КТП 10/0,4 кВ №522 ВЛ-10 кВ №1/3 ПС 110/35/10 кВ "Троицкая-1" для технологического присоединения жилого дома Заявителя (Кашинсков Н.А.) по адресу: Ростовская область, Неклиновский район, с. Николаевка, ДНТ "Коммунальник", д. 86, к.н. 61:26:0513701:406  (ориентировочная протяженность ЛЭП 0,410 км)</t>
  </si>
  <si>
    <t>«Строительство ВЛ 0,4 кВ от ВЛ 0,4 кВ №3 КТП 10/0,4 кВ №668 ВЛ 10 кВ №1/3 ПС 110/35/10 кВ «Троицкая-1» для технологического присоединения нежилого здания заявителя ИП Григорян А.Л. по адресу: Ростовская область, Неклиновский район, с. Николаевка, ул. Ленина, 309т, к.н. 61:26:0600014:1831 (ориентировочная протяженность ЛЭП 0,15 км)»</t>
  </si>
  <si>
    <t>Строительство ВЛ 0,4 кВ от ВЛ 0,4 кВ №2 МТП 10/0,4 кВ №21м ВЛ 10 кВ №4 ПС 35/10 кВ «Русский Колодец», для технологического присоединения подсобного хозяйства заявителя Полянский А.И. по адресу: Ростовская область, Неклиновский р-н, х. Веселый, ул. Пионерская, 9 А, к.н. № 61:26:0070101:2312 (ориентировочная протяженность ЛЭП - 0,05 км)</t>
  </si>
  <si>
    <t>Строительство ВЛ 0,4 кВ от ВЛ 0,4 кВ №3 КТП 10/0,4 кВ №580 ВЛ 10 кВ №5 ПС 110/10 кВ «Самбек» для технологического присоединения частного жилого дома заявителя Ульянова В.С. по адресу: Ростовская область, Неклиновский район, с. Бессергеновка, ул. Цветочная, 86, к.н. 61:26:0600015:872 (ориентировочная протяженность ЛЭП 0,15 км)</t>
  </si>
  <si>
    <t>Строительство ВЛ 0,4 кВ от ВЛ 0,4 кВ №4 от ТП 6/0,4 кВ №26 по КЛ 6 кВ №11 ПС 110/6 Т-5 для технологического присоединения жилого дома заявителя Мирабян А.В. по адресу: Ростовская область, г. Таганрог, ул. Октябрьская, д. 107 к.н. 61:58:0002191:99 (ориентировочная протяженность ЛЭП 0,285 км)</t>
  </si>
  <si>
    <t>Строительство ВЛ 0,4 кВ от ВЛ 0,4 кВ №1 КТП 10/0,4 кВ №688 ВЛ 10 кВ №4 ПС 110/35/10 кВ «Синявская» для технологического присоединения личного подсобного хозяйства заявителя Громовой С.А. по адресу: Ростовская область, Неклиновский район, с. Синявское, ул. Шапошникова, 74, к.н.61:26:0060101:7647 (ориентировочная протяженность ЛЭП 0,12 км)</t>
  </si>
  <si>
    <t>Строительство ВЛ 0,4 кВ от ВЛ 0,4 кВ №1 ТП 10/0,4 кВ №1-23 по ВЛ 10 кВ №1 ПС 110/35/10 кВ «Чалтырь» для технологического присоединения жилого дома заявителя Испирян Е.М. по адресу: Ростовская область, Мясниковский район, х. Красный Крым ул. Шаумяна, 43/а  к.н. 61:25:0030101:1613   (ориентировочная протяженность ЛЭП 0,1 км)</t>
  </si>
  <si>
    <t>Строительство ВЛ 0,4 кВ от ВЛ 0,4 кВ №1 КТП 10/0,4 кВ №179 ВЛ 10 кВ №8 ПС 35/10 кВ «Покровская» для электроснабжения нежилого здания заявителя (Пасечник Ю.И.) по адресу: Ростовская обл., Неклиновский район, с. Покровское, ул. Олега Кошевого, 7-В, к.н. 61:26:0050139:104 (ориентировочная протяженность ЛЭП 0,065 км)</t>
  </si>
  <si>
    <t>Строительство ВЛ 0,4 кВ от опоры по ВЛ 0,4 кВ №3 ТП 10/0,4 кВ №3-2 по ВЛ 10 кВ №3 ПС 110/35/10 кВ Чалтырь, для технологического присоединения жилого дома Заявителя (Анненко Л.В.) по адресу: Ростовская область, Мясниковский район, с. Чалтырь, ул. Западная, д.87, корп. А, к.н. №61:25:0101602:643, (ориентировочная протяженность ЛЭП 0,05 км)</t>
  </si>
  <si>
    <t>Строительство ВЛ 0,4 кВ от РУ 0,4 кВ ТП 10/0,4 кВ №1-195 по ВЛ 10 кВ №1 ПС 110/35/10 кВ Чалтырь, для технологического присоединения склада Заявителя (ООО «Юг-строй») по адресу: Ростовская область, Мясниковский район, х. Ленинакан, пер. Содружества, д. 6, к.н. №61:25:0600401:14694, (ориентировочная протяженность ЛЭП 0,07 км)</t>
  </si>
  <si>
    <t>Строительство ВЛ 0,4 кВ от опоры по ВЛ 0,4 кВ №1 КТП 10/0,4 кВ №29 по ВЛ 10 кВ №4 ПС 35/10 кВ Б-Кирсановская, для технологического присоединения БССС № 2737 Заявителя (ООО «Т2 Мобайл») по адресу: Ростовская область, М-Курганский район, с. Кульбаково, 100 м на север от пер. Школьный, д.31 к.н. № 61:21:0110401:1084, (ориентировочная протяженность ВЛ 0,1 км)</t>
  </si>
  <si>
    <t>Строительство ВЛ 0,4 кВ от ВЛ 0,4 кВ №1 КТП 10/0,4 кВ №3/3 ВЛ 10 кВ №3 ПС 110/35/10 кВ «Синявская» для технологического присоединения жилого дома Заявителя (Улыбышева Е.Г.) по адресу: Ростовская область, Неклиновский район, х. Морской Чулек, ул. Красногвардейская, 17-а, к.н. 61:26:0060201:2044 (ориентировочная протяженность ЛЭП 0,05 км)</t>
  </si>
  <si>
    <t>Строительство ВЛ 0,4 кВ от ВЛ 0,4 кВ №5 КТП 10/0,4 кВ №286 ВЛ 10 кВ №2 ПС 35/10 кВ «Троицкая» для технологического присоединения жилого дома Заявителя (Цыганенко Е.В.) по адресу: Ростовская область, Неклиновский район, с. Троицкое, ул. Мельничная, 53, к.н. 61:26:0600014:638 (ориентировочная протяженность ЛЭП 0,07 км)</t>
  </si>
  <si>
    <t>Строительство ВЛ 0,4 кВ от ВЛ 0,4 кВ №2 ТП 10/0,4 кВ №7-1 по ВЛ 10 кВ №7 ПС 35/10 кВ Петровская, для технологического присоединения Заявителей: (ИП Литвинцов Н.А., Литвинцов А.А.) по адресу: Ростовская обл. Мясниковский р-н, сл. Петровка, ул. Октябрьская (ориентировочная протяженность ЛЭП -0,12 км)</t>
  </si>
  <si>
    <t>Строительство ВЛ 0,4 кВ от ВЛ 0,4 кВ №2 ЗТП 10/0,4 кВ №14 ВЛ 10 кВ №2 ПС 35/10 кВ «Троицкая» для технологического присоединения магазина Заявителя (ИП Демиденко О.В.) по адресу: Ростовская область, Неклиновский район, с. Троицкое, ул. Ленина, 120-Ж, к.н. 61:26:0010101:6133 (ориентировочная протяженность ЛЭП 0,055 км)</t>
  </si>
  <si>
    <t>Строительство ВЛ 0,4 кВ от опоры по ВЛ 0,4 кВ №2 ТП 10/0,4 кВ №7-13 по ВЛ 10 кВ №7 ПС 110/35/10 кВ Синявская для технологического присоединения жилого дома Заявителя (Шакула В.В.) по адресу: Ростовская область, Мясниковский район, х. Хапры, ул. Гагарина, д. 18, к.н. №61:25:0070201:152 (ориентировочная протяженность ЛЭП 0,04 км)</t>
  </si>
  <si>
    <t>Строительство ВЛ 0,4 кВ от опоры по ВЛ 0,4 кВ №1 ТП 10/0,4 кВ №1-126А по ВЛ 10 кВ №1 ПС 110/35/10 кВ Чалтырь, запитанной от ВЛ 10 кВ №29-35 ПС Р-29 для технологического присоединения жилого дома Заявителя (Гулиев Р.В.) по адресу: Ростовская область, Мясниковский район, х. Ленинаван, ул. Майская, д. 11, к.н. №61:25:0030202:4396 (ориентировочная протяженность ЛЭП 0,06 км)</t>
  </si>
  <si>
    <t>Строительство ВЛ 0,4 кВ от опоры по ВЛ 0,4 кВ №1 ТП 10/0,4 кВ №2-27 по ВЛ 10 кВ №2 ПС 110/35/10 кВ Чалтырь для технологического присоединения жилого дома Заявителя (Батыгян К.Л.) по адресу: Ростовская область, Мясниковский район, с. Крым, ул. Григора Бабияна, д. 48, к.н. №61:25:0600201:822 (ориентировочная протяженность ЛЭП 0,025 км)</t>
  </si>
  <si>
    <t>Строительство ВЛ 0,4 кВ от ВЛИ 0,4 кВ №1 ТП 10/0,4 кВ №6-6 по ВЛ 10 кВ №6 ПС 35/10 кВ Б.Салы, для технологического присоединения склада Заявителя: (ИП Арзуманян А.А.) по адресу: Ростовская обл. Мясниковский р-н, с. Большие Салы, ул. Крымская, д 17 к.н. 61:25:0040101:5710 (ориентировочная протяженность ЛЭП -0,08 км)</t>
  </si>
  <si>
    <t>Строительство ВЛ 0,4 кВ от опоры отпайки на ТП 10/0,4 кВ №4-40 по ВЛ 10 кВ №4 ПС 110/35/10 кВ Чалтырь, совместный подвес с ВЛИ 0,4 кВ №1 ТП 10/0,4 кВ №4-40 по ВЛ 10 кВ №4 ПС 110/35/10 кВ Чалтырь для технологического присоединения складского помещения Заявителя (ИП Бугаян Т.А.) по адресу: Ростовская область, Мясниковский район, с. Крым, ул. 2-я линия, д. 35, к.н. №61:25:0600101:150 (ориентировочная протяженность ЛЭП 0,09 км)</t>
  </si>
  <si>
    <t>Строительство ВЛИ 0,4 кВ от опоры по ВЛИ 0,4 кВ №1 ТП 10/0,4 кВ №1-106 по ВЛ 10 кВ №1 ПС 110/35/10 кВ Чалтырь для технологического присоединения жилого дома Заявителя (Журкина И.В.) по адресу: Ростовская область, Мясниковский район, х. Ленинаван, ул. Московская, д. 2, корп. Б, к.н. №61:25:0600401:17176 (ориентировочная протяженность ЛЭП 0,03 км)</t>
  </si>
  <si>
    <t>Строительство ВЛ 0,4 кВ от опоры по ВЛИ 0,4 кВ №3 ТП 10/0,4 кВ №1-54 по ВЛ 10 кВ №1 ПС 110/35/10 кВ Чалтырь, запитанной от ВЛ 10 кВ №29-35 ПС Р-29 для технологического присоединения жилых домов Заявителя (Сагамонова О.И.) по адресу: Ростовская область, Мясниковский район, х. Ленинаван, ул. Садовая, д. 1/5, 1/7, 1/10, к.н. №61:25:0030202:4238, 61:25:0030202:4245, 61:25:0030202:4243 (ориентировочная протяженность ЛЭП 0,05 км)</t>
  </si>
  <si>
    <t>Строительство ВЛ 0,4 кВ от ВЛ 0,4 кВ №2 ЗТП 10/0,4 кВ №295 ВЛ 10 кВ №4 ПС 35/10 кВ «Покровская» для технологического присоединения хозяйственных строений Заявителя (Горбанева К.Д.) по адресу: Ростовская область, Неклиновский район, с. Покровское, ул. Свердлова, 250-А, к.н. 61:26:0050128:469 (ориентировочная протяженность ЛЭП 0,15 км)</t>
  </si>
  <si>
    <t>Строительство ВЛ 0,4 кВ от опоры по ВЛ 0,4 кВ №2 КТП 10/0,4 кВ №31 по ВЛ 10 кВ №2 ПС 35/10 кВ М-Курганская для технологического присоединения ВРУ-0,38 кВ для питания гаража Заявителя (Шищенко А.Г.) по адресу: Ростовская область, М-Курганский район, п. Матвеев Курган, ул. Шолохова, д. 34, к.н.ЗУ: 61:21:0010140:754, (ориентировочная протяженность ВЛ 0,1 км.)</t>
  </si>
  <si>
    <t>Строительство ВЛ 0,4 кВ от РУ 0,4 кВ ТП 10/0,4 кВ №1-148 по ВЛ 10 кВ №1 ПС 110/35/10 кВ Чалтырь для технологического присоединения жилого дома Заявителя (Побудилин М.А.) по адресу: Ростовская область, Мясниковский район, х. Ленинаван, к.н. №61:25:0600401:14031, (ориентировочная протяженность ЛЭП 0,035 км)</t>
  </si>
  <si>
    <t>Строительство ВЛ 0,4 кВ от опоры по ВЛИ 0,4 кВ №2 ТП 10/0,4 кВ №7-2 по ВЛ 10 кВ №7 ПС 35/10 кВ Б. Салы для технологического присоединения жилого дома Заявителя (Оганнисян А.Г.) по адресу: Ростовская область, Мясниковский район, с. Большие Салы, ул. Танкистов, д. 33, корп. Б, к.н. №61:25:0040101:5785, (ориентировочная протяженность ЛЭП 0,06 км)</t>
  </si>
  <si>
    <t>Строительство ВЛ 0,4 кВ от РУ 0,4 кВ проектируемой ТП 10/0,4 кВ по договору № 61-1-21-00562813 от 24.03.2021 г., для технологического присоединения нежилой застройки Заявителя (Масалитина Е.А.) по адресу: Ростовская область, г. Таганрог, Николаевское шоссе, 30-Б, к.н. 61:58:0005268:212 (ориентировочная протяженность ЛЭП 0,05 км)</t>
  </si>
  <si>
    <t>Строительство ВЛ 0,4 кВ от опоры по ВЛ 0,4 кВ проектируемой по договору №61-1-20-00542383 от ВЛИ 0,4 кВ №1 ТП 10/0,4 кВ №7-44 по ВЛ 10 кВ №7 ПС 110/35/10 кВ Синявская для технологического присоединения жилого дома Заявителя (Юрченко Е.В.) по адресу: Ростовская область, Мясниковский район, х. Недвиговка, ул. Молодежная, д. 32, корп. В, к.н. №61:25:0070101:4535, (ориентировочная протяженность ЛЭП 0,02 км)</t>
  </si>
  <si>
    <t>Строительство ВЛ 0,4 кВ от ВЛ 0,4 кВ №1 ЗТП №67м ВЛ 10 кВ №3 ПС 110/35/10 кВ «Рябиновская» для технологического присоединения жилого дома Заявителя (Рысухин М.А.) по адресу: Ростовская область, Неклиновский район, х. Ломакин, ул. Комарова, 2-и, к.н. 61:26:0030201:90 (ориентировочная протяженность ЛЭП 0,08 км)</t>
  </si>
  <si>
    <t>Строительство ВЛ 0,4 кВ от опоры по ВЛ 0,4 кВ №1 ТП 10/0,4 кВ №3-102 по ВЛ 10 кВ №3 ПС 110/35/10 кВ Чалтырь для технологического присоединения нежилого здания Заявителя (ООО «ЮгАгроЗИП») по адресу: Ростовская область, Мясниковский район, с. Чалтырь, ул. Ростовская, д. 71, корп. В, к.н. №61:25:0101242:279 (ориентировочная протяженность ЛЭП 0,11 км)</t>
  </si>
  <si>
    <t>Строительство ВЛ 0,4 кВ от опоры по ВЛИ 0,4 кВ №1 ТП 10/0,4 кВ №7-44 по ВЛ 10 кВ №7 ПС 110/35/10 кВ Синявская для технологического присоединения жилого дома Заявителя (Макаренко В.А.) по адресу: Ростовская область, Мясниковский район, х. Недвиговка, ул. Молодежная, д. 29, корп. Б к.н.№61:25:0070101:4519 (ориентировочная протяженность ЛЭП 0,04 км)</t>
  </si>
  <si>
    <t>Строительство ВЛ 0,4 кВ от ВЛ 0,4 кВ №1 КТП №34м ВЛ 10 кВ №1 ПС 35/10/6 кВ «Гаевка» для технологического присоединения жилого дома Заявителя (Ланг И.Н.) по адресу: Ростовская область, Неклиновский район, х. Седых, ул. Центральная, 30-а, к.н. 61:26:0181101:646 (ориентировочная протяженность ЛЭП 0,07 км)</t>
  </si>
  <si>
    <t>Строительство ВЛ 0,4 кВ от ВЛ 0,4 кВ №2 КТП 10/0,4 кВ №44м ВЛ 10 кВ №5 ПС 35/10 кВ «Русский Колодец» для технологического присоединения жилого дома Заявителя (Решетникова Н.В.) по адресу: Ростовская область, Неклиновский район, с. Беглица, ул. Садовая, д. 2-ж, к.н. 61:26:0160401:3377 (ориентировочная протяженность ЛЭП 0,06 км)</t>
  </si>
  <si>
    <t>Строительство ВЛИ 0,4 кВ от опоры проектируемой по договору №61-1-21-00569145, запитанной от опоры по ВЛИ 0,4 кВ №1 ТП 10/0,4 кВ №2-27 по ВЛ 10 кВ №2 ПС 110/35/10 кВ Чалтырь для технологического присоединения жилого дома Заявителя (Дедушова С.А.) по адресу: Ростовская область, Мясниковский район, с. Крым, ул. Григора Бабияна, д. 46/а (ориентировочная протяженность ЛЭП 0,045 км)</t>
  </si>
  <si>
    <t>Строительство ВЛ 0,4 кВ от опоры ВЛ 0,4 кВ №3 от КТП 10/0,4кВ №130 по ВЛ 10 кВ №7 ПС 110/35/10 кВ Алексеевская, для технологического присоединения жилого дома Заявителя (Бутенко Л.П.) по адресу: Ростовская область, Матвеево-Курганский район, примерно 81 м в северо-восточном направлении с. Новоандриановка, ул. Степная 2-г, к.н. 61:21:0090401:1154 (ориентировочная протяженность ЛЭП 0,12 км)</t>
  </si>
  <si>
    <t>Строительство ВЛ 0,4 кВ от опоры по ВЛ 0,4 кВ №1 ТП №1-197 по ВЛ 10 кВ №1 ПС 110/35/10 кВ Чалтырь, для технологического присоединения нежилого помещения Заявителя (Мовсисян Р.Х.) по адресу: Ростовская область, Мясниковский район, 3-й км автодороги Ростов-на-Дону – Новошахтинск, уч. 1/2, к.н. 61:25:0600401:9527 (ориентировочная протяженность ЛЭП 0,07 км)</t>
  </si>
  <si>
    <t>Строительство ВЛ 0,4 кВ от оп. №13 ВЛ 0,4 кВ №1 КТП 10/0,4 кВ №31А ВЛ 10 кВ №4 ПС 35/10 кВ «Покровская» для технологического присоединения жилого дома Заявителя (Головченко А.А.) по адресу: Ростовская область, Неклиновский район, с. Покровское, пер. Мирный, д. 22-а, к.н. 61:26:0050134:744 (ориентировочная протяженность ЛЭП 0,1 км)</t>
  </si>
  <si>
    <t>Строительство ВЛ 0,4 кВ от  ВЛ 0,4кВ №5 ТП-268 по КЛ 6 кВ №309 ПС 35/6 кВ Т-3 для технологического присоединения нежилого здания Заявителя (ИП Безбородько С.Ю.) по адресу: Ростовская область, г. Таганрог, ул. Ленина, д. 217-а (ориентировочная протяженность ЛЭП 0,092 км)</t>
  </si>
  <si>
    <t xml:space="preserve">Строительство ВЛ 0,4 кВ от опоры, проектируемой ВЛ 0,4 кВ по договору №61-1-21-00613201 от ВЛ 0,4 кВ №1 КТП 10/0,4 кВ №34м ВЛ 10 кВ №1 ПС 35/10/6 кВ «Гаевка» для технологического присоединения жилого дома Заявителя (Гасинец Л.В.) по адресу: Ростовская область, Неклиновский район, х. Седых, ул. Центральная, д.30-Б, к.н. 61:26:0181101:647 (ориентировочная протяженность ЛЭП 0,040 км)
</t>
  </si>
  <si>
    <t>«Строительство ВЛ 0,4 кВ от РУ 0,4 кВ новой ТП 10/0,4 кВ, строительство ТП 10/0,4 кВ, строительство ВЛ 10 кВ от ВЛ 10 кВ №7 ПС 110/35/10 кВ Синявская для технологического присоединения производственного помещения заявителя (Синельников А.В.) по адресу: Ростовская область, Мясниковский р-н, х. Недвиговка, ул. Молодежная 42-а к.н. №61:25:0070101:4544 (ориентировочная протяженность ЛЭП - 0,015 км, ориентировочная мощность ТП – 100 кВА)»</t>
  </si>
  <si>
    <t>Строительство ВЛ 0,4 кВ от ТП 6/0,4 кВ № РТИ-1 КЛ 6 кВ № 71 ПС 110/6 кВ Т-17 для технологического присоединения нежилого помещения Заявителя (ИП Антипов А. А.) по адресу: Ростовская область, г. Таганрог, ул. Энгельса, 4 корпус А к.н. 61:58:0001044:25  (ориентировочная протяжённость: 0,19 км)</t>
  </si>
  <si>
    <t>Строительство ВЛ 0,4 кВ от ВЛ 0,4 кВ № 5 ТП 6/0,4 кВ № 64 КВЛ 6 кВ № 74 ПС 35/6 кВ Т-8 для технологического присоединения жилого дома Заявителя (Ситнер С. А.) по адресу: Ростовская область, г. Таганрог, пр. 4-й Линейный, 178 к.н. 61:58:0004182:23  (ориентировочная протяженность ЛЭП 0,14 км)</t>
  </si>
  <si>
    <t>Строительство ВЛ 0,4 кВ от ВЛ 0,4 кВ № 5 ТП 6/0,4 кВ № 45 КВЛ 6 кВ № 5 ПС 110/6 кВ Т-5 для технологического присоединения модульной котельной Заявителя (МУП "Городское хозяйство") по адресу: Ростовская область, г. Таганрог, ул. Александровская, 109 (ориентировочная протяженность ЛЭП 0,22 км)</t>
  </si>
  <si>
    <t>«Строительство BJ1 0,4 кВ от опоры по BJ1 0,4 кВ №1 ТП 10/0,4 кВ №7-15 по ВЛ 10 кВ №7 ПС 110/35/10 кВ Синявская, для технологического присоединения жилых домов Заявителей (Зибаров Ю.А., Иваненко Н.И., Колесников И.А.) по адресу: Ростовская область, Мясниковский район, х. Недвиговка, ул. Железнодорожная, д. 63, 62, 63/а, к.н. 61:25:0070101:1046, 61:25:0070101:1045, 61:25:0070101:1047 (ориентировочная протяженность ЛЭП 0,22 км)»</t>
  </si>
  <si>
    <t>Строительство ВЛ 0,4 кВ от опоры по ВЛ 0,4 кВ №1 ТП 10/0,4 кВ №7-7 по ВЛ 10 кВ №7 ПС 110/35/10 кВ Синявская для технологического присоединения жилого дома Заявителя (Павлюк Н.И.) по адресу: Ростовская область, Мясниковский район, х. Недвиговка, ул. Молодежная, д. 20/а, к.н. №61:25:0070101:1083 (ориентировочная протяженность ЛЭП 0,18 км)</t>
  </si>
  <si>
    <t>Строительство ВЛ 0,4 кВ от ВЛ 0,4 кВ проектируемой по договору 
№ 61-1-19-00443791 от 07.06.2019 от РУ 0,4 кВ ТП 10/0,4 кВ №1-207 по ВЛ 10 кВ №1 ПС 110/35/10 кВ Чалтырь, для технологического присоединения нежилого помещения Заявителя: (Маноле И.И.) по адресу: Ростовская обл. Мясниковский р-н, х. Ленинаван, ул. Садовая, д 11/4 к.н. 61:25:0600401:9578 (ориентировочная протяженность ЛЭП -0,15 км)</t>
  </si>
  <si>
    <t>Строительство ВЛ 0,4 кВ от РУ 0,4 кВ ТП 10/0,4 кВ, строительство ТП 10/0,4 кВ, строительство ВЛ 10 кВ от опоры по ВЛ 10 кВ №12 ПС 110/35/10 кВ Чалтырь, для технологического присоединения магазина Заявителя: (ИП Экизян С.З.), по адресу: Мясниковский район, с. Чалтырь, ул. Туманяна, уч. 1, к.н 61:25:0101512:134 (ориентировочная протяженность ЛЭП 0,12 км; мощность силового трансформатора – 0,16 МВА)</t>
  </si>
  <si>
    <t>Строительство ВЛ 0,4 кВ от РУ 0,4 кВ ТП 10/0,4 кВ, строительство ТП 10/0,4 кВ, строительство ВЛ 10 кВ от ВЛ 10 кВ №13 ПС 110/35/10 кВ Чалтырь, для технологического присоединения склада Заявителя: (Хантимерян Д.А.), по адресу: Мясниковский район, с. Крым, ул. Промышленная, д. 36, к.н 61:25:0600201:1129 (ориентировочная протяженность ЛЭП 0,03 км; мощность силового трансформатора – 0,16 МВА)</t>
  </si>
  <si>
    <t>Строительство ВЛ 0,4 кВ от ВЛ 0,4 кВ №2 КТП 10/0,4 кВ №522 ВЛ 10 кВ №1/3 ПС 110/35/10 кВ «Троицкая-1» для технологического присоединения жилого дома Заявителя (Нечаев П.В.) по адресу: Ростовская область, Неклиновский район, с. Николаевка, СНТ «Коммунальник», д. 26, к.н. 61:26:513701:88 (ориентировочная протяженность ЛЭП 0,510 км)</t>
  </si>
  <si>
    <t>Строительство ВЛ 0,4 кВ от РУ 0,4 кВ КТП 10/0,4 кВ №522 ВЛ 10 кВ №1/3 ПС 110/35/10 кВ «Троицкая-1» для технологического присоединения жилого дома Заявителя (Прус Г.Ф.) по адресу: Ростовская область, Неклиновский район, с. Николаевка, ДНТ «Коммунальник», д. 207, к.н. 61:26:0513701:108 (ориентировочная протяженность ЛЭП 0,410 км)</t>
  </si>
  <si>
    <t>Строительство ВЛ 0,4 кВ от новой ТП 10/0,4 кВ, строительство ТП 10/0,4 кВ, строительство ВЛ 10 кВ от ВЛ 10 кВ №7 ПС 35/10 кВ «Куйбышево-1», для технологического присоединения распределительного щита Заявителя (Федеральное государственное казенное учреждение "Пограничное управление Федеральной службы безопасности РФ по Ростовской области") по адресу: Ростовская область, р-он Куйбышевский, х. Новоивановка, х. Репяховатый. (ориентировочная протяжённость ЛЭП 1,16 км; мощность силового трансформатора 25 кВА)</t>
  </si>
  <si>
    <t xml:space="preserve">Строительство участка ВЛ-10 кВ от опоры №42 ВЛ-10 кВ №28 ПС 110/35/10 кВ КГУ, с установкой ТП-10/0,4 кВ и строительство ВЛИ-0,4 кВ от РУ-0,4 кВ вновь установленной ТП-10/0,4 кВ  для присоединения полевого стана ООО «Винодельня Ведерниковъ», расположенного по адресу: Ростовская область, Константиновский район, х. Ведерников, примерно в 2,8 км по направлению на северо-запад от ориентира х. Ведерников, к.н. 61:17:0600017:392 (ориентировочная протяженность ЛЭП 1,455 км, ориентировочная мощность трансформатора 63 кВА) </t>
  </si>
  <si>
    <t>Строительство участка ВЛИ-0,4 кВ от опоры №4/2 ВЛ-0,4 кВ №1 КТП 7191 ВЛ 10 кВ №24 ПС 110 кВ КГУ и установка прибора коммерческого учета электрической энергии (мощности) в точке поставки для присоединения жилого дома Семибратова Я.Н., расположенного по адресу: Ростовская область, Константиновский район, х. Ведерников,  пер. 2-й Переулок, д. 13Б, к.н.з.у. 61:17:0010602:574 (ориентировочная протяженность ЛЭП 0,027 км)</t>
  </si>
  <si>
    <t>Строительство участка ВЛЗ-10 кВ от вновь установленной опоры в пролете опор № 93-94 ВЛ-10кВ № 11 ПС 35/10кВ Николаевская, с установкой ТП-10/0,4 кВ, строительство ВЛИ-0,4 кВ от РУ-0,4 кВ вновь установленной ТП-10/0,4 кВ,  с установкой шкафов 0,4 кВ, и обеспечение коммерческим учетом электрической энергии (мощности) в точках поставки по присоединению жилых домов Заикина С.Н., Кунакова С.В. и Чеснокова П.М. расположенных по адресам: Ростовская область,  Константиновский район, станица Николаевская, ул. Центральная, д. 89, д. 83, д. 104, в границах кадастрового квартала: 61:17:0050101 (количество приборов учета – 3 шт., ориентировочная протяженность ЛЭП 0,241 км, ориентировочная мощность трансформатора 63 кВА)</t>
  </si>
  <si>
    <t>Строительство участка ВЛИ-0,4 кВ от вновь установленной опоры вновь построенной ВЛИ-0,4 кВ от вновь установленной ТП-10/0,4 кВ по ВЛ-10 кВ №11 ПС 35/10 кВ Николаевская (по договорам от 30.11.2020 №61-1-20-00547795, от 30.11.2020 № 61-1-20-00547801, от 30.11.2020 №61-1-20-00547471) для присоединения жилого дома Иванова С.С., расположенного по адресу: Ростовская область, Константиновский район, станица Николаевская, ул. Центральная, д.93, к.н.з.у. 61:17:0050101:2287 (ориентировочная протяженность ЛЭП 0,054 км)</t>
  </si>
  <si>
    <t>Строительство ВЛИ-0,4 кВ от РУ-0,4 кВ КТП-4222/25 кВА ВЛ-10кВ №6 ПС 35/10 кВ Киевская, с установкой прибора коммерческого учета электрической энергии (мощности) в точке поставки и шкафа 0,4 кВ для присоединения жилого дома Курбанова М.М., расположенного по адресу: Ростовская область, Ремонтненский район, с. Киевка, кадастровый номер земельного участка 61:32:0600003:833 (ориентировочная протяженность ЛЭП 0,06 км)</t>
  </si>
  <si>
    <t>Строительство участка ВЛЗ-6 кВ от опоры №12 ВЛ-6 кВ №15 ПС 35 кВ Романовская, с установкой ТП-6/0,4 кВ, строительство ВЛИ-0,4 кВ от РУ-0,4 кВ вновь установленной ТП-6/0,4 кВ и установка приборов коммерческого учета электрической энергии (мощности) в точках поставки для присоединения жилых домов Яндина В.С., Шепиченко П.В., Шепиченко С.С., Полунина В.Е., расположенных по адресам: Ростовская область, Волгодонской район, станица Романовская, ул. Шолохова, д.1, к.н.з.у. 61:08:0600601:4982, д.13, к.н.з.у. 61:08:0600601:4986, д.40, к.н.з.у. 61:08:0600601:5016, д.41, к.н.з.у. 61:08:0600601:5017 (ориентировочная протяженность ЛЭП 0,725 км, ориентировочная мощность трансформатора 63 кВА, количество приборов коммерческого учета – 4 шт)</t>
  </si>
  <si>
    <t>Строительство участка ВЛИ-0,4 кВ от опоры №19 ВЛ-0,4 кВ №3 КТП-8533/400 кВА ВЛ-6 кВ №5 ПС 35/6 кВ НС-13, с установкой шкафа 0,22 кВ, и  установка коммерческого  учета электрической энергии (мощности) в точке поставки по присоединению фоторадарного комплекса «Кордон-М» Министерства транспорта Ростовской области, расположенного по адресу: Ростовская область, Волгодонской район, Местоположение: от а/д Обход г. Волгодонск (на северо-запад от п. Красноярская = в 1 км) до границы Мартыновского района, кадастровый номер земельного участка 61:08:0600801:331:35 (ориентировочная протяженность ЛЭП 0,07 км)</t>
  </si>
  <si>
    <t xml:space="preserve">Строительство участка ВЛИ-0,4 кВ от вновь установленной опоры вновь построенной ВЛИ-0,4 кВ от опоры №6 ВЛ-0,4 кВ №1 КТП-8355/100 кВА по ВЛ-6 кВ №1 ПС 35/6 кВ Потаповская (по договору №61-1-19-00489609 от 19.12.2019г) для присоединения жилого дома Валуева В.В., расположенного по адресу: Ростовская область, Волгодонской район, х. Потапов, ул. Речная, д. 6, к.н. 61:08:040108:0015 (ориентировочная протяженность ЛЭП 0,14 км)
</t>
  </si>
  <si>
    <t>Строительство участка ВЛИ-0,4 кВ от вновь установленной опоры вновь построенной ВЛИ-0,4 кВ от вновь установленной ТП-6/0,4 кВ по ВЛ-6 кВ №14 ПС 35/6 Романовская (по договору ТП №61-1-20-00511687 от 19.05.2020г.) для присоединения жилого дома Гладышевой И.Ю., расположенного по адресу: Ростовская область, Волгодонской район, станица Романовская, ул. 75 лет Победы, д. 79,  к.н.:  61:08:0600601:4635 (ориентировочная  протяженность ЛЭП 0,235 км)</t>
  </si>
  <si>
    <t>Строительство участка ВЛИ-0,4 кВ от опоры №17 ВЛ 0,4 кВ №1 КТП 7004 ВЛ 10 кВ №15 ПС 110 кВ Константиновская и установка прибора коммерческого учета электрической энергии (мощности) в точке поставки для присоединения фельдшерского здравпункта МБУЗ «Центральная районная больница Константиновского района Ростовской области», расположенного по адресу: РО, Константиновский район, х. Костино-Горский, ул. Казачья, д. 12А, к.н.з.у. 61:17:0020201:598 (ориентировочная протяженность ЛЭП 0,021 км)</t>
  </si>
  <si>
    <t>Строительство участка ВЛИ-0,4 кВ от опоры №2/1 ВЛИ-0,4 кВ №3 КТП-3138/160 кВА по ВЛ-10 кВ №7 ПС 35/10 кВ Андреевская, с установкой шкафа 0,4 кВ, и  обеспечение коммерческим учетом электрической энергии (мощности) в точке поставки по присоединению жилого дома Актемирова Д.Д., расположенного по адресу: Ростовская область, Дубовский район, станица Андреевская, ул. Степная, д. 8, кадастровый номер земельного участка 61:09:0080101:591 (ориентировочная протяженность ЛЭП 0,025 км)</t>
  </si>
  <si>
    <t>Строительство участка ВЛИ-0,4 кВ от опоры №25 ВЛ-0,4 кВ №1 КТП-3086 ВЛ-10 кВ №3 ПС 110 кВ Дубовская и установка прибора коммерческого учета электрической энергии (мощности) в точке поставки для присоединения жилого помещения Дубягина Е.В., расположенного по адресу: Ростовская область, Дубовский район, х. Моисеев, пер. Набережный, д. 1б, кадастровый номер земельного участка 61:09:0010401:185 (ориентировочная протяженность ЛЭП 0,065 км)</t>
  </si>
  <si>
    <t>Строительство участка ВЛИ-0,4 кВ от опоры №8 ВЛ 0,4 кВ №2 КТП-7205 ВЛ 10 кВ №6 ПС 35/10 кВ Почтовская и установка прибора коммерческого учета электрической энергии (мощности) в точке поставки для присоединения здания телятника №1 ИП Степанова П.В. главы К(Ф)Х, расположенного по адресу: РО, Константиновский район, к.н.з.у.: 61:17:0600001:423 (ориентировочная протяженность ЛЭП 0,513 км)</t>
  </si>
  <si>
    <t>Строительство участка ВЛ-10 кВ от опоры №2/63 ВЛ-10 кВ №5 ПС 35/10 кВ Железнодорожная, с установкой ТП-10/0,4 кВ и строительство ВЛИ-0,4 кВ от РУ-0,4 кВ вновь установленной ТП-10/0,4 кВ  для присоединения нежилого помещения К(Ф)Х Парушева А.Г., расположенного по адресу: Ростовская область, Дубовский район, х. Романов, Романовское с/п, контур №308, к.н. 61:09:0600005:1184 (ориентировочная протяженность ЛЭП 0,86 км, ориентировочная мощность трансформатора 25 кВА)</t>
  </si>
  <si>
    <t>Строительство ВЛИ-0,4 кВ от РУ-0,4 кВ КТП 3388 ВЛ-10 кВ №6 ПС 110 кВ Малая Лучка и установка прибора коммерческого учета электрической энергии (мощности) в точке поставки для присоединения объекта крестьянского (фермерского) хозяйства ИП главы КФХ Краморова А.С., расположенного по адресу: Ростовская область, Дубовский район, станица Малая Лучка, Малолученское сельское поселение, в границах кадастрового квартала: 61:09:0600001, к.н.з.у. 61:09:0600001:218 (ориентировочная протяженность ЛЭП 0,45 км)</t>
  </si>
  <si>
    <t>Строительство участка ВЛ-10 кВ от опоры №2/9 ВЛ-10 кВ №2 ПС 110 кВ Богородская,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базовой станции/оборудования сотовой связи ООО «Вымпел-Коммуникации», расположенной по адресу: Ростовская область, Ремонтненский район, Калининское сельское поселение, на северо-восток от села Богородское, к.н.з.у.: 61:32:0600009:4067 (ориентировочная протяженность ЛЭП 0,026 км, ориентировочная мощность трансформатора 0,025 МВА)</t>
  </si>
  <si>
    <t>Строительство участка ВЛ-10 кВ от опоры №4 ВЛ-10 кВ №7 ПС 110 кВ Денисовская, с установкой ТП-10/0,23 кВ, строительство ВЛИ-0,22 кВ от РУ-0,23 кВ вновь установленной ТП-10/0,23 кВ и установка прибора коммерческого учета электрической энергии (мощности) в точке поставки для присоединения стеллы «Денисовский» Администрации Денисовского сельского поселения Ремонтненского района, расположенной по адресу: Ростовская область, Ремонтненский район, Денисовское сельское поселение, примерно 0,5 км по направлению на север от п. Денисовский, к.н.з.у. 61:32:0600008:9617 (ориентировочная протяженность ЛЭП 0,021 км, ориентировочная мощность трансформатора 0,00125 МВА)</t>
  </si>
  <si>
    <t>Строительство участка ВЛИ-0,4 кВ от опоры №12 ВЛ-0,4 кВ №4 КТП-1687 ВЛ-10 кВ №5 ПС 35 кВ Лозновская и установка прибора коммерческого учета электрической энергии (мощности) в точке поставки для присоединения жилого дома Кандаурова Г.И., расположенного по адресу: Ростовская область, Цимлянский район, п. Дубравный, ул. Лесхозная,  д. 62, кадастровый номер земельного участка 61:41:0030403:46 (ориентировочная протяженность ЛЭП 0,32 км)</t>
  </si>
  <si>
    <t>Строительство участка ВЛИ-0,4 кВ от опоры №4 ВЛ-0,4 кВ №2 КТП-1349/100 кВА ВЛ-10кВ №5 ПС 110/10 кВ Искра, с установкой шкафа 0,4 кВ, и  обеспечение коммерческим учетом электрической энергии (мощности) в точке поставки по присоединению жилого дома Козловского И.А., расположенного по адресу: Ростовская область, Цимлянский район, станица Кумшацкая, ул. Набережная,  д. 53, кадастровый номер земельного участка 61:41:0050501:35 (ориентировочная протяженность ЛЭП 0,38 км)</t>
  </si>
  <si>
    <t>Строительство ВЛИ-0,4 кВ от РУ-0,4 кВ КТП-1387/250 кВА по ВЛ-10 кВ №3 ПС 35/10 кВ Лозновская, с установкой шкафа 0,4 кВ, и  обеспечение коммерческим учетом электрической энергии (мощности) в точке поставки по присоединению жилого дома Грищенко Е.С., расположенного по адресу: Ростовская область, Цимлянский район, х. Лозной, ул. Аббясева, д. 38, кадастровый номер земельного участка 61:41:0030114:28 (ориентировочная протяженность ЛЭП 0,68 км)</t>
  </si>
  <si>
    <t>Строительство участка ВЛ-10 кВ от опоры №2/10 ВЛ 10 кВ №4 ПС 110 кВ Вербовая,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зерносклада №1 ООО «АГРО-СИСТЕМА», расположенного по адресу: Ростовская область, Дубовский район, х. Вербовый Лог, ул. Центральная, 25а, к.н.о.: 61:09:0130101:1555 (ориентировочная протяженность ЛЭП 0,05 км, ориентировочная мощность трансформатора 0,04 МВА)</t>
  </si>
  <si>
    <t xml:space="preserve">Строительство ВЛИ-0,4кВ от РУ-0,4кВ КТП-3074/63кВА ВЛ-10кВ №19 ПС 110/35/10кВ Дубовская, с установкой шкафа 0,4кВ, и обеспечение коммерческим учетом электрической энергии (мощности) в точке поставки по присоединению жилого помещения КФХ Багамаева И.О., расположенного по адресу: Ростовская область, Дубовский район, х. Новогашунский, установлено относительно ориентира в границах КК 60 00 09 Веселовского сельского поселения, 7,5км на восток от х. Новогашунский, расположенного в границах участка, кадастровый номер земельного участка: 61:09:060009:92 (ориентировочная протяженность ЛЭП 0,42км) </t>
  </si>
  <si>
    <t>Строительство участка ВЛ-10 кВ от опоры №9/4 ВЛ-10 кВ №9 ПС 35 кВ Железнодорожная,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нежилого помещения ИП Гребенкина К.Ю., расположенного по адресу: Ростовская область, Дубовский район, с. Дубовское, ул. Первомайская, д. 1а, к.н.з.у. 61:09:0110847:70 (ориентировочная протяженность ЛЭП 0,02 км, ориентировочная мощность трансформатора 25 кВА)</t>
  </si>
  <si>
    <t>Строительство участка ВЛИ-0,4 кВ от опоры №1 ВЛ 0,4 кВ №1 КТП 3419 ВЛ 10 кВ №24 ПС 110 кВ Жуковская и установка прибора коммерческого учета электрической энергии (мощности) в точке поставки для присоединения объекта сельскохозяйственного производства ООО «Дары Дона», расположенного по адресу: Ростовская область, Дубовский район, Жуковское сельское поселение, в границах кадастрового квартала 61:09:0600002, к.н.з.у. 61:09:0600002:1670 (ориентировочная протяженность ЛЭП 0,12 км)</t>
  </si>
  <si>
    <t>Строительство участка ВЛ-10 кВ от опоры №114 ВЛ-10 кВ №3 ПС 110 кВ Дубовская,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нежилого помещения ИП Костенко А.И., расположенного по адресу: Ростовская область, Дубовский район, х. Романов, Романовское сельское поселение в границах кадастрового квартала 61:09:0600005, к.н.з.у. 61:09:0600005:1634 (ориентировочная протяженность ЛЭП 0,05 км, ориентировочная мощность трансформатора 25 кВА)</t>
  </si>
  <si>
    <t>Строительство участка ВЛ-10 кВ от опоры №120 ВЛ 10 кВ №5 ПС 35 кВ Железнодорожная,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нежилого здания ИП главы К(Ф)Х Османова Р.О., расположенного по адресу: Ростовская область, Дубовский район, с. Дубовское, ул. Первомайская, д.2, к.н.з.у.: 61:09:0110838:3 (ориентировочная протяженность ЛЭП 0,025 км, ориентировочная мощность трансформатора 0,04 МВА)</t>
  </si>
  <si>
    <t>Строительство участка ВЛ-10 кВ от опоры №116 ВЛ 10 кВ №20 ПС 110 кВ ВдПТФ,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объекта крестьянского (фермерского) хозяйства ИП Лавреновой О.А., расположенного по адресу: Ростовская область, Дубовский район, к.н.з.у.: 61:09:0600004:1729 (ориентировочная протяженность ЛЭП 0,025 км, ориентировочная мощность трансформатора 0,16 МВА)</t>
  </si>
  <si>
    <t>Строительство участка ВЛ-10 кВ от опоры №7/12 ВЛ-10 кВ №7 ПС 110/10 кВ Вербовая, с установкой ТП-10/0,4 кВ, и строительство ВЛИ-0,4 кВ от РУ-0,4 кВ вновь установленной ТП-10/0,4 кВ, с установкой прибора коммерческого учета электрической энергии (мощности) в точке поставки и шкафа 0,4 кВ, для присоединения кошары ИП главы К(Ф)Х Рамазанова М.И., расположенной по адресу: Ростовская область, Дубовский район, х. Вербовый Лог, в 4,0 км на юго-запад от х. Вербовый Лог, контур №303, к.н.з.у. 61:09:0600003:599 (ориентировочная протяженность ЛЭП 0,06 км, ориентировочная мощность трансформатора 25 кВА)</t>
  </si>
  <si>
    <t>Строительство участка ВЛИ-0,4 кВ от опоры №1/7 ВЛИ-0,4 кВ №2 КТП 8530 ВЛ 6 кВ №14 ПС 35 кВ Романовская и установка прибора коммерческого учета электрической энергии (мощности) в точке поставки для присоединения жилого дома Шумилова А.В., расположенного по адресу: Ростовская область, Волгодонской район, станица Романовская, ул. Забазновой, д. 8, к.н.з.у. 61:08:0070112:449 (ориентировочная протяженность ЛЭП 0,035 км)</t>
  </si>
  <si>
    <t>Строительство участка ВЛИ-0,4 кВ от опоры №11 ВЛ 0,4 кВ №1 КТП 8163 ВЛ 10 кВ №9 ПС 35 кВ Донская и установка прибора коммерческого учета электрической энергии (мощности) в точке поставки для присоединения малоэтажной жилой застройки Хан А.К., расположенной по адресу: Ростовская область, Волгодонской район, п. Мичуринский, ул. Молодежная, д. 4а, к.н.з.у. 61:08:0601101:462 (ориентировочная протяженность ЛЭП 0,025 км)</t>
  </si>
  <si>
    <t>Строительство участка ВЛИ-0,4 кВ от вновь установленной опоры вновь построенной ВЛИ-0,4 кВ от опоры №1/4 ВЛ-0,4 кВ №3 КТП-8576/250 кВА ВЛ-6 кВ №6 ПС 35/6 кВ Потаповская (по договору №61-1-19-00479111 от 07.11.2019г и №61-1-19-00479873 от 07.11.2019г.) для присоединения жилого дома Ткаченко В.И., расположенного по адресу: Ростовская область, Волгодонской район, х. Степной, ул. Весенняя, д.1, к.н. 61:08:040702:0178 (ориентировочная протяженность ЛЭП 0,035 км)</t>
  </si>
  <si>
    <t>Строительство участка ВЛИ-0,4 кВ от опоры №1/5 ВЛ-0,4 кВ №3 КТП-8452/250 кВА ВЛ-6 кВ №1 ПС 35/6 кВ Романовская, с установкой шкафа 0,4 кВ, и  обеспечение коммерческим учетом электрической энергии (мощности) в точке поставки по присоединению блокированного жилого дома Тамилина К.Ф., расположенного по адресу: Ростовская область, Волгодонской район, х. Погожев, ул. Гладкова, д. 37, кадастровый номер земельного участка 61:08:0600601:4707 (ориентировочная протяженность ЛЭП 0,13 км)</t>
  </si>
  <si>
    <t>Строительство участка ВЛИ-0,4 кВ от опоры №6 ВЛ-0,4 кВ №1 КТП-8355/100 кВА ВЛ-6 кВ №1 ПС 35/6 кВ Потаповская для присоединения жилого дома Приступы Ю.В., расположенного по адресу: Ростовская область, Волгодонской район, х. Потапов, ул. Речная, д.16, к.н. 61:08:0040108:148 (ориентировочная протяженность ЛЭП 0,19 км)</t>
  </si>
  <si>
    <t>Строительство участка ВЛИ-0,4 кВ от вновь установленной опоры вновь построенного участка ВЛИ-0,4 кВ от опоры №2 ВЛ-0,4 кВ №1 КТП-8576/250 кВА ВЛ-6 кВ №6 ПС 35/6 КВ Потаповская (по договору ТП №61-1-19-00487433 от 10.12.2019г), с установкой шкафа 0,4 кВ, и обеспечение коммерческим учетом электрической энергии (мощности) в точке поставки по присоеддинению жилого дома Меркуловой Т.В., расположенного по адресу: Ростовская область, Волгодонской район, х. Степной, ул. Комсомольская, д.1, кадастровый номер земельного участка 61:08:0040702:524 (ориентировочная протяженность ЛЭП 0,09 км)</t>
  </si>
  <si>
    <t>Строительство участка ВЛИ-0,4 кВ от опоры №1/28 ВЛИ-0,4 кВ №2 КТП-8461 ВЛ 6 кВ №11 ПС 35 Шлюзовая и установка прибора коммерческого учета электрической энергии (мощности) в точке поставки для присоединения блока 2 Малкина С.А., расположенного по адресу: Ростовская область, Волгодонской район, х. Парамонов, ул. Березовая, д. 11, к.н.з.у. 61:08:0600601:5197 (ориентировочная протяженность ЛЭП 0,03 км)</t>
  </si>
  <si>
    <t>Строительство участка ВЛ-10 кВ от опоры №3/10 ВЛ-10 кВ №3 ПС 110/35/10 кВ Большовская,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объекта крестьянского (фермерского) хозяйства ИП главы К(Ф)Х Кушнира В.А., расположенного по адресу: Ростовская область, Волгодонской район, 247 м юго-западнее ж.д. №21 ул. Степная, х. Морозов, к.н.з.у.: 61:08:0020202:491 (ориентировочная протяженность ЛЭП 0,07 км, ориентировочная мощность трансформатора 0,04 МВА)</t>
  </si>
  <si>
    <t xml:space="preserve">Строительство участка ВЛИ-0,4 кВ от опоры №1/14 ВЛ 0,4 кВ №1 КТП-8560/100 кВА ВЛ-6 кВ №1 ПС 35/10 кВ НС-12, с установкой шкафа 0,4 кВ, и  обеспечение коммерческим учетом электрической энергии (мощности) в точке поставки по присоединению жилого дома Куликовой С.А., расположенного по адресу: Ростовская область, Волгодонской район, Станица Романовская, снт. Юбилейное, кадастровый номер земельного участка: 61:08:0601901:1304 (ориентировочная протяженность ЛЭП 0,06 км)
</t>
  </si>
  <si>
    <t>Строительство участка ВЛИ-0,4 кВ от опоры №1/13 ВЛ-0,4 кВ №2 КТП-8585/63 кВА ВЛ-6 кВ №7 ПС 35/6 кВ Романовская, с установкой шкафа 0,22 кВ, и обеспечение коммерческим учетом электрической энергии (мощности) в точке поставки по присоединению жилого дома Красиловой М.П., расположенного по адресу: Ростовская область, Волгодонской район, станица Романовская, ул. Тюхова, д. 127, к.н. 61:08:0070133:69 (ориентировочная протяженность ЛЭП 0,08 км)</t>
  </si>
  <si>
    <t>Строительство участка ВЛИ-0,4 кВ от опоры №1 ВЛ 0,4 кВ №3 КТП 8105 ВЛ 10 кВ №4 ПС 35 кВ Виноградная и установка прибора коммерческого учета электрической энергии (мощности) в точке поставки для присоединения склада ИП Кравчука В.В., расположенного по адресу: Ростовская область, Волгодонской район, п. Виноградный, 100 м. севернее дома №12 ул. Юбилейная, к.н.з.у. 61:08:0000000:3817 (ориентировочная протяженность ЛЭП 0,12 км)</t>
  </si>
  <si>
    <t>Строительство участка ВЛИ-0,4 кВ от опоры №2 ВЛ-0,4 кВ №1КТП-8576/250 кВА ВЛ-6 кВ №6 ПС 35/6 кВ Потаповская для присоединения жилого дома Винникова А.Я., расположенного по адресу: Ростовская область, Волгодонской район, х. Степной, ул. Комсомольская, д.2, к.н. 61:08:0040702:597 (ориентировочная протяженность ЛЭП 0,55 км)</t>
  </si>
  <si>
    <t xml:space="preserve">Строительство участка ВЛИ-0,4 кВ от опоры №10 ВЛ-0,4 кВ №2КТП-8478/160 кВА ВЛ-6 кВ №14 ПС 35/6 кВ Романовская для присоединения жилого дома Васильченко Д.С., расположенного по адресу: Ростовская область, Волгодонской район, станица Романовская, ул. Депутатская, д. 36, к.н. 61:08:0070101:507 (ориентировочная протяженность ЛЭП 0,07 км)
</t>
  </si>
  <si>
    <t>Строительство участка ВЛ-6 кВ от опоры №101 ВЛ-6 кВ №5 ПС 35 кВ НС-8,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для присоединения охотничье-рыболовной базы (к.н. 61:48:0060101:115) ИП Бондаренко Д.Д., расположенной по адресу: Ростовская область, Волгодонской район, примерно в 500 м по направлению на северо-восток от ориентира п. Сибирьковый, ул. Надежды, №1, к.н.з.у.: 61:48:0060101:59 (ориентировочная протяженность ЛЭП 0,13 км, ориентировочная мощность трансформатора 0,063 МВА)</t>
  </si>
  <si>
    <t>Строительство участка ВЛИ-0,4 кВ от вновь установленной опоры вновь построенного участка ВЛИ-0,4 кВ от опоры №1 ВЛИ-0,4 кВ №1 КТП-8608 ВЛ-6 кВ №14 ПС 35 кВ Романовская (по договору ТП №61-1-20-00515733 от 30.06.2020г.) и установка прибора коммерческого учета электрической энергии (мощности) в точке поставки для присоединения индивидуального жилого дома Балабановой Е.А., расположенного по адресу: Ростовская область, Волгодонской район, станица Романовская, ул. 75 лет Победы, д. 83, к.н.з.у.: 61:08:0600601:4639 (ориентировочная протяженность ЛЭП 0,022 км)</t>
  </si>
  <si>
    <t>Строительство ВЛИ-0,4 кВ от РУ-0,4 кВ вновь устанавливаемой ТП-6/0,4 кВ, установка ТП 6/0,4 кВ от опоры №23/4 ВЛ-6 кВ №1 ПС 35/6 кВ Романовская и установка прибора коммерческого учета электрической энергии (мощности) в точке поставки для присоединения базы отдыха ИП Пономарева И.А., расположенной по адресу: Ростовская область, г. Волгодонск, ул. Отдыха, д. 49, к.н.з.у: 61:48:0020101:93 (ориентировочная протяженность ЛЭП 0,09 км, ориентировочная мощность трансформатора 0,1 МВА)</t>
  </si>
  <si>
    <t>Строительство участка ВЛИ-0,4 кВ от опоры №25 ВЛ 0,4 кВ №2 КТП 7401 ВЛ 10 кВ №11 ПС 35 кВ Николаевская и установка прибора коммерческого учета электрической энергии (мощности) в точке поставки для присоединения жилого дома Погорелова А.Г., расположенного по адресу: Ростовская область, Константиновский район, станица Николаевская, ул. Победы, д. 62, к.н.з.у. 61:17:0050101:2163 (ориентировочная протяженность ЛЭП 0,02 км)</t>
  </si>
  <si>
    <t>Строительство участка ВЛИ-0,4 кВ от опоры №1/3 ВЛ-0,4 кВ №1 КТП 7132 ВЛ-10 кВ №21 ПС 110 кВ КГУ и установка прибора коммерческого учета электрической энергии (мощности) в точке поставки для присоединения квартиры Черкасова А.Г, расположенной по адресу: Ростовская область, Константиновский район, х. Камышный, ул. Новая, д.11, кв.2, к.н.з.у. 61:17:0030201:42 (ориентировочная протяженность ЛЭП 0,035 км)</t>
  </si>
  <si>
    <t>Строительство участка ВЛИ-0,4 кВ от опоры №7 ВЛИ 0,4 кВ №2 КТП 7027 ВЛ 10 кВ №24 ПС 110 кВ КГУ и установка прибора коммерческого учета электрической энергии (мощности) в точке поставки для присоединения жилого дома Авраамова Д.С., расположенного по адресу: Ростовская область, Константиновский район, х. Ведерников, ул. Казачья, д. 2-б, к.н.з.у. 61:17:0010603:193 (ориентировочная протяженность ЛЭП 0,038 км)</t>
  </si>
  <si>
    <t>Строительство участка ВЛИ-0,4 кВ от опоры №2 ВЛ 0,4 кВ №1 КТП 7055 ВЛ 10 кВ №1 ПС 35 кВ Почтовская и установка прибора коммерческого учета электрической энергии (мощности) в точке поставки для присоединения ангара ООО «Вега»., расположенного по адресу: Ростовская область, Константиновский район, х. Кременской, ориентир ТОО «Знамя», к.н.з.у. 61:17:0600002:2286 (ориентировочная протяженность ЛЭП 0,1 км)</t>
  </si>
  <si>
    <t>Строительство участка ВЛИ-0,4 кВ от опоры №8 ВЛ-0,4 кВ №2 КТП 7402 ВЛ 10 кВ №11 ПС 35 кВ Николаевская и установка прибора коммерческого учета электрической энергии (мощности) в точке поставки для присоединения индивидуального жилого дома Вифлянцева Е.Н., расположенного по адресу: Ростовская область, Константиновский район, станица Николаевская, ул. Крупской, д. 56, к.н.з.у. 61:17:0050101:2019 (ориентировочная протяженность ЛЭП 0,017 км)</t>
  </si>
  <si>
    <t>Строительство участка ВЛИ-0,4 кВ от вновь установленной опоры вновь построенной ВЛИ-0,4 кВ от вновь установленной ТП-10/0,4 кВ по ВЛ-10 кВ №11 ПС 35/10 кВ Николаевская (по договору ТП №61-1-20-00508293 от 10.04.2020г), с установкой шкафа 0,4 кВ, и  обеспечение коммерческим учетом электрической энергии (мощности) в точке поставки по присоединению жилого дома Журавлевой О.М., расположенного по адресу: Ростовская область, Константиновский район, станица Николаевская,  ул. Карла Маркса, д. 78,  кадастровый номер земельного участка 61:17:0050101:1695 (ориентировочная протяженность ЛЭП 0,095 км)</t>
  </si>
  <si>
    <t>Строительство участка ВЛИ-0,4 кВ от опоры №1/19 ВЛ-0,4 кВ №2 КТП-7392/400 кВА ВЛ-10 кВ №4 ПС 35/10 кВ Николаевская, с установкой шкафа 0,4 кВ, и  обеспечение коммерческим учетом электрической энергии (мощности) в точке поставки по присоединению жилого дома Клименко Е.А., расположенного по адресу: Ростовская область, Константиновский район, станица Николаевская, ул. Фридриха Энгельса, д. 8,  кадастровый номер земельного участка 61:17:0050101:203 (ориентировочная протяженность ЛЭП 0,08 км)</t>
  </si>
  <si>
    <t>Строительство ВЛИ-0,4 кВ от РУ-0,4 кВ КТП 7169 ВЛ 10 кВ №5 ПС 35 кВ Савельевская и установка прибора коммерческого учета электрической энергии (мощности) в точке поставки для присоединения здания склада ИП главы К(Ф)Х Кондакова Ю.В., расположенного по адресу: Ростовская область, Константиновский район, х. Гапкин, к.н.з.у. 61:17:0600008:2198 (ориентировочная протяженность ЛЭП 0,031 км)</t>
  </si>
  <si>
    <t>Строительство участка ВЛИ-0,4 кВ от опоры №13 ВЛ-0,4 кВ №1 КТП-7424 ВЛ-10 кВ №11 ПС 35 кВ Николаевская и установка прибора коммерческого учета электрической энергии (мощности) в точке поставки для присоединения жилого дома Кротова Н.А., расположенного по адресу: Ростовская область, Константиновский район, станица Николаевская, ул. Победы, д. 88, кадастровый номер земельного участка 61:17:050101:2187 (ориентировочная протяженность ЛЭП 0,03 км)</t>
  </si>
  <si>
    <t>Строительство участка ВЛИ-0,4 кВ от опоры №1/2 ВЛИ-0,4 кВ №1 КТП-7215/100 кВА ВЛ-10кВ №24 ПС 110/35/10 кВ КГУ, с установкой шкафа 0,4 кВ, и  обеспечение коммерческим учетом электрической энергии (мощности) в точке поставки по присоединению домика временного пребывания ИП Фалько А.А., расположенного по адресу: Ростовская область, Константиновский район, г. Константиновск, ул. Правобережная, д. 23Г, кадастровый номер земельного участка 61:17:0600017:581 (ориентировочная протяженность ЛЭП 0,065 км)</t>
  </si>
  <si>
    <t>Строительство участка ВЛИ-0,4 кВ от опоры №1 ВЛ-0,4 кВ №3 КТП-3480 ВЛ-10 кВ №7 ПС 35 кВ Семичная и установка приборов коммерческого учета электрической энергии (мощности) в точках поставки для присоединения жилого помещения Никитенко Е.С. и квартиры Виноградова А.Ю, расположенных по адресу: РО, Дубовский район, х. Семичный, к.н.з.у. 61:09:0020101:503 и к.н.з.у. 61:09:0020101:1940 (ориентировочная протяженность ЛЭП 0,425 км, количество приборов учета  - 2 шт.)</t>
  </si>
  <si>
    <t>Строительство участка ВЛИ-0,4 кВ от опоры №14 ВЛ 0,4 кВ №2 КТП-4242 ВЛ 10 кВ №17 ПС 35 кВ Киевская и установка прибора коммерческого учета электрической энергии (мощности) в точке поставки для присоединения жилого дома Лобачевой М.В., расположенного по адресу: Ростовская область, Ремонтненский район, с. Киевка, ул. Ленинская, д. 57, к.н.з.у. 61:32:005101:1396 (ориентировочная протяженность ЛЭП 0,03 км)</t>
  </si>
  <si>
    <t>Строительство участка ВЛИ-0,4 кВ от опоры №10 ВЛ-0,4 кВ №1 КТП-4192 ВЛ-10 кВ №6 ПС 35 кВ Подгоренская и установка прибора коммерческого учета электрической энергии (мощности) в точке поставки для присоединения квартиры Елисеенко Ю.В., расположенной по адресу: Ростовская область, Ремонтненский район, х. Цветной, ул. Центральная, д.19, кв./оф. 1, кадастровый номер объекта: 61:32:0090301:0:1/1 (ориентировочная протяженность ЛЭП 0,44 км)</t>
  </si>
  <si>
    <t>Строительство ВЛИ-0,4 кВ от РУ-0,4 кВ вновь устанавливаемой ТП-10/0,4 кВ, установка ТП 10/0,4 кВ от опоры №145 ВЛ-10 кВ №7 ПС 35 кВ Валуевская и установка прибора коммерческого учета электрической энергии (мощности) в точке поставки для присоединения зернового склада ИП главы К(Ф)Х Клевина Д.В., расположенного по адресу: Ростовская область, Ремонтненский район, примерно в 4-5 км по направлению на восток от с. Валуевка, кадастровый номер объекта: 61:32:0000000:2504 (ориентировочная протяженность ЛЭП 0,06 км, ориентировочная мощность трансформатора 0,025 МВА)</t>
  </si>
  <si>
    <t>Строительство ВЛИ-0,4 кВ от РУ-0,4 кВ КТП 4012 ВЛ 10 кВ №6 ПС 110 кВ Ремонтненская и установка прибора коммерческого учета электрической энергии (мощности) в точке поставки для присоединения навеса ИП Ильенко М.М., расположенного по адресу: Ростовская область, Ремонтненский район, Ремонтненское сельское поселение, пастбище – в 5 км на восток от с. Ремонтного, 61 отарные участки по балке «Песчаная», к.н.з.у. 61:32:0600006:2843 (ориентировочная протяженность ЛЭП 0,17 км)</t>
  </si>
  <si>
    <t>Строительство ВЛИ-0,4 кВ от РУ-0,4 кВ КТП 4408 ВЛ-10 кВ №8 ПС 35 кВ Кормовая и установка прибора коммерческого учета электрической энергии (мощности) в точке поставки для присоединения полевого стана ИП Литовкиной Л.Ф., расположенного по адресу: Ростовская область, Ремонтненский район, Кормовское сельское поселение, V поле второго полевого севооборота в 6,3 км на северо-восток от с. Кормовое и I поле первого севооборота в 8,3 км на северо-восток от с. Кормовое, к.н.з.у. 61:32:0600012:3390 (ориентировочная протяженность ЛЭП 0,46 км)</t>
  </si>
  <si>
    <t>Строительство участка ВЛИ-0,22 кВ от опоры №1/6 ВЛ-0,4 кВ №2 КТП 5166 ВЛ-10 кВ №5 ПС 35 кВ Фоминская и установка прибора коммерческого учета электрической энергии (мощности) в точке поставки для присоединения жилого дома Милостинской О.М., расположенного по адресу: Ростовская область, Заветинский район, х. Алексеев, ул. Центральная, д. 4-б, к.н.з.у. 61:11:0080201: 26 (ориентировочная протяженность ЛЭП 0,058 км</t>
  </si>
  <si>
    <t xml:space="preserve">Строительство участка ВЛ-10 кВ от опоры №5/30 ВЛ-10 кВ №13ПС 110/35/10 кВ Заветинская, с установкой ТП-10/0,4 кВ, строительство ВЛИ-0,4 кВ от РУ-0,4 кВ вновь установленной ТП-10/0,4 кВ, с установкой шкафа 0,4 кВ, и обеспечение коммерческим учетом электрической энергии (мощности) в точках поставки по присоединению кашары ИП главы К(Ф)Х Мадаевой Т.С., расположенной по адресу: Ростовская область, Заветинский район, с. Заветное, проезд Северный, д.4, к.н. 61:11:0010101:8869 (ориентировочная протяженность ЛЭП 0,019 км, ориентировочная мощность трансформатора 25 кВА)
</t>
  </si>
  <si>
    <t>Строительство участка ВЛ-10 кВ от опоры №2/1 ВЛ-10 кВ №6 ПС 35/10 кВ Кичкинская, с установкой ТП-10/0,4 кВ, строительство ВЛИ-0,4 кВ от РУ-0,4 кВ вновь установленной ТП-10/0,4 кВ,  с установкой шкафа 0,4 кВ, и обеспечение коммерческим учетом электрической энергии (мощности) в точке поставки по присоединению нежилого здания ИП главы К(Ф)Х Магомедовой Н.О., расположенного по адресу: Ростовская область, Заветинский район, Кичкинское сельское поселение, кадастровый номер земельного участка 61:11:0600010:449 (ориентировочная протяженность ЛЭП 0,025 км, ориентировочная мощность трансформатора 25 кВА)</t>
  </si>
  <si>
    <t xml:space="preserve">Строительство участка ВЛИ-0,4 кВ от опоры №3 ВЛ 0,4 кВ №1КТП-5023/25 кВА ВЛ-10 кВ №13 ПС 110/35/10 кВ Заветинская, с установкой шкафа 0,4 кВ, и обеспечение коммерческим учетом электрической энергии (мощности) в точке поставки по присоединению кошары Курбанова Т.Г., расположенной по адресу: Ростовская область, Заветинский район, с. Заветное, проезд. Северный, д. 6, кадастровый номер земельного участка: 61:11:0010101:7343 (ориентировочная протяженность ЛЭП 0,05 км)
</t>
  </si>
  <si>
    <t>Строительство участка ВЛИ-0,4 кВ от опоры №2 ВЛ-0,4 кВ №1 КТП-5184/160 кВА по ВЛ-10 кВ №9 ПС 35/10 кВ Руно для присоединения нежилого здания ИП главы К(Ф)Х Ибрагимова Н.М., расположенного по адресу: Ростовская область, Заветинский район, с. Тюльпаны, ул. Магистральная, д. 24,  к.н.: 61:11:0600012:555 (ориентировочная  протяженность ЛЭП 0,051 км)</t>
  </si>
  <si>
    <t>Строительство участка ВЛ-10 кВ от опоры №2/224 ВЛ-10 кВ №2 ПС 35 кВ Киселевская,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нежилого здания ИП главы К(Ф)Х Гусейнова А.Н., расположенного по адресу: Ростовская область, Заветинский район, с. Киселевка, к.н.з.у.: 61:11:0600002:1656 (ориентировочная протяженность ЛЭП 0,02 км, ориентировочная мощность трансформатора 0,025 МВА)</t>
  </si>
  <si>
    <t>Строительство ВЛИ-0,4 кВ от РУ-0,4 кВ КТП 5478 ВЛ 10 кВ №13 ПС 110 кВ Заветинская и установка прибора коммерческого учета электрической энергии (мощности) в точке поставки для присоединения квартиры Бондаренко Д.В., расположенной по адресу: Ростовская область, Заветинский район, с. Заветное, проезд Восточный, д. 1, кв. 1, к.н.з.у. 61:11:0600005:885 (ориентировочная протяженность ЛЭП 0,058 км)</t>
  </si>
  <si>
    <t>Строительство участка ВЛИ-0,4 кВ от опоры №24 ВЛ 0,4 кВ №1 КТП-1654 ВЛ 10 кВ №2 ПС 35 кВ ЖБИ и установка прибора коммерческого учета электрической энергии (мощности) в точке поставки для присоединения жилого дома Вислянского И.И., расположенного по адресу: Ростовская область, Цимлянский район, станица Красноярская, ул. Заречная, д. 68, к.н.з.у. 61:41:0020127:103 (ориентировочная протяженность ЛЭП 0,2 км)</t>
  </si>
  <si>
    <t>Строительство участка ВЛИ-0,4 кВ от опоры №44 ВЛ 0,4 кВ №2 КТП-1395 ВЛ 10 кВ №4 ПС 35 кВ ЖБИ и установка прибора коммерческого учета электрической энергии (мощности) в точке поставки для присоединения жилого дома Дричиц О.Н., расположенного по адресу: Ростовская область, Цимлянский район, станица Красноярская, ул. Матросова, д. 2г, к.н.з.у. 61:41:0020106:217 (ориентировочная протяженность ЛЭП 0,04 км)</t>
  </si>
  <si>
    <t xml:space="preserve">Строительство ВЛИ-0,4 кВ от РУ-0,4 кВ вновь установленной ТП-10/0,4 кВ по ВЛ-10 кВ №5 ПС 35/10 кВ Лозновская (по договору №61-1-19-00502997 от 19.03.2020г) для присоединения жилого дома Юрина В.П., асположенного по адресу: Ростовская область, Цимлянский район, п. Сосенки, ул. Новая, д.46, к.н. 61:41:0030302:48 (ориентировочная протяженность ЛЭП 0,11 км)»
</t>
  </si>
  <si>
    <t>Строительство участка ВЛИ-0,4 кВ от опоры №9 ВЛ-0,4 кВ №1 КТП 1381 ВЛ 10 кВ №5 ПС 35 кВ Лозновская и установка прибора коммерческого учета электрической энергии (мощности) в точке поставки для присоединения жилого дома Элькиной С.А., расположенного по адресу: Ростовская область, Цимлянский район, п. Дубравный, пер. Дружбы, д.24, к.н.з.у. 61:41:0030405:51 (ориентировочная протяженность ЛЭП 0,27 км)</t>
  </si>
  <si>
    <t>Строительство участка ВЛИ-0,4 кВ от опоры №39 ВЛ 0,4 кВ №2 КТП 1687 ВЛ 10 кВ №5 ПС 35 кВ Лозновская и установка прибора коммерческого учета электрической энергии (мощности) в точке поставки для присоединения жилого дома Сагаря И.В., расположенного по адресу: Ростовская область, Цимлянский район, п. Дубравный, ул. Лесхозная, д. 2-а, к.н.з.у. 61:41:0030403:430 (ориентировочная протяженность ЛЭП 0,02 км)</t>
  </si>
  <si>
    <t>Строительство участка ВЛИ-0,4 кВ от опоры №1/14 ВЛ-0,4 кВ №1 КТП-8560/100 кВА ВЛ-6 кВ №1 ПС 35/6 кВ НС-12, с установкой шкафа 0,4 кВ, и  обеспечение коммерческим учетом электрической энергии (мощности) в точке поставки по присоединению дачного домика Денисенко Л.Н., расположенной по адресу: Ростовская область, Волгодонской район, сдт. Юбилейное, кадастровый номер земельного участка 61:08:0601901:467 (ориентировочная протяженность ЛЭП 0,035 км)</t>
  </si>
  <si>
    <t xml:space="preserve">Строительство участка ВЛЗ-6 кВ от опоры №11/14 ВЛ-6 кВ №14 ПС 35/6 кВ Романовская, с установкой ТП-6/0,4 кВ и строительство ВЛИ-0,4 кВ от РУ-0,4 кВ вновь установленной ТП-6/0,4 кВ  для присоединения жилого дома Овчаровой Л.Н., расположенного по адресу: Ростовская область, Волгодонской район, станица Романовская, ул. 75 лет Победы, д.7, к.н. 61:08:0600601:4564 (ориентировочная протяженность ЛЭП 0,29 км, ориентировочная мощность трансформатора 160 кВА)
</t>
  </si>
  <si>
    <t>Строительство ВЛИ-0,4 кВ от новой ТП-10/0,4 кВ и строительство ТП 10/0,4 кВ от опоры №9/7 ВЛЗ-6 кВ №5 ПС 35/6 кВ НС-13 для присоединения зверофермы Винокуровой О.Л., расположенной по адресу: Ростовская область, Волгодонской район, х. Сухая Балка, к.н. 61:08:0600801:811 (ориентировочная протяженность ЛЭП 0,01 км, ориентировочная мощность трансформатора 25 кВА)</t>
  </si>
  <si>
    <t>Строительство участка ВЛИ-0,4 кВ от опоры №1/6 ВЛИ-0,4 кВ №2 КТП 8343 ВЛ 6 кВ №14 ПС 35 кВ Романовская и установка прибора коммерческого учета электрической энергии (мощности) в точке поставки для присоединения индивидуального жилого дома Васильевой М.Е., расположенного по адресу: Ростовская область, Волгодонской район, станица Романовская, ул. Язева, д. 53, к.н.з.у. 61:08:0600601:4502 (ориентировочная протяженность ЛЭП 0,03 км)</t>
  </si>
  <si>
    <t>Строительство участка ВЛ-10 кВ от опоры №83 ВЛ-10 кВ №15 ПС 220/110/10 кВ Зимовники, с установкой ТП-10/0,4 кВ и строительство ВЛИ-0,4 кВ от РУ-0,4 кВ вновь установленной ТП-10/0,4 кВ  для присоединения полигона отходов производства и потребления МУП ЖКХ Зимовниковского района, расположенного по адресу: Ростовская область, Зимовниковский район, п. Зимовники, 0,5 км на запад, к.н. 61:13:0600008:1619 (ориентировочная протяженность ЛЭП 3,815 км, ориентировочная мощность трансформатора 25 кВА)</t>
  </si>
  <si>
    <t>Строительство участка ВЛИ-0,4 кВ от опоры №1 ВЛ 0,4 кВ №4 КТП-6124 ВЛ 10 кВ №6 ПС 110 кВ Мартыновская и установка прибора коммерческого учета электрической энергии (мощности) в точке поставки для присоединения зерносклада КХ Тарим, расположенного по адресу: Ростовская область, Мартыновский район, х. Кривой Лиман, участок примерно в 223 по направлению на юго-запад, к.н.з.у. 61:20:0600020:2209 (ориентировочная протяженность ЛЭП 0,075 км)</t>
  </si>
  <si>
    <t>Строительство участка ВЛИ-0,4 кВ от опоры №22  ВЛ-0,4 кВ №2 КТП-6193/160 кВА ВЛ-10 кВ №6 ПС 110/35/10 кВ Мартыновская, с установкой шкафа 0,4 кВ, и  обеспечение коммерческим учетом электрической энергии (мощности) в точке поставки по присоединению теплицы Мамедова Н.А., расположенной по адресу: Ростовская область, Мартыновский район, х. Арбузов, в 40 метрах на юг от ул. Школьная, д. 78, кадастровый номер земельного участка. 61:20:0080201:2116 (ориентировочная протяженность ЛЭП 0,035 км)</t>
  </si>
  <si>
    <t>Строительство участка ВЛИ-0,4 кВ от опоры №16 ВЛ-0,4 кВ №1 КТП 6092 ВЛ 10 кВ №12 ПС 110 кВ Мартыновская и установка прибора коммерческого учета электрической энергии (мощности) в точке поставки для присоединения скважины для полива огорода Мавлюдовой З.С., расположенной по адресу: Ростовская область, Мартыновский район, х. Новониколаевский, ул. Центральная, д. 8в, к.н.з.у. 61:20:0080501:529 (ориентировочная протяженность ЛЭП 0,085 км)</t>
  </si>
  <si>
    <t>Строительство участка ВЛИ-0,4 кВ от опоры №1 ВЛ-0,4 кВ №2 КТП-6101/100 кВА ВЛ-10 кВ №6 ПС 110/35/10 кВ Мартыновская, с установкой шкафа 0,4 кВ, и  обеспечение коммерческим учетом электрической энергии (мощности) в точке поставки по присоединению скважины для полива огорода Луманова Е.И., расположенной по адресу: Ростовская область, Мартыновский район, х. Арбузов, ул. Краснопартизанская, д. 62, кадастровый номер земельного участка 61:20:0600019:1213 (ориентировочная протяженность ЛЭП 0,212 км)</t>
  </si>
  <si>
    <t>Строительство участка ВЛИ-0,4 кВ от опоры №4 ВЛ 0,4 кВ №1 КТП 6550 ВЛ 10 кВ №6 ПС 110 кВ Несмеяновская и установка прибора коммерческого учета электрической энергии (мощности) в точке поставки для присоединения гаража Леошика А.В, расположенного по адресу: Ростовская область, Мартыновский район, х. Малоорловский, ул. Почтовая, д. 2А, к.н.з.у. 61:20:0060101:5291 (ориентировочная протяженность ЛЭП 0,017 км)</t>
  </si>
  <si>
    <t>Строительство участка ВЛИ-0,4 кВ от опоры №27 ВЛ-0,4 кВ №3 КТП-6078 ВЛ-6 кВ №1 ПС 110 кВ Северный Портал и установка прибора коммерческого учета электрической энергии (мощности) в точке поставки для присоединения малоэтажной жилой застройки (Дачного дома) Киреева К.С., расположенной по адресу: Ростовская область, Мартыновский район, Рубашкинское сельское поселение, х. Пробуждение, ул. Мира, д. 2-г, кадастровый номер земельного участка 61:20:0080701:1028 (ориентировочная протяженность ЛЭП 0,062 км)</t>
  </si>
  <si>
    <t>Строительство участка ВЛИ-0,4 кВ от опоры №1/6 ВЛ-0,4 кВ №1 КТП 6500 ВЛ-6 кВ №305 ПС 110 кВ СМ-3 и установка прибора коммерческого учета электрической энергии (мощности) в точке поставки для присоединения квартиры Громова И.О., расположенной по адресу: Ростовская область, Мартыновский район, п. Речной, ул. Набережная, д. 10, кв./оф. 2, к.н.з.у. 61:35:050701:20 (ориентировочная протяженность ЛЭП 0,025 км)</t>
  </si>
  <si>
    <t>Строительство участка ВЛИ-0,4 кВ от опоры №2/14 ВЛ 0,4 кВ №1 КТП 6579 ВЛ-10 кВ №4 ПС 110 кВ Комаровская и установка прибора коммерческого учета электрической энергии (мощности) в точке поставки для присоединения скважины для полива огорода Юрданидзе Л.Н., расположенной по адресу: Ростовская область, Мартыновский район, х. Сальский Кагальник, ул. Профсоюзная, д.32, к.н.з.у. 61:20:0060501:3795 (ориентировочная протяженность ЛЭП 0,02 км)</t>
  </si>
  <si>
    <t>Строительство участка ВЛИ-0,4 кВ от опоры №2/8 ВЛ-0,4 кВ №1 КТП 6483 ВЛ 10 кВ №1 ПС 35 кВ Рассвет и установка прибора коммерческого учета электрической энергии (мощности) в точке поставки для присоединения навеса для стоянки транспорта Тубашева Ю.С., расположенного по адресу: Ростовская область, Мартыновский район, п. Абрикосовый, ул. Восточная, д. 12А, к.н.з.у. 61:20:0020201:1361 (ориентировочная протяженность ЛЭП 0,017 км)</t>
  </si>
  <si>
    <t xml:space="preserve">Строительство участка ВЛИ-0,4 кВ от опоры №4 ВЛ-0,4 кВ №2 КТП-6584/100 кВА ВЛ-10 кВ №12 ПС 110/35/10 кВ Комаровская, с установкой шкафа 0,4 кВ, и  обеспечение коммерческим учетом электрической энергии (мощности) в точке поставки по присоединению парка Администрации Большеорловского сельского поселения, расположенного по адресу: Ростовская область, Мартыновский район, слобода Большая Орловка, пер. Школьный, д. 21-а, кадастровый номер земельного участка. 61:20:0020101:12022 (ориентировочная протяженность ЛЭП 0,022 км)
</t>
  </si>
  <si>
    <t>Строительство участка ВЛИ-0,4 кВ от опоры №1/3 ВЛ-0,4 кВ №2 КТП 6507 ВЛ 10 кВ №5 ПС 110 кВ Комаровская и установка прибора коммерческого учета электрической энергии (мощности) в точке поставки для присоединения жилого дома Огаркова С.А., расположенного по адресу: Ростовская область, Мартыновский район, х. Комаров, ул. Никифорова, д. 7, к.н.з.у. 61:20:0050101:3983 (ориентировочная протяженность ЛЭП 0,017 км)</t>
  </si>
  <si>
    <t>Строительство участка ВЛИ-0,4 кВ от опоры №4/7 ВЛ 0,4 кВ №1 КТП-6522 ВЛ 10 кВ №2 ПС 35 кВ Рассвет и установка прибора коммерческого учета электрической энергии (мощности) в точке поставки для присоединения жилого дома Козинец Н.М., расположенного по адресу: Ростовская область, Мартыновский район, п. Зеленолугский, ул. Советская, д. 18, к.н.з.у. 61:20:0020401:467 (ориентировочная протяженность ЛЭП 0,03 км)</t>
  </si>
  <si>
    <t>Строительство участка ВЛИ-0,4 кВ от вновь установленной опоры вновь построенной ВЛИ-0,4 кВ от РУ-0,4 кВ вновь установленной ТП-10/0,4 кВ по ВЛ-10 кВ №5 ПС 35 кВ Лозновская (по договору №61-1-20-00502997 от 19.03.2020г) и установка прибора коммерческого учета электрической энергии (мощности) в точке поставки для присоединения жилого дома Чупалаева С.Р., расположенного по адресу: Ростовская область, Цимлянский район,  п. Сосенки, ул. Новая, д. 7, к.н.з.у. 61:41:030304:06 (ориентировочная протяженность ЛЭП 0,02 км)</t>
  </si>
  <si>
    <t>Строительство участка ВЛИ-0,4 кВ от опоры №1 ВЛ 0,4 кВ №2 КТП-1364 ВЛ 10 кВ №4 ПС 35 кВ ЖБИ и установка прибора коммерческого учета электрической энергии (мощности) в точке поставки для присоединения жилого дома Чемезовой Е.Н., расположенного по адресу: Ростовская область, Цимлянский район, станица Красноярская, пер. Цимлянский, д. 29а, к.н.з.у. 61:41:0020105:41 (ориентировочная протяженность ЛЭП 0,03 км)</t>
  </si>
  <si>
    <t>Строительство участка ВЛИ-0,4 кВ от опоры №6 ВЛ-0,4 кВ №1 КТП-1367 ВЛ-10 кВ №2 ПС 35 кВ ЖБИ и установка прибора коммерческого учета электрической энергии (мощности) в точке поставки для присоединения жилого дома Филиппова В.В., расположенного по адресу: Ростовская область, Цимлянский район, станица Красноярская, ул. Заречная, д. 86, к.н.з.у. 61:41:0020126:34 (ориентировочная протяженность ЛЭП 0,03 км)</t>
  </si>
  <si>
    <t>Строительство участка ВЛИ-0,4 кВ от опоры № 8 ВЛ-0,4 кВ №2 КТП-1600/100 кВА ВЛ-10 кВ №4 ПС 35/10 кВ Новоцимлянская, с установкой шкафа 0,4 кВ, и обеспечение коммерческим учетом электрической энергии (мощности) в точке поставки по присоединению жилого дома Фадеева С.Р., расположенного по адресу: Ростовская область, Цимлянский район, х. Богатырев, ул. Весенняя, д. 48, кадастровый номер земельного участка: 61:41:0070204:20  (ориентировочная протяженность ЛЭП 0,04 км)</t>
  </si>
  <si>
    <t>Строительство участка ВЛИ-0,4 кВ от опоры №2 ВЛ 0,4 кВ №3 КТП-1555 ВЛ 10 кВ №5 ПС 110 кВ Цимлянская и установка прибора коммерческого учета электрической энергии (мощности) в точке поставки для присоединения жилого дома Першонкина А.И., расположенного по адресу: Ростовская область, Цимлянский район, п. Саркел, ул. Комсомольская, д. 2а, к.н.з.у. 61:41:0011103:85 (ориентировочная протяженность ЛЭП 0,06 км)</t>
  </si>
  <si>
    <t>Строительство участка ВЛИ-0,4 кВ от опоры №11 ВЛ-0,4 кВ №1 КТП-1559 ВЛ-10 кВ №5 РП 10 кВ Маркинская ПС 110 кВ Черкассы и установка прибора коммерческого учета электрической энергии (мощности) в точке поставки для присоединения жилого дома Загорской Н.В., расположенного по адресу: Ростовская область, Морозовский район, х. Великанов, ул. Великанова, д. 4, кадастровый номер земельного участка 61:24:0110301:54 (ориентировочная протяженность ЛЭП 0,1 км)</t>
  </si>
  <si>
    <t>Строительство участка ВЛЗ-10 кВ от опоры №344 ВЛ-10 кВ №24 ПС 110 кВ Цимлянская,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нежилого здания (коровника) ИП Зейналова Б.С.о., расположенного по адресу: Ростовская область, Цимлянский район, 640 метров на северо-запад от жилого дома №1 по улице Степная в станице Хорошевская, к.н.з.у. 61:41:0600009:1393 (ориентировочная протяженность ЛЭП 0,19 км, ориентировочная мощность трансформатора 25 кВА, количество приборов коммерческого учета – 1 шт)</t>
  </si>
  <si>
    <t>Строительство ВЛИ-0,4 кВ от РУ-0,4 кВ вновь установленной ТП-10/0,4 кВ по ВЛ-10 кВ №5  ПС 35/10 кВ Лозновская (по договору  от 19.03.2020 №61-1-20-00502997) и установка прибора коммерческого учета электрической энергии (мощности) в точке поставки для присоединения квартиры Москвича В.Н., расположенной по адресу: Ростовская область, Цимлянский район, п. Сосенки, ул. Юбилейная, д.8, кв.1, к.н.з.у. 61:41:0030302:26 (ориентировочная протяженность ЛЭП 0,3 км)</t>
  </si>
  <si>
    <t>Строительство участка ВЛИ-0,4 кВ от опоры №4 ВЛ-0,4 кВ №3 КТП-1157 ВЛ-10 кВ №24 ПС 110 кВ Цимлянская и установка прибора коммерческого учета электрической энергии (мощности) в точке поставки для присоединения жилого дома Дементьева С.А., расположенного по адресу: Ростовская область, Цимлянский район, станица Хорошевская, ул. Морская,  д. 2-а, кадастровый номер земельного участка 61:41:0020204:228 (ориентировочная протяженность ЛЭП 0,125 км)</t>
  </si>
  <si>
    <t>Строительство участка ВЛИ-0,4 кВ от опоры №24 ВЛ 0,4 кВ №2 КТП 1555 ВЛ-10 кВ №5 ПС 110 кВ Цимлянская и установка прибора коммерческого учета электрической энергии (мощности) в точке поставки для присоединения жилого дома Перепелицы В.С., расположенного по адресу: Ростовская область, Цимлянский район, п. Саркел, ул. Нагорная, д. 1-б, к.н.з.у. 61:41:0011102:865 (ориентировочная протяженность ЛЭП 0,11 км)</t>
  </si>
  <si>
    <t>Строительство участка ВЛИ-0,4 кВ от вновь установленной опоры вновь построенной ВЛИ-0,4 кВ (по договору №61-1-20-00507769 от 20.04.2020г) от РУ-0,4 кВ вновь установленной ТП-10/0,4 кВ по ВЛ-10 кВ №5 ПС 35/10 кВ Лозновская (по договору №61-1-19-00502997 от 19.03.2020г) и установка прибора коммерческого учета электрической энергии (мощности) в точке поставки для присоединения свинарника ИП Камбур-Оглы И.Б., расположенного по адресу: Ростовская область, Цимлянский район, п. Сосенки, 30 м западнее дома №32 по ул. Центральной, к.н.з.у. 61:41:0600011:962 (ориентировочная протяженность ЛЭП 0,17 км)</t>
  </si>
  <si>
    <t>Строительство ВЛИ-0,4 кВ от РУ-0,4 кВ  КТП-1139 ВЛ-10 кВ №5 ПС 35 кВ Антоновская и установка прибора коммерческого учета электрической энергии (мощности) в точке поставки для присоединения жилого дома Небогатикова В.Н., расположенного по адресу: Ростовская область, Цимлянский район, станица Калининская,  ул. Вербная, д. 23б, к.н.з.у. 61:41:0060109:357 (ориентировочная протяженность ЛЭП 0,4 км)</t>
  </si>
  <si>
    <t>Строительство участка ВЛИ-0,4 кВ от опоры №17 ВЛ-0,4 кВ №1 КТП-1356/100 кВА ВЛ-10 кВ №2 ПС 35/10 кВ ЖБИ, с установкой шкафа 0,4 кВ, и  обеспечение коммерческим учетом электрической энергии (мощности) в точке поставки по присоединению жилого дома Капраловой С.Ф., расположенного по адресу: Ростовская область, Цимлянский район, станица Красноярская, пер. Рабочий, д. 15, кадастровый номер земельного участка 61:41:0020126:126 (ориентировочная протяженность ЛЭП 0,07 км)</t>
  </si>
  <si>
    <t>Строительство участка ВЛИ-0,4 кВ от вновь установленной опоры вновь построенной ВЛИ-0,4 кВ от РУ-0,4 кВ вновь установленной ТП-10/0,4 кВ по ВЛ-10 кВ №5 ПС 35 кВ Лозновская (по договору №61-1-20-00502997 от 19.03.2020г) и установка прибора коммерческого учета электрической энергии (мощности) в точке поставки для присоединения жилого дома Мартынова В.Т., расположенного по адресу: Ростовская область, Цимлянский район,  п. Сосенки, ул. Новая, д. 5, к.н.з.у. 61:41:030301:005 (ориентировочная протяженность ЛЭП 0,025 км)</t>
  </si>
  <si>
    <t>Строительство участка ВЛИ-0,4 кВ от вновь установленной опоры вновь построенной ВЛИ-0,4 кВ от РУ-0,4 кВ вновь установленной ТП-10/0,4 кВ по ВЛ-10 кВ №5 ПС 35 кВ Лозновская (по договору ТП №61-1-20-00502997 от 19.03.2020г.) и установка прибора коммерческого учета электрической энергии (мощности) в точке поставки для присоединения жилого дома Межерицкого А.В., расположенного по адресу: Ростовская область, Цимлянский район, п. Сосенки, ул. Новая, д. 3, к.н.з.у.: 61:41:030302:41 (ориентировочная протяженность ЛЭП 0,02 км)</t>
  </si>
  <si>
    <t>Строительство участка ВЛИ-0,4 кВ от вновь установленной опоры вновь построенной ВЛИ-0,4 кВ от РУ-0,4 кВ КТП 8608 ВЛ 6 кВ №14 ПС 35 кВ Романовская (по договору ТП №61-1-21-00600573 от 13.09.2021г.) и установка прибора коммерческого учета электрической энергии (мощности) в точке поставки для присоединения индивидуального жилого дома Супрунюк С.А., расположенного по адресу: Ростовская область, Волгодонской район, станица Романовская, ул. 75 лет Победы, д. 66, к.н.з.у. 61:08:0600601:4622 (ориентировочная протяженность ЛЭП 0,24 км)</t>
  </si>
  <si>
    <t>Строительство ВЛЗ-6 кВ от опоры №149 ВЛ-6 кВ №1 ПС 35/6 кВ Романовская,с установкой ТП-6/0,4 кВ и строительство ВЛИ-0,4 кВ от РУ-0,4 кВ вновь установленной ТП-6/0,4 кВ  для присоединения здания общественного питания ИП Свитенко Д.В., расположенного по адресу: Ростовская область, г. Волгодонск, ул. Отдыха, д. 51б, к.н. 61:48:0020101:1451 (ориентировочная протяженность ЛЭП 0,013 км, ориентировочная мощность трансформатора 160 кВА)</t>
  </si>
  <si>
    <t>Строительство участка ВЛ-10 кВ от опоры №74 ВЛ-10 кВ №1 ПС 35/10/6 кВ Донская, с установкой ТП-10/0,4 кВ, строительство ВЛИ-0,4 кВ от РУ-0,4 кВ вновь установленной ТП-10/0,4 кВ,  с установкой шкафа 0,4 кВ, и обеспечение коммерческим учетом электрической энергии (мощности) в точке поставки по присоединению жилого дома Айдимировой А.М., расположенного по адресу: Ростовская область, Волгодонской район, п. Краснодонский, 152 км автодороги Ольгинская-Волгодонск к.н. 61:08:0600101:670 (ориентировочная протяженность  ЛЭП 0,015 км, ориентировочная мощность трансформатора 25 кВА)</t>
  </si>
  <si>
    <t>Строительство участка ВЛИ-0,4 кВ от опоры №8 ВЛ 0,4 кВ №1 КТП 8176 ВЛ 10 кВ №1 ПС 35 кВ Донская и установка прибора коммерческого учета электрической энергии (мощности) в точке поставки для присоединения жилого дома Молчанова А.Н., расположенного по адресу: Ростовская область, Волгодонской район, п. Краснодонский, ул. Южная, д. 9Б, к.н.з.у. 61:08:0600901:293 (ориентировочная протяженность ЛЭП 0,03 км)</t>
  </si>
  <si>
    <t>Строительство участка ВЛИ-0,4 кВ от опоры №8 ВЛ 0,4 кВ №1 КТП 7202 ВЛ 10 кВ №6 ПС 35 кВ Крюковская и установка прибора коммерческого учета электрической энергии (мощности) в точке поставки для присоединения жилого дома Гляненко Н.Ю., расположенного по адресу: Ростовская область, Константиновский район, х. Трофимов, ул. Садовая, д. 2, к.н.з.у. 61:17:0061001:79 (ориентировочная протяженность ЛЭП 0,065 км)</t>
  </si>
  <si>
    <t>Строительство участка ВЛИ-0,4 кВ от опоры №15 ВЛ 0,4 кВ №2 КТП 7068 ВЛ 10 кВ №3 ПС 35 кВ Нижне-Журавская и установка прибора коммерческого учета электрической энергии (мощности) в точке поставки для присоединения жилого дома Сударкина Р.С., расположенного по адресу: Ростовская область, Константиновский район, х. Нижнежуравский, ул. Тихая, д. 1, к.н.з.у. 61:17:0020401:440 (ориентировочная протяженность ЛЭП 0,213 км)</t>
  </si>
  <si>
    <t>Строительство участка ВЛИ-0,4 кВ от опоры №19 ВЛ 0,4 кВ №2 КТП 7246 ВЛ 10 кВ №21 ПС 110 кВ КГУ и установка прибора коммерческого учета электрической энергии (мощности) в точке поставки для присоединения жилого дома Кочетовой А.И, расположенного по адресу: Ростовская область, Константиновский район, х. Камышный, ул. Дальняя, д. 12, к.н.з.у.: 61:17:0030201:324 (ориентировочная протяженность ЛЭП 0,042 км)</t>
  </si>
  <si>
    <t>Строительство участка ВЛИ-0,4 кВ от опоры №2/4 ВЛ 0,4 кВ №1 КТП 7378 ВЛ 10 кВ №11 ПС 35 кВ Мариинская и установка прибора коммерческого учета электрической энергии (мощности) в точке поставки для присоединения жилого дома Сухаревской И.А., расположенного по адресу: Ростовская область, Константиновский район, х. Горский, ул. Центральная, д. 8, к.н.з.у. 61:17:0050201:25 (ориентировочная протяженность ЛЭП 0,02 км)</t>
  </si>
  <si>
    <t>Строительство участка ВЛИ-0,4 кВ от вновь установленной опоры вновь построенной ВЛИ-0,4 кВ от вновь установленной ТП-10/0,4 кВ по ВЛ-10 кВ №4 ПС 35 кВ Николаевская (по договорам ТП №61-1-21-00558799 от 15.02.2021г, №61-1-21-00560041 от 15.02.2021г) и установка прибора коммерческого учета электрической энергии (мощности) в точке поставки для присоединения жилого дома Пятиковой А.Н., расположенного по адресу: Ростовская область, Константиновский район, станица Николаевская, ул. Ермакова, д. 5, к.н.з.у. 61:17:0050101:1594 (ориентировочная протяженность ЛЭП 0,1 км)</t>
  </si>
  <si>
    <t>Строительство участка ВЛИ-0,4 кВ от опоры №1 ВЛ 0,4 кВ №1 КТП 7067 ВЛ 10 кВ №6 ПС 35 кВ Крюковская и 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Константиновский район, х. Трофимов, примерно 145 м по направлению на юго-запад от границы участка с кадастровым номером 61:17:0061001:68 по адресу: ул. Степная, 26, в кадастровом квартале 61:17:0061001, к.н.з.у. 61:17:0061001 (ориентировочная протяженность ЛЭП 0,105 км)</t>
  </si>
  <si>
    <t>Строительство участка ВЛИ-0,4 кВ от опоры №13 ВЛИ 0,4 кВ №1 ЗТП 7218 ВЛ 10 кВ №26 ПС 110 кВ КГУ и установка прибора коммерческого учета электрической энергии (мощности) в точке поставки для присоединения административно-бытового корпуса – нежилого помещения ИП Тычко В.Ю., расположенного по адресу: Ростовская область, Константиновский район, х. Ведерников, 0,35 км восточнее х. Ведерников, к.н.з.у. 61:17:0600017:598 (ориентировочная протяженность ЛЭП 0,14 км)</t>
  </si>
  <si>
    <t>Строительство участка ВЛЗ-10 кВ от опоры №69 ВЛ-10 кВ №15 ПС 110 кВ Константиновская,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сторожки ИП Тарелкина В.В., расположенной по адресу: Ростовская область, Константиновский район, Константиновское городское поселение, 3,0 км юго-западнее г. Константиновск, к.н.з.у. 61:17:0500101:265 (ориентировочная протяженность ЛЭП 0,048 км, ориентировочная мощность трансформатора 25 кВА)</t>
  </si>
  <si>
    <t>Строительство участка ВЛИ-0,4 кВ от опоры №3/2 ВЛ 0,4 кВ №2 КТП 7402 ВЛ 10 кВ №11 ПС 35 кВ Николаевская и установка прибора коммерческого учета электрической энергии (мощности) в точке поставки для присоединения жилого дома Байдалина А.Н., расположенного по адресу: Ростовская область, Константиновский район, станица Николаевская, ул. Победы, д. 29, к.н.з.у. 61:17:0050101:2131 (ориентировочная протяженность ЛЭП 0,02 км)</t>
  </si>
  <si>
    <t>Строительство ВЛИ-0,4 кВ от РУ-0,4 кВ КТП-7254/160 кВА ВЛ-10кВ №24 ПС 110/35/10 кВ КГУ, с установкой шкафа 0,4 кВ, и  обеспечение коммерческим учетом электрической энергии (мощности) в точке поставки по присоединению спортивной площадки ИП Сергеева О.В., расположенной по адресу: Ростовская область, Константиновский район, г. Константиновск, ул. Правобережная, д. 17-а, кадастровый номер земельного участка 61:17:0600017:555 (ориентировочная протяженность ЛЭП 0,03 км)</t>
  </si>
  <si>
    <t>Строительство участка ВЛИ-0,4 кВ от опоры №1/15 ВЛ-0,4 кВ №1 КТП-6100/63 кВА ВЛ-10 кВ №6 ПС 110/35/10 кВ Мартыновская, с установкой шкафа 0,4 кВ, и  обеспечение коммерческим учетом электрической энергии (мощности) в точке поставки по присоединению жилого дома Махмудова М.А., расположенного по адресу: Ростовская область, Мартыновский район, х. Арбузов, ул. Краснопартизанская, д. 36а,  кадастровый номер земельного участка 61:20:0600019:1152 (ориентировочная протяженность ЛЭП 0,09 км)</t>
  </si>
  <si>
    <t>Строительство участка ВЛИ-0,4 кВ от опоры №2 ВЛ-0,4 кВ №2 КТП-6071/100 кВА ВЛ-10 кВ №12 ПС 110/35/10 кВ Мартыновская, с установкой шкафа 0,4 кВ, и  обеспечение коммерческим учетом электрической энергии (мощности) в точке поставки и установка шкафа 0,4 кВ по присоединению жилого дома Лобзенко М.Г., расположенного по адресу: Ростовская область, Мартыновский район, п. Поречье,  ул. Поречинская, д. 7-а, к.н. 61:20:0081001:835 (ориентировочная протяженность ЛЭП 0,017 км)</t>
  </si>
  <si>
    <t>Строительство участка ВЛ-10 кВ от опоры №2/48 ВЛ-10 кВ №6 ПС 110/35/10 кВ Мартыновская, с установкой ТП-10/0,4 кВ, строительство ВЛИ-0,4 кВ от РУ-0,4 кВ вновь установленной ТП-10/0,4 кВ и обеспечение коммерческим учетом электрической энергии (мощности) в точке поставки по присоединению сторожевого дома ИП Ермакова Н.Ю., расположенного по адресу: Ростовская область, Мартыновский район, х. Кривой Лиман, Рубашкинское сельское поселение, к.н. 61:20:0600020:2268 (ориентировочная протяженность ЛЭП 0,365 км, ориентировочная мощность трансформатора 25 кВА)</t>
  </si>
  <si>
    <t>Строительство участка ВЛИ-0,4 кВ от опоры №14 ВЛ 0,4 кВ №1 КТП 6433 ВЛ 10 кВ №7 ПС 110 кВ Комаровская и установка прибора коммерческого учета электрической энергии (мощности) в точке поставки для присоединения жилого дома Эминова Б.П., расположенного по адресу: Ростовская область, Мартыновский район, п. Крутобережный, ул. Советская, д. 11а, к.н.з.у. 61:20:0020501:2888 (ориентировочная протяженность ЛЭП 0,017 км)</t>
  </si>
  <si>
    <t>Строительство участка ВЛИ-0,4 кВ от опоры №1 ВЛ-0,4 кВ №1 КТП-3118 ВЛ 10 кВ №2 ПС 35 кВ Эркетиновская и установка прибора коммерческого учета электрической энергии (мощности) в точке поставки для присоединения жилого дома Габибуллаева М.И., расположенного по адресу: Ростовская область, Дубовский район, х. Кут-Кудинов, ул. Раздольная, д. 36, к.н.з.у. 61:09:0080301:208 (ориентировочная протяженность ЛЭП 0,23 км)</t>
  </si>
  <si>
    <t>Строительство участка ВЛИ-0,4 кВ от опоры №5 ВЛ 0,4 кВ №2 КТП 3013 ВЛ 10 кВ №7 ПС 35 кВ Семичная и установка прибора коммерческого учета электрической энергии (мощности) в точке поставки для присоединения квартиры Шабуровой Н.Н, расположенной по адресу: Ростовская область, Дубовский район, х. Семичный, ул. Октября, д. 1, кв. 2, к.н.з.у.: 61:09:0020101:1821 (ориентировочная протяженность ЛЭП 0,16 км)</t>
  </si>
  <si>
    <t>Строительство участка ВЛИ-0,4 кВ от опоры №1 ВЛ-0,4 кВ №1 КТП-3234 ВЛ-10 кВ №10 ПС 35 кВ Комиссаровская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базовой станции/оборудования сотовой связи ПАО «Ростелеком», расположенной по адресу: Ростовская область, Дубовский район, х. Советский, ул. Степная, примерно 23 м по направлению на север от границы участка, расположенного по адресу: ул. Степная, д. 16, к.н.з.у.: 61:09:0120401:001 (ориентировочная протяженность ЛЭП 0,23 км)</t>
  </si>
  <si>
    <t>Строительство участка ВЛИ-0,4 кВ от опоры №6 ВЛ-0,4 кВ №1 КТП-3086 ВЛ 10 кВ №3 ПС 110 кВ Дубовская и установка прибора коммерческого учета электрической энергии (мощности) в точке поставки для присоединения нежилой застройки (хозяйственной постройки, нежилого здания) Акопяна А.Л., расположенной по адресу: Ростовская область, Дубовский район, х. Моисеев, ул. Речная, д. 15, к.н.з.у. 61:09:0010401:39 (ориентировочная протяженность ЛЭП 0,02 км)</t>
  </si>
  <si>
    <t>Строительство участка ВЛ-10 кВ от опоры №4/15 ВЛ-10 кВ №6 ПС 35 кВ Валуевская,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заправочной ИП Исраилова Л.О., расположенной по адресу: Ростовская область, Ремонтненский район, с. Валуевка, ул. Восточная, д.30, к.н.з.у.: 61:32:0600002:4229 (ориентировочная протяженность ЛЭП 0,026 км, ориентировочная мощность трансформатора 0,025 МВА)</t>
  </si>
  <si>
    <t>Строительство участка ВЛИ-0,4 кВ от опоры №37 ВЛ 0,4 кВ №1 КТП 4333 ВЛ 10 кВ №4 ПС 35 кВ Первомайская и установка прибора коммерческого учета электрической энергии (мощности) в точке поставки для присоединения жилого дома Зинченко Е.И., расположенного по адресу: Ростовская область, Ремонтненский район, с. Первомайское, ул. Богданова, д. 3В, к.н.о.: 61/:32:38:007:2005:325, к.н.з.у. 61:32:0080102:6 (ориентировочная протяженность ЛЭП 0,054 км)</t>
  </si>
  <si>
    <t>Строительство участка ВЛИ-0,4 кВ от опоры №8 ВЛ 0,4 кВ №2 КТП 4344 ВЛ 10 кВ №3 ПС 35 кВ Подгорненская и установка прибора коммерческого учета электрической энергии (мощности) в точке поставки для присоединения навеса ИП Луговенко А.Н., расположенного по адресу: Ростовская область, Ремонтненский район, Подгорненское сельское поселение, расположен по направлению на восток от с. Подгорное, к.н.з.у. 61:32:0600004:9777 (ориентировочная протяженность ЛЭП 0,08 км)</t>
  </si>
  <si>
    <t>Строительство ВЛИ-0,4 кВ от РУ-0,4 кВ вновь устанавливаемой ТП-10/0,4 кВ, установка ТП-10/0,4 кВ от опоры №1/5 ВЛ 10 кВ №2 ПС 110 кВ Приволенская и установка шкафа коммерческого учета электрической энергии (мощности) в точке поставки для присоединения зерноочистительного комплекса ИП главы К(Ф)Х Нетребина В.Ю., расположенного по адресу: Ростовская область, Ремонтненский район, территория земель Приволенского сельского поселения, 1,5 км севернее п. Привольный, на 44 отарном участке, к.н.з.у.: 61:32:0600001:4291 (ориентировочная протяженность ЛЭП 0,006 км, ориентировочная мощность трансформатора 0,1 МВА)</t>
  </si>
  <si>
    <t>Строительство участка ВЛ-10 кВ от опоры №130 ВЛ-10 кВ №8 ПС 35/10 кВ Потапенковская, с установкой ТП-10/0,4 кВ, строительство ВЛИ-0,4 кВ от РУ-0,4 кВ вновь установленной ТП-10/0,4 кВ, с установкой шкафа 0,4 кВ, и обеспечение коммерческим учетом электрической энергии (мощности) в точках поставки по присоединению нежилого здания Осичкиной А.М., расположенного по адресу: Ростовская область, Заветинский район, х.Фомин, участок находится примерно в 1,3 км, по направлению на восток от ориентира у.Торговое, расположенного за пределами участка, адрес ориентира р-н Заветинский, х.Фомин, к.н. 61:11:0600009:349 (ориентировочная протяженность ЛЭП 0,03 км, ориентировочная мощность трансформатора 25 кВА)</t>
  </si>
  <si>
    <t>Строительство участка ВЛИ-0,4 кВ от опоры №17 ВЛ-0,4 кВ №1 КТП-1356 ВЛ-10кВ №2 ПС 35кВ ЖБИ и установка прибора коммерческого учета электрической энергии (мощности) в точке поставки для присоединения жилого дома Фрик Г.Н., расположенного по адресу: Ростовская область, Цимлянский район, станица Красноярская, пер. Рабочий, д. 4, кадастровый номер земельного участка 61:41:0020126:138 (ориентировочная протяженность ЛЭП 0,06 км)</t>
  </si>
  <si>
    <t>Строительство участка ВЛИ-0,4 кВ от опоры №4 ВЛ 0,4 кВ №1 КТП-1400 ВЛ 10 кВ №17 ПС 110 кВ Цимлянская и установка прибора коммерческого учета электрической энергии (мощности) в точке поставки для присоединения здания зернохранилища ООО «Зеленое хозяйство», расположенного по адресу: Ростовская область, Цимлянский район, г. Цимлянск, пер. Союзный, д. 1б, к.н.з.у. 61:41:0010507:6 (ориентировочная протяженность ЛЭП 0,12 км)</t>
  </si>
  <si>
    <t>Строительство участка ВЛИ-0,4 кВ от опоры №6 ВЛ 0,4 кВ №2 КТП-1409 ВЛ 10 кВ №17 ПС 110 кВ Цимлянская и установка прибора коммерческого учета электрической энергии (мощности) в точке поставки для присоединения жилого дома Глобы Е.Н., расположенного по адресу: Ростовская область, Цимлянский район, станица Красноярская, ул. Степная, д. 42, к.н.з.у. 61:41:0020122:367 (ориентировочная протяженность ЛЭП 0,22 км)</t>
  </si>
  <si>
    <t>Строительство участка ВЛИ-0,4 кВ от опоры №5/3 ВЛ 0,4 кВ №1 КТП-1443 ВЛ 10 кВ №5 ПС 110 кВ Цимлянская до опоры №6/2 ВЛ 10 кВ №5 ПС 110 кВ Цимлянская с реконструкцией участка ВЛ-0,4 кВ от опоры №1/7 до опоры №5/3 ВЛ 0,4 кВ №1 КТП-1443 ВЛ 10 кВ №5 ПС 110 кВ Цимлянская и 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Кузнецова М.А., расположенной по адресу: Ростовская область, Цимлянский район, п. Саркел, пер. Западный, д. 27б, к.н.з.у. 61:41:0011105:161(ориентировочная протяженность ЛЭП 0,12 км)</t>
  </si>
  <si>
    <t xml:space="preserve"> Строительство ВЛИ-0,4 кВ от конечной опоры ВЛИ-0,4 кВ, строящейся по договору ТП от 23.10.2020 №61-1-20-00540187 (Андреева И.В) от оп. №25 ВЛИ-0,4 кВ №2 МТП №802 ВЛ-10 кВ Красюковка ПС Ш-39 для электроснабжения двух садовых домов СТ «Электровозостроитель» (Кривцова Я.А., Московченко О.Л.) (ориентировочная протяженность ЛЭП – 0,05 км)</t>
  </si>
  <si>
    <t>Строительство ВЛИ-0,4 кВ от оп. №25 ВЛИ-0,4 кВ №2 МТП №802 ВЛ-10 кВ Красюковка ПС Ш-39 для электроснабжения садового дома Андреевой И.В. Ростовская обл., Октябрьский р-н, садоводческое товарищество «Электровозостроитель», уч. №42. (ориентировочная протяженность ЛЭП – 0,08 км)</t>
  </si>
  <si>
    <t>Строительство ВЛИ-0,4 кВ от конечной опоры ВЛИ-0,4 кВ, строящейся по договору ТП от 02.11.2020 №61-1-20-00542985 (Екименко П.И.) от оп. №26 ВЛИ-0,4 кВ №1 МТП №802 ВЛ-10 кВ Красюковка ПС Ш-39 для электроснабжения садового дома Камышовой Л.М. СТ «Электровозостроитель» (ориентировочная протяженность ЛЭП – 0,13 км)</t>
  </si>
  <si>
    <t>Строительство ВЛИ-0,4 кВ от конечной опоры ВЛИ-0,4 кВ, строящейся по договору ТП от 13.10.2020 №61-1-20-00538033 (Аветисян И.А.) от оп. №26 ВЛИ-0,4 кВ №1 МТП №802 ВЛ-10 кВ Красюковка ПС Ш-39 для электроснабжения четырех садовых домов СТ «Электровозостроитель» (ориентировочная протяженность ЛЭП – 0,13 км)</t>
  </si>
  <si>
    <t>Строительство участка ВЛ-6 кВ от существующей оп. №34 по ВЛ-6 кВ «Правда» от ПС 35/6 Г-6, с установкой ТП-6/0,4 кВ, и строительство ВЛИ-0,4 кВ от вновь установленной ТП-6/0,4 кВ для присоединения ВРУ-0,4 кВ производственного здания/помещения, Ростовская обл., г. Зверево, ул. Макаренко 3т. (ИП Ильин В.В) (ориентировочная протяженность ЛЭП 0,515 км, ориентировочная мощность трансформатора 250 кВА)</t>
  </si>
  <si>
    <t>Строительство ВЛ 0,4 кВ от существующей оп. №8 ВЛ 0,4 кВ №2 от КТП №197 по ВЛ 6- кВ Смирнов от ПС Г-15 для присоединения домика фермера. Ростовская область, Красносулинский район, х. Коминтерн, СПК «Красный партизан» (ООО Авангард) (ориентировочная протяженность ЛЭП-0,805 км)</t>
  </si>
  <si>
    <t>Строительство ВЛИ-0,4 кВ от КТП 6/0,4 кВ №285 по ВЛ 6 кВ «Орошение» от ПС 110/35/6 кВ Н-8 для присоединения домика отдыха Ростовская область, Красносулинский район, г. Красный Сулин (Москаленко Ю.А.) (ориентировочная протяженность ЛЭП -0,490км)</t>
  </si>
  <si>
    <t>Строительство ВЛИ-0,4 кВ от строящейся ТП-10/0,4 кВ по строящейся ВЛ-10 кВ от существующей оп. № 6 отпайки к КТП № 41 ВЛ-10кВ «Кирова» ПС Ш-18 для присоединения площадки водозаборных сооружений в х. Тереховский Усть-Донецкого района (МКУ «Служба заказчика») (ориентировочная протяженность ЛЭП 0,540 км, ориентировочная мощность трансформатора 40 кВА)</t>
  </si>
  <si>
    <t xml:space="preserve"> Строительство ВЛИ-0,4 кВ от оп. №7 ВЛИ-0,4 кВ №1 КТП №670 ВЛ-10 кВ Совхоз ПС Ш-16 для электроснабжения жилого дома Демина П.Ю. по адресу: Октябрьский р-н, п. Красногорняцкий, ул. Короткая, д.6 (ориентировочная протяженность ЛЭП – 0,08 км)</t>
  </si>
  <si>
    <t>Строительство ВЛИ-0,4 кВ от оп. №26 ВЛИ-0,4 кВ №1 МТП №802 ВЛ-10 кВ Красюковка ПС Ш-39 для электроснабжения садового дома Аветисян И.А. Ростовская обл., Октябрьский р-н, садоводческое товарищество «Электровозостроитель», уч. №124. (ориентировочная протяженность ЛЭП – 0,03 км)</t>
  </si>
  <si>
    <t>Строительство ВЛИ-0,4 кВ от ВЛ 0,4 кВ № 1 КТП 238 ВЛ 10 кВ Апаринка ПС Ш14 с коммерческим учетом электрической энергии (мощности) в точке поставки для электроснабжения хозяйственных построек Васильченко Д.В., в х. Апаринском, Усть-Донецкого р-на, (ориентировочная протяженность ЛЭП 0,1 км)</t>
  </si>
  <si>
    <t>Строительство ВЛИ-0,4 кВ от оп.5 по ВЛ 0,4кВ № 2 от МТП № 05 ВЛ-10 кВ Кутейниково ПС Н-9, для электроснабжения «Малоэтажная жилая застройка (Индивидуальный жилой дом/Садовый/Дачный дом)» Токаренко Д.Ю., Матвеева С.В., Липявкиной О.А. по адресу: р-н. Родионово-Несветайский, сл. Родионово-Несветайская, ул. Персиковая, д. 4; д.8; д.12. (ориентировочная протяженность ЛЭП – 0,235 км)</t>
  </si>
  <si>
    <t>Строительство ВЛИ 0,4 кВ от ВЛИ 0,4 кВ №1 КТП 364 ВЛ 10 кВ Жилмассив ПС Ш34 для электроснабжения объекта туристической отрасли Витковского П.В. по адресу: Усть-Донецкий район, ст. Мелиховская, КН ЗУ 61:39:600016:529 (ориентировочная протяженность ЛЭП – 0,360 км)</t>
  </si>
  <si>
    <t>Строительство ВЛИ-0,4 кВ от вновь построенной ТП 10/0,4 кВ подключенной к вновь построенной ВЛ-10кВ от ВЛ-10кВ Комплекс ПС 110/35/10 Ш-34 для присоединения вагончика ИП Лукьянова М.А. в ст. Мелиховская Усть-Донецкого района (ориентировочная протяженность ЛЭП 0,250 км, ориентировочная мощность трансформатора 25 кВА)</t>
  </si>
  <si>
    <t>Строительство ВЛИ-0,4 кВ от оп. №1 ВЛ-0,4 кВ №1 КТП №474 ВЛ-6 кВ Кривянка ПС Ш-40 для электроснабжения жилого дома Азарянскова В.В. по адресу: Октябрьский р-н, ст. Кривянская, ул. Декабристов, д.91 (ориентировочная протяженность ЛЭП – 0,08 км)</t>
  </si>
  <si>
    <t>Строительство ВЛИ-0,4 кВ от конечной опоры ВЛИ-0,4 кВ, строящейся по договору ТП №61-1-21-00555897 от 25.01.2021г с Азарянсковым В.В. от оп. №1 ВЛ-0,4 кВ №1 КТП №474 ВЛ-6 кВ Кривянка ПС Ш-40, для электроснабжения жилого дома Поповой А.А. по адресу: Октябрьский р-н, ст. Кривянская, ул. Декабристов, д.81 (ориентировочная протяженность ЛЭП – 0,24 км)</t>
  </si>
  <si>
    <t>Строительство ВЛИ-0,4 кВ от конечной опоры ВЛИ-0,4 кВ, строящейся по договору ТП от 13.10.2020 №61-1-20-00538031 от оп. №9 ВЛИ-0,4 кВ №1 МТП №802 ВЛ-10 кВ Красюковка ПС Ш-39 для электроснабжения садового дома Колесниковой Е.С. по адресу: Октябрьский р-н, садоводческое товарищество «Электровозостроитель», уч.153 (ориентировочная протяженность ЛЭП – 0,2 км)</t>
  </si>
  <si>
    <t>Строительство ВЛИ-0,4 кВ от конечной опоры ВЛИ-0,4 кВ, строящейся по договору ТП от 13.10.2020 №61-1-20-00538031 (Вербицкая Е.Н.) от оп. №9 ВЛИ-0,4 кВ №1 МТП №802 ВЛ-10 кВ Красюковка ПС Ш-39 для электроснабжения садового дома СТ «Электровозостроитель» (Самара Ю.А.) (ориентировочная протяженность ЛЭП – 0,25 км)</t>
  </si>
  <si>
    <t>Строительство ВЛИ-0,4 кВ от оп. №11 ВЛИ-0,4 кВ №1 МТП №802 ВЛ-10 кВ Красюковка ПС Ш-39 для электроснабжения трех садовых домов СТ «Электровозостроитель» (Морозова Т.В., Мартыненко С.В., Деревянченко Н.Б.) (ориентировочная протяженность ЛЭП – 0,09 км)</t>
  </si>
  <si>
    <t>Строительство ВЛИ-0,4 кВ от конечной опоры ВЛИ-0,4 кВ, строящейся по договору ТП от 10.11.2020 №61-1-20-00544433 (Морозова Т.И.) от оп. №11 ВЛИ-0,4 кВ №1 МТП №802 ВЛ-10 кВ Красюковка ПС Ш-39 для электроснабжения садового дома Акользиной О.Н. СТ «Электровозостроитель» (ориентировочная протяженность ЛЭП – 0,25 км)</t>
  </si>
  <si>
    <t>Строительство ВЛИ-0,4 кВ от оп. №58 ВЛИ-0,4 кВ №1 КТП №201 по ВЛ-6 кВ Кривянка ПС 110 кВ Ш-43 для присоединения базовой станции сотовой связи АО «Первая Башенная Компания» по адресу: Ростовская область, Октябрьский район, ст. Кривянская, ул. Кирпичная, участок в 70 м от дома №152 (ориентировочная протяженность ЛЭП-0,215 км)</t>
  </si>
  <si>
    <t>Строительство ВЛИ-0,4 кВ оп.24 по ВЛ 0,4кВ № 1 от КТП № 502 ВЛ-10 кВ Кутейниково ПС Н-9 для электроснабжения объекта «Малоэтажная жилая застройка (Индивидуальный жилой дом/Садовый/Дачный дом)» по адресу: Ростовская обл., р-н. Родионово-Несветайский, сл. Родионово-Несветайская, ул. Покрышкина, д. 11.(ориентировочная протяженность ЛЭП – 0,450 км)</t>
  </si>
  <si>
    <t>Строительство ВЛИ-0,4 кВ от ВЛ 0,4 кВ № 1 КТП 66 ВЛ 10 кВ Крымский ПС Ш14 с коммерческим учетом электрической энергии (мощности) в точке поставки для электроснабжения фермы ИП Бочтового Н.И., в х.Крымском, Усть-Донецкого р-на, (ориентировочная протяженность ЛЭП 0,2 км)</t>
  </si>
  <si>
    <t xml:space="preserve"> Строительство ВЛИ 0,4 кВ от ВЛ 0,4 кВ №2 КТП 320 ВЛ 10 кВ Пухляковка ПС Ш34 для электроснабжения ВРУ-0.4кВ дачного дома Архангельского А.С. по адресу: Усть-Донецкий район, х. Пухляковский, ул. Механизаторов 35, КН ЗУ 61:39:0090103:124 (ориентировочная протяженность ЛЭП – 0,210 км)</t>
  </si>
  <si>
    <t>Строительство ВЛИ-0,4 кВ от ВЛ 0,4 кВ № 2 КТП 14 ВЛ 10 кВ Кундрючий ПС Ш32 с коммерческим учетом электрической энергии (мощности) в точке поставки для электроснабжения нежилого здания ИП Климович В.В., в ст. Нижнекундрюченская, Усть-Донецкого р-на, (ориентировочная протяженность ЛЭП 0,065 км)</t>
  </si>
  <si>
    <t>Строительство ВЛИ-0,4 кВ от ВЛ 0,4 кВ № 2 КТП 168 ВЛ 10 кВ Чумаки ПС Ш32 с коммерческим учетом электрической энергии (мощности) в точке поставки для электроснабжения жилого дома Гинак А.П., в х.Чумаковском, Усть-Донецкого р-на, (ориентировочная протяженность ЛЭП 0,07 км)</t>
  </si>
  <si>
    <t>Строительство ВЛИ-0,4 кВ от оп.5 ВЛ 0,4 кВ № 1 от ТП 10/0,4кВ № 91 по ВЛ-10кВ «Заря» ПС Н-9, для электроснабжения жилого дома Голубев В.Г. по адресу: Родионово-Несветайский р-н сл. Родионово-Несветайская, ул. Садовая, д. 81 (ориентировочная протяженность ЛЭП – 0,030 км)</t>
  </si>
  <si>
    <t>Строительство ВЛИ-0,4 кВ от оп.8 по ВЛ 0,4кВ № 3 от МТП № 05 ВЛ-10 кВ Кутейниково ПС Н-9, для электроснабжения «Малоэтажная жилая застройка (Индивидуальный жилой дом/Садовый/Дачный дом)» Кустарниковой Д.И. по адресу: р-н. Родионово-Несветайский, сл. Родионово-Несветайская, ул. Абрикосовая,  д. 34А, к.н.з.у. 61:33:0040123:616,,  (ориентировочная протяженность ЛЭП – 0,025 км)</t>
  </si>
  <si>
    <t>Строительство ВЛИ-0,4 кВ от оп.3 ВЛ 0,4 кВ №1 от КТП 10/0,4кВ № 512 по ВЛ-10кВ «Каменный Брод» ПС АС-12 для электроснабжения садового дома Потапченко К.А. Родионово-Несветайский р-н СНТ "Комбайностроитель", уч.№ 3-324 (ориентировочная протяженность ЛЭП – 0,045 км)</t>
  </si>
  <si>
    <t>Строительство ВЛИ-0,4 кВ от конечно опоры строящейся по договору ТП № 61-1-20-00531041 от 04.09.2020 с Серенко Н.А от РУ 0,4кВ КТП 10/0,4кВ № 508 по ВЛ-10кВ «КРС» ПС Н-9 для электроснабжения жилого дома Шамсиева Б.Д. Родионово-Несветайский р-н сл. Родионово-Несветайская, ул. Сосновая, д. 7А (ориентировочная протяженность ЛЭП – 0,035 км)</t>
  </si>
  <si>
    <t>Строительство ВЛИ-0,4 кВ от оп.1 по ВЛ-0,4кВ № 1 от КТП 10/0,4кВ № 524 по ВЛ-10кВ «Память Кирова» ПС Н-9 для электроснабжения «свинарник-откормочник» ИП Саргсян С.А. по адресу: Ориентир от дороги Родионово-Несветайская-Дарьевка. участок находится примерно в 120 м от ориентира по на правлению на северо-запад (ориентировочная протяженность ЛЭП – 0,210км)</t>
  </si>
  <si>
    <t>Строительство ВЛИ-0,4 кВ оп.6 по ВЛ 0,4кВ № 1 от КТП № 512 ВЛ-10 кВ Каменный Брод ПС АС-12 для электроснабжения «Малоэтажная жилая застройка (Индивидуальный жилой дом/Садовый/Дачный дом)» по адресу: Российская Федерация, Ростовская обл., р-н. Родионово-Несветайский, х. Каменный Брод, СНТ "Комбайностроитель" участок 3-751. (ориентировочная протяженность ЛЭП – 0,335 км)</t>
  </si>
  <si>
    <t>Строительство ВЛИ-0,4 кВ от оп. №1 ВЛ-0,4 кВ №2 МТП №217 ВЛ-6 кВ Прогресс ПС Ш-41 для электроснабжения жилого дома Семеновой Е.П. по адресу: Октябрьский р-н, ст. Заплавская, ул. Ленина, д.65 (ориентировочная протяженность ЛЭП – 0,24 км)</t>
  </si>
  <si>
    <t>Строительство ТП-10/0,4, ВЛ-10 кВ от существующей оп. №150 ВЛ 10 кВ Федоровка ПС С-5, и ВЛИ-0,4 кВ от вновь установленной ТП-10/0,4 кВ для присоединения строительной площадки, Ростовская обл, Красносулинского района, СПК «Федоровский», в 830 м на юго-запад от х. Большая Федоровка (ориентировочная протяженность ЛЭП 0,095 км, ориентировочная мощность трансформатора 25 кВА)</t>
  </si>
  <si>
    <t>Строительство ВЛИ-0,4 кВ от оп.59 по ВЛ-0,4кВ № 1 от КТП 10/0,4кВ № 230 по ВЛ-10кВ «Кутейниково» ПС Н-9, для электроснабжения жилого дома Райз Е.В.по адресу: Ростовская обл, р-н. Родионово-Несветайский, сл. Родионово-Несветайская, ул. Папанина, д. 26, (ориентировочная протяженность ЛЭП – 0,040 км)</t>
  </si>
  <si>
    <t>Строительство ВЛИ-0,4 кВ от оп.21 по ВЛ-0,4кВ № 3 от КТП 10/0,4кВ № 71 по ВЛ-10кВ «Каменный Брод» ПС АС-12, для электроснабжения жилого дома Тимашевой К.В.по адресу: р-н. Родионово-Несветайский, х. Каменный Брод, ул. Курсантов РАУ, д. 55А, (ориентировочная протяженность ЛЭП – 0,050 км)</t>
  </si>
  <si>
    <t>Строительство ВЛИ-0,4 кВ от оп.6 по ВЛ-0,4кВ № 1 от КТП 10/0,4кВ № 135 по ВЛ-10кВ «Заря» ПС Н-9, для электроснабжения ангара главы К(Ф)Х Шалатова И.А.по адресу: Родионово-Несветайский р-н примерно в 250м по направлению на северо-восток от участка по адресу: х.Большой Должик, ул. Октября.12 (ориентировочная протяженность ЛЭП – 0,070 км)</t>
  </si>
  <si>
    <t>Строительство ВЛИ-0,4 кВ от оп. №46 ВЛИ-0,4 кВ №3 КТП №206 ВЛ-6 кВ Кривянка  ПС Ш-43 для электроснабжения жилого дома Емельянова Г.А.  по адресу: Октябрьский р-н, ст. Кривянская, ул. Советская, д.183 (ориентировочная протяженность ЛЭП – 0,06 км)</t>
  </si>
  <si>
    <t>Строительство ВЛИ-0,4 кВ от оп. №16/9 ВЛ-0,4 кВ №3 МТП №220 ВЛ-6 кВ Рыбхоз ПС Ш-41 для электроснабжения жилого дома Козлова М.И.  по адресу: Октябрьский р-н, ст. Бессергеневская, ул. Школьная, д.1-Д (ориентировочная протяженность ЛЭП – 0,15 км)</t>
  </si>
  <si>
    <t>Строительство ВЛИ-0,4 кВ от оп.№1 ВЛ-0,4кВ №1 от ЗТП 6/0,4 кВ №59 по ВЛ-6кВ Совхоз-7 ПС 35 кВ Ш-15 для электроснабжения гаража ИП Воробьева А.В. (ориентировочная протяженность ЛЭП – 0,1 км)</t>
  </si>
  <si>
    <t>Строительство ВЛИ-0,4 кВ от оп. №17 ВЛИ-0,4 кВ №2 МТП №802 ВЛ-10 кВ Красюковка ПС Ш-39 для электроснабжения малоэтажной жилой застройки Гурова С.Н. по адресу: Октябрьский р-н, садоводческое товарищество «Электровозостроитель», уч.11 (ориентировочная протяженность ЛЭП – 0,12 км)</t>
  </si>
  <si>
    <t>Строительство ВЛИ-0,4 кВ от оп. №22 ВЛ-0,4 кВ №1 КТП №279 по ВЛ-6 Кривянка ПС 35 кВ Ш-40 для присоединения жилого дома Субботиной А.С. по адресу: Ростовская область, Октябрьский район, ст-ца. Кривянская, ул. Гагарина, д.100-А (ориентировочная протяженность ЛЭП 0,07 км)</t>
  </si>
  <si>
    <t>Строительство ВЛИ-0,4 кВ от оп. №5 ВЛИ-0,4 кВ №1 КТП №95 по ВЛ-10 Маркин-2 ПС 35 кВ Ш-27 для присоединения малоэтажной жилой застройки Стебловского И.Н. по адресу: Ростовская область, Октябрьский район, х. Маркин, пер. Луговой, д.2 (ориентировочная протяженность ЛЭП 0,12 км)</t>
  </si>
  <si>
    <t>Строительство ВЛИ 0,4 кВ от ВЛИ 0,4 кВ МТП 228 ВЛ 10 кВ Каныгин ПС 110 кВ Ш37 для электроснабжения ВРУ-0.4кВ дачного дома Ругаева В.Е. по адресу: Усть-Донецкий район, х. Коныгин, КН ЗУ 61:39:0600011:296 (ориентировочная протяженность ЛЭП – 0,085 км)</t>
  </si>
  <si>
    <t>Строительство ВЛИ-0,4 кВ от РУ 0,4кВ МТП 10/0,4кВ № 216 по ВЛ-10кВ «Каменный Брод» ПС АС-12 для электроснабжения «Малоэтажная жилая застройка (Индивидуальный жилой дом/Садовый/Дачный дом)» Рудаков В.В. по адресу: Родионово-Несветайский р-н, СНТ "Комбайностроитель" участок 4-413 (ориентировочная протяженность ЛЭП – 0,445км)</t>
  </si>
  <si>
    <t>Строительство ТП-10/0,4, ВЛ-10 кВ от существующей оп. 10 отпайки на КТП №30 по ВЛ 10 кВ «Память Кирова» ПС 110/35/10 кВ Н-9, и ВЛИ-0,4 кВ от вновь установленной ТП-10/0,4 кВ для присоединения площадки по переработке вторичного сырья по адресу: РО, р-н Родионово-Несветайский молзавод сл. Род-Несветайская, ООО «Полигон» (ориентировочная протяженность ЛЭП 0,895 км, ориентировочная мощность трансформатора 25 кВА)</t>
  </si>
  <si>
    <t>Строительство ВЛИ-0,4 кВ от оп. №14 ВЛИ-0,4 кВ №2 КТП №670 по ВЛ-10 кВ Совхоз ПС 110 кВ Ш-16 для присоединения малоэтажной жилой застройки Ситниковой А.С. по адресу: Ростовская область, Октябрьский район, п. Красногорняцкий, ул.Парковая, д.1 (ориентировочная протяженность ЛЭП 0,06 км)</t>
  </si>
  <si>
    <t xml:space="preserve"> Строительство участка ВЛИ-0,4 кВ от  РУ-0,4 кВ КТП – 10/0,4 кВ  № 188 по ВЛ – 10 кВ «Завод-1» ПС С-5, с установкой на границе земельного участка заявителя прибора учета для объектов дорожного хозяйства Министерства транспорта, Российская Федерация, Ростовская область, Красносулинский район, ст-ца Владимировская, автомобильная дорога г. Шахты-ст. Владимирская (до магистрали «Дон»), К.Н З.М: 61:00:0000000:870.(ориентировочная протяженность ЛЭП – 0,03 км.)</t>
  </si>
  <si>
    <t>Строительство ВЛИ-0,4 кВ от оп.5 по ВЛ-0,4 кВ № 2 от КТП 6/0,4 кВ № 62 по ВЛ-6 кВ «Кадамовка» ПС С-6, с установкой прибора учета на границе земельного участка заявителя для жилого дома Сулименко И.А., Ростовская обл., Красносулинский район, х. Садки, пер. Первомайский, 11. (ориентировочная протяженность ЛЭП – 0,04 км.)</t>
  </si>
  <si>
    <t>Строительство ВЛ 0,4 кВ от крайней опоры строящейся ВЛ 0,4 кВ, по договору ТП №61-1-20-00520753 от 17.07.2020 ИП Петросян Н.Э подключенного от КТП №239 по ВЛ 6- кВ Орошение от ПС Н-8 для присоединения домика отдыха, Ростовская область, Красносулинский район, г. Красный Сулин, в районе Н-ГРЭС (Лозовой Н.В.) (ориентировочная протяженность ЛЭП-0,07 км)</t>
  </si>
  <si>
    <t>Строительство ВЛИ-0,4 кВ от ВЛ-0,4кВ №2 КТП № 262 ВЛ-10кВ «Мелиховка» ПС Ш-34 с коммерческим учетом электрической энергии (мощности) в точке поставки для электроснабжения жилого дома Лучкина А.Ю.: пер. 8-й, д. 2-Б, ст. Мелиховская, Усть-Донецкого р-на, (ориентировочная протяженность ЛЭП 0,1 км)</t>
  </si>
  <si>
    <t>Строительство ВЛИ-0,4 кВ от ВЛ-0,4кВ №5 КТП № 265 ВЛ-10кВ «Мелиховка» ПС Ш-34 с коммерческим учетом электрической энергии (мощности) в точке поставки для электроснабжения жилого дома Тесленко Н.Н.: ул. Набережная, д. 39, ст. Мелиховская, Усть-Донецкого р-на, (ориентировочная протяженность ЛЭП 0,06 км)</t>
  </si>
  <si>
    <t>Строительство ВЛИ-0,4 кВ от ВЛИ-0,4кВ строящейся сетевой организацией по Договору ТП №61-1-20-00525035 от 13.08.2020 с Мирущенко Н.П.  от  оп.34 по ВЛ 0,4кВ № 2  КТП №214 ВЛ-10 кВ Ростовский ПС Н-9, для электроснабжения «Малоэтажная жилая застройка (Индивидуальный жилой дом/Садовый/Дачный дом)» Гомелаури Е.А. по адресу: р-н. Родионово-Несветайский, х. Веселый, ул. Новая,  д.21(ориентировочная протяженность ЛЭП – 0,04 км)</t>
  </si>
  <si>
    <t>Строительство ВЛИ-0,4 кВ от оп.25 по ВЛ-0,4кВ № 1 от КТП 10/0,4кВ № 218 по ВЛ-10кВ «Ростовский» ПС Н-9, для электроснабжения «Малоэтажная жилая застройка (Индивидуальный жилой дом/Садовый/Дачный дом)» Друпова В.И. по адресу: р-н. Родионово-Несветайский, х. Веселый, ул. Дачная, д. 1Б, (ориентировочная протяженность ЛЭП – 0,045 км)</t>
  </si>
  <si>
    <t xml:space="preserve"> Строительство ВЛИ-0,4 кВ от оп.3 по ВЛ 0,4кВ № 1 от КТП № 512 ВЛ-10 кВ «Каменный Брод» ПС АС-12 для электроснабжения «Малоэтажная жилая застройка (Индивидуальный жилой дом/Садовый/Дачный дом)» Милен А.С., Золоторева А.Л. по адресу: Ростовская обл., р-н. Родионово-Несветайский, р-н. Родионово-Несветайский, СНТ "Комбайностроитель", участок 3-353,3-352 (ориентировочная протяженность ЛЭП – 0,07 км)</t>
  </si>
  <si>
    <t>Строительство участка ВЛ 6 кВ от существующей оп. №171 по ВЛ 6 кВ Платово ПС Г2, с установкой ТП-6/0,4 кВ, и строительство ВЛИ-0,4 кВ от вновь установленной ТП-6/0,4 кВ для присоединения ВРУ-0,4 кВ базовая станция/оборудование сотовой связи, Ростовская обл, Красносулинский район, х. Платово (ПАО МТС) (ориентировочная протяженность ЛЭП 0,515 км, ориентировочная мощность трансформатора 25 кВА)</t>
  </si>
  <si>
    <t>Строительство участка ВЛ-6 кВ от существующей оп. №22 отпайки к КТП № 476 по ВЛ-6 кВ «Ударник» ПС 110 кВ С2 (на балансе ООО «Глобус»), с установкой ТП-6/0,4 кВ, и строительство ВЛИ-0,4 кВ от вновь установленной ТП-10/0,4 кВ для присоединения АБЗ ООО «Рось» (ориентировочная протяженность ЛЭП 0,065 км, ориентировочная мощность трансформатора 250 кВА)</t>
  </si>
  <si>
    <t>Строительство ВЛИ 0,4 кВ от ВЛ 0,4 кВ №2 КТП 321 ВЛ 10 кВ Пухляковка ПС Ш34 для электроснабжения жилого дома Тищенко О.Р. по адресу: Усть-Донецкий р-н, х. Пухляковский (ориентировочная протяженность ЛЭП – 0,13 км)</t>
  </si>
  <si>
    <t>Строительство ВЛИ-0,4 кВ от оп. №11 ВЛ-0,4 кВ №1 КТП №430 ВЛ-6 кВ Рыбхоз ПС Ш-41 для электроснабжения жилого дома Губченко О.Н., Ростовская обл., Октябрьский р-н, садоводческое товарищество «Дон», уч. №299. (ориентировочная протяженность ЛЭП – 0,05 км)</t>
  </si>
  <si>
    <t>Строительство ВЛИ-0,4 кВ от оп. №6 ВЛ-0,4 кВ №1 КТП №10 ВЛ-6 кВ Прогресс ПС Ш-41 для электроснабжения жилого дома Альбаковой А.Г. Ростовская обл., Октябрьский р-н, ст. Заплавская, пер. Прямой, д.1-А. (ориентировочная протяженность ЛЭП – 0,06 км)</t>
  </si>
  <si>
    <t>Строительство ВЛИ-0,4 кВ от оп. №16 ВЛИ-0,4 кВ №3 КТП №670 по ВЛ-10 кВ Совхоз ПС 110 кВ Ш-16 для присоединения малоэтажной жилой застройки Князяна Р.Г. по адресу: Ростовская область, Октябрьский район, п. Красногорняцкий, ул. Королевой, д. 5 (ориентировочная протяженность ЛЭП 0,06 км)</t>
  </si>
  <si>
    <t>Строительство ВЛИ-0,4 кВ от оп. №55 ВЛИ-0,4 кВ №4 КТП №54 ВЛ-6 кВ Рыбхоз ПС Ш-41 для электроснабжения жилого дома Неведровой Т.С. по адресу: Октябрьский р-н, х. Калинин, ул. Донская, д.55Б (ориентировочная протяженность ЛЭП – 0,075 км)</t>
  </si>
  <si>
    <t>Строительство ВЛИ 0,4 кВ от ВЛ 0,4 кВ КТП 58 ВЛ 10 кВ Апаринка ПС 110 кВ Ш14 для электроснабжения ВРУ жилого дома Коваленко Г.М. по адресу: Усть-Донецкий район, раб. пос. Усть-Донецкий, ул. Виноградная 59 КН ЗУ 61:39:0010104:202 (ориентировочная протяженность ЛЭП – 0,018 км)</t>
  </si>
  <si>
    <t>Строительство ВЛИ-0,4кВ от строящейся ТП-10/0,4кВ по строящейся ВЛ-10кВ от существующей оп. №4 отпайки к ТП-48 ВЛ-10кВ «Апаринка» Ш-14 (по договорам ТП №61-1-19-00430699 от 06.03.2019г, №61-1-19-00430661 от 06.03.2019г, №61-1-19-00430679 от 06.03.2019г) для присоединения дачных домов Высоцкой А.И., Шипулиной Л.Х. (ориентировочная протяженность ЛЭП 0,23км)</t>
  </si>
  <si>
    <t>Строительство ВЛИ-0,4 кВ от оп. №26 ВЛ-0,4 кВ №4 КТП №204 по ВЛ-6 кВ Кривянка ПС 110 кВ Ш-43 для присоединения жилых домов Морозова Р.М., Шаповалова А.И, Морозовой Т.Н. по адресу: Ростовская область, Октябрьский район, ст. Кривянская (ориентировочная протяженность ЛЭП 0,26 км</t>
  </si>
  <si>
    <t>Строительство ЛЭП-0,4 кВ от РУ 0,4 кВ КТП № 152 по ВЛ 6 кВ «Пролетарка» ПС С2, с установкой прибора учета на границе земельного участка заявителя для нежилой застройки (хозяйственная постройка, нежилое здание), Ткачев Эдуард Анатольевич, Ростовская обл., Красносулинский район, с. Прохоровка, с/п Пролетарское, К.Н З.М: 61:18:0000000:7103. (ориентировочная протяженность ЛЭП – 0,410 км.)</t>
  </si>
  <si>
    <t>Строительство ЛЭП-0,4 кВ от оп. № 6 ВЛ 0,4 кВ № 3 от ЗТП 6/0,4 кВ № 177 по ВЛ 6 кВ «Пролетарка» ПС 110/6 С2, с установкой прибора учета на границе земельного участка заявителя для жилого дома, Фастишевская А.В., Российская Федерация, Ростовская обл., Красносулинский х. Пролетарка, пер. Трудовой, д. 2-б., К.Н З.М: 61:18:0080102:163.(ориентировочная протяженность ЛЭП – 0,210 км.)</t>
  </si>
  <si>
    <t>Строительство ТП-10/0,4, ЛЭП-10 кВ от оп. № 10 отпайки на ТП 56 ВЛ 10 кВ Новоегоровка от ПС Н-9, и ВЛИ-0,4 кВ от вновь установленной ТП-10/0,4 кВ для присоединения плотины рыбохозяйственного пруда ИП Дорошенко А.Б. по адресу: р-н. Родионово-Несветайский, примерно 1.5 км от хут.Новоегоровка по направлению на юго-восток, кадастровый номер сооружения: 61:33:0000000:5258 (ориентировочная протяженность ЛЭП 2,210 км, ориентировочная мощность трансформатора 25 кВА)</t>
  </si>
  <si>
    <t>Строительство ВЛИ-0,4 кВ от оп.20 по ВЛ-0,4кВ №1 от КТП 10/0,4 кВ № 423 по ВЛ-10кВ Комсомолец ПС Ш-35 для электроснабжения жилого дома Смирнова Е.Н., Ростовская обл., Октябрьский р-н, п. Новозарянский, ул. Степная, д. 11 (ориентировочная протяженность ЛЭП – 0,07 км)</t>
  </si>
  <si>
    <t>Строительство участка ВЛ-10 кВ от существующей №158 по ВЛ-10кВ «Новоегорьевка» ПС 110 кВ Н9, с установкой ТП-10/0,4 кВ, и строительство ВЛИ-0,4 кВ от вновь установленной ТП-10/0,4 кВ для присоединения «объект сельскохозяйственного производства» ИП Лигус В.Н. (ориентировочная протяженность ЛЭП 0,125 км, ориентировочная мощность трансформатора 63кВА)</t>
  </si>
  <si>
    <t>Строительство ВЛИ-0,4 кВ от РУ-0,4 кВ КТП №398 по ВЛ-10 кВ Центр ПС 110 кВ Ш-36 для присоединения объекта КФХ ИП Буримова А.С. по адресу: Ростовская область, Октябрьский район, вблизи х. Керчик-Савров (ориентировочная протяженность ЛЭП 0,45 км)</t>
  </si>
  <si>
    <t>Строительство участка ВЛЗ-10 кВ от ВЛ10 кВ Западной ПС 35/10 Ш26, с установкой ТП 10/0,4 кВ, и строительство ВЛИ 0,4 кВ от вновь установленной ТП 10/0,4 кВ, для присоединения ВРУ-0,4кВ объекта сельскохозяйственного производства по адресу: Ростовская обл., Усть-Донецкий район, ст. Усть-Быстрянская КН ЗУ: 61:39:0600002:289 (ориентировочная протяженность ЛЭП 0,335 км, ориентировочная мощность трансформатора 0,025 МВА)</t>
  </si>
  <si>
    <t>Строительство участка ВЛЗ10 кВ от ВЛ10 кВ Керчик ПС 35/10 Ш18, с установкой ТП 10/0,4 кВ, и строительство ВЛИ 0,4 кВ от вновь установленной ТП 10/0,4 кВ для присоединения ВРУ-0,4 кВ вагончика ИП Шабановой Л.С. в ст. Евсеевской Усть-Донецкого района (ориентировочная протяженность ЛЭП 3,1 км, ориентировочная мощность трансформатора 0,025 МВА)</t>
  </si>
  <si>
    <t>Строительство ВЛИ-0,4 кВ от оп.45 по ВЛ-0,4кВ № 1 от КТП 10/0,4кВ № 230 по ВЛ-10кВ «Кутейниково» ПС Н-9 для электроснабжения «Малоэтажная жилая застройка (Индивидуальный жилой дом/Садовый/Дачный дом)» по адресу: Российская Федерация, Ростовская обл., р-н. Родионово-Несветайский, р-н. Родионово-Несветайский, сл. Родионово-Несветайская, ул. Челюскина, д. 11 (ориентировочная протяженность ЛЭП – 0,040 км)</t>
  </si>
  <si>
    <t>Строительство ВЛИ-0,4 кВ от оп.4 ВЛ 0,4кВ № 3 КТП 10/0,4кВ № 8 по ВЛ-10кВ «Кутейниково» ПС Н-9, для электроснабжения БС 2687 ООО "Т2 Мобайл" по адресу: сл. Кутейниково, ул. Булановой, д. 30 (ориентировочная протяженность ЛЭП – 0,055 км)</t>
  </si>
  <si>
    <t>Строительство автономного источника питания расчетной мощности, для технологического присоединения РТПЦ  Керчик-Савров II категории, расположенной в Ростовской области, Октябрьский район, х. Керчик-Савров (ФГУП «Российская телевизионная и радиовещательная сеть» филиал «Ростовский областной радиотелевизионный передающий центр») (ориентировочная мощность автономного источника питания 13,48кВт)</t>
  </si>
  <si>
    <t>Строительство автономного источника питания расчетной мощности, для технологического присоединения РТСЦ Барило-Крепинская II категории, расположенной в Ростовской области, Родионово-Несветайский район, сл. Барило-Крепинская, ул. Просвещения 15/1 (ФГУП «Российская телевизионная и радиовещательная сеть» филиал «Ростовский областной радиотелевизионный передающий центр») (ориентировочная мощность автономного источника питания 18 кВт)</t>
  </si>
  <si>
    <t>Строительство ВЛИ-0,4 кВ от оп.12 по ВЛ 0,4кВ № 1 от КТП № 118 ВЛ-10 кВ Краснознаменка ПС Н-21 для электроснабжения «Малоэтажная жилая застройка (Индивидуальный жилой дом/Садовый/Дачный дом)» Шиколенко Г.П. по адресу: Ростовская обл., р-н. Родионово-Несветайский, р-н. Родионово-Несветайский, х. Болдыревка, ул. Гагаринская,  д. 24 (ориентировочная протяженность ЛЭП – 0,085 км)</t>
  </si>
  <si>
    <t>Строительство ВЛИ-0,4 кВ от оп.4 ВЛ 0,4кВ № 1 КТП 10/0,4кВ № 71А по ВЛ-10кВ «Каменный Брод» ПС АС-12, для электроснабжения здания Багян М.В. по адресу: Родионово-Несветайский р-н х. Каменный Брод, ул. Каменка, д. 6А (ориентировочная протяженность ЛЭП – 0,030 км)</t>
  </si>
  <si>
    <t>Строительство ВЛИ-0,4 кВ оп оп.7 ВЛ 0,4 кВ № 1 от ТП 10/0,4кВ  № 55 по ВЛ-10кВ «Заря» ПС Н-9 для электроснабжения жилого дома Горошко Н.П. Родионово-Несветайский р-н сл. Родионово-Несветайская, ул. Калинина,  д. 15А (ориентировочная протяженность ЛЭП – 0,05 км)</t>
  </si>
  <si>
    <t>Строительство ВЛИ-0,4 кВ от оп.31 по ВЛ-0,4кВ № 2 от КТП 10/0,4кВ № 178 по ВЛ-10кВ «Заря» ПС Н-9 для электроснабжения «Малоэтажная жилая застройка (Индивидуальный жилой дом/Садовый/Дачный дом)» Савченко С.И. по адресу: р-н. Родионово-Несветайский, сл. Родионово-Несветайская, ул. Абрикосовая, д. 7А (ориентировочная протяженность ЛЭП – 0,03км)</t>
  </si>
  <si>
    <t>Строительство участка ВЛ-10 кВ от существующей оп. №243 по ВЛ-10 кВ «Федоровка» от ПС 110/10 С-5, с установкой ТП-10/0,4 кВ, и строительство ВЛИ-0,4 кВ от вновь установленной ТП-10/0,4 кВ для присоединения ВРУ-0,4 кВ карьера, Ростовская обл, Красносулинский район, на землях СПК «Федоровский», в 3,25 км на восток от х. Большая Федоровка. (ООО Южный Нерудный Базис) (ориентировочная протяженность ЛЭП 2,165 км, ориентировочная мощность трансформатора 0,025 МВА)</t>
  </si>
  <si>
    <t>Строительство ВЛИ 0,4 кВ от ВЛИ 0,4 кВ МТП 21 ВЛ 10 кВ Комплекс ПС 110 кВ Ш14 для электроснабжения ВРУ-0.4кВ жилого дома Стеценко А.А. по адресу: Усть-Донецкий район, х. Броницкий, ул. Степная, д. 17 КН ЗУ 61:39:0050201:93 (ориентировочная протяженность ЛЭП – 0,190 км)</t>
  </si>
  <si>
    <t>Строительство ВЛИ-0,4 кВ от РУ-0,4 кВ МТП №803 ВЛ-10 кВ Красюковка ПС Ш-39 для электроснабжения пяти садовых домов с/т «Электровозостроитель» Ростовская обл., Октябрьский р-н. (ориентировочная протяженность ЛЭП – 0,66 км)</t>
  </si>
  <si>
    <t xml:space="preserve">Строительство ВЛИ-0,4 кВ оп.12 по ВЛ-0,4кВ № 2 от КТП 10/0,4кВ № 26 по ВЛ-10кВ «Генеральское» ПС Н-19 для электроснабжения объекта К(Ф)Х по адресу: Установлено относительно ориентира, расположенного в границах участка. Ориентир с.Генеральское. Участок находится примерно в 1750 м от ориентира по направлению на юго-запад. Почтовый адрес ориентира: Ростовская область, Родионово-Несветайский район, кадастровый номер земельного участка: 61:33:060012:28. (ориентировочная протяженность ЛЭП – 0,350 </t>
  </si>
  <si>
    <t>Строительство ВЛИ- 0,4 кВ от оп. 10 по BЛ 0,4 кВ № 1 от КТП 10/0,4 кВ, № 71 по BЛ-10 кВ Каменный Брод ПС АС -12 для электроснабжения малоэтажная жилая застройка (Индивидуальный жилой дом/Садовый/Дачный дом) Галстян А.Р., по адресу: Ростовская область, Р- Несветайский район, х. Каменный Брод, ул. Калининская, д. 16а, к.н.61:33:0030501:669 (ориентировочная протяженность ЛЭП 0,088 км)</t>
  </si>
  <si>
    <t>Строительство ВЛИ-0,4 кВ от оп.2 по ВЛ-0,4кВ № 1 от КТП 10/0,4кВ №121 по ВЛ-10кВ Генеральское ПС Н19 для электроснабжения «Малоэтажная жилая застройка (Индивидуальный жилой дом/Садовый/Дачный дом)» Ищенко А.Е.: р-н. Родионово-Несветайский, с. Генеральское, ул. Набережная, д. 6А (ориентировочная протяженность ЛЭП – 0,085 км)</t>
  </si>
  <si>
    <t>Строительство ВЛИ-0,4 кВ от опоры ВЛИ-0,4 кВ, построенной сетевой организацией по договору ТП №61-1-20-00551983 от 17.12.2020 (Соболева Н.С.) от РУ-0,4 кВ МТП №803 ВЛ-10 Красюковка ПС 35 кВ Ш-39 для присоединения двух садовых домов Чувакова И.А., Кубанкиной Е.И. по адресу: Ростовская область, Октябрьский район, садоводческое товарищество «Электровозостроитель» уч. 89, уч.89Б (ориентировочная протяженность ЛЭП 0,27 км)</t>
  </si>
  <si>
    <t>Строительство участка ВЛЗ10 кВ от ВЛ10 кВ Первомайка ПС 35/10 Ш31, с установкой ТП 10/0,4 кВ, и строительство ВЛИ 0,4 кВ от вновь установленной ТП 10/0,4 кВ (Усть-Донецкий РЭС) для присоединения ВРУ-0,4кВ объекта сельскохозяйственного производства по адресу: Ростовская область, р-н Октябрьский, Краснолучская администрация КН 61:28:0600018:9 (ориентировочная протяженность ЛЭП 0,085 км, ориентировочная мощность трансформатора 0,025 МВА)</t>
  </si>
  <si>
    <t>Строительство ВЛИ-0,4 кВ от РУ 0,4кВ КТП 10/0,4кВ № В-19 по ВЛ-10кВ Прохоровка ПС Н22 для электроснабжения «нежилая застройка (хозяйственная застройка, нежилое здание)» ИП Мирошниченко В.И. по адресу: р-н. Родионово-Несветайский, примерно в 124м по направлению на юг от х. Новопрохоровка (ориентировочная протяженность ЛЭП – 0,085 км)</t>
  </si>
  <si>
    <t>Строительство ВЛИ-0,4 кВ от ВЛИ-0,4кВ строящейся сетевой организацией по Договору ТП №61-1-21-00580543 от 02.06.21с Виниченко Г.А. от оп.6 по ВЛ 0,4кВ № 1 КТП №512 ВЛ-10 кВ Каменный Брод ПС АС-12, для электроснабжения «Малоэтажная жилая застройка (Индивидуальный жилой дом/Садовый/Дачный дом)» Афанасьевой А.Д. по адресу: Ростовская обл., р-н. Родионово-Несветайский, р-н. Родионово-Несветайский, СНТ "Комбайностроитель" участок 3-752 (ориентировочная протяженность ЛЭП – 0,035 км)</t>
  </si>
  <si>
    <t>Строительство ВЛИ-0,4 кВ от конечной опоры ВЛИ-0,4кВ, строящейся по договору №61-1-21-00598211 от 30.08.2021 с Афанасьевой А.Д для электроснабжения «Малоэтажная жилая застройка (Индивидуальный жилой дом/Садовый/Дачный дом)» Васильевой Н.П. по адресу: р-н. Родионово-Несветайский, СНТ "Комбайностроитель" участок 3-753, к.н.з.у.: 61:33:0500101:2398 (ориентировочная протяженность ЛЭП – 0,035 км)</t>
  </si>
  <si>
    <t>Строительство ВЛИ-0,4 кВ от ВЛИ-0,4кВ строящейся по Договору ТП 61-1-20-00519917 от 27.07.2020 с Васильевым Ш.И. от оп.39 ВЛ 0,4кВ № 1от КТП 10/0,4кВ № 124 по ВЛ-10кВ «Юдино» ПС Н-19 для электроснабжения жилого дома Шаталова Д.В. Родионово-Несветайский р-н х. Волошино, ул. Северная, д. 7(ориентировочная протяженность ЛЭП – 0,1 км)</t>
  </si>
  <si>
    <t>Строительство ВЛИ-0,4 кВ от оп.1 ВЛ-0,4 кВ № 2 от КТП 10/0,4 кВ № 362 по ВЛ-10 кВ «Мичурино» ПС 35/10 кВ С-11, с установкой прибора учета на границе земельного участка заявителя для базовой станции ПАО «Ростелеком», Российская Федерация, Ростовская обл., Красносулинский район, с. Ребряковка, 95 м на северо-восток от дома № 17, ул. Веселая.(ориентировочная протяженность ЛЭП – 0,055 км.)</t>
  </si>
  <si>
    <t>Строительство ВЛИ-0,4 кВ от оп. №46 ВЛИ-0,4 кВ №3 КТП №206 ВЛ-6 кВ Кривянка ПС Ш-43 для электроснабжения жилого дома Касаткина А.А. по адресу: Октябрьский р-н, ст. Кривянская, ул. Советская, д.177 (ориентировочная протяженность ЛЭП – 0,13 км)</t>
  </si>
  <si>
    <t>Строительство ВЛИ-0,4 кВ от оп. №7/7 ВЛ-0,4 кВ №1 КТП №534 ВЛ-10 кВ Зверпромхоз ПС Ш-42 для электроснабжения жилого дома Кухарчук Д.О. по адресу: Ростовская область, Октябрьский р-н, сл. Красюковская, ул. М.Горького, д.53-А (ориентировочная протяженность ЛЭП – 0,03 км)</t>
  </si>
  <si>
    <t>Строительство ВЛИ-0,4 кВ от оп. №29 ВЛИ-0,4 кВ №3 КТП №670 ВЛ-10 кВ Совхоз ПС Ш-16 для электроснабжения жилого дома Коваленко В.Ю. по адресу: Октябрьский р-н, п. Красногорняцкий, ул. Кудаченко, д.24 (ориентировочная протяженность ЛЭП – 0,03 км)</t>
  </si>
  <si>
    <t>Строительство ВЛИ 0,4 кВ от ВЛИ 0,4кВ КТП 228 ВЛ 10кВ Каныгин ПС 110/10 Ш37 для электроснабжения ВРУ-0.4кВ Объекта сельскохозяйственного производства Манаева Э.Ю. по адресу: Ростовская область, Усть-Донецкий район, х. Коныгин, примерно 1м на запад от земельного участка с КН 61:39:0600011:26, КН ЗУ 61:39:0600011:358 (ориентировочная протяженность ЛЭП – 0,075 км)</t>
  </si>
  <si>
    <t>Строительство ВЛИ-0,4 кВ от оп.18 ВЛ 0,4 кВ №1 от КТП 10/0,4кВ 77 по ВЛ-10кВ Юдино ПС 35 кВ Н19 для электроснабжения «Малоэтажная жилая застройка (Индивидуальный жилой дом/Садовый/Дачный дом)» Романовой Е.В. по адресу: р-н. Родионово-Несветайский, х. Ивановка, ул. Магистральная, д. 15, к.н.з.у.: 61:33:070301:53. (ориентировочная протяженность ЛЭП – 0,380 км)</t>
  </si>
  <si>
    <t>Строительство ВЛИ 0,4 кВ от ВЛ 0,4 кВ №2 КТП 57 ВЛ 10 кВ МТФ ПС 110/10 кВ Ш47 для электроснабжения вагончика охраны Хромых С.М. ст. Кочетовская, КН ЗУ: 61:35:0600003:500 (ориентировочная протяженность ЛЭП – 0,61 км)</t>
  </si>
  <si>
    <t>Строительство ВЛИ-0,4 кВ от конечной опоры ВЛИ-0,4кВ, строящейся по договору №61-1-20-00533939 от 21.09.2020 с Потапченко К.А. для электроснабжения «Малоэтажная жилая застройка (Индивидуальный жилой дом/Садовый/Дачный дом)» Берестовой О.В. по адресу: р-н. Родионово-Несветайский, СНТ "Комбайностроитель" участок 3-382. (ориентировочная протяженность ЛЭП – 0,07 км)</t>
  </si>
  <si>
    <t>Строительство ВЛИ 0,4 кВ от РУ 0,4кВ КТП 63 ВЛ 10кВ МТФ ПС 110/10 Ш47 (Усть-Донецкий РЭС) для электроснабжения ВРУ-0.4кВ объекта сельскохозяйственного производства ООО Агрофирма «Кочетовская» по адресу: Ростовская обл., Семикаракорский район, ст. Кочетовская, КН ЗУ: 61:35:0600003:713 (ориентировочная протяженность ЛЭП – 0,270 км)</t>
  </si>
  <si>
    <t>Строительство ВЛИ 0,4 кВ от ВЛ 0,4 кВ №2 КТП 48 ВЛ 10 кВ Апаринка ПС Ш14 для электроснабжения сторожки ИП Орехов А.Б. по адресу: Усть-Донецкий р-н, х. Апаринский (ориентировочная протяженность ЛЭП – 0,15 км)</t>
  </si>
  <si>
    <t>Строительство ВЛИ-0,4 кВ от оп.69 по ВЛ-0,4кВ № 1 от КТП 10/0,4кВ № 230 по ВЛ-10кВ «Кутейниково» ПС Н-9, для электроснабжения «Малоэтажная жилая застройка (Индивидуальный жилой дом/Садовый/Дачный дом)» Дзюбенко В.В., Ростовская обл, р-н. Родионово-Несветайский, сл. Родионово-Несветайская, пер. Амурский, д. 30, (ориентировочная протяженность ЛЭП – 0,030 км)</t>
  </si>
  <si>
    <t>Строительство ВЛИ-0,4 кВ от оп.19 по ВЛ-0,4кВ № 1 от КТП 10/0,4кВ № 15 по ВЛ-10кВ «Юдино» ПС Н-19 для электроснабжения «Малоэтажная жилая застройка (Индивидуальный жилой дом/Садовый/Дачный дом)» Заломновой Н.Н. по адресу: Ростовская обл., р-н. Родионово-Несветайский, р-н. Родионово-Несветайский, х. Юдино, ул. Лермонтова, д. 5а (ориентировочная протяженность ЛЭП – 0,040 км)</t>
  </si>
  <si>
    <t>Строительство ВЛИ-0,4 кВ от оп.59 по ВЛ 0,4кВ № 1 КТП 10/0,4кВ 124 по ВЛ 10кВ Юдино ПС Н19 для электроснабжения «Малоэтажная жилая застройка (Индивидуальный жилой дом/Садовый/Дачный дом)» Литовченко Ю.В. по адресу: р-н. Родионово-Несветайский, х. Волошино, ул. Северная,д. 12 (ориентировочная протяженность ЛЭП – 0,03км)</t>
  </si>
  <si>
    <t>Строительство ВЛИ-0,4 кВ от оп.11 по ВЛ-0,4кВ № 3 от КТП 10/0,4кВ № 71-А по ВЛ-10кВ «Каменный Брод» ПС АС-12, для электроснабжения «Малоэтажная жилая застройка (Индивидуальный жилой дом/Садовый/Дачный дом)» Романчук И.А. р-н. Родионово-Несветайский, кадастровый номер земельного участка: 61:33:0030501:1849, (ориентировочная протяженность ЛЭП – 0,045 км)</t>
  </si>
  <si>
    <t>Строительство ВЛИ-0,4 кВ от оп. №4 ВЛИ-0,4 кВ №1 КТП №585 ВЛ-10 кВ Маркин-1 ПС Ш-27 для электроснабжения малоэтажной жилой застройки Арутюнян Е.В. по адресу: Октябрьский р-н, х. Маркин, ул. Степная, д.31-б (ориентировочная протяженность ЛЭП – 0,045 км)</t>
  </si>
  <si>
    <t xml:space="preserve"> Строительство ВЛИ-0,4 кВ от оп. №5 ВЛ-0,4 кВ №1 КТП №180 по ВЛ-10 Красюковка ПС 35 кВ Ш-39 для присоединения малоэтажной жилой застройки Ятчук Т.В. по адресу: Ростовская область, Октябрьский район, сл. Красюковская, ул. Агролесная, д.47 (ориентировочная протяженность ЛЭП 0,045 км)</t>
  </si>
  <si>
    <t>Строительство ВЛИ-0,4 кВ от оп. №2 ВЛИ-0,4 кВ №1 КТП №817 по ВЛ-6 кВ Прогресс ПС 35 кВ Ш-41 для присоединения складского здания ИП Благодарева В.В. по адресу: Ростовская область, Октябрьский район, ст. Заплавская, ул. Клубная, д.1-б (ориентировочная протяженность ЛЭП 0,17 км)</t>
  </si>
  <si>
    <t>Строительство ВЛИ-0,4 кВ от оп. 25 по ВЛ 0,4кВ № 2 от МТП 10/0,4кВ 05 по ВЛ 10кВ Кутейниково ПС 110 кВ Н9 для электроснабжения «Малоэтажная жилая застройка (Индивидуальный жилой дом/Садовый/Дачный дом)» Важаевой Н.В. по адресу: р-н. Родионово-Несветайский, сл. Родионово-Несветайская, ул. Персиковая, д. 1, (ориентировочная протяженность ЛЭП – 0,03км)</t>
  </si>
  <si>
    <t>Строительство ВЛИ-0,4 кВ от оп. 22 по ВЛ 0,4кВ № 2 от МТП 10/0,4кВ 05 по ВЛ 10кВ Кутейниково ПС 110 кВ Н9 для электроснабжения «Малоэтажная жилая застройка (Индивидуальный жилой дом/Садовый/Дачный дом)» Токаренко К.О. по адресу: р-н. Родионово-Несветайский, сл. Родионово-Несветайская, ул. Персиковая, д. 2. (ориентировочная протяженность ЛЭП – 0,03км)</t>
  </si>
  <si>
    <t>Строительство ВЛИ-0,4 кВ от оп. 17 по ВЛ -0,4кВ № 2 от КТП 10/0,4кВ 124 по ВЛ 10кВ Юдино ПС 35 кВ Н19 для электроснабжения «Малоэтажная жилая застройка (Индивидуальный жилой дом/Садовый/Дачный дом)» Абаева Б.Б. по адресу: р-н. Родионово-Несветайский, х. Волошино. Участок находится примерно в 30 м, по направлению на северо-запад от ориентира, кадастровый номер земельного участка: 61:33:0600013:591 (ориентировочная протяженность ЛЭП – 0,075км)</t>
  </si>
  <si>
    <t>Строительство ВЛИ 0,4 кВ от РУ 0,4кВ КТП 242 ВЛ 10кВ Черни ПС 35/10 Ш32 для электроснабжения ВРУ 0.4кВ малоэтажной жилой застройки Халачян М.О. по адресу: Ростовская обл., Усть-Донецкий район, ст. Верхнекундрюченская, ул. Центральная, д. 2Б, КН ЗУ 61:39:0070101:878 (ориентировочная протяженность ЛЭП – 0,3 км)</t>
  </si>
  <si>
    <t>Строительство ТП-6/0,4, ЛЭП-6 кВ от оп. №12 отпайки к КТП №275 по ВЛ 6 кВ Кривянка ПС Ш-40, и ВЛИ-0,4 кВ от вновь установленной ТП-6/0,4 кВ для присоединения объекта крестьянского (фермерского) хозяйства ИП Александрова Б.Б. по адресу: Октябрьский район, ст. Кривянская, на поле №11(ориентировочная протяженность ЛЭП 1,010 км, ориентировочная мощность трансформатора 25 кВА)</t>
  </si>
  <si>
    <t>Строительство ВЛ-0,4 кВ от опоры №11 ВЛ-0,4 кВ №1 КТП-10/0,4 кВ №621 по ВЛ-10 кВ №1 ПС 110/27,5/10 кВ «Старая Станица», установка прибора коммерческого учета электрической энергии (мощности) в точке поставки и установка шкафа 0,22 кВ с коммутационным аппаратом, (1 шт.) для электроснабжения светофорного комплекса Заявителя Министерство транспорта Ростовской области, расположенного по адресу: Ростовская область, г. Миллерово, автомобильная дорога Миллерово-Луганск, к.н.з.у. 61:22:0000000:100 (1 шт.)" (ориентировочная протяженность ЛЭП – 0,051 км).</t>
  </si>
  <si>
    <t>Строительство КТП-10/0,4 кВ с трансформатором расчетной мощности (с учетом договоров об осуществлении технологического присоединения № 61-1-21-00569491 от 16.04.2021 г., № 61-1-21-00569665 от 16.04.2021г., № 61-1-21-00587533 от 19.07.2021г. и строительство ВЛ-0,4 кВ, от вновь построенной ТП, установка прибора учета электрической энергии (мощности) в точке поставки и установка шкафа (0,4 кВ) с коммутационным аппаратом (1 шт.), для технологического присоединения объекта торговли (магазина) Заявителя, Заика В.Н., расположенного в Ростовской области, Чертковский р-н, х. Нагибин, ул. Молодежная 49, (к.н.з.у. 61:42:0100201:1140), (ориентировочная   протяженность ЛЭП – 0,24 км, ориентировочная мощность ТП – 0,25 МВА)</t>
  </si>
  <si>
    <t>Строительство ВЛ-0,4 кВ от опоры №7/19 ВЛ 0,4 кВ  №3, КТП-10/0,4 кВ №26 по ВЛ-10 кВ №1 ПС 35/10 кВ «Базковская», установка приборов коммерческого учета электрической энергии (мощности) в точке поставки и установка шкафов 0,4 кВ с коммутационным аппаратом, (3 шт.) для технологического присоединения квартир заявителей, Тергалинской С.В., Богуновой Т.В., Котлярова Т.В., расположенных по адресу: Ростовская область, Шолоховский р-н, ст. Базковская, ул. Калинина, (ориентировочная протяженность ЛЭП – 0,11 км)</t>
  </si>
  <si>
    <t>Строительство ВЛ-0,4 кВ от опоры №14/5 по ВЛ-0,4 кВ №2 КТП-10/0,4 кВ №47 по ВЛ-10 кВ №5 ПС 35/10 кВ «Кружилинская»,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Поповниной Н.Р., расположенного по адресу: Ростовская область, Шолоховский р-н, х. Кружилинский, пер. Радужный, д. 1, (к.н.з.у. 61:43:0070101:1042) (ориентировочная протяженность ЛЭП – 0,04 км)</t>
  </si>
  <si>
    <t>Строительство ВЛ-0,4кВ от опоры №10 по ВЛ-0,4кВ №1 КТП-10/0,4 кВ №337 по ВЛ-10кВ №3 ПС 110/35/10кВ "Колодезянская",  установка прибора коммерческого учета электрической энергии (мощности) в точке поставки и установка шкафа 0,4кВ с коммутационным аппаратом (1 шт.) для технологического присоединения личного подсобного хозяйства заявителя, Хрипунова А.В., расположенного по адресу: Ростовская область, Миллеровский р-н , сл. Колодези, Колодезянское сельское поселение  (к.н.з.у. 61:22:0600001:730) (ориентировочная протяженность ЛЭП-0,037 км,)</t>
  </si>
  <si>
    <t>Строительство ВЛ-0,4 кВ от КТП-10/0,4 кВ №209 по ВЛ-10 кВ №1 ПС 35/10 кВ "В. Чирская",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строящегося склада  заявителя, ООО Юбилейное, расположенной  Ростовская область, Боковский р-н, х. Большенаполовский, ул. Школьная, д. 64  (к.н.з.у.61:05:0600001:177) (ориентировочная протяженность ЛЭП-0,096 км)</t>
  </si>
  <si>
    <t>«Строительство ВЛ-0,4 кВ от опоры № 4/14 по ВЛ-0,4 кВ № 1 КТП-10/0,4 кВ № 92 по ВЛ-10 кВ № 3 ПС 35/10 кВ "Боковская,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жилого дома заявителя, Головина И.Л., расположенного Ростовская область, Боковский р-н, х. Земцов, ул. Колхозная, д. 112 (к.н.з.у.61:05:0070504:396)  (ориентировочная протяженность ЛЭП-0,06 км)»</t>
  </si>
  <si>
    <t>«Строительство ВЛ-0,4 кВ от опоры №19 по ВЛ-0,4 кВ №1 КТП-10/0,4 кВ №144 по ВЛ-10 кВ №3 ПС 110/10 кВ "Новоселовская" , установка прибора коммерческого учета  электрической энергии (мощности) в точке поставки и установки шкафа 0,4кВ с коммутационным аппаратом, (1 шт.)  для технологического присоединения жилого дома заявителя, Сохненко В.А., расположенного по адресу: Ростовская область, Кашарский р-н , х. Второй Киевский, ул. Озерная, д 8., (к.н.з.у.00:00:000000), (ориентировочная протяженность ЛЭП-0,065 км)»</t>
  </si>
  <si>
    <t>«Строительство ВЛ-0,4 кВ от КТП-10/0,4 кВ №44 по ВЛ-10 кВ №6 ПС 110/35/10 кВ «Кашарская»,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нежилого здания заявителя, Дорохова А.А., расположенного по адресу: Ростовская область, Кашарский р-н, с. Верхнекалиновка, 500 м. на север от домовладения по ул. Центральная 136, (к.н.з.у. 61:16:0600010:377) (ориентировочная протяженность ЛЭП – 0,1 км)»</t>
  </si>
  <si>
    <t>«Строительство ВЛ-0,4 кВ от опоры №5 ВЛ 0,4 кВ  №2, КТП-10/0,4 кВ №173 по ВЛ-10 кВ №2 ПС 110/ 35/10 кВ «НС-3»,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Евгеньевой И.В., расположенного по адресу: Ростовская область, Шолоховский р-н, х. Затонский, пер. Стрелка, д. 13, (к.н.з.у. 61:43:0080401:137) (ориентировочная протяженность ЛЭП – 0,1 км)»</t>
  </si>
  <si>
    <t>Строительство ВЛ-0,4 кВ от опоры №19 ВЛ-0,4 кВ №3 КТП-10/0,4 кВ №506 по ВЛ-10 кВ №3 ПС 35/10 кВ «Пономаревская», установка прибора коммерческого учета электрической энергии (мощности) в точке поставки и установка шкафа 0,22 кВ с коммутационным аппаратом, (1 шт.) для технологического присоединения нежилого здания заявителя, Местная религиозная организация православный Приход Никольского храма сл. Кашары Ростовской области Шахтинской Епархии Русской Православной Церкви (Московский Патриархат), расположенного по адресу: Ростовская область, Кашарский р-н, х. Пономарев, ул. Широкая, д. 13, (к.н.з.у. 00:00:000000) (ориентировочная протяженность ЛЭП – 0,05 км)</t>
  </si>
  <si>
    <t>Строительство ВЛ-0,4 кВ от опоры №10, ВЛ 0,4 кВ №1, КТП-10/0,4 кВ №137 по ВЛ-10 кВ №3 ПС 110/35/10 кВ «Ал. Лозовская»,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ВРУ-0,4 кВ для строительства складов ангарного типа и двух автомобильных весов Заявителя, ООО «Луч», расположенного по адресу: Ростовская область, Чертковский р-н, с. Кутейниково, (к.н.з.у. 61:42:0600014:669) (ориентировочная протяженность ЛЭП – 0,07 км)</t>
  </si>
  <si>
    <t>«Строительство ВЛ-0,22 кВ от РУ-0,22 кВ, вновь построенной ТП 10/0,22 кВ, строительство ВЛ-10 кВ от опоры № 89/66  по ВЛ-10 кВ №6 ПС 110/35/10 кВ «Кашарская», установка прибора учета электрической энергии (мощности) в точке поставки и установка шкафа 0,22 кВ с коммутационным аппаратом (1 шт.), для технологического присоединения объектов дорожного хозяйства (светофорные объекты, объекты видеофиксации) Заявителя, Министерство транспорта Ростовской области, расположенных в Ростовской области, Кашарский р-н, сл. Кашары, км 42+350 м автомобильной дороги г. Миллерово-ст. Вешенская (61:16:600000:0018) (ориентировочная протяженность ЛЭП – 0,045 км, ориентировочная мощность ТП – 0,01 МВА)»</t>
  </si>
  <si>
    <t>«Строительство ВЛ-0,4 кВ от опоры №15 ВЛ-0,4 кВ №2 КТП-10/0,4 кВ №15 по ВЛ-10 кВ №4 ПС 110/35/10 кВ «Кашарская», установка прибора коммерческого учета электрической энергии (мощности) в точке поставки и установки шкафа 0,4 кВ с коммутационным аппаратом, (1 шт.) для технологического присоединения ЩРУ -0,4 кВ на земельном участке для сельскохозяйственных угодий заявителя, Скоробогатько Н.И., расположенного по адресу: Ростовская область, Кашарский р-н, сл. Кашары, 100 м. на юг от улицы Маршала Жукова, (к.н.з.у. 61:16:0600006:822 (ориентировочная протяженность ЛЭП – 0,17 км)»</t>
  </si>
  <si>
    <t>Строительство ВЛ-0,4 кВ от опоры №6 по ВЛ-0,4кВ №1 КТП-10/0,4 кВ №398 по ВЛ-10 кВ №4 ПС 35/10 кВ "Колундаевская",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Курбатовой О.Ю., расположенного по адресу: Ростовская область, Шолоховский р-н, х. Ушаковский, ул. Центральная, д. 52, (к.н.з.у. 61:43:0060701:66) (ориентировочная протяженность ЛЭП-0,225 км)</t>
  </si>
  <si>
    <t>Строительство ВЛ-0,4 кВ от опоры №14 ВЛ 0,4кВ №1, КТП-10/0,4 кВ №249 по ВЛ-10 кВ №6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Шепеловой Н.Н., расположенного по адресу: Ростовская область, Шолоховский р-н, х. Черновский, пер. Центральный, д. 2, (к.н.з.у. 61:43:0060801:215) (ориентировочная протяженность ЛЭП-0,19 км)</t>
  </si>
  <si>
    <t>Строительство ВЛ-0,4 кВ от опоры №7 ВЛ 0,4 кВ  №1, КТП-10/0,4 кВ №148 по ВЛ-10 кВ №3 ПС 110/ 35/10 кВ «НС-3»,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Кривцовой Л.И., расположенного по адресу: Ростовская область, Шолоховский р-н, х. Альшанский, ул. Кооперативная, д. 3а, (к.н.з.у. 61:43:0010201:318) (ориентировочная протяженность ЛЭП – 0,03 км)</t>
  </si>
  <si>
    <t>Строительство ВЛ-0,4 кВ от опоры №3, ВЛ 0,4 кВ №3, КТП-10/0,4 кВ №236 по ВЛ-10 кВ №6 ПС 110/ 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строящегося жилого дома заявителя, Барладян А.О., расположенного по адресу: Ростовская область, Шолоховский р-н, х. Гороховский, ул. Южная, д. 7Б, (к.н.з.у. 61:43:0060401:1396) (ориентировочная протяженность ЛЭП – 0,03 км)</t>
  </si>
  <si>
    <t>Строительство ВЛ-0,4 кВ от опоры №6 ВЛ 0,4 кВ №1 КТП-10/0,4 кВ №532 по ВЛ-10 кВ №18 ПС 110/35/10 кВ «ГОК»,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опоры двойного назначения заявителя, ООО «ДонСвязьКонструкция», расположенной по адресу: Ростовская область, Миллеровский р-н, с. Новоспасовка, в границах кадастрового квартала 61:22:0600028 (ориентировочная протяженность ЛЭП – 0,04 км)</t>
  </si>
  <si>
    <t>Строительство ВЛ-0,4 кВ от КТП-10/0,4 кВ №531 по ВЛ-10 кВ №7 ПС 110/10 кВ «Миллеровская»,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придорожного сервиса заявителя, ИП Лихачева А.С, расположенного по адресу: Ростовская область, г. Миллерово, в границах кадастрового квартала 61:54:0133401, к.н.з.у. 61:54:0133401:166, (ориентировочная протяженность ЛЭП – 0,15 км)</t>
  </si>
  <si>
    <t>Строительство ВЛ-0,4 кВ от опоры №4 ВЛ 0,4 кВ  №1, КТП-10/0,4 кВ №57 по ВЛ-10 кВ №1 ПС 110/ 35/10 кВ «Ал. Лозовская»,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базовой станции заявителя, ПАО «Мобильные ТелеСистемы», расположенной по адресу: Ростовская область, Чертковский р-н, х. Зубрилинский, в границах кадастрового квартала 61:42:0060201) (ориентировочная протяженность ЛЭП – 0,23 км)</t>
  </si>
  <si>
    <t>Строительство ВЛ-10 кВ от опоры №55/159 по ВЛ-10 кВ №2 ПС 110/35/10 кВ "Калининская" с установкой КТП и строительством ВЛ-0,4 кВ,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жилого дома  заявителя, Сепетый Т.А., расположенного в  Ростовской области, Шолоховский р-н, х. Матвеевский, ул. Зеленая, д. 13  (61:33:0050301:10) (ориентировочная протяженность ЛЭП-0,23 км, ориентировочная мощность ТП- 0,04 МВА)</t>
  </si>
  <si>
    <t>Строительство ВЛ-0,4 кВ от опоры №10 по ВЛ-0,4кВ №1 КТП-10/0,4 кВ №46 по ВЛ-10 кВ №6 ПС 35/10 кВ "Боковская"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жилого дома заявителя, Магомедшариповой А.А., расположенного  Ростовская область, Боковский р-н, х. Ильин, ул. Ильинская, д. 5, (к.н.з.у. 61:05:0010701:6) (ориентировочная протяженность ЛЭП-0,095 км)</t>
  </si>
  <si>
    <t>Строительство ВЛ-0,4 кВ от КТП-10/0,4 кВ №23 по ВЛ-10 кВ №1 ПС 35/10 кВ «Лазаревская»,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базовой станции/оборудование сотовой связи заявителя, АО «Первая башенная компания», расположенной по адресу: Ростовская область, Чертковский р-н, с. Новоселовка, ул. Школьная, участок в 200 метрах от дома №1, (ориентировочная протяженность ЛЭП – 0,27 км)</t>
  </si>
  <si>
    <t>Строительство ВЛ-0,4 кВ от опоры №5 по ВЛ-0,4кВ №2 КТП-10/0,4 кВ №369 по ВЛ-10 кВ №2 ПС 35/10 кВ "Колундаевская"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Алферова М.А., расположенного  Ростовская область, Шолоховский р-н, х. Поповский, ул. Центральная, д. 15, (к.н.з.у. 61:43:0090701:210) (ориентировочная протяженность ЛЭП-0,05 км)</t>
  </si>
  <si>
    <t>Строительство ВЛ-0,4 кВ от РУ 0,4кВ  КТП-10/0,4 кВ №237 по ВЛ-10 кВ №6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Исайкиной О.Н., расположенного по адресу: Ростовская область, Шолоховский р-н, х. Гороховский, ул. Асфальтная, д. 93, (к.н.з.у. 61:43:00604701:391) (ориентировочная протяженность ЛЭП-0,21 км)</t>
  </si>
  <si>
    <t>Строительство ВЛ-0,4 кВ от опоры №20 ВЛ 0,4 кВ №3, КТП-10/0,4 кВ №229 по ВЛ-10 кВ №2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Ващаева В.И., расположенного по адресу: Ростовская область, Шолоховский р-н, х. Дубровский, пер. Грибной, д. 21, (к.н.з.у. 61:43:0030101:554) (ориентировочная протяженность ЛЭП-0,03 км)</t>
  </si>
  <si>
    <t>«Строительство ВЛ-0,4 кВ от опоры №21 ВЛ 0,4 кВ  №3, КТП-10/0,4 кВ №208 по ВЛ-10 кВ №1 ПС 110/ 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Долженко В.И., расположенного по адресу: Ростовская область, Шолоховский р-н, х. Дубровский, ул. Сосновая, д. 19, (к.н.з.у. 61:43:030101:0130) (ориентировочная протяженность ЛЭП – 0,03 км)»</t>
  </si>
  <si>
    <t>Строительство ВЛ-0,4 кВ от РУ-0,4 кВ КТП-10/0,4 кВ №155 по ВЛ-10 кВ №2 ПС 110/35/10 кВ «НС-3», установка приборов коммерческого учета электрической энергии (мощности) в точке поставки и установка шкафов 0,4 кВ с коммутационным аппаратом, (2 шт.) для технологического присоединения жилых домов заявителей, Демидова Ю.В., Горюнова В.В., расположенных по адресу: Ростовская область, Шолоховский р-н, х. Меркуловский, пер. Донской, д. 14, д. 18 к.н.з.у. 61:43:0080101:838, 61:43:0080101:837 (ориентировочная протяженность ЛЭП – 0,13 км)</t>
  </si>
  <si>
    <t>Строительство ВЛ-0,4 кВ от опоры №38 ВЛ 0,4 кВ  №1, КТП-10/0,4 кВ №276 по ВЛ-10 кВ №1 ПС 110/ 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Комарова А.М., расположенного по адресу: Ростовская область, Шолоховский р-н, х. Щебуняевский, ул. Песчаная, д. 27, (к.н.з.у. 61:43:0080601:33) (ориентировочная протяженность ЛЭП – 0,06 км)</t>
  </si>
  <si>
    <t>Строительство ВЛ-0,4 кВ от опоры №7/5 ВЛ 0,4 кВ  №3, КТП-10/0,4 кВ №287 по ВЛ-10 кВ №3 ПС 35/10 кВ «Дударевская»,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навеса для хранения сена заявителя, ИП Шаповалова В.В., расположенного по адресу: Ростовская область, Шолоховский р-н, х. Дударевский, ул. Южная, д. 13а, (к.н.з.у. 61:43:0040101:1059) (ориентировочная протяженность ЛЭП – 0,03 км)</t>
  </si>
  <si>
    <t>Строительство ВЛ-0,4 кВ от опоры №10 по ВЛ-0,4 кВ №2 КТП-10/0,4 кВ №288 по ВЛ-10 кВ №2 ПС 110/10 кВ «Макеевская», установка приборов коммерческого учета электрической энергии (мощности) в точке поставки и установка шкафов 0,4 кВ с коммутационными аппаратами, (2 шт.) для технологического присоединения жилых домов заявителей, Шкильнюк В.И.и Савченко Е.Ф. расположенных по адресу: Ростовская область, Кашарский р-н, х. Речка, ул. Тихомировская, д. 21, Тихомировская, д. 20, (к.н.з.у. 61:16:0030501:99), (61:16:0030501:212)  (ориентировочная протяженность ЛЭП – 0,42 км)</t>
  </si>
  <si>
    <t>Строительство ВЛ-0,4 кВ от опры №11 по ВЛ 0,4 кВ №1, КТП-10/0,4 кВ №662 по ВЛ-10 кВ №1 ПС  35/10 кВ «Криворожская»,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ангара заявителя, ИП глава К(Ф)Х Павлов В.Н., расположенного по адресу: Ростовская область, Миллеровский р-н, Криворожское с.п., (к.н.з.у. 61:22:0600024:727) (ориентировочная протяженность ЛЭП – 0,235 км)</t>
  </si>
  <si>
    <t>«Строительство ВЛ 0,4 кВ от РУ 0,4 кВ, вновь построенной ТП 10/0,4 кВ, строительство ВЛ 10 кВ от опоры № 21/48  по ВЛ 10 кВ №3 ПС 35/10 кВ «Базковская», установка прибора учета электрической энергии (мощности) в точке поставки и установка шкафа 0,4 кВ с коммутационным аппаратом (1 шт.), для технологического присоединения модульной Автогазозаправочной станции Заявителя, Зюзина А.В., расположенной в Ростовской области, Шолоховский р-н, х. Белогорский, ул. Автострадная, д. 3  (61:43:010302:217) (ориентировочная   протяженность ЛЭП – 0,13 км, ориентировочная мощность ТП – 0,025 МВА)»</t>
  </si>
  <si>
    <t>Строительство ВЛ-0,4кВ от опоры №4 по ВЛ-0,4кВ №3 КТП-10/0,4кВ №119 по ВЛ-10кВ №6 ПС 35/10кВ "Боковская",установка прибора коммерческого учета электрической энергии (мощности) в точке поставки и установка шкафа 0,4кВ с коммутационным аппаратом (1шт.) для технологического присоединения жилого дома заявителя Соколовой М.А.,расположенного по адресу:Ростовская область,Боковский р-н,ст.Боковская,пер.Коньковский,д.4Б(к,н,з,у. 61:05:0010104:1251),(ориентировочная протяженность ЛЭП-0,076 км.)</t>
  </si>
  <si>
    <t>Строительство ВЛ-0,4кВ от опоры №2/12 по ВЛ-0,4кВ №1 КТП-10/0,4кВ №236 по ВЛ-10кВ №6 ПС 110/ 35/10кВ "Вешенская 1",установка прибора коммерческого учета электрической энергии (мощности) в точке поставки и установка шкафа 0,4кВ с коммутационным аппаратом (1шт.) для технологического присоединения жилого дома заявителя Гончаровой Л.Н.,расположенного по адресу:Ростовская область,Шолоховский р-н,х.Гороховский,ул.Асфальтная д.99 а(к,н,з,у. 61:43:0060401:949),(ориентировочная протяженность ЛЭП-0,14 км.)</t>
  </si>
  <si>
    <t>Строительство ВЛ-0,4кВ от поры №2/18 ВЛ-0,4кВ №1 КТП-10/0,4кВ №71 по ВЛ-10кВ №2 ПС 110/35/10 кВ "Каргинская",установка прибора коммерческого учета электрической энергии (мощности) в точке поставки и установка шкафа 0,4кВ с коммутационным аппаратом(1шт.) для технологического присоединения жилого дома заявителя,Бибик Н.В.,расположенного по адресу :Ростовская область,Боковский р-н,ст-ца Каргинская,ул.Слободская,д.45-Б(к.н.з.у.61:05:0000000:5499) (ориентировочная протяженность ЛЭП-0,08 км.)</t>
  </si>
  <si>
    <t>Строительство ВЛ-0,4 кВ от опоры №16/13 ВЛ 0,4 кВ  №1, КТП-10/0,4 кВ №220 по ВЛ-10 кВ №2 ПС 110/ 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Святовой А.П., расположенного по адресу: Ростовская область, Шолоховский р-н, х. Зубковский, ул. Заречная, д. 14, (к.н.з.у. 61:43:0030301:88) (ориентировочная протяженность ЛЭП – 0,045 км)</t>
  </si>
  <si>
    <t>Строительство ВЛ-0,4 кВ от опоры №5, ВЛ 0,4 кВ №1, КТП-10/0,4 кВ №242 по ВЛ-10 кВ №6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Спицина М.М., расположенного по адресу: Ростовская область, Шолоховский р-н, х. Гороховский, ул. Северная, д. 4, (к.н.з.у. 61:43:0060401:293) (ориентировочная протяженность ЛЭП – 0,04 км)</t>
  </si>
  <si>
    <t>Строительство ВЛ-0,4 кВ от опры №7 по ВЛ 0,4 кВ №2, КТП-10/0,4 кВ №363 по ВЛ-10 кВ №3 ПС  35/10 кВ «Киевская»,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строящегося жилого дома заявителя, Мешковой Н.Е., расположенного по адресу: Ростовская область, Кашарский р-н, х. Черниговка, ул. Песчаная, д. 3, (к.н.з.у. 61:43:0140401:40) (ориентировочная протяженность ЛЭП – 0,45 км)</t>
  </si>
  <si>
    <t>Строительство ВЛ-0,4 кВ от опры №7 по ВЛ 0,4 кВ №2, КТП-10/0,4 кВ №350 по ВЛ-10 кВ №2 ПС  35/10 кВ «Киевская»,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наружного освещения заявителя, Министерство транспорта Ростовской области, расположенного по адресу: Ростовская область, Кашарский р-н, х. Драчевка, участок автодороги 2+000, 22+730, (к.н.з.у. 61:16:0600020:425) (ориентировочная протяженность ЛЭП – 0,04 км)</t>
  </si>
  <si>
    <t>Строительство ВЛ-0,4 кВ от опры №14 по ВЛ 0,4 кВ №2, КТП-10/0,4 кВ №354 по ВЛ-10 кВ №2 ПС  35/10 кВ «Киевская»,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наружного освещения заявителя, Министерство транспорта Ростовской области, расположенного по адресу: Ростовская область, Кашарский р-н, х. Драчевка, участок автодороги 0+000, 0+600, (к.н.з.у. 61:16:0600020:328) (ориентировочная протяженность ЛЭП – 0,03 км)</t>
  </si>
  <si>
    <t>Строительство ВЛ-0,4 кВ от опоры №4/4/2 по ВЛ-0,4 кВ №2 КТП-10/0,4 кВ №174 по ВЛ-10 кВ №2 ПС 110/35/10 кВ «НС-3», установка прибора коммерческого учета электрической энергии (мощности) в точке поставки и установка шкафа 0,4 кВ с коммутационным аппаратом, (1 шт.) для электроснабжения ВРУ 0,4 кВ базовой станции сотовой связи х. Затонский, 70 м по направлению на юго-запад от границы участка по адресу ул. Центральная, 58, заявитель, ПАО «Ростелеком», расположенной по адресу: Ростовская область, Шолоховский р-н, х. Затонский, (ориентировочная протяженность ЛЭП – 0,09 км), к.н.з.у. 61:43:0080401</t>
  </si>
  <si>
    <t>Строительство ВЛ-0,4 кВ от опоры №4/3 по ВЛ-0,4 кВ №1 КТП-10/0,4 кВ №367 по ВЛ-10 кВ №2 ПС 35/10 кВ «Колундаевская»,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электроснабжения ВРУ 0,4 кВ базовой станции сотовой связи х. Поповский, примерно 30 м по направлению на восток от границы участка по адресу: ул. Центральная, 7а, заявитель, ПАО «Ростелеком», расположенной по адресу: Ростовская область, Шолоховский р-н, х. Поповский, (ориентировочная протяженность ЛЭП – 0,035 км), к.н.з.у. 61:43:0090701</t>
  </si>
  <si>
    <t>«Строительство ВЛ-10 кВ от опоры № 205 по ВЛ-10 кВ № 5 ПС 110/35/10 кВ «Каргинская» с установкой КТП и строительством ВЛ-0,4 кВ, установку коммерческого учета (1 шт.) электрической энергии (мощности) в точке поставки и установка шкафа 0,4 кВ с коммутационным аппаратом, для электроснабжения склада Заявителя, ИП Сутулов В.С. расположенного в Ростовской области, Боковский р-н, х. Попов, ул. Колхозная, д. 3, (61:05:0600004:153) (ориентировочная   протяженность ЛЭП – 0,045 км, ориентировочная мощность ТП – 0,16 МВА)»</t>
  </si>
  <si>
    <t>Строительство ВЛ-10 кВ от опоры №136 по ВЛ-10 кВ №2  ПС 110/10 кВ "Новоселовская" с установкой КТП и строительством ВЛ-0,4 кВ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жилого дома  заявителя, Эльбиева Б.И., расположенного в  Ростовская область, Кашарский  р-н, х. Рожок, ул. Набережная, д. 6  (61:16:0170501:27) (ориентировочная протяженность ЛЭП-0,28 км, ориентировочная мощность ТП- 0,04 МВА)</t>
  </si>
  <si>
    <t>Строительство ВЛ-0,4 кВ от опоры №8 по ВЛ-0,4 кВ №2 КТП-10/0,4 кВ №64 по ВЛ-10 кВ №4 ПС 110/35/10 кВ «Каргинская»,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водозабора заявителя, Администрация Боковского района., расположенного по адресу: Ростовская область, Боковский р-н, х. Лиховидовский, ул. Школьная, д. 27, (к.н.з.у. 61:05:0030301:634) (ориентировочная протяженность ЛЭП – 0,035 км)</t>
  </si>
  <si>
    <t>Строительство ВЛ-0,4 кВ от РУ 0,4 кВ, КТП-10/0,4 кВ №249 по ВЛ-10 кВ №6 ПС 110/ 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строящегося жилого дома заявителя, Гришина А.И., расположенного по адресу: Ростовская область, Шолоховский р-н, х. Черновский, ул. Песочная, д. 9А, (к.н.з.у. 61:43:0060801:226) (ориентировочная протяженность ЛЭП – 0,48 км)</t>
  </si>
  <si>
    <t>Строительство ВЛ-0,4 кВ от опры №15 по ВЛ 0,4 кВ №1, КТП-10/0,4 кВ №102 по ВЛ-10 кВ №6 ПС  35/10 кВ «Боковская»,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автомобильной мойки заявителя, Шарата К.В., расположенного по адресу: Ростовская область, Боковский р-н, ст. Боковская, ул. Совхозная, д. 13К, (к.н.з.у. 61:05:0010104:1356) (ориентировочная протяженность ЛЭП – 0,055 км)</t>
  </si>
  <si>
    <t>Строительство ВЛ-0,4 кВ от опоры №4, ВЛ 0,4 кВ №2, КТП-10/0,4 кВ №110 по ВЛ-10 кВ №2 ПС  35/10 кВ «Сетраковская»,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весовой и зернохранилища заявителя, ИП Глава К(Ф)Х Коваленко А.В., расположенных по адресу: Ростовская область, Чертковский р-н, х. Сетраки, ул. Подгорная, д. 24, (к.н.з.у. 61:42:0600019:882) (ориентировочная протяженность ЛЭП – 0,12 км)</t>
  </si>
  <si>
    <t>Строительство ВЛ-0,4 кВ от КТП-10/0,4 кВ №110 по ВЛ-10 кВ №3 ПС  110/35/10 кВ «Каргинская»,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наружного освещения заявителя, Министерство транспорта Ростовской области, расположенного по адресу: Ростовская область, Боковский р-н, п. Яблоновский, (к.н.з.у. 61:05:0000000:5279) (ориентировочная протяженность ЛЭП – 0,03 км)</t>
  </si>
  <si>
    <t>«Строительство ВЛ-0,4 кВ от опоры №8/7, ВЛ 0,4 кВ №3, КТП-10/0,4 кВ №30 по ВЛ-10 кВ №4 ПС  35/10 кВ «Боковская», установка прибора коммерческого учета электрической энергии (мощности) в точке поставки и установка шкафа 0,22 кВ с коммутационным аппаратом, (1 шт.) для технологического присоединения  жилого дома заявителя, Клыковой Ю.А., расположенного по адресу: Ростовская область, Боковский р-н, х. Дуленков, ул. Левадная, д. 14, (к.н.з.у. 61:05:0010605:205) (ориентировочная протяженность ЛЭП – 0,035 км)».</t>
  </si>
  <si>
    <t>Строительство ВЛ-0,4 кВ от опоры №1/19, ВЛ 0,4 кВ №2, КТП-10/0,4 кВ №239 по ВЛ-10 кВ №2 ПС 110/35/10 кВ «Ал. Лозовская»,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административного здания заявителя, АО «Почта России», расположенных по адресу: Ростовская область, Чертковский р-н, с. Алексеево-Лозовское, ул. Лисичкина, д. 22/9, (к.н.з.у. 61:42:0010101:3295) (ориентировочная протяженность ЛЭП – 0,032 км)</t>
  </si>
  <si>
    <t>Строительство ВЛ-10 кВ от опоры №153/160 по ВЛ-10 кВ №3 ПС 110/35/10 кВ "Казанская" с установкой КТП и строительством ВЛ- 0,4 кВ, установка коммерческого учета электрической энергии (мощности) в точке поставки и установка шкафа 0,4 кВ с коммутационным аппаратом, для электроснабжения пункта охраны заявителя, ИП Глава КФХ Шурупов А.Н., расположенного в Ростовской области, Верхнедонской р-н, х. Морозовский, в 8,0 км. на север от х. Солонцовского  (61:07:0600011:296) (ориентировочная протяженность ЛЭП- 0,23 км, ориентировочная мощность ТП- 0,025 МВА)</t>
  </si>
  <si>
    <t>Строительство ВЛ-0,4 кВ от опоры №13 по ВЛ 0,4 кВ №2, КТП-10/0,4 кВ №72 по ВЛ-10 кВ №5 ПС  35/10 кВ «Титовская»,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сооружения связи заявителя, ФГКУ Пограничное управление ФСБ РФ по Ростовской области, расположенного по адресу: Ростовская область, Миллеровский р-н, сл. Титовка, Титовское с.п., (к.н.з.у. 61:22:0600010:432) (ориентировочная протяженность ЛЭП – 0,106 км)</t>
  </si>
  <si>
    <t>Строительство ВЛ-0,4 кВ от опоры №16 по ВЛ- 0,4 кВ №2, КТП-10/0,4 кВ №196 по ВЛ-10 кВ №4 ПС  110/35/10 кВ «Каргинская»,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Калинина В.М., расположенного по адресу: Ростовская область, Боковский р-н, х. Лиховидовский, ул. Заречная, д. 23, (к.н.з.у. 61:05:0030301:304) (ориентировочная протяженность ЛЭП – 0,36 км)</t>
  </si>
  <si>
    <t>Строительство ВЛ-0,4 кВ от опоры №5, ВЛ 0,4 кВ №1, КТП-10/0,4 кВ №228 по ВЛ-10 кВ №1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Хусаинова Р.Г., расположенного по адресу: Ростовская область, Шолоховский р-н, х. Пигаревский, ул. Красноселовская, д. 1Г, (к.н.з.у. 61:43:0020602:405) (ориентировочная протяженность ЛЭП – 0,045 км)</t>
  </si>
  <si>
    <t>Строительство ВЛ-10 кВ от опоры № 13/45 по ВЛ-10 кВ № 1 ПС 110/35/10 кВ «Вешенская 1» с установкой КТП и строительством ВЛ-0,4 кВ, установку коммерческого учета (2 шт.) электрической энергии (мощности) в точке поставки и установка шкафов 0,4 кВ с коммутационным аппаратом, для технологического присоединения зданий для бытовых нужд заявителей, Хохлачева Г.Я., и Скориковой Р.С расположенных в Ростовской области, Шолоховский р-н, х. Пигаревский,  (61:43:0500101:224, 61:43:0500101:258) (ориентировочная   протяженность ЛЭП – 1,51 км, ориентировочная мощность ТП – 0,04 МВА)</t>
  </si>
  <si>
    <t>Строительство ВЛ-0,4 кВ от РУ 0,4 кВ, КТП-10/0,4 кВ №397 по ВЛ-10 кВ №4 ПС 35/10 кВ «Колундаевская»,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Фандеева В.В., расположенного по адресу: Ростовская область, Шолоховский р-н, х. Ушаковский, ул. Центральная, д. 89, (к.н.з.у. 61:43:0060701:45) (ориентировочная протяженность ЛЭП – 0,75 км)</t>
  </si>
  <si>
    <t>Строительство ВЛ-0,4 кВ от опоры №2/8 по ВЛ-0,4 кВ №1 КТП-10/0,4 кВ №5 по ВЛ-10 кВ №1 ПС 35/10 кВ «Кружилинская»,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Омарова А.М., расположенного по адресу: Ростовская область, Шолоховский р-н, х. Сингиновский, ул. Западная, д. 54, (к.н.з.у. 61:43:0070401:49) (ориентировочная протяженность ЛЭП – 0,25 км)</t>
  </si>
  <si>
    <t>Строительство ВЛ-0,4 кВ от опоры №8/14 ВЛ 0,4 кВ  №1, КТП-10/0,4 кВ №224 по ВЛ-10 кВ №1 ПС 110/ 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склада заявителя, ИП Главы КФХ Ефимова В.М., расположенного по адресу: Ростовская область, Шолоховский р-н, х. Антиповский, ул. Асфальтная, д. 46, (к.н.з.у. 61:43:0600006:781) (ориентировочная протяженность ЛЭП – 0,56 км)</t>
  </si>
  <si>
    <t>Строительство ВЛ-0,4 кВ от опоры №17/14, ВЛ 0,4 кВ №3, КТП-10/0,4 кВ №210 по ВЛ-10 кВ №1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Сенякиной А.М., расположенного по адресу: Ростовская область, Шолоховский р-н, х. Антиповский, ул. Школьная, д. 67, (к.н.з.у. 61:43:0030201:220) (ориентировочная протяженность ЛЭП – 0,17 км)</t>
  </si>
  <si>
    <t>Строительство ВЛ-0,4 кВ от опоры №5, ВЛ 0,4 кВ №1, КТП-10/0,4 кВ №303 по ВЛ-10 кВ №3 ПС  35/10 кВ «Ольховская»,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Кубанова И.В., расположенного по адресу: Ростовская область, Кашарский р-н, х. Ольховый, ул. Лесная, д. 37, (к.н.з.у. 61:16:0050301:357) (ориентировочная протяженность ЛЭП – 0,04 км)</t>
  </si>
  <si>
    <t>Строительство ВЛ-10 кВ от опоры № 130 по ВЛ-10 кВ № 5 ПС 110/35/10 кВ «ГОК» с установкой КТП и строительством ВЛ-0,4 кВ, установку коммерческого учета (1 шт.) электрической энергии (мощности) в точке поставки и установка шкафа 0,4 кВ с коммутационным аппаратом, для электроснабжения индивидуальной жилой застройки Заявителя, Трофименко В.В. расположенной в Ростовской области, Миллеровский р-н, х. Красная Заря, ул. Прудная, д. 5, (61:22:0010501:22) (ориентировочная   протяженность ЛЭП – 0,012 км, ориентировочная мощность ТП – 0,025 МВА)</t>
  </si>
  <si>
    <t>Строительство ВЛ-10 кВ от опоры № 15/48 по ВЛ-10 кВ № 3 ПС 35/10 кВ «Базковская» с установкой КТП и строительством ВЛ-0,4 кВ, установку коммерческого учета (1 шт.) электрической энергии (мощности) в точке поставки и установка шкафов 0,4 кВ с коммутационным аппаратом, для технологического присоединения склада сельскохозяйственной продукции, Заявителя,  ИП Глава К(Ф)Х Пащинскова Т.П., расположенных в Ростовской области, Шолоховский р-н, х. Белогорский, ул. Молодежная, д. 1д, (61:43:0010301:2153) (ориентировочная   протяженность ЛЭП – 0,18 км, ориентировочная мощность ТП – 0,1 МВА)</t>
  </si>
  <si>
    <t>Строительство ВЛ-0,4 кВ от опоры№ 8, ВЛ 0,4 кВ №2, КТП-10/0,4 кВ №564 по ВЛ-10 кВ №18 ПС  110/35/10 кВ «ГОК»,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личного подсобного хозяйства Заявителя, Шевцова К.Ю., расположенного по адресу: Ростовская область, Миллеровский р-н, г. Миллерово, бывшее подсобное хозяйство общепита, (к.н.з.у. 61:22:0120501:65), (ориентировочная протяженность ЛЭП – 0,058 км)</t>
  </si>
  <si>
    <t>Строительство ВЛ-0,4 кВ от опоры №9, ВЛ 0,4 кВ №1, КТП-10/0,4 кВ №569 по ВЛ-10 кВ №18 ПС  110/35/10 кВ «ГОК», для технологического присоединения личного подсобного хозяйства заявителя, Литвинова Е.Е., расположенного по адресу: Ростовская область, Миллеровский р-н, х. Редкодуб, (к.н.з.у. 61:22:0011101:164) и технологического присоединения квартиры заявителя, Машталировой С.А., расположенной по адресу: Ростовская область, Миллеровский р-н, х. Редкодуб, ул. Созвучная, д. 7, кв. 2 (к.н.з.у. 61:22:01011101:32),  установка приборов коммерческого учета электрической энергии (мощности) в точке поставки и установка шкафов 0,4 кВ с коммутационными аппаратами, (2 шт.), (ориентировочная протяженность ЛЭП – 0,207 км)</t>
  </si>
  <si>
    <t>Строительство ВЛ-0,4 кВ от опоры №15, ВЛ 0,4 кВ №1, КТП-10/0,4 кВ №621 по ВЛ-10 кВ №1 ПС  110/27,5/10 кВ «Старая Станица», установка приборов коммерческого учета электрической энергии (мощности) в точке поставки и установка шкафов 0,4 кВ с коммутационными аппаратами, (3 шт.) для технологического присоединения жилых домов заявителей, Тачкова А.В., Санакоевой М.А. и Мирошниченко Н.М., расположенных по адресу: Ростовская область, Миллеровский р-н, х. Банниково-Александровский, ул. Восточная, д. 12, Восточная, д. 31, Восточная, д.15(к.н.з.у. 61:22:0010201:70), (61:22:0010201:91), (00:00:000000), (ориентировочная протяженность ЛЭП – 0,22 км)</t>
  </si>
  <si>
    <t>Строительство ВЛ-0,4 кВ от РУ-0,4 кВ КТП-10/0,4 кВ №284 по ВЛ-10 кВ №3 ПС 35/10 кВ «Дударевская», установка прибора коммерческого учета (1 шт.) электрической энергии (мощности) в точке поставки и установка шкафа 0,4 кВ с коммутационными аппаратами, для технологического присоединения объекта медицинского учреждения заявителя, Муниципальное бюджетное учреждение здравоохранения «Центральная районная больница», расположенного по адресу: Ростовская область, Шолоховский р-н, х. Дударевский, ул. Аптечная, д. 6А, (к.н.з.у. 61:43:0040101:733), (ориентировочная протяженность ЛЭП – 0,145 км)</t>
  </si>
  <si>
    <t>Строительство ВЛ 0,4 кВ от ВЛ 0,4 кВ проектируемой КТПН 10/0,4 кВ (по договору №61-1-19-00437155 от 30.04.2019 г.) ВЛ 10 кВ №1106 ПС 110 кВ АС11 для электроснабжения ВРУ 0,4 кВ жилого дома Шевченко Е. Н. на участке с КН 61:55:0011023:78 в г. Новочеркасске Ростовской области</t>
  </si>
  <si>
    <t xml:space="preserve">Строительство ВЛ 0,4 кВ от РУ 0,4 кВ проектируемой КТПН 10/0,4 кВ (по договору №61-1-18-00420165 от 28.12.2018 г.) ВЛ 10 кВ №1205 ПС 110 кВ АС12 для электроснабжения ВРУ 0,4 кВ жилого дома Ли А. В. на участке с КН 61:02:0600006:5497 в п. Красный Аксайского района Ростовской области </t>
  </si>
  <si>
    <t xml:space="preserve">Строительство ВЛ 0,4 кВ от проектируемой ВЛ 0,4 кВ техперевооружаемой КТПН 6/0,4 кВ (по договору №61-1-20-00502801 от 03.03.2020 г.) ВЛ 6 кВ №3 РП6 КЛ 6 кВ №340 ПС 110 кВ БТ3 для электроснабжения ВРУ 0,4 кВ жилого дома Власовой И. Н. на участке с КН 61:01:0130201:1692 в п. Красный Сад Азовского района Ростовской области </t>
  </si>
  <si>
    <t>Строительство ВЛ 0,4 кВ от проектируемой КТПН 6/0,4 кВ (по договору №61-1-19-00473047 от 01.10.2019 г.) ВЛ 6 кВ №3 РП 6 кВ №6 КЛ 6 кВ №340 ПС 110 кВ БТ3 для электроснабжения ВРУ 0,23 кВ жилого дома Василенко С. Н. по ул. Тургенева, 13 в п. Красный Сад Азовского района Ростовской области</t>
  </si>
  <si>
    <t xml:space="preserve">Строительство ВЛ 0,4 кВ от проектиремой ВЛ 0,4 кВ (по договору №61-1-20-00544009 от 10.11.2020 г.) проектируемой КТПН 10/0,4 кВ ВЛ 10 кВ №1208 ПС 110 кВ АС12 для электроснабжения ВРУ 0,4 кВ жилых домов Казак Л.Д. на участках с КН 61:02:0600006:6725:6725, 61:02:0600006:6739 в п. Щепкин Аксайского района  Ростовской области </t>
  </si>
  <si>
    <t xml:space="preserve">Строительство ТП 6/0,4 кВ, ВЛ 0,4 кВ, ВЛ 10 кВ от ВЛ 6 кВ №807 ПС 35 кВ АС8 для электроснабжения объекта сельскохозяйственного объекта ООО НПФ «ФИТЭКО» на участке с КН 61:02:0600011:1808 в п. Мускатный </t>
  </si>
  <si>
    <t xml:space="preserve">Строительство ТП 10/0,4 кВ, ВЛ 0,4 кВ, ВЛ 10 кВ от ВЛ 10 кВ №403 ПС 110 кВ АС4 для электроснабжения объекта торговли ИП Сагоян А. С. на участке с КН 61:02:0060101:3644 в х. Ленина Аксайского района Ростовской области </t>
  </si>
  <si>
    <t>Строительство ВЛ 0,4 кВ от РУ 0,4 кВ КТП 10 кВ №131 по ВЛ 10 кВ №407 ПС 35 кВ В4 для электроснабжения павильонов Зинькова А. Е. и  Пенечко В. А находящихся в РО, Веселовского района, х. Малая Западенка. Территория ЗАО им. Черняховского</t>
  </si>
  <si>
    <t xml:space="preserve">Строительство ВЛ 0,4 кВ по ВЛ 0,4 кВ № 1 от КТП 10/0,4 кВ №115, ВЛ 10 кВ №411 ПС 35 кВ В4 для электроснабжения магазина Шульги А. Л. на участке с КН 61:06:0600011:1035 в Веселовском районе Ростовской области, х. Позднеевка, ул. Шоссейная, 5 </t>
  </si>
  <si>
    <t xml:space="preserve">Строительство ТП 10/0,4 кВ, ВЛ 0,4 кВ, ВЛ 10 кВ от ВЛ 10 кВ №160 ПС 110 кВ В-1 для электроснабжения контейнерной автоматической заправочной станции самообслуживания ИП Карпенко С. В.  в РО, Веселовском районе, п. Веселый, пер. Колхозный, 82 </t>
  </si>
  <si>
    <t xml:space="preserve">Строительство ТП 10/0,4 кВ, ВЛ 0,4 кВ, ВЛ 10 кВ от ВЛ 10 кВ №208 ПС 110 кВ СМ2 для электроснабжения объекта сельхоз. производства заявителя Нуриева Аббоса Камоловича по адресу, Ростовская обл., р-н. Семикаракорский, месторасположение установлено относительно ориентира, расположенного в границах участка. Ориентир контур поля № 16 массива земель реорганизованного сельскохозяйственного предприятия ЗАО «Зелёная горка» </t>
  </si>
  <si>
    <t xml:space="preserve">Строительство ВЛ0,4 кВ от опоры №10 ВЛ0,4 кВ №2 КТП № 175 ВЛ10 кВ № 125 ПС 110 кВ СМ1 для электроснабжения жилых домов заявителей Абаимовой И.Л., по адресу: РО, г. Семикаракорск, ул. Солнечная, д.35 и Карабедьян О.А. по адресу: РО, г. Семикаракорск, ул. Солнечная, д.33 </t>
  </si>
  <si>
    <t xml:space="preserve">Техническое перевооружение ТП 10 кВ №447 ВЛ 10 кВ №1103 ПС 110 кВ АС11 и строительство ВЛ 0,4 кВ от РУ 0,4 кВ ТП 10 кВ №447 ВЛ 10 кВ №1103 ПС 110 кВ АС11 для электроснабжения ВРУ 0,4 кВ жилых домов по адресу: Ростовской обл., р-н Аксайский, с/х КСП им. М. Горького, участок с КН 61:02:0600009:1045, 61:02:0600009:1046 </t>
  </si>
  <si>
    <t xml:space="preserve">Строительство ТП 10/0,4 кВ, ВЛ 0,4 кВ, ВЛ 10 кВ от ВЛ 10 кВ №653 ПС 110 кВ АС6 для электроснабжения ВРУ 0,4 кВ объекта сельхозначения Шкорина А. И. на участке с КН 61:02:0600013:2709 в ст-це Старочеркасская Аксайского района Ростовской области </t>
  </si>
  <si>
    <t xml:space="preserve">Строительство КТП 10/0,4 кВ, ВЛ 0,4 кВ, ВЛ 10 кВ от ВЛ 10 кВ №1006 ПС 110 кВ АС10 для электроснабжения складского комплекса ООО «ЮНИКОСМЕТИК» на участке с КН 61:02:0600002:3052 в ст-це Грушевская Аксайского района Ростовской области </t>
  </si>
  <si>
    <t xml:space="preserve">Строительство ВЛ 0,4 кВ от проектируемой ВЛ 0,4 кВ (по договору №61-1-21-00569891 от 13.04.2021 г.) ТП 10 кВ №448 ВЛ 10 кВ №1109 ПС 110 кВ АС11 для электроснабжения жилого дома Смирновой А. В. на участке с КН 61:55:0011022:782 в г. Новочеркасске Ростовской области </t>
  </si>
  <si>
    <t xml:space="preserve">Строительство ВЛ 0,4 кВ от ВЛ 0,4 кВ №3 ТП 10 кВ №60 ВЛ 10 кВ от КЛ 10 кВ №3ф5 РП 10 кВ №3 КЛ 10 кВ №1532 и №1546 ПС 110 кВ АС15 для электроснабжения ВРУ 0,4 кВ жилого дома Афанасьева А. В. на участке с КН 61:02:0600010:12381 в г. Аксае Аксайского района Ростовской области </t>
  </si>
  <si>
    <t xml:space="preserve">Строительство КТПН 10/0,4 кВ, ВЛ 0,4 кВ, ВЛ 10 кВ от ВЛ 10 кВ №111 ПС 110 кВ АС1 для электроснабжения ВРУ 0,4 кВ хозяйственного помещения АНО “Приют для безнадзорных животных “Добросфера” на участке с КН 61:02:0600017:4010 в нп. АО Луговое Аксайского района Ростовской области </t>
  </si>
  <si>
    <t xml:space="preserve">Строительство ВЛ 0,4 кВ от ВЛ 0,4 кВ №2 ТП 10 кВ №650 ВЛ 10 кВ №101 ПС 110 кВ АС1 для электроснабжения ВРУ 0,4 кВ жилого дома Коршунова В. Б. на участке с КН 61:02:0090103:3058 в ст-це Ольгинская Аксайского района РО </t>
  </si>
  <si>
    <t xml:space="preserve">Строительство КТП 10/0,4 кВ, ВЛ 0,4 кВ, ВЛ 10 кВ от ВЛ 10 кВ №1208 ПС 110 кВ АС12 для электроснабжения складского здания/помещения ООО «ПЛАСТ АВЕНЮ» на участке с КН 61:02:0080503:610 в п. Щепкин Аксайского района Ростовской области </t>
  </si>
  <si>
    <t xml:space="preserve">Строительство ВЛ 0,4 кВ от ВЛ 0,4 кВ №3 ТП 6 кВ №184 ВЛ 6 кВ №807 ПС 35 кВ АС8 для электроснабжения ВРУ 0,4 кВ жилого дома Максаевой Л. Ф. по ул. Фадеева, 147А в х. Большой Лог Аксайского района Ростовской области </t>
  </si>
  <si>
    <t xml:space="preserve">Строительство ВЛ 0,4 кВ по ВЛ 0,4 кВ № 1 от КТП 10 кВ №97, ВЛ 10 кВ №158 ПС 110 кВ В1 для электроснабжения жилого дома Гороховой Н.Ю. на участке с КН 61:06:0010138:828 в Веселовском районе Ростовской области, п. Веселый, ул. Пензенская, 3-б </t>
  </si>
  <si>
    <t xml:space="preserve">Строительство ТП 10/0,4 кВ, ВЛ 0,4 кВ, ВЛ 10 кВ от для электроснабжения ВРУ-0,4 кВ жилых домов заявителей Деревянко М.В. по адресу: РО., Семикаракорский р-н, х. Сусат, ул. Речная, 80 А к.н.: 61:35:0090101:3346, Рудник В.В. по адресу: РО., Семикаракорский р-н, х. Сусат, ул. Речная, 78 А к.н.: 61:35:0090101:736 </t>
  </si>
  <si>
    <t xml:space="preserve">Строительство ТП 10/0,4 кВ, ВЛ 0,4 кВ, ВЛ 10 кВ от для электроснабжения ВРУ-0,4 кВ объекта сельхоз производства заявителя Вакуленко Н.И.. по адресу: РО, р-н. Семикаракорский, п. Крымский, контуры полей № 35,38,41,50,51,53,55,67,68,66,74 массива земель, реорганизованного с/х предприятия ТОО "Крымское", к.н.: 61:35:0600009:152 </t>
  </si>
  <si>
    <t xml:space="preserve">Строительство ВЛ-0,4 кВ от ВЛ-0,4 кВ № 3, КТП № 952 ВЛ-10 кВ № 903 ПС СМ-9 для электроснабжения жилого дома заявителя Лысенко Т.В. адресу: РО, Семикаракорский район, х. Слободской, ул. Сальская, 53 к.н.:61:35:0090401:358 </t>
  </si>
  <si>
    <t xml:space="preserve">Строительство ВЛ 0,4 кВ от проектируемой ВЛ 0,4 кВ (по договору №61-1-21-00602295 от 23.09.2021 г.) КТП 10/0,4 кВ ВЛ 10 кВ №1208 ПС 110 кВ АС12 для электроснабжения ВРУ 0,4 кВ жилых домов Полулях С. А. в п. Щепкин Аксайского района Ростовской области </t>
  </si>
  <si>
    <t xml:space="preserve">Строительство КТПН 10/0,4 кВ, ВЛ 0,4 кВ, КЛ 10 кВ от КЛ 10 кВ №3Ф3 РП3 КЛ 10 кВ №1532 ПС 110 кВ АС15 для электроснабжения ВРУ 0,4 кВ автостоянки Курто П. А. на участке с КН 61:02:0600010:14920 в г. Аксае Аксайского района Ростовской области </t>
  </si>
  <si>
    <t xml:space="preserve">Строительство ВЛ 0,4 кВ от ВЛ 0,4 кВ №3 КТП 10/0,4 кВ №117 ВЛ 10 кВ №307 ПС 35 кВ БГ3 для электроснабжения жилого дома Абдуллаева И.Ф. по адресу РО, Багаевский район, х. Елкин, ул. Стадионная, 3, уч. 25. </t>
  </si>
  <si>
    <t>Строительство ВЛ 0,4 кВ от проектируемой ВЛ 0,4 кВ ( по договру №61-1-20-00537033 от 13.10.2020 г.) от ВЛ 0,4 кВ №1 КТП №434 ВЛ 10 кВ №1103 ПС 110 кВ АС 11 для электроснабжения ВРУ 0,4 кВ жылых домов в ст-це Мишкинская Аксайского района Ростовской области</t>
  </si>
  <si>
    <t xml:space="preserve">Строительство КТПН 10/0,4 кВ, ВЛ 0,4 кВ, КЛ 10 кВ от ВЛ 10 кВ №103 ПС 110 кВ АС1 для электроснабжения ВРУ 0,4 кВ нежилого помещения Литвишковой С. Н. на участке с КН 61:02:000000:0369 в п. Дорожный Аксайского района Ростовской области </t>
  </si>
  <si>
    <t>Строительство ТП 10/0,4 кВ, ВЛ 0,4 кВ, ВЛ 10 кВ от ВЛ 10 кВ №106 ПС 110 кВ БГ1 для электроснабжения дачных домов Комаровской Е.Н., Берченко А.А., Кучеренко В.Н. по адресу: Ростовская обл., р-н. Багаевский, ст. Багаевская, ул. Береговая, д.184-а, д. 182, д. 170</t>
  </si>
  <si>
    <t xml:space="preserve">Строительство КТПН 10/0,4 кВ, ВЛ 10 кВ, ВЛ 0,4 кВ от ВЛ 10 кВ №111 ПС 110 кВ АС1 для электроснабжения ВРУ 0,4 кВ нежилых помещений в нп. АО Луговое в Аксайском районе Ростовской области </t>
  </si>
  <si>
    <t xml:space="preserve">Строительство ТП 10/0,4 кВ, ВЛ 10 кВ, ВЛ 0,4 кВ от ВЛ 10 кВ №810 ПС 35 кВ СМ8 для электроснабжения нежилого здания (свинарник) заявителя Кривоспицкой Татьяны Павловны по адресу: Ростовская обл., Семикаракорский район, в 1,5 км по направлению на северо-восток от х. Павлов к.н.:61:35:0600021:428 </t>
  </si>
  <si>
    <t xml:space="preserve">Строительство ВЛ 0,4 кВ от проектируемой КТПН 10/0,4 кВ (по договору №61-1-19-00424111 от 27.02.2019 г.) ВЛ 10 кВ №3 ПС 35 кВ Б. Салы с заменой силового трансформатора проектируемой КТПН 10/0,4 кВ (по договору №61-1-19-00424111 от 27.02.2019 г.) ВЛ 10 кВ №3 ПС 35 кВ Б. Салы для электроснабжения ВРУ 0,4 кВ жилых домов в п. Темерницкий Аксайского района Ростовской области </t>
  </si>
  <si>
    <t xml:space="preserve">Строительство ТП 10/0,4 кВ, ВЛ 0,4 кВ, ВЛ 10 кВ от ВЛ 10 кВ №1103 ПС 110 кВ АС11 для электроснабжения ВРУ 0,4 кВ жилого дома Костандян А. А. на участке с КН 61:02:0600009:2371 в ст-це Мишкинская Аксайского района Ростовской области </t>
  </si>
  <si>
    <t xml:space="preserve">Строительство ТП 10/0,4 кВ, ВЛ 0,4 кВ, ВЛ 10 кВ от ВЛ 10 кВ №111 ПС 110 кВ АС1 для электроснабжения ВРУ 0,4 кВ жилого дома Асланова М. В. в п. Дорожный Аксайского района Ростовской области </t>
  </si>
  <si>
    <t xml:space="preserve">Строительство ВЛ 0,4 кВ от ВЛ 0,4 кВ №2 ТП 6 кВ №180 ВЛ 6 кВ №804 ПС 35 кВ АС8 для электроснабжения базовой станции ООО «Герц» в п. Российский Аксайского района Ростовской области </t>
  </si>
  <si>
    <t xml:space="preserve">Строительство ВЛ 0,4 кВ от ВЛ 0,4 кВ №2 ТП 10 кВ №89 ВЛ 10 кВ №706 ПС 35 кВ АС7 для электроснабжения ВРУ 0,4 кВ жилого дома Строганова А. В. на участке с КН 61:02:0600007:2879 в п. Красный Колос Аксайского района Ростовской области </t>
  </si>
  <si>
    <t xml:space="preserve">Строительство ВЛ 0,4 кВ от ВЛ 0,4 кВ №2 КТП №89 ВЛ 10 кВ №706 ПС 110 кВ АС7 для электроснабжения ВРУ 0,4 кВ жилого дома Маркова С. И. на участке с КН 61:02:600007:0026 в п. Красный Колос Аксайского района Ростовской области </t>
  </si>
  <si>
    <t xml:space="preserve">Строительство ВЛ 0,4 кВ от опоры № 1 ВЛ 0,4 кВ №2 КТП 6 /0,4 кВ № 125 ВЛ 6 кВ № 806 ПС 35/6 кВ АС-8 для электроснабжения ВРУ 0,4 кВ 29 садовых домика ТСН СНТ «Аксай» в п. Опытный, с/т «Аксай» Аксайского района, Ростовской области </t>
  </si>
  <si>
    <t xml:space="preserve">Строительство ВЛ 0,4 кВ от ВЛ 0,4 кВ №3 КТП №226 ВЛ 10 кВ №3 ПС 35 кВ Б. Салы с заменой силового трансформатора КТП №226 ВЛ 10 кВ №3 ПС 35 кВ Б. Салы для электроснабжения ВРУ 0,4 кВ жилого дома Гаркушина А. Н. на участке с КН 61:02:0080401:222 в х. Нижнетемерницкий Аксайского района Ростовской области </t>
  </si>
  <si>
    <t xml:space="preserve">Строительство ВЛ 0,4 кВ от ВЛ 0,4 кВ №2 ТП 10 кВ №645 ВЛ 10 кВ №102 ПС 110 кВ АС1 для электроснабжения жилого дома Шаталовой О. С. на участке с КН 61:02:0090101:3945 в ст-це Ольгинская Аксайского района Ростовской области </t>
  </si>
  <si>
    <t xml:space="preserve">Строительство ВЛ 0,4 кВ от проектируемой ВЛ 0,4 кВ (по договору №61-1-20-00530589 от 10.09.2020 г.) от ВЛ 0,4 кВ №1 техперевооружаемой ТП 10 кВ №425 ВЛ 10 кВ №1109 ПС 110 кВ АС11 для электроснабжения ВРУ 0,4 кВ жилого дома Денисова С. В. на участке с КН 61:02:0030301:228 в х. Веселый Аксайского района Ростовской области </t>
  </si>
  <si>
    <t xml:space="preserve">Строительство ВЛ 0,4 кВ от ВЛ 0,4 кВ №2 КТП №175 ВЛ 10 кВ №1208 ПС 110 кВ АС12 для электроснабжения ВРУ 0,4 кВ жилого дома Мурадян Л. Т. на участке с КН 61:02:0000000:6208 в п. Щепкин Аксайского района Ростовской области </t>
  </si>
  <si>
    <t>Строительство ВЛ 0,4 кВ от проектируемой ВЛ 0,4 кВ (по договору №61-1-20-00517585 от 23.07.2020 г.) от ВЛ 0,4 кВ №2 ТП 10 кВ №89 ВЛ 10 кВ №706 ПС 35 кВ АС7 для электроснабжения ВРУ 0,4 кВ жилого дома Шевченко Д. В. в п. Красный Колос Аксайского района Ростовской области</t>
  </si>
  <si>
    <t xml:space="preserve">Строительство ВЛ 0,4 кВ от ВЛ 0,4 кВ №2 ТП 10 кВ №448 ВЛ 10 кВ №1106 ПС 110 кВ АС11 для электроснабжения ВРУ 0,4 кВ жилого дома Чумаченко А. А. на участке с КН 61:55:0011023:252 в г. Новочеркасске Ростовской области </t>
  </si>
  <si>
    <t xml:space="preserve">Строительство ВЛ 0,4 кВ по ВЛ 0,4 кВ №2 ТП 10/0,4 кВ №181 ВЛ 10 кВ №307 ПС 35 кВ БГ3 для электроснабжения теплицы Маилевой Р.А. в Багаевском ра-не Елкинского сельского поселения К.Н. 61:03:0600002:660 </t>
  </si>
  <si>
    <t>Строительство ВЛ 0,4 кВ от опоры №17 ВЛ-0,4 кВ №2 КТП 10/0,4 кВ №950 ВЛ 10 кВ №903 ПС 35 кВ СМ9 для электроснабжения ВРУ-0,4 кВ Базовой станции сотовой связи (БССС) заявителя АО "Первая Башенная Компания" по адресу: РО., р-н. Семикаракорский, х. Слободской, ул. Ященко, 80 м от дома №22 з, кадастровый номер земельного участка: 61:35:0090401</t>
  </si>
  <si>
    <t xml:space="preserve">Строительство ВЛ-0,4 кВ от опоры № 23 ВЛ 0,4 кВ № 2, КТП № 429 ВЛ 10 кВ № 402 ПС СМ 4, с установкой прибора учета электрической энергии на границе балансовой принадлежности для электроснабжения жилого дома заявителя Макарян А.А. адресу: РО, Семикаракорский район, х. Сусат, ул. Речная, 32/1 к.н.:61:35:0090101:32 </t>
  </si>
  <si>
    <t xml:space="preserve">Строительство ТП 10/0,4 кВ, ВЛ 0,4 кВ, ВЛ 10 кВ от опоры №21 ВЛ 10 кВ №702 ПС 35 кВ СМ7 для электроснабжения ВРУ-0,4 кВ объекта КФХ заявителя ИП Глава КФХ Симаков Г.С. по адресу: РО., Семикаракорский р-н, х. Кузнецовка, примерно в 1,7 км на северо-запад от хутора к.н.: 61:35:0600016:291 </t>
  </si>
  <si>
    <t>Строительство ВЛ 0,4 кВ  по ВЛ 0,4 кВ № 1,  ЗТП 10/0.4 кВ № 54, ВЛ 10 кВ №309 ПС 35  кВ  В3 для электроснабжения станции технического обслуживания, кафе -20 мест и АГЗС  ООО «Донрегионгаз» на участке с КН 61:06:0010114:117 в примерно в 275 метров по направлению на юго-запад от ориентира п. Веселый,  Веселовского района, Ростовской области и автомобильной мойки ИП Амирханян Ш. В. на участке с КН 61:06:0010114:869 в п. Веселый, ул. Октябрьская д. 219-в,  Веселовского района, Ростовской области</t>
  </si>
  <si>
    <t>Строительство  ВЛ 0,4 кВ от КТП № 103  ВЛ 10 кВ №115  ПС 110 кВ  СМ1  для электроснабжения  ВРУ 0,4 кВ на земельном участке ( вагончик охраны) заявителя  Жиленко И.Н. по адресу: Ростовская обл.,  г. Семикаракорск, 163 м на северо-восток от строения, расположенного по ул. Авилова, 2, к.н. земельного участка: 61:35:0110175:121</t>
  </si>
  <si>
    <t>Строительство ТП 10/0,4 кВ, ВЛ 10 кВ, ВЛ 0,4 кВ от ВЛ 10 кВ №101       ПС 110 кВ АС1 для электроснабжения жилого дома Ткаченко Т.В., по адресу: Ростовская область, Аксайский район, с/х КСП «Пригородное», кад. №61:02:0600015:6810</t>
  </si>
  <si>
    <t xml:space="preserve">Техническое перевооружение КТП №218 ВЛ 10 кВ №1208 ПС 110 кВ АС12 с заменой силового трансформатора и строительством ВЛ 0,4 кВ для электроснабжения ВРУ 0,4 кВ магазина Мурадян К. А. по ул. Южная, 6 в п. Щепкин Аксайского района Ростовской области </t>
  </si>
  <si>
    <t>Строительство КТПН 10/0,4 кВ, ВЛ 10 кВ, ВЛ 0,4 кВ от ВЛ 10 кВ №1103       ПС 110 кВ АС11 для электроснабжения ВРУ 0,4 кВ садового дома Осадченко Д. А. на участке с КН 61:02:0600009:881 в КСП им. М. Горького Аксайского района Ростовской области</t>
  </si>
  <si>
    <t xml:space="preserve">Строительство ВЛ 0,4 кВ от ВЛ 0,4 кВ №1 ТП 10 кВ №1 ВЛ 10 кВ №657 ПС 110 кВ АС6 для электроснабжения нежилого здания ИП Семеновой И. И. на участке с КН 61:02:0600013:1638 в ст-це Старочеркасская Аксайского района Ростовской области </t>
  </si>
  <si>
    <t xml:space="preserve">Строительство ВЛ 0,4 кВ от ВЛ 0,4 кВ №3 КТП №493 ВЛ 10 кВ №1103 ПС 110 кВ АС11 для электроснабжения ВРУ 0,4 кВ жилого дома Крамарева Ю. И. на участке с КН 61:02:0070501:558 в х. Александровка Аксайского района Ростовской области </t>
  </si>
  <si>
    <t xml:space="preserve">Строительство ТП 10/0,4 кВ, ВЛ 10 кВ, ВЛ 0,4 кВ от опоры №100 ВЛ 10 кВ №606 ПС 110 кВ БГ6 для электроснабжения земельного участка сельскохозяйственного назначения Ажогина В.А. по адресу: Ростовская область, Багаевский район, в границах плана ЗАО «Елкинское». Местоположение установлено относительно ориентира, расположенного в границах участка, к.н.61:03:0600002:207 </t>
  </si>
  <si>
    <t xml:space="preserve">Строительство ВЛ0,4 кВ от опоры №1 КТП № 1110 ВЛ10 кВ№1101 ПС СМ-11 с заменой силового трансформатора КТП№ 1110 ВЛ10 кВ№1101 ПС СМ-11  для электроснабжения ВРУ-0,4 кВ насосов для полива заявителей Тян Е.В.; Ли Е.Г., Ли А.Н. по адресу: РО., Семикаракорский р-н, к.н.: 61:35:0600013:390, к.н.: 61:35:0600013:387, к.н.: 61:35:0600013:389 </t>
  </si>
  <si>
    <t xml:space="preserve">Строительство ВЛ 0,4 кВ от ВЛ 0,4 кВ №3 ТП 6/0,4 кВ №72 ВЛ 6 кВ №804 ПС 35 кВ АС8 для электроснабжения ВРУ 0,4 кВ жилого дома Горяинова А. Д. на участке с КН 61:02:0600010:3516 в п. Российский Аксайского района Ростовской области </t>
  </si>
  <si>
    <t xml:space="preserve">Строительство ВЛ 0,4 кВ от проектируемой ВЛ 0,4 кВ проектируемой КТПН 6/0,4 кВ ВЛ 6 кВ №305 ПС 35 кВ АС3 (по договору №61-1-20-00436769 от 16.04.2020 г.)  для электроснабжения ВРУ 0,4 кВ жилых домов Телегина С. Е. в г. Аксае Аксайского района Ростовской области </t>
  </si>
  <si>
    <t xml:space="preserve">Строительство ВЛ 0,4 кВ от ВЛ 0,4 кВ проектируемой КТПН 10/0,4 кВ (по договору №61-1-19-00488343 от 16.12.2019 г.) ВЛ 10 кВ №107 ПС 110 кВ АС1 для электроснабжения ВРУ 0,4 кВ жилых домов по ул. Степная в ст-це Ольгинская Аксайского района Ростовской области </t>
  </si>
  <si>
    <t xml:space="preserve">Строительство ТП 10/0,4 кВ, ВЛ 0,4 кВ, ВЛ 10 кВ от ВЛ 10 кВ №655 ПС 110 кВ АС6 для электроснабжения нежилого здания АО “АКСАЙСКАЯ НИВА” на участке с КН 61:02:0600012:573 в Аксайском районе Ростовской области </t>
  </si>
  <si>
    <t xml:space="preserve">Строительство ВЛ 0,4 кВ по проектируемым опорам проектируемой ВЛ 0,4 кВ (по договору №61-1-20-00542111 от 30.10.2020 г.) от РУ 0,4 кВ КТП №176 ВЛ 10 кВ №1206 ПС 110 кВ АС12 для электроснабжения нежилого здания ИП Степанян М. М. на участке с КН 61:02:0600007:2682 в п. Красный Колос Аксайского района Ростовской области </t>
  </si>
  <si>
    <t xml:space="preserve">Строительство ВЛ 0,4 кВ от ВЛ 0,4 кВ №1 ТП 10 кВ №630 ВЛ 10 кВ №103 ПС 110 кВ АС1 для электроснабжения ВРУ 0,4 кВ жилого дома Фоминой И. В. на участке с КН 61:02:0600021:1678 в х. Островского Аксайского района Ростовской области </t>
  </si>
  <si>
    <t xml:space="preserve">Строительство ВЛ 0,4 кВ от РУ 0,4 кВ ТП 10 кВ №50А ВЛ 10 кВ №1208 ПС 110 кВ АС12 для электроснабжения нежилого здания ИП Живой Н. Ю. на участке с КН 61:02:0600006:7113 в п. Щепкин Аксайского района Ростовской области </t>
  </si>
  <si>
    <t xml:space="preserve">Строительство ВЛ 0,4 кВ от проектируемой ВЛ 0,4 кВ (по договору №61-1-20-00541729 от 23.11.2020 г.) от РУ 0,4 кВ ТП 6 кВ №520 ВЛ 6 кВ №3 РП 6 кВ №6 КЛ 6 кВ №340 ПС 110 кВ БТ3 для электроснабжения ВРУ 0,23 кВ жилых домов в п. Красный Сад Азовского района Ростовской области </t>
  </si>
  <si>
    <t xml:space="preserve">Строительство ВЛ 0,4 кВ от проектируемой ВЛ 0,4 кВ (по договору №61-1-19-00493223 от 23.01.2020 г.) КТПН 10/0,4 кВ ВЛ 10 кВ №414 ПС 220 кВ Р4 для электроснабжения ВРУ 0,4 кВ объекта сельскохозяйственного производства ИП Рябых О. Н. на участке с КН 61:02:0600010:8414 в х. Камышеваха Аксайского района Ростовской области </t>
  </si>
  <si>
    <t xml:space="preserve">Строительство ВЛ 0,4 кВ от ВЛ 0,4 кВ №1 ТП 10 кВ №488 ВЛ 10 кВ №1103 ПС 110 кВ АС11 для электроснабжения производственного здания/помещения ООО «Промэкосервис» на участке с КН 61:02:060009:2850 в Аксайском районе Ростовской области </t>
  </si>
  <si>
    <t xml:space="preserve">Строительство ВЛ 0,4 кВ от проектируемой ВЛ 0,4 кВ (по договору №61-1-20-00517323 от 25.06.2020 г.) техперевооружаемой КТПН 10/0,4 кВ ВЛ 10 кВ №1208 ПС 110 кВ АС12 для электроснабжения ВРУ 0,4 кВ жилого дома Казак Л. Д. в п. Октябрьский Аксайского района Ростовской области </t>
  </si>
  <si>
    <t>Строительство ВЛ 0,4 кВ от РУ 0,4 кВ проектируемой ТП 6/0,4 кВ (по договору №61-1-19-00469443 от 27.09.2020 г.) ВЛ 6 кВ №806 ПС 35 кВ АС8 для электроснабжения нежилого здания ИП Песенниковой Д. В. в п. Реконструктор Аксайского района Ростовской области (ориентировочная протяжённость ЛЭП 0,01 км)</t>
  </si>
  <si>
    <t xml:space="preserve">Строительство ТП 6/0,4 кВ, ВЛ 0,4 кВ, ВЛ 6 кВ от ВЛ 6 кВ №305 ПС 35 кВ АС3 для электроснабжения оборудования СТОА ООО “АксайАвтоРемонт” на участке с КН 61:02:0120110:360 в г. Аксае Аксайского района Ростовской области </t>
  </si>
  <si>
    <t xml:space="preserve">Строительство ТП 10/0,4 кВ, ВЛ 0,4 кВ, ВЛ 10 кВ от ВЛ 10 кВ №1208 ПС 110 кВ АС12 для электроснабжения ВРУ 0,4 кВ ИП Демьянова Ю. И. на участке с КН 61:02:0600004:3104 в АО “Октябрьское” Аксайского района Ростовской области </t>
  </si>
  <si>
    <t xml:space="preserve">Строительство СТП 6/0,4 кВ, ВЛ 0,4 кВ, ВЛ 6 кВ от ВЛ 6 кВ №805 ПС 35 кВ АС8 для электроснабжения ВРУ 0,4 кВ жилого дома Копылова В. В. на участке с КН 61:02:0010201:1343 в х. Большой Лог Аксайского района Ростовской области </t>
  </si>
  <si>
    <t xml:space="preserve">Строительство ВЛ 0,4 кВ от ВЛ 0,4 кВ №1 ТП 10 кВ №426 ВЛ 10 кВ №1109 ПС 110 кВ АС11 для электроснабжения ВРУ 0,4 кВ жилого дома Пикина А. А. на участке с КН 61:02:0030301:615 в х. Веселый Аксайского района Ростовской области </t>
  </si>
  <si>
    <t xml:space="preserve">Строительство ВЛ 0,4 кВ от проектируемой ВЛ 0,4 кВ (по договору №61-1-20-00496749 от 26.02.2020 г.) КТПН 10/0,4 кВ ВЛ 10 кВ №1203 ПС 110 кВ АС12 для электроснабжения ВРУ 0,4 кВ жилого дома Челидзе А. Г. в совх. Каменобродский Родионово-Несветайского района Ростовской области </t>
  </si>
  <si>
    <t xml:space="preserve">Строительство ВЛ 0,4 кВ от ВЛ 0,4 кВ №1 ТП 10 кВ №96 ВЛ 10 кВ №3 ПС 35 кВ Б. Салы для электроснабжения ВРУ 0,22 кВ жилого дома Горшкова В. Д. на участке с КН 61:02:0600005:9715 в п. Темерницкий Аксайского района Ростовской области </t>
  </si>
  <si>
    <t xml:space="preserve">Строительство ВЛ 0,4 кВ от проектируемой ВЛ 0,4 кВ (по договору №61-1-21-00596429 от 01.09.2021 г.) ТП 10 кВ №448 ВЛ 10 кВ №1109 ПС 110 кВ АС11 для электроснабжения ВРУ 0,4 кВ жилого дома Лобова Н. Е.  г. Новочеркасск КН 61:55:0011022:100 </t>
  </si>
  <si>
    <t>Строительство ВЛ 0,4 кВ от ВЛ 0,4 кВ №1 КТП 10/0,4 кВ №131 ВЛ 10 кВ №108 ПС 110 кВ БГ1 для электроснабжения жилого дома Хусаиновой Г.Х. по адресу РО, Багаевский район, х. Елкин, пер. Новый, д. 16, к.н. 61:03:0600002:515.</t>
  </si>
  <si>
    <t xml:space="preserve">Строительство ВЛ 0,4 кВ от ВЛ 0,4 кВ №3 ТП 10/0,4 кВ №575 ВЛ 10 кВ №704 ПС 35 кВ БГ7 для электроснабжения жилого дома Тонкошкуровой В.Н. по адресу РО, Багаевский район, х. Красный, ул. Набережная, д. 2-е, к.н. 61:03:0060109:189. </t>
  </si>
  <si>
    <t xml:space="preserve">Строительство ВЛ 0,4 кВ от РУ 0,4 кВ КТП №74 ВЛ 10 кВ №504 ПС 35 кВ В5 для электроснабжения станции катодной защиты (подземного и надземного газопровода среднего давления) ПАО "Газпром газораспределение Ростов-на-Дону" по адресу Ростовская обл., р-н. Веселовский, п. Веселый, от АГЗС по пер. Комсомольский (61:06:0000000:2531) </t>
  </si>
  <si>
    <t xml:space="preserve">Строительство ВЛ 0,4 кВ от опоры №11 ВЛ-0,4 кВ №2 КТП 10/0,4 кВ №235 ВЛ 10 кВ №205 ПС 110 кВ СМ2 для электроснабжения ВРУ-0,4 кВ жилого дома заявителя Изотова П.А. по адресу: РО., р-н. Семикаракорский, ст-ца. Задоно-Кагальницкая, примерно в 48 м на север от ул. Набережная, 127 Б, к.н.: 61:35:0030101:4144 </t>
  </si>
  <si>
    <t xml:space="preserve">Строительство ВЛ 0,4 кВ от РУ 0,4 кВ проектируемой КТПН 6/0,4 кВ (по договору №61-1-19-00468643 от 05.09.2019 г.) ВЛ 6 кВ №3 РП-6 КЛ 6 кВ №340 ПС 110 кВ БТ3 для электроснабжения ВРУ 0,22 кВ жилых домов Муженского В. В. по ул. Есенина, 60, 60А в п. Красный Сад Азовского района Ростовской области </t>
  </si>
  <si>
    <t xml:space="preserve">Строительство ВЛ 0,4 кВ от проектируемой ВЛ 0,4 кВ (по договору №61-1-20-00507601 от 16.04.2020 г.) проектируемой КТПН 10/0,4 кВ ВЛ 10 кВ №403 ПС 110 кВ АС4 для электроснабжения ВРУ 0,4 кВ жилых домов Савельевой М. В. в х. Ленина Аксайского района Ростовской области </t>
  </si>
  <si>
    <t xml:space="preserve">Строительство КТПН 10/0,4 кВ, ВЛ 0,4 кВ, ВЛ 10 кВ от ВЛ 10 кВ №1207 ПС 110 кВ АС12 для электроснабжения ВРУ 0,4 кВ линии наружного освещения на участке с КН 61:02:0000000:570 в п. Щепкин Аксайского района Ростовской области </t>
  </si>
  <si>
    <t xml:space="preserve">Строительство КТПН 10/0,4 кВ, ВЛ 0,4 кВ, ВЛ 10 кВ от ВЛ 10 кВ №655 ПС 110 кВ АС6 для электроснабжения садового дома Шульга М. А. на участке с КН 61:02:0600013:1869 в ст-це Старочеркасская Аксайского района Ростовской области </t>
  </si>
  <si>
    <t xml:space="preserve">Строительство ВЛ 0,4 кВ от ВЛ 0,4 кВ №2 ТП 6 кВ №520 ВЛ 6 кВ №3 РП 6 кВ №6 КЛ 6 кВ №340 ПС 110 кВ БТ3 для электроснабжения ВРУ 0,22 кВ жилого дома Бинчук С. А. на участке с КН 61:01:0600007:1640 в п. Красный Сад Азовского района Ростовской области </t>
  </si>
  <si>
    <t xml:space="preserve">Строительство ТП 10/0,4 кВ, ВЛ 0,4 кВ, ВЛ 10 кВ от ВЛ 10 кВ №1109 ПС 110 кВ АС11 для электроснабжения нежилого здания Шабаевой Е. А. по ул. Новочеркасское шоссе, 1Д в ст-це Грушевская Аксайского района Ростовской области </t>
  </si>
  <si>
    <t xml:space="preserve">Строительство ТП 10/0,4 кВ, ВЛ 0,4 кВ, ВЛ 10 кВ от ВЛ 10 кВ №1207 ПС 110 кВ АС12 для электроснабжения ВРУ 0,4 кВ жилых домов по ул. Семейная, 8, ул. Небесная, 7 в п. Щепкин Аксайского района Ростовской области </t>
  </si>
  <si>
    <t>Строительство ВЛ 0,4 кВ от проектируемой ВЛ 0,4 кВ (по договору № 61-1-20-00527947 от 25.08.2020 г.) проектируемой КТПН 6/0,4 кВ ВЛ 6 кВ № 305 ПС 35 кВ АС3  для электроснабжения ВРУ 0,22 кВ жилого дома Жигалиной М.Ю.  на участке с КН 61:02:0600010:14315 в г. Аксае Аксайского района Ростовской области</t>
  </si>
  <si>
    <t xml:space="preserve">Строительство ВЛ 0,4 кВ от ВЛ 0,4 кВ №2 КТП 10/0,4 кВ №31 ВЛ 10 кВ №263 ПС 110 кВ БГ2 для электроснабжения жилого дома Соколовой Т.С. по адресу РО, Багаевский район, х. Арпачин, ул. Донская, д. 31-г, к.н. 61:03:0000000:4081. </t>
  </si>
  <si>
    <t xml:space="preserve">Строительство ВЛ 0,4 кВ от РУ 0,4 кВ КТП 10 кВ № 151 по ВЛ 10 кВ №405 ПС 35 кВ В4 для электроснабжения мастерской по ремонту и обслуживанию автомобилей, автомобильной мойки, гаражей, магазинов ИП Курбанова Э. К. на участке с КН 61:06:0010102:67 в Веселовском районе РО, п. Веселый, пер. Промышленный, 5-в </t>
  </si>
  <si>
    <t xml:space="preserve">Строительство ВЛ 0,4 кВ по ВЛ 0,4 кВ № 2, КТП 10 кВ № 433 по ВЛ 10 кВ №608 ПС 35 кВ В6 для электроснабжения магазина ИП Разгон А. И. на участке с КН 61:06:0020804:12 в Веселовском районе Р.О, п. Чаканиха, пер. Школьный, 13-а </t>
  </si>
  <si>
    <t xml:space="preserve">Строительство ВЛ 0,4 кВ по ВЛ 0,4 кВ № 1 от КТП 10/0,4 кВ №99, ВЛ 10 кВ №160 ПС 110 кВ В1 для электроснабжения жилого дома Шин А. А. на участке с КН 61:06:0010107:161 в Веселовском районе Ростовской области, п. Веселый, ул. Набережная, 73-а </t>
  </si>
  <si>
    <t xml:space="preserve">Строительство ТП 10/0,4 кВ, ВЛ 0,4 кВ, ВЛ 10 кВ от ВЛ 10 кВ №158 ПС 110 кВ В-1для электроснабжения проходной МУП «Веселовский рынок» на участке с КН 61:06:0010125:49 в Веселовском районе Ростовской области, п. Веселый, пер. Комсомольский, 50 б </t>
  </si>
  <si>
    <t xml:space="preserve">Строительство ВЛ 0,4 кВ по ВЛ 0,4 кВ № 1 от КТП 10 кВ №21, ВЛ 10 кВ №158 ПС 110 кВ В1 для электроснабжения магазина Кулиничева Е. А. на участке с КН 61:06:0010138:826 в Веселовском районе Ростовской области, п. Веселый, ул. Мира, 18-а </t>
  </si>
  <si>
    <t>Строительство ВЛ 0,4 кВ от КТП 10/0,4 кВ №642 ВЛ 10 кВ №608 ПС 35 кВ СМ6 для электроснабжения ВРУ-0,4 кВ нежилого здания заявителя Ненартович В.П. по адресу: РО, р-н. Семикаракорский, ст-ца. Новозолотовская, примерно в 5 км по направлению на северо-восток от ориентира, кадастровый номер земельного участка: 61:35:0600005:643</t>
  </si>
  <si>
    <t xml:space="preserve">Строительство ВЛ 0,4 кВ от ВЛ0,4 кВ №2 КТП №141 ВЛ10 кВ №125 ПС СМ1  с установкой на границе земельного участка Заявителя прибора учета для электроснабжения ВРУ-0,4 кВ жилого дома заявителя Лавлинской Л.А. по адресу: РО, г. Семикаракорск, ул. Мира, 1 а к.н.: 61:35:0110207:370  </t>
  </si>
  <si>
    <t xml:space="preserve">Строительство ВЛ 0,4 кВ от опоры №41 ВЛ-0,4 кВ №1 КТП 10/0,4 кВ №294 ВЛ 10 кВ №208 ПС 110 кВ СМ2 для электроснабжения ВРУ-0,4 кВ теплицы заявителя Афуз Б.Б. по адресу: РО., р-н. Семикаракорский, примерно в 118 м на северо-восток от х. Жуков пер. Доской, 8, к.н.: 61:35:0040201:1414. </t>
  </si>
  <si>
    <t>Строительство ВЛ 0,4 кВ от РУ 0,4 кВ ТП 10 кВ №82 ВЛ 10 кВ №1208 ПС 110 кВ АС12 для электроснабжения ВРУ 0,4 кВ жилого дома Пономарева К. В. на участке с КН 61:02:0600006:7781 в п. Щепкин Аксайского района Ростовской области</t>
  </si>
  <si>
    <t xml:space="preserve">Строительство ВЛ 0,4 кВ от проектируемой ВЛ 0,4 кВ проектируемой КТПН 10/0,4 кВ (по договору №61-1-19-00425577 от 09.04.2019 г.) ВЛ 10 кВ №706 ПС 35 кВ АС7 для электроснабжения ВРУ 0,4 кВ жилых домов по ул. Спортивная, Платова в п. Красный Колос Аксайского района Ростовской области </t>
  </si>
  <si>
    <t>Строительство ВЛ 0,4 кВ от проектируемой ВЛ 0,4 кВ (по договору №61-1-20-00535727 от 15.10.2020 г.) от ВЛ 0,4 кВ №1 ТП 10 кВ №642 ВЛ 10 кВ №107 ПС 110 кВ АС1 для электроснабжения ВРУ 0,23 кВ жилого дома Самойловой В. В. на участке с КН 61:02:0600015:7315 в ст-це Ольгинская Аксайского района Ростовской области</t>
  </si>
  <si>
    <t>Строительство ВЛ 0,4 кВ от ВЛ 0,4 кВ №1 ТП 10 кВ №38 ВЛ 10 кВ №1203 ПС 110 кВ АС12 для электроснабжения ВРУ 0,4 кВ жилого дома Крюкова В. В. на участке с КН 61:33:0600015:1136 в Родионово-Несветайском районе Ростовской области</t>
  </si>
  <si>
    <t xml:space="preserve">Техническое перевооружение проектируемой ТП 10/0,4 кВ (по договору №61-1-19-00488413 от 05.12.2019 г.) ВЛ 10 кВ №1208 ПС 110 кВ АС12 и строительство ВЛ 0,4 кВ от проектируемого ТП 10/0,4 кВ для электроснабжения жилого дома Павленко Б. А. по адресу: Ростовская обл., р-н Аксайский, п. Щепкин, ул. Строителей, 190А, </t>
  </si>
  <si>
    <t xml:space="preserve">Строительство ВЛ 0,4 кВ от ВЛ 0,4 кВ №3 ТП 10 кВ №491 ВЛ 10 кВ №1103 ПС 110 кВ АС11 для электроснабжения индивидуального жилого дома Шидлос Н. А. в ст-це Мишкинская Аксайского района Ростовской области </t>
  </si>
  <si>
    <t xml:space="preserve">Строительство ВЛ 0,4 кВ от РУ 0,4 кВ ТП 10 кВ №36 ВЛ 10 кВ №657 ПС 110 кВ АС6 для электроснабжения ВРУ 0,4 кВ жилого дома Авалишвили Д. С. в ст-це Старочеркасская Аксайского района Ростовской области </t>
  </si>
  <si>
    <t>Строительство ВЛ 0,4 кВ от ВЛ 0,4 кВ №3 ТП 10 кВ №708 ВЛ 10 кВ №101 ПС 110 кВ АС1 для электроснабжения ВРУ 0,4 кВ жилого дома Даденко А. Е. на участке с КН 61:02:0090103:1898 в ст-це Ольгинская Аксайского района Ростовской области</t>
  </si>
  <si>
    <t xml:space="preserve">Строительство ВЛ 0,4 кВ от РУ 0,4 кВ ТП 6 кВ №101 ВЛ 6 кВ №805 ПС 35 кВ АС8, с заменой трансформатора в ТП №101 для электроснабжения объекта торговли ИП Штанько А. В. и объекта туристической отрасли ИП Кудрявцевой В. С. по адресу: РО, Аксайский, х. Большой Лог, участок с КН 61:02:0010201:614, КН 61:02:0010201:1616 </t>
  </si>
  <si>
    <t xml:space="preserve">Строительство ВЛ 0,4 кВ от РУ 0,4 кВ ТП 6 кВ №520 ВЛ 6 кВ №3 РП 6 кВ №3 КЛ 6 кВ №340 ПС 110 кВ БТ3 для электроснабжения нежилой застройки ИП Полторацкого Р. В. на участке с КН 61:01:0600007:1811 в Азовском районе Ростовской области </t>
  </si>
  <si>
    <t xml:space="preserve">Строительство ВЛ 0,4 кВ от проектируемой ВЛ 0,4 кВ проектируемой КТПН 10/0,4 кВ (по договору №61-1-19-00425623 от 07.02.2019 г.) ВЛ 10 кВ №706 ПС 35 кВ АС7 для электроснабжения ВРУ 0,4 кВ жилых домов по ул. Куренная, ул. Мелиховская в п. Красный Колос Аксайского района Ростовской области </t>
  </si>
  <si>
    <t>Строительство ВЛ 0,4 кВ от ВЛ 0,4 кВ №1 КТП-10/0,4 кВ №129А ВЛ 10 кВ №414 ПС 220кВ Р-4 для электроснабжения административного/офисного здания ООО «ТермоПласт-В» в х. Камышеваха Аксайского района Ростовской области</t>
  </si>
  <si>
    <t xml:space="preserve">Строительство ВЛ 0,4 кВ от ВЛ 0,4кВ №1 КТП 10/0,4 кВ №165 ВЛ 10 кВ №605 ПС110 кВ БГ6 для электроснабжения жилых домов по адресу: РО, Багаевский район, х. Карповка, ул. Береговая ,д. 8, д. 6 </t>
  </si>
  <si>
    <t xml:space="preserve">Строительство ВЛ 0,4 кВ по ВЛ 0,4 кВ №1 от КТП 10 кВ №18, ВЛ 10 кВ №207 ПС 110 кВ В2 для электроснабжения жилого дома Соколюк Ю. В.  на участке с КН 61:06:0040201:78 в Веселовском районе Ростовской области, х. Маныч-Балабинка, ул. Озерная, 8-а </t>
  </si>
  <si>
    <t xml:space="preserve">Строительство ВЛ 0,4 кВ по ВЛ 0,4 кВ №2 от КТП 10 кВ №120, ВЛ 10 кВ №405 ПС 35 кВ В4 для электроснабжения газовой автозаправочной станции Тукуева А. А.  на участке с КН 61:06:0600012:1058 в Веселовском районе Ростовской области, п. Веселый, ул. Октябрьская, 228 </t>
  </si>
  <si>
    <t xml:space="preserve">Строительство ВЛ 0,4 кВ от РУ 0,4 кВ проектируемой (по договору №61-1-19-00435209 от 02.04.2019 г.) КТПН 10/0,4 кВ ВЛ 10 кВ №403 ПС 110 кВ АС4 с заменой силового трансформатора для электроснабжения ВРУ 0,4 кВ нежилого здания Нечай А. В. в Аксайском районе Ростовской области </t>
  </si>
  <si>
    <t xml:space="preserve">Строительство ВЛ 0,4 кВ от ВЛ 0,4 кВ №1 ТП 10 кВ №448 ВЛ 10 кВ №1109 ПС 110 кВ АС11 для электроснабжения ВРУ 0,4 кВ жилого дома Борцова А. Н. на участке с КН 61:55:0011022:770 в г. Новочеркасске Ростовской области </t>
  </si>
  <si>
    <t xml:space="preserve">Строительство ТП 10/0,4 кВ, ВЛ 0,4 кВ, ВЛ 10 кВ от ВЛ 10 кВ №125 ПС 110 кВ СМ1 для электроснабжения ВРУ-0,4 кВ жилых домов заявителей Гулей И.Т., Старов Е.С., Старовой О.А., Старовой А.Е., Макарова А.В., Макарова Ю.А., Куровского Н.А., Кирчева И.В., Кирчевой Л.И. по адресу: Ростовская обл., р-н. Семикаракорский, г. Семикаракорск, к.н.: 61:35:0600012:656., к.н.: 61:35:0600012:668, к.н.: 61:35:0600012:674, к.н.: 61:35:0600012:734, к.н.: 61:35:0600012:733, к.н.: 61:35:0600012:736, к.н.: 61:35:0600012:660, к.н.: 61:35:0600012:661, к.н.: 61:35:0600012:551. </t>
  </si>
  <si>
    <t>Строительство ВЛ 0,4 кВ от РУ 0,4 кВ ТП 10 кВ №448 ВЛ 10 кВ №1109 ПС 110 кВ АС11 для электроснабжения земельного участка Чадиной Т. С. по ул. Тринадцатая, 19 в г. Новочеркасске Ростовской области</t>
  </si>
  <si>
    <t xml:space="preserve">Строительство ВЛ 0,4 кВ от РУ ТП 10/0,4 кВ №113 КЛ 10 кВ №625, №628 ПС 110 кВ Р6 для электроснабжения жилого дома Карауш О.А. на участке с КН 61:44:0070905:13 по ул. Прогулочная, д. 19 г. Ростов-на-Дону </t>
  </si>
  <si>
    <t>Строительство ТП 10/0,4 кВ, ВЛ 0,4 кВ, ВЛ 10 кВ от ВЛ 10 кВ №1208 ПС 110 кВ АС12 для электроснабжения нежилой застройки Акопян Р. С. на участке с КН 61:02:0600006:7160 в п. Щепкин Аксайского района Ростовской области</t>
  </si>
  <si>
    <t>Строительство ТП 10/0,4 кВ, ВЛ 10 кВ по ВЛ 10 кВ №111 ПС 110 кВ АС1, ВЛ 0,4 кВ от РУ 0,4 кВ нового ТП 10/0,4 кВ для электроснабжения нежилой застройки ИП Шкарпитко О.Н. на участке с КН 61:02:0600016:4512 в Ростовской области,  Аксайского района х. Маяковского</t>
  </si>
  <si>
    <t>Строительство КТПН 10/0,4 кВ, ВЛ 0,4 кВ, КЛ 10 кВ от ВЛ 10 кВ №1111 ПС 110 кВ АС11 для электроснабжения ВРУ 0,4 кВ садовых домов по адресу: Ростовская обл., г. Новочеркасск, СТ “УМ-3”</t>
  </si>
  <si>
    <t>Строительство КВЛ 0,4 кВ от ВЛ 0,4 кВ №1 КТП №136А ВЛ 10 кВ №414 ПС 220 кВ Р4 для электроснабжения ВРУ 0,4 кВ нежилого помещения Кашка О. А. на участке с КН 61:02:0600010:16552 в х. Камышеваха Аксайского района Ростовской области</t>
  </si>
  <si>
    <t xml:space="preserve">Строительство ВЛ 0,4 кВ от проектируемой ВЛ 0,4 кВ проектируемой КТПН 10/0,4 кВ (по договору №61-1-19-00461385 от 25.09.2019 г.) ВЛ 10 кВ №1203 ПС 110 кВ АС12 для электроснабжения ВРУ 0,4 кВ жилого дома Безроднова А. М. в совх. Каменобродский Родионово-Несветайского района Ростовской области </t>
  </si>
  <si>
    <t>Строительство ВЛ 0,4 кВ от проектируемой ВЛ 0,4 кВ проектируемой КТПН 10/0,4 кВ (по договору №61-1-19-00443323 от 21.05.2019 г.) ВЛ 10 кВ №107 ПС 110 кВ АС1 для электроснабжения ВРУ 0,4 кВ жилого дома Клименко Е. С. на участке с КН 61:02:0600015:5009 в ст-це Ольгинская Аксайского района Ростовской области</t>
  </si>
  <si>
    <t xml:space="preserve">Строительство ВЛ 0,4 кВ от проектируемой ВЛ 0,4 кВ проектируемой КТПН 10/0,4 кВ (по договору №61-1-19-00428265 от 25.02.2019 г.) ВЛ 10 кВ №706 ПС 35 кВ АС7 для электроснабжения ВРУ 0,4 кВ жилого дома Курбатова А. В. по ул. Спортивная, 6 в п. Красный Колос Аксайского района Ростовской области </t>
  </si>
  <si>
    <t xml:space="preserve">Строительство ВЛ 0,4 кВ от ВЛ 0,4 кВ проектируемой КТПН 10/0,4 кВ (по договору №61-1-19-00473099 от 07.11.2019 г.) ВЛ 10 кВ №706 ПС 35 кВ АС7 для электроснабжения ВРУ 0,4 кВ жилого дома Краснова И. Д. по ул. Куренная, 2 в п. Красный Колос Аксайского района Ростовской области </t>
  </si>
  <si>
    <t xml:space="preserve">Строительство ВЛ 0,4 кВ от проектируемой КТПН 10/0,4 кВ (по договору №61-1-20-00496501 от 20.02.2020 г.) ВЛ 10 кВ №1203 ПС 110 кВ АС12 для электроснабжения ВРУ 0,4 кВ жилого дома Ачакова В. В. в совх. Каменобродский Родионово-Несветайского района Ростовской области </t>
  </si>
  <si>
    <t>Строительство ВЛ 0,4 кВ от ВЛ 0,4 кВ №1 КТП №188 ВЛ 6 кВ №804 ПС 35 кВ АС8 для электроснабжения ВРУ 0,4 кВ жилого дома Свеженец Н. П. на участке с КН 61:02:0010301:938 в п. Российский Аксайского района Ростовской области</t>
  </si>
  <si>
    <t xml:space="preserve">Строительство ВЛ 0,4 кВ от ВЛ 0,4 кВ №1 КТП №520 ВЛ 6 кВ №3 РП-6 КЛ 6 кВ №340 ПС 110 кВ БТ3 для электроснабжения ВРУ 0,22 кВ жилого дома Подгорной Э. В. на участке с КН 61:01:0600007:2518 в п. Красный Сад Азовского района Ростовской области </t>
  </si>
  <si>
    <t xml:space="preserve">Строительство ВЛ 0,4 кВ от проектируемой ВЛ 0,4 кВ (по договору №61-1-20-00518209 от 27.07.2020 г.) от ВЛ 0,4 кВ №3 КТП №613 ВЛ 10 кВ №101 ПС 110 кВ АС1 для электроснабжения ВРУ 0,4 кВ жилых домов Жукова В. И. по ул. Степная в ст-це Ольгинская Аксайского района Ростовской области </t>
  </si>
  <si>
    <t xml:space="preserve">Строительство ВЛ 0,4 кВ от ВЛ 0,4 кВ №1 ТП 10 кВ №451 ВЛ 10 кВ №1109 ПС 110 кВ АС11 для электроснабжения ВРУ 0,4 кВ жилого дома Тарасенко Н. В. на участке с КН 61:02:0000000:6674 в х. Веселый Аксайского района Ростовской области </t>
  </si>
  <si>
    <t xml:space="preserve">Строительство ВЛ 0,4 кВ от ВЛ 0,4 кВ №2 ТП 10 кВ №614 ВЛ 10 кВ №105 ПС 110 кВ АС1 для электроснабжения ВРУ 0,22 кВ жилого дома Протопоповой Ю. И. на участке с КН 61:02:090102:4179 в ст-це Ольгинская Аксайского района Ростовской области </t>
  </si>
  <si>
    <t>Строительство ВЛ 0,4 кВ от проектируемой ВЛ 0,4 кВ (по договору №61-1-21-00529991 от 05.09.2020 г.) КТПН 10/0,4 кВ ВЛ 10 кВ №1203 ПС 110 кВ АС12 для электроснабжения ВРУ 0,4 кВ жилого дома Кравцовой И. Ю. в Родионово-Несветайском районе Ростовской области</t>
  </si>
  <si>
    <t xml:space="preserve">Строительство ВЛ 0,4 кВ от ВЛ 0,4 кВ №1 ТП 10 кВ №242 ВЛ 10 кВ №3 ПС 35 кВ Б. Салы для электроснабжения нежилой застройки Ковшун Н. С. на участке с КН 61:02:0600005:4708 в п. Темерницкий Аксайского района Ростовской области </t>
  </si>
  <si>
    <t xml:space="preserve">Техническое перевооружение ТП 6 кВ №188 ВЛ 6 кВ №804 ПС 35 кВ АС8 и строительство ВЛ 0,4 кВ от РУ 0,4 кВ техперевооружаемой ТП 6 кВ №188 ВЛ 6 кВ №804 ПС 35 кВ АС8 для электроснабжения ВРУ 0,4 кВ жилых домов по адресу: Ростовская обл., р-н Аксайский, п. Российский, ул. Заповедная, пер. Широкий </t>
  </si>
  <si>
    <t xml:space="preserve">Строительство ВЛ 0,4 кВ от ВЛ 0,4 кВ №2 ТП 10 кВ №226 ВЛ 10 кВ №3 ПС 35 кВ Б. Салы для электроснабжения ВРУ 0,4 кВ жилого дома Кешишян Н. А. на участке с КН 61:02:0600005:11349 в х. Нижнетемерницкий Аксайского района Ростовской области </t>
  </si>
  <si>
    <t xml:space="preserve">Строительство ВЛ 0,4 кВ от ВЛ 0,4 кВ №2 ТП 10 кВ №163 ВЛ 10 кВ №1212 ПС 110 кВ АС12 для электроснабжения ВРУ 0,4 кВ жилого дома Ковалько Н. А. в п. Октябрьский Аксайского района Ростовской области </t>
  </si>
  <si>
    <t xml:space="preserve">Строительство ВЛ 0,4 кВ от ВЛ 0,4 кВ №2 ТП 10 кВ №226 ВЛ 10 кВ №3 ПС 35 кВ Б. Салы для электроснабжения ВРУ 0,4 кВ жилого дома Гаус Е. А. в х. Нижнетемерницкий Аксайского района Ростовской области </t>
  </si>
  <si>
    <t>Строительство ВЛ 0,4 кВ от проектируемой ВЛ 0,4 кВ (по договору №61-1-19-00461385 от 25.09.2019 г.) проектируемой КТПН 10/0,4 кВ ВЛ 10 кВ №1203 ПС 110 кВ АС12 для электроснабжения ВРУ 0,4 кВ жилых домов в Родионово-Несветайском районе Ростовской области</t>
  </si>
  <si>
    <t xml:space="preserve">Строительство ВЛ 0,4 кВ от концевой проектируемой опоры по договору № 61-1-21-00604167 от 01.10.2021г  ВЛ 0,4 кВ №1 КТП 10/0,4 кВ № 39 ВЛ 10 кВ № 1203 ПС 110/10 кВ АС-12 для электроснабжения ВРУ 0,4 кВ жилого дома Горского П.О. в границах плана х. Каменный Брод, уч. 409, Родионово-Несветайский район, Ростовской области </t>
  </si>
  <si>
    <t xml:space="preserve">Строительство ВЛ 0,4 кВ от ВЛ 0,4 кВ №1 ТП 10 кВ №448 ВЛ 10 кВ №1109 ПС 110 кВ АС11 для электроснабжения строительной площадки жилого дома Заводнова П. В. на участке с КН 61:55:0011023:219 в г. Новочеркасске Ростовской области </t>
  </si>
  <si>
    <t>Строительство ВЛ 0,4 кВ от кольцевой проектируемой опоры (по договору №61-1-20-00496749 от 26.02.2021 г) для электроснабжения жилого дома Фиско В.С. по адресу РО р-н Родионово-Несветайский, совх. Каменобродский, юго-западнее х. Каменный Брод, участок 398, К.Н. 61:33:0600015:995</t>
  </si>
  <si>
    <t xml:space="preserve">Строительство ВЛ 0,4 кВ от проектируемой ВЛ 0,4 кВ (по договору №61-1-21-00604431 от 05.10.2021 г.) от ВЛ 0,4 кВ №2 ТП 10 кВ №226 ВЛ 10 кВ №3 ПС 35 кВ Б. Салы для электроснабжения ВРУ 0,4 кВ жилого дома Бескоровайного С. А. на участке с КН 61:02:0600005:11166 в х. Нижнетемерницкий Аксайского района Ростовской области </t>
  </si>
  <si>
    <t xml:space="preserve">Строительство ВЛ 0,4 кВ, от РУ 0,4 кВ КТП 10/0,4 кВ №265 ВЛ 10 кВ №1208 ПС 110/10 кВ АС12 для электроснабжения ВРУ-0,4 кВ нежилой застройки на участке с КН 61:02:060004:3325 в пос. Октябрьский Аксайского района Ростовской области </t>
  </si>
  <si>
    <t>Строительство ВЛ 0,4 кВ по ВЛ 0,4 кВ №3 от КТП 10/0,4 кВ №159 ВЛ 10 кВ №1408 ПС 35/10 кВ АС14 для электроснабжения ВРУ-0,4 кВ жилых домов Бархоянц А.А. на участках с КН 61:02:0100201:885, КН 61:02:0100201:893, КН 61:02:0100201:896 по ул. Луговая в п. Рассвет Аксайского района Ростовской области</t>
  </si>
  <si>
    <t xml:space="preserve">Строительство ТП 10/0,4 кВ, ВЛ 0,4 кВ, ВЛ 10 кВ от ВЛ 10 кВ №3 ПС 35 кВ Б. Салы для электроснабжения ВРУ 0,4 кВ жилых домов по ул. Радужная, 5, 7, ул. Гармоничная, 6, 8 в п. Темерницкий Аксайского района Ростовской области </t>
  </si>
  <si>
    <t xml:space="preserve">Строительство ТП 10/0,4 кВ, ВЛ 0,4 кВ, ВЛ 10 кВ от ВЛ 10 кВ №1103 ПС 110 кВ АС11 для электроснабжения ВРУ 0,22 кВ и ВРУ 0,4 кВ жилых домов по ул. Новороссийская/ул. Лесная, 1/17, ул. Смоленская, 14 в ст-це Мишкинская Аксайского района Ростовской области </t>
  </si>
  <si>
    <t xml:space="preserve">Строительство ТП 10/0,4 кВ, ВЛ 0,4 кВ, ВЛ 10 кВ от ВЛ 10 кВ №3 ПС 35 кВ Б. Салы для электроснабжения ВРУ 0,4 кВ жилых домов Тарасова С. С., Кудашко Ю. В. на участках с КН 61:02:0600005:7596, 61:02:0600005:5469 в п. Темерницкий Аксайского района Ростовской области </t>
  </si>
  <si>
    <t xml:space="preserve">Строительство двух ТП 10/0,4 кВ, ВЛ 0,4 кВ, ВЛ 10 кВ от ВЛ 10 кВ №307 ПС 35 кВ БГ3 для электроснабжения дачных домов Аристовой М.И., Бабаян Г.А. и теплиц Адамовой З.Д., Мухлисова М.Л., Ашрафова Х.Ф., Эминова М.С. по адресу: Ростовская обл., р-н. Багаевский, Елкинское сельское поселение, </t>
  </si>
  <si>
    <t xml:space="preserve">Строительство КТПН 10/0,4 кВ, ВЛ 0,4 кВ, ВЛ 10 кВ от ВЛ 10 кВ №655 ПС 110 кВ АС6 для электроснабжения ВРУ 0,4 кВ нежилого здания филиала ФГБУ “Государственная комиссия РФ по испытанию и охране селекционных достижений” по Ростовской области на участке с КН 61:02:0600012:485 в г. Аксае Аксайского района Ростовской области </t>
  </si>
  <si>
    <t xml:space="preserve">Строительство КТПН 10/0,4 кВ, ВЛ 0,4 кВ, ВЛ 10 кВ от ВЛ 10 кВ №3 ПС 35 кВ Б. Салы для электроснабжения ВРУ 0,4 кВ жилых домов Абакумовой А. С. и Абакумова Н. В. в совх. Каменобродский и п. Темерницкий Аксайского района Ростовской области </t>
  </si>
  <si>
    <t>Строительство ВЛ 0,4 кВ от ВЛ 0,4 кВ №2 ТП 10 кВ №82 ВЛ 10 кВ №1208 ПС 110 кВ АС12 для электроснабжения ВРУ 0,4 кВ жилых домов Полулях С. А. на участках с КН 61:02:0600006:7476, 61:02:0600006:7510 в п. Щепкин Аксайского района Ростовской области</t>
  </si>
  <si>
    <t xml:space="preserve">Строительство ВЛ 0,4 кВ от проектируемой ВЛ 0,4 кВ (по договору №61-1-20-00499235 от 03.03.2020 г.) от техперевооружаемой ТП 10 кВ №78 ВЛ 10 кВ №3 ПС 35 кВ Б. Салы для электроснабжения ВРУ 0,4 кВ жилого дома Мкртчян В. П. на участке с КН 61:02:0600006:6880 в п. Щепкин Аксайского района Ростовской области </t>
  </si>
  <si>
    <t xml:space="preserve">Строительство ТП 10/0,4 кВ, ВЛ 0,4 кВ, ВЛ 10 кВ от проектируемой опоры (по договору №61-1-19-00485963 от 25.11.2019 г.) ВЛ 10 кВ №1109 ПС 110 кВ АС11 для электроснабжения стоянки Юдина Я. О. на участке с КН 61:02:0600002:1727 в ст-це Грушевская Аксайского района Ростовской области </t>
  </si>
  <si>
    <t xml:space="preserve">Строительство двух ТП 10/0,4 кВ, ВЛ 0,4 кВ, ВЛ 10 кВ по ВЛ 10 кВ №3Ф5 РП 10 кВ №3 КЛ 10 кВ №1532 и №1546 ПС 110 кВ АС15 для электроснабжения магазина и станции ТО Апресян А. Г., а также объектов торговли ИП Рыбалкиной Р. Ф. на участках с КН 61:02:0600010:14195, 61:02:0600010:14927 в Аксайском районе РО </t>
  </si>
  <si>
    <t xml:space="preserve">Строительство ТП 10/0,4 кВ, ВЛ 0,4 кВ, ВЛ 10 кВ от проектируемой ВЛ 10 кВ (по договору №61-1-19-00488413 от 05.12.2019 г.) от ВЛ 10 кВ №1208 ПС 110 кВ АС12 для электроснабжения ВРУ 0,4 кВ жилых домов Казак С. Г. на тер. АО «Щепкинское» Аксайского района Ростовской области </t>
  </si>
  <si>
    <t xml:space="preserve">Строительство ТП 10/0,4 кВ, ВЛ 0,4 кВ, ВЛ 10 кВ по ВЛ 10 кВ №211 ПС 110 кВ СМ2 для электроснабжения жилого дома Патыка А.Г. по адресу: РО, р-н. Семикаракорский, ст-ца. Задоно-Кагальницкая, к.н.:61:35:0030101:4550  </t>
  </si>
  <si>
    <t>Строительство ВЛ 0,4 кВ от РУ 0,4 кВ ТП 10 кВ №927 ВЛ 10 кВ №1207 ПС 110 кВ АС12 с заменой тр-ра в ТП №927 для электроснабжения жилых домов по адресу: РО., р-н Аксайский, п. Щепкин, ул. Гармоничная, ул. Солнечная, ул. Благодатная КН 61:02:0600006:4630, 61:02:0600006:7086, 61:02:0600006:4643 , 61:02:0600006:4635, 61:02:0600006:4622, 61:02:0600006:5836,   61:02:0600006:4660, 61:02:0600006:4640.</t>
  </si>
  <si>
    <t xml:space="preserve">Строительство ВЛ 0,4 кВ от проектируемой ВЛ 0,4 кВ проектируемой КТПН 10/0,4 кВ (по договору №61-1-18-00373877 от 10.05.2018 г.) ВЛ 10 кВ №3 ПС 35 кВ Б. Салы для электроснабжения ВРУ 0,4 кВ жилых домов по ул. Рублева в п. Темерницкий Аксайского района Ростовской области </t>
  </si>
  <si>
    <t xml:space="preserve">Строительство ВЛ 0,4 кВ от проектируемой ВЛ 0,4 кВ (по договору №61-1-20-00507601 от 16.04.2020 г.) проектируемой КТПН 10/0,4 кВ ВЛ 10 кВ №403 ПС 110 кВ АС4 для электроснабжения ВРУ 0,4 кВ жилых домов по ул. Крымская, 39, 44 в х. Ленина Аксайского района Ростовской области </t>
  </si>
  <si>
    <t xml:space="preserve">Строительство ВЛ 0,4 кВ от ВЛ 0,4 кВ №1 КТП №29 ВЛ 10 кВ №657 ПС 110 кВ АС6 с заменой силового трансформатора КТП №29 ВЛ 10 кВ №657 ПС 110 кВ АС6 для электроснабжения ВРУ 0,4 кВ жилого дома Дружбиной С. А. на участке с КН 61:02:0110102:2833 в ст-це Старочеркасская Аксайского района Ростовской области </t>
  </si>
  <si>
    <t xml:space="preserve">Строительство ВЛ 0,4 кВ по ВЛ 0,4 кВ №2 ТП 6/0,4 кВ №287 ВЛ 6 кВ №805 ПС 35 кВ АС-8 для электроснабжения жилого дома Мамедярова Н.Ф.  на участке с КН 61:02:0600011:1020 в Ростовской области Аксайского р-на,  х. Большой Лог, </t>
  </si>
  <si>
    <t xml:space="preserve">Строительство ВЛ 0,4 кВ от ВЛ 0,4 кВ №2 ТП 10 кВ №119 ВЛ 10 кВ №1212 ПС 110 кВ АС12 для электроснабжения ВРУ 0,4 кВ жилого дома Парфененко Ю. М. на участке с КН 61:02:0080106:322 в п. Октябрьский Аксайского района Ростовской области </t>
  </si>
  <si>
    <t xml:space="preserve">Техперевооружение существующего КТП-10/04 кВ № 191, строительство ВЛ 0,4 кВ от опоры № 6 ВЛ 0,4 кВ № 2 КТП 10/0,4 кВ №191 ВЛ 10 кВ №701 ПС 35кВ АС 7 для электроснабжения жилого дома Лисовского А.В. по адресу Ростовская обл., р-н. Аксайский, п. Красный, ул. Островского, кадастровый номер земельного участка: 61:02:0080601:1714. </t>
  </si>
  <si>
    <t xml:space="preserve">Техническое перевооружение ТП 10 кВ №9 ВЛ 10 кВ №657 ПС 110 кВ АС6 и строительство ВЛ 0,4 кВ от ВЛ 0,4 кВ №2 ТП 10 кВ №9 ВЛ 10 кВ №657 ПС 110 кВ АС6 для электроснабжения ВРУ 0,4 кВ жилого дома Дикун В. М. по адресу: Ростовская обл., р-н Аксайский, ст-ца Старочеркасская, ул. Донская, 14, </t>
  </si>
  <si>
    <t xml:space="preserve">Строительство ВЛ 0,4 кВ от ВЛ 0,4 кВ №2 ТП 10 кВ №129 ВЛ 10 кВ №1208 ПС 110 кВ АС12 для электроснабжения ВРУ 0,4 кВ жилого дома Веселова Е. В. в п. Октябрьский Аксайского района Ростовской области </t>
  </si>
  <si>
    <t xml:space="preserve">Строительство ВЛ 0,4 кВ по ВЛ 0,4 кВ № 1 КТП №260 ВЛ 10 кВ №3 ПС 35 кВ Б. Салы для электроснабжения ВРУ 0,4 кВ жилого дома Свищевой О.Р. в границах плана х. Нижнетемерницкий, ул. Озерная, к.н. 61:02:0600005:12058, Аксайский район, Ростовской области </t>
  </si>
  <si>
    <t xml:space="preserve">Строительство ВЛ 0,4 кВ по ВЛ 0,4 кВ № 1 КТП №260 ВЛ 10 кВ №3 ПС 35 кВ Б. Салы для электроснабжения ВРУ 0,4 кВ жилого дома Степанова М.В. в границах плана х. Нижнетемерницкий, ул. Озерная, к.н. 61:02:0600005:12059, Аксайский район, Ростовской области </t>
  </si>
  <si>
    <t xml:space="preserve">Строительство ТП 10/0,4 кВ, ВЛ 0,4 кВ, ВЛ 10 кВ от ВЛ 10 кВ №1212 ПС 110 кВ АС12 для электроснабжения ВРУ 0,4 кВ нежилой застройки Алексаньян Т. В. на участке с КН 61:02:0600004:2989 в п. Октябрьский Аксайского района Ростовской области </t>
  </si>
  <si>
    <t xml:space="preserve">Строительство ВЛ 0,4 кВ от ВЛ 0,4 кВ №2 ТП 10 кВ №254 ВЛ 10 кВ №1208 ПС 110 кВ АС12 для электроснабжения ВРУ 0,4 кВ нежилых зданий на участках с КН 61:02:0600006:5863, 61:02:0600006:5864 на тер. АО «Щепкинское» Аксайского района Ростовской области </t>
  </si>
  <si>
    <t xml:space="preserve">Строительство ВЛ 0,4 кВ от ВЛ 0,4 кВ №2 ТП 10 кВ №89 ВЛ 10 кВ №706 ПС 35 кВ АС7 для электроснабжения ВРУ 0,22 кВ жилого дома Чигасовой Е. Н. на участке с КН 61:02:0600007:2825 в п. Красный Колос Аксайского района Ростовской области </t>
  </si>
  <si>
    <t xml:space="preserve">Строительство ВЛ 0,4 кВ от ВЛ 0,4 кВ №1 ТП 10 кВ №927 ВЛ 10 кВ №1207 ПС 110 кВ АС12 для электроснабжения ВРУ 0,4 кВ жилого дома Сень Ю. Е. на участке с КН 61:02:0600006:4690 в п. Щепкин Аксайского района Ростовской области </t>
  </si>
  <si>
    <t xml:space="preserve">Строительство ВЛ 0,4 кВ от РУ 0,4 кВ ТП 10 кВ №926 ВЛ 10 кВ №1208 ПС 110 кВ АС12 для электроснабжения производственного здания/помещения ИП Гуляев М. С. на участке с КН 61:02:0600004:3081 в АО «Октябрьское» Аксайского района Ростовской области </t>
  </si>
  <si>
    <t xml:space="preserve">Строительство ВЛ 0,4 кВ от ВЛ 0,4 кВ №1 ТП 10 кВ №39 ВЛ 10 кВ №1203 ПС 110 кВ АС12 для электроснабжения жилого дома Кащеевой О. Ю. на участке с КН 61:33:0600015:993 в Родионово-Несветайском районе Ростовской области </t>
  </si>
  <si>
    <t xml:space="preserve">Строительство ВЛ 0,4 кВ от ВЛ 0,4 кВ №2 ТП 10 кВ №166 ВЛ 10 кВ №1407 ПС 35 кВ АС14 для электроснабжения ВРУ 0,4 кВ жилого дома Грицай М. А. на участке с КН 61:02:0100301:363 в п. Золотой Колос Аксайского района, РО </t>
  </si>
  <si>
    <t xml:space="preserve">Строительство ВЛ 0,4 кВ от опоры №15 ВЛ 0,4 кВ №1 КТП 10/0,4 кВ №749 ВЛ 10 кВ №403 ПС 110/10 кВ АС4 для электроснабжения ВРУ 0,4 кВ жилого дома Шкель Ф.Е. на участке с КН 61:02:0060101:4075 в Аксайском районе Ростовской области </t>
  </si>
  <si>
    <t xml:space="preserve">Строительство ВЛ 0,4 кВ по ВЛ 0,4 кВ №3 КТП 10/0,4 кВ №587 ВЛ 10 кВ №704 ПС 35 кВ БГ7 для электроснабжения малоэтажной жилой застройки Аскерова А.М. по адресу РО, Багаевский район, х. Красный, ул. Садовая, д. 36, к.н. 61:03:0060111:25. </t>
  </si>
  <si>
    <t xml:space="preserve">Строительство ВЛ 0,4 кВ по ВЛ 0,4 кВ №2 КТП 10/0,4 кВ №587 ВЛ 10 кВ №704 ПС 35 кВ БГ7 для электроснабжения квартиры Дроздовой Е.Р. по адресу РО, Багаевский район, х. Красный, ул. Полевая, д. 20, кв. 1, к.н. 61:03:0060111:22. </t>
  </si>
  <si>
    <t xml:space="preserve">Строительство ВЛ 0,4 кВ от РУ 0,4 кВ ТП 10/0,4 кВ №682 ВЛ 10 кВ №255 ПС 110 кВ БГ2 для электроснабжения объекта сельскохозяйственного производства Сирый М.Н. по адресу РО, Аксайский район, х. Слава Труда, поле №1, к.н. 61:02:0600019:1187. </t>
  </si>
  <si>
    <t xml:space="preserve">Строительство ВЛ 0,4 кВ от ВЛ 0,4 кВ №1 КТП 10/0,4 кВ №99 ВЛ 10 кВ №305 ПС 35 кВ БГ3 для электроснабжения АПК видеофиксации нарушений ПДД «КРИС-П» ИП Андреева В.А. по адресу РО, Багаевский район, 49 км а/д г. Ростов-на-Дону-г. Волгодонск, координаты 47.282589, 40.423226. </t>
  </si>
  <si>
    <t xml:space="preserve">Строительство ВЛ 0,4 кВ от ВЛ 0,4 кВ №1 КТП 10/0,4 кВ №41 ВЛ 10 кВ №263 ПС 110 кВ БГ2 для электроснабжения жилого дома Хотнянского С.С. по адресу РО, Багаевский район, х. Арпачин, ул. Донская, д. 33-и, к.н. 61:03:0040215:106. </t>
  </si>
  <si>
    <t xml:space="preserve">Строительство ВЛ 0,4 кВ по ВЛ 0,4 кВ №2 от КТП 10 кВ №2, ВЛ 10 кВ №151 ПС 110 кВ В1 для электроснабжения жилого дома Живого В. А.  на участке с КН 61:06:0600012:1101 в Веселовском районе РО, х. Каракашев, ул. Старая, 64-н </t>
  </si>
  <si>
    <t xml:space="preserve">Строительство ВЛ 0,4 кВ по ВЛ 0,4 кВ №1, ТП №12, ВЛ 10 кВ №157 ПС 110 кВ В1 для электроснабжения жилого дома Прилукиной Т. П. в Веселовском районе, РО, п. Веселый, ул. Первомайская, 40-а </t>
  </si>
  <si>
    <t>Строительство ВЛ 0,4 кВ по ВЛ 0,4кВ №2 КТП 10 кВ №58, ВЛ 10 кВ №157 ПС 110 кВ В1 для электроснабжения жилого дома Иваненковой Т. С. на участке с КН 61:06:0010132:137 в Веселовском районе, РО, п. Веселый, ул. Красноармейская, 14 А</t>
  </si>
  <si>
    <t xml:space="preserve">Строительство ВЛ 0,4 кВ по ВЛ 0,4кВ №5 ТП 10 кВ №70, ВЛ 10 кВ №158 ПС 110 кВ В1 для электроснабжения жилого дома Ильдимиркиной Е. В. на участке с КН 61:06:0010138:814 в Веселовском районе, РО, п. Веселый, ул. Заречная, 30 </t>
  </si>
  <si>
    <t xml:space="preserve">Строительство ВЛ 0,4 кВ от опоры №7 ВЛ-0,4 кВ № 1 КТП 10/0,4 кВ №174 ВЛ-10 кВ № 125 ПС СМ-1 для электроснабжения жилого дома заявителя Шрамко Н.И., по адресу: Семикаракорский р-н, ст-ца Новозолотовская, ул. Энергетиков, 10 к.н.: 61:35:0000000:10347 </t>
  </si>
  <si>
    <t xml:space="preserve">Строительство ТП 10/0,4 кВ, ВЛ 0,4 кВ, ВЛ 10 кВ от ВЛ 10 кВ №106 ПС 110 кВ БГ1 для электроснабжения дачных домов Котова И.Н., Бородина Д.Д.,Гелядова Ю.Б., Пономаренко В.С., Камышановой О.С., Станкович Н.В., Беляева Р.А. по адресу: Ростовская обл., р-н. Багаевский, участок находится примерно в 900 метрах от ст. Багаевская. </t>
  </si>
  <si>
    <t>Строительство ВЛ 0,4 кВ от проектируемой ВЛ 0,4 кВ (по договору №61-1-20-00511571 от 05.06.2020 г.) проектируемой КТПН 10/0,4 кВ ВЛ 10 кВ №101 ПС 110 кВ АС1 для электроснабжения ВРУ 0,4 кВ жилого дома Соловьевой Е. В. на участке с КН 61:02:0600015:7123 в ст-це Ольгинская Аксайского района Ростовской области (ориентировочная протяжённость ЛЭП 0,31 км)</t>
  </si>
  <si>
    <t xml:space="preserve">Строительство ВЛ 0,4 кВ от проектируемой ВЛ 0,4 кВ (по договору №61-1-20-00507601 от 16.04.2020 г.) проектируемой КТПН 10/0,4 кВ ВЛ 10 кВ №403 ПС 110 кВ АС4 для электроснабжения ВРУ 0,4 кВ жилого дома Дьяченко Н. О. в х. Ленина Аксайского района Ростовской области </t>
  </si>
  <si>
    <t xml:space="preserve">Строительство ВЛ 0,4 кВ от проектируемой ВЛ 0,4 кВ (по договору №61-1-21-00569679 от 13.05.2021 г.) от РУ 0,4 кВ ТП 10 кВ №447 ВЛ 10 кВ №1103 ПС 110 кВ АС11 для электроснабжения ВРУ 0,4 кВ жилого дома Яхьева А. А. на участке с КН 61:02:0600009:2931 в ст-це Мишкинская Аксайского района Ростовской области </t>
  </si>
  <si>
    <t xml:space="preserve">Строительство ВЛ 0,4 кВ от проектируемой ВЛ 0,4 кВ (по договору №61-1-20-00511571 от 05.06.2020 г.) проектируемой КТПН 10/0,4 кВ ВЛ 10 кВ №101 ПС 110 кВ АС1 для электроснабжения ВРУ 0,4 кВ жилого дома Веретенниковой О. А. на участке с КН 61:02:0600015:7103 в ст-це Ольгинская Аксайского района Ростовской области </t>
  </si>
  <si>
    <t xml:space="preserve">Строительство ВЛ 0,4 кВ от проектируемой ВЛ 0,4 кВ (по договору №61-1-20-00604561 от 02.10.2021 г.) проектируемой КТПН 10/0,4 кВ ВЛ 10 кВ №101 ПС 110 кВ АС1 для электроснабжения ВРУ 0,4 кВ жилого дома Губенко Л. П. на участке с КН 61:02:0600015:7078 в ст-це Ольгинская Аксайского района РО </t>
  </si>
  <si>
    <t xml:space="preserve">Строительство ВЛ 0,4 кВ от ВЛ 0,4 кВ №1 ТП 10 кВ №925 ВЛ 10 кВ №1208 ПС 110 кВ АС12 для электроснабжения жилого дома Волошина Д. Д. на участке с КН 61:02:0080503:1512 в п. Щепкин Аксайского района Ростовской области </t>
  </si>
  <si>
    <t>Строительство ВЛ 0,4 кВ от проектируемой ВЛ 0,4 кВ (по договору №61-1-20-00511571 от 05.06.2020 г.) проектируемой КТПН 10/0,4 кВ ВЛ 10 кВ №101 ПС 110 кВ АС1 для электроснабжения ВРУ 0,4 кВ жилого дома Дорошева А. И. на участке с КН 61:02:0600015:7939 в ст-це Ольгинская Аксайского района Ростовской области</t>
  </si>
  <si>
    <t xml:space="preserve">Строительство ВЛ 0,4 кВ от ВЛ 0,4 кВ №2 ТП 6 кВ №76 ВЛ 6 кВ №807 ПС 35 кВ АС8 для электроснабжения ВРУ 0,4 кВ жилого дома Барсегян А. А. на участке с КН 61:02:0600010:7866 в п. Российский Аксайского района Ростовской области </t>
  </si>
  <si>
    <t xml:space="preserve">Строительство ВЛ 0,4 кВ от проектируемой ВЛ 0,4 кВ (по договору №61-1-21-00589229 от 21.07.2021 г.) от ВЛ 0,4 кВ №2 ТП 10 кВ №78 ВЛ 10 кВ №3 ПС 35 кВ Б. Салы для электроснабжения ВРУ 0,4 кВ жилого дома Бандура Ю. С. на участке с КН 61:02:0600006:6879 в п. Щепкин Аксайского района Ростовской области </t>
  </si>
  <si>
    <t xml:space="preserve">Строительство ВЛ 0,4 кВ по ВЛ 0,4 кВ №1 КТП 10/0,4 кВ №1 ВЛ 10 кВ №657 ПС 110 кВ АС-6, для электроснабжения жилого дома Шемякина Ю.П. расположенного на земельном участке КН 61:02:0600013:3766, в Аксайском районе </t>
  </si>
  <si>
    <t xml:space="preserve">Строительство ВЛ 0,4 кВ от проектируемой ВЛ 0,4 кВ (по договору № 61-1-21-00616821 от 02.12.2021) ТП 0,4/10 кВ ВЛ 10 кВ № 1212 ПС 110 кВ АС12  для электроснабжения объекта торговли ООО «РУСДАР» на участке с КН 61:02:0600004:2988 в Аксайском р-не, п. Октябрьский, ул. Рубежная, д. 4 </t>
  </si>
  <si>
    <t xml:space="preserve">Строительство ВЛ 0,4 кВ по ВЛ 0,4 кВ №1 КТП-10/0,4 кВ №406 ВЛ 10 кВ №1003 ПС 110 кВ АС-10 для электроснабжения ВРУ 0,4 кВ жилого дома Сухоруковой О.А. на участке с КН 61:02:0030103:408 в станице Грушевская Аксайского района Ростовской области </t>
  </si>
  <si>
    <t xml:space="preserve">Строительство ВЛ 0,4 кВ по ВЛ 0,4 кВ №2 КТП-6/0,4 кВ №76 ВЛ 6 кВ №807 ПС 35/6 кВ АС8 для электроснабжения ВРУ 0,4 кВ жилого дома Полякова В.А. на участке с КН 61:02:600010:8299 в п. Российский Аксайского района Ростовской области </t>
  </si>
  <si>
    <t xml:space="preserve">Строительство ВЛ 0,4 кВ по ВЛ 0,4 кВ №1 ТП-10/0,4 кВ №39 ВЛ 10 кВ №1203 ПС 110 кВ АС12 для электроснабжения ВРУ 0,4 кВ жилого дома Мурадян В.А. на участке с КН 61:33:0600015:983 Родионово-Несветайского района Ростовской области </t>
  </si>
  <si>
    <t xml:space="preserve">Строительство ВЛ 0,4 кВ по ВЛ 0,4 кВ №2 ТП-10/0,4 кВ №633 ВЛ 10 кВ №111 ПС 110 кВ АС1 для электроснабжения ВРУ 0,4 кВ жилого дома Филимонова М.Н. на участке с КН 61:02:0050101:2695 Аксайского района Ростовской области </t>
  </si>
  <si>
    <t xml:space="preserve">Строительство ВЛ 0,4 кВ от проектируемой ВЛ 0,4 кВ (по договору №61-1-21-00615425 от 03.12.2021 г.) от РУ 0,4 кВ ТП 10 кВ №629 ВЛ 10 кВ №501 ПС 35 кВ АС5 для электроснабжения ВРУ 0,4 кВ жилого дома Черникова С. Г. на участке с КН 61:02:0020101:715 в х. Алитуб Аксайского района Ростовской области </t>
  </si>
  <si>
    <t xml:space="preserve">Строительство ВЛ 0,4 кВ от РУ 0,4 кВ ТП 10 кВ №271 ВЛ 10 кВ №1513 ПС 110 кВ АС15 для электроснабжения ВРУ 0,4 кВ жилых домов по пер. Клубничный, 5А, ул. Ландышевая, 23 в п. Янтарный Аксайского района Ростовской области </t>
  </si>
  <si>
    <t xml:space="preserve">Строительство ВЛ 0,4 кВ от ВЛ 0,4 кВ №1 КТП 10/0,4 кВ №163 ВЛ 10 кВ №605 ПС 110 кВ БГ6 для электроснабжения храма Местной религиозной организации православного Прихода храма Рождества Пресвятой Богородицы х. Ажинов Багаевского района РО Шахтинской Епархии Русской Православной Церкви (Московский Патриархат) по адресу РО, Багаевский район, х. Карповка, ул. Зеленая, д. 15. </t>
  </si>
  <si>
    <t xml:space="preserve">Строительство ВЛ 0,4 кВ от ВЛ 0,4 кВ №3 КТП 10/0,4 кВ №88 ВЛ 10 кВ №301 ПС 35 кВ БГ3 для электроснабжения жилого дома Мамонова Д.О. по адресу РО, Багаевский район, п. Дачный, ул. Набережная, д. 3-б, к.н. 61:03:0010602:345. </t>
  </si>
  <si>
    <t>Строительство ВЛ 0,4 кВ по ВЛ 0,4 кВ №1 КТП 10/0,4 кВ №58 ВЛ 10 кВ №261 ПС 110 кВ БГ2 с заменой трансформатора ТП 10/0,4 кВ №58 для электроснабжения жилого дома Бабиной О.О. по адресу РО, Багаевский район, х. Арпачин, ул. Советская, д. 5, к.н. 61:03:0040211:13.</t>
  </si>
  <si>
    <t>Строительство ВЛ 0,4 кВ (по существующим опорам) от опоры №29 ВЛ-0,4 кВ № 1 КТП 10/0,4 кВ №175 ВЛ-10 кВ № 125 ПС СМ-1 для электроснабжения жилого дома заявителя Токаревой М.А., по адресу: РО, г. Семикаракорск, ул. Свободы, д.14а к.н.: 61:35:0110205:862</t>
  </si>
  <si>
    <t>"Строительство участка ВЛ-10кВ от опоры 6-00/237 по ВЛ-10кВ Л-6 Целинская и участка ВЛ-10кВ от опоры 1-03/11 по ВЛ-10кВ Л-1 Лопанская, строительство КТП 10/0,4 и ВЛ 0,4 кВ для электроснабжения скважин №11-14, 16-19 и насосной станции второго подъема, расположенных по адресу: Ростовская область, Целинский район, заявитель Администрация Целинского района Ростовской области» (Ориентировочная протяженность ЛЭП – 15,38 км, ориентировочная мощность ТП – 0,9 МВА)"</t>
  </si>
  <si>
    <t>«Строительство ВЛ 0,4 кВ от опоры №1-00/2-5 ВЛ 0,4 кВ Л-1 КТП 10/0,4 кВ №1 по ВЛ 10 кВ Л-9 Трубецкая для электроснабжения объекта –«объект животноводства», расположенного по адресу: Ростовская обл., Сальский район, п. Нижнеянинский, в кадастровом квартале 61:34:0600005 с условным центром в п. Нижнеянинском, кадастровый номер земельного участка: 61:34:0600005:3993, заявитель Юркин И.А.»</t>
  </si>
  <si>
    <t>«Строительство ВЛ 10 кВ от опоры №7-00/333 по ВЛ 10 кВ Л-7 Сандатовская, строительство КТП 10/0,4 и ВЛ 0,4 кВ для электроснабжения объекта –здание МТФ, расположенного по адресу: РФ, Ростовская область, Сальский район, х.Крупский, 500 м на юг от х.Крупский, к.н. 61.34.0600019:3163, заявитель Магомедов М.М.» (Ориентировочная протяженность ЛЭП - 0,29 км, ориентировочная мощность ТП – 0,025 МВА)</t>
  </si>
  <si>
    <t>"Строительство ВЛ 10 кВ от опоры №4-01/135 ВЛ 10 кВ Л-4 Лопанская, строительство КТП 10/0,4 и ВЛ 0,4 кВ для электроснабжения объекта – «объект сельскохозяйственного производства», расположенного по адресу: РФ, Ростовская область, Целинский район, с. Средний Егорлык, СПК «Московский», к.н.: 61:40:0600015:3628, заявитель ИП глава КФХ Давиденко Александр Павлович. (Ориентировочная протяженность ЛЭП – 0,16 км, ориентировочная мощность ТП – 0,025 МВА)"</t>
  </si>
  <si>
    <t>Строительство ВЛ 10 кВ от опоры №13-00/11 ВЛ 10 кВ Л-13 Пролетарская, строительство КТП 10/0,4 и ВЛ 0,4 кВ для электроснабжения объекта – «производственное здание/помещение», расположенного по адресу: РФ, Ростовская область, Пролетарский район, г. Пролетарск, пер Чкалова, д. 22-в, к.н.: 61:31:0110470:12, заявитель ООО «Импульс». (Ориентировочная протяженность ЛЭП – 0,015 км, ориентировочная мощность ТП – 0,25 МВА)</t>
  </si>
  <si>
    <t>Строительство ВЛ 0,4 кВ от опоры № 1-00/1 ВЛ 0,4 кВ Л-1 ТП 10/0,4 кВ № 102 по ВЛ 10 кВ Л-4 Уютная, для электроснабжения объекта – «дачный дом», расположенного по адресу: РФ, Ростовская область, Пролетарский район, СА «Уютная», отделение 3, контур 310, к.н.: 61:31:0600011:939, заявитель Федоряченко Е.С.» (Ориентировочная протяженность ЛЭП – 0,065 км)</t>
  </si>
  <si>
    <t xml:space="preserve">«Строительство ВЛ 0,4 кВ от опоры №3-00/7 ВЛ 0,4 кВ Л-3 КТП 10/0,4 кВ № 297 по ВЛ 10 кВ Л-7 Ленинец, для электроснабжения объекта – «Базовая станция сотовой связи», расположенного по адресу: 347629, РФ, Ростовская область, р-н. Сальский, п. Приречный, ул. Школьная, д. 16б, кадастровый номер земельного участка: 61:34:0130101:1829, заявитель ООО «Т2 Мобайл» (Ориентировочная протяженность ЛЭП – 0,03 км)» </t>
  </si>
  <si>
    <t>«Строительство ВЛ 0,4 кВ от ЗТП 10/0,4 кВ № 65 по ВЛ 10 кВ Л-7 Пролетарская, для электроснабжения объекта – «Базовая станция сотовой связи БС 61-01611», расположенного по адресу: 347540 Российская Федерация, Ростовская обл., р-н. Пролетарский., г. Пролетарск, переулок Красный, в районе дома №98, к.н.з.у. 61:31:0110116:307., заявитель Филиал публичного акционерного общества «Мобильные ТелеСистемы» в Ростовской области.» (Ориентировочная протяженность ЛЭП – 0,20 км)</t>
  </si>
  <si>
    <t>«Строительство ВЛ 0,4 кВ от опоры №4-00/1 ВЛ 0,4 кВ Л-4 КТП 10/0,4 кВ №17 по ВЛ 10 кВ Л-1 Красный Партизан для электроснабжения объекта – «объект сельскохозяйственного производства», расположенного по адресу: Ростовская обл., Сальский район, в кадастровом квартале 61:34:0600001 с условным центром в п. Новостепной, кадастровый номер земельного участка: 61:34:0600001:2605, заявитель ИП Глава К(Ф)Х Брыкунов С.А. (Ориентировочная протяженность ЛЭП - 0,15 км)»</t>
  </si>
  <si>
    <t>«Строительство ВЛ 6 кВ от опоры 1-00/117 по ВЛ 6 кВ Л-1 Екатериновская, СТП 6/0,4 кВ и ВЛ 0,4 кВ для электроснабжения: объекта «домик отдыха», расположенного по адресу: Российская федерация, Ростовская обл., р-н. Сальский, п. Манычстрой, Левый берег реки Маныч 6 км. + 540 северо-западнее от разъезда «Маныч», кадастровый номер земельного участка 61:34:0600006:301, заявитель Перевозченко Н.А.» (Ориентировочная протяженность ЛЭП-0,07 км, ориентировочная мощность ТП-0,025 МВА)</t>
  </si>
  <si>
    <t>«Строительство участка ВЛИ 0,4 кВ от опоры 3-00/13 ВЛ 0,4 кВ Л-3  КТП 10/0,4 кВ №235 по ВЛ 10 кВ Л-2 Целинский ССК для электроснабжения объекта – «базовая станция сотовой связи БС-2701», расположенного по адресу: РФ, Ростовская область, Целинский район, х. Северный, ул. Молодежная, д. 92, с к.н. з.у.: 61:40:0031101:2459, заявитель ООО «Т2 Мобайл» (Ориентировочная протяженность ЛЭП-0,19 км)</t>
  </si>
  <si>
    <t>«Строительство ВЛ 0,4 кВ от опоры №2-00/15 ВЛ 0,4 кВ Л-2 КТП 10/0,4 кВ №215 по ВЛ 10 кВ Л-6 Ново-Егорлыкская для электроснабжения: «земельного участка», расположенного по адресу: 347615 Ростовская обл., р-н. Сальский, с. Новый Егорлык, ул. Фрунзе, д. 35, кадастровый номер земельного участка: 61:34:0110101:6958, заявитель Попчин Т.В.» (Ориентировочная протяженность ЛЭП - 0,02 км)</t>
  </si>
  <si>
    <t>«Строительство ВЛ 0,4 кВ от опоры №2-00/9 ВЛ-0,4 кВ Л-2 КТП-10/0,4кВ №892 по ВЛ-10 кВ Л-4 ПС Буденновская для электроснабжения объекта – «объект видеонаблюдения», расположенного по адресу: РФ, Ростовская обл., р-н. Пролетарский, СПК им. Красных Партизан, поле VII, py 29, к.н.: 61:31:0600009:673, заявитель ООО «Авис-Юг» (Ориентировочная протяженность ЛЭП – 0,165 км)</t>
  </si>
  <si>
    <t>«Строительство ВЛ 0,4 кВ от опоры №2-00/3-3 ВЛ 0,4 кВ Л-2 КТП 10/0,4 кВ №234 по ВЛ 10 кВ Л-3 Березовская для электроснабжения объекта –«объект сельскохозяйственного производства», расположенного по адресу: Ростовская обл., Сальский район, в кадастровом квартале 61:34:0600016 с условным центром в с. Березовка, кадастровый номер земельного участка 61:34:0600016:1321, заявитель Тесленко С.Н.» (Ориентировочная протяженность ЛЭП – 0,09 км)</t>
  </si>
  <si>
    <t>Строительство ВЛ 0,4 кВ от опоры №2-00/9 ВЛ 0,4 кВ Л-2 КТП 10/0,4 кВ № 416 по ВЛ 10 кВ Л-1 Южная, установка системы учета для технологического присоединения – «БС №61-03028», расположенной по адресу: РФ, Ростовская область, Песчанокопский район, п. Дальнее Поле, южнее земельного участка ул. Садовая, 2/1 к.н.: 61:30:0040101:93, заявитель ПАО «МТС» (Ориентировочная протяженность ЛЭП – 0,080 км)</t>
  </si>
  <si>
    <t>«Строительство ВЛИ 0,4кВ от существующей опоры 1-00/15 ВЛ 0,4кВ Л-1 КТП 10/0,4кВ №130 ВЛ 10кВ Л-2 Целинский ССК для технологического присоединения «жилой дом», расположенного по адресу: РФ, Ростовская область, Целинский район, х. Северный, ул. Молодежная, д. 44/1, к.н.з.у.:61:40:0031101:2414, заявитель Лохматов С.Н.»  (Ориентировочная протяженность ЛЭП-0,05 км)</t>
  </si>
  <si>
    <t>«Строительство ВЛИ 0,4 кВ от РУ 0,4 кВ КТП 10/0,4 кВ №239 ВЛ 10 кВ Л-1 Ольшанская и установка системы учета электрической энергии (мощности) на границе земельного участка для технологического присоединения «объект крестьянского (фермерского) хозяйства», расположенного по адресу: РФ, Ростовская область, Целинский район, с. Васильевка, Ольшанское сельское поселение, восточная окраина, к.н.з.у.:61:40:0600001:788, заявитель ИП глава КФХ Соннов А.А.» (Ориентировочная протяженность ЛЭП - 0,3 км)</t>
  </si>
  <si>
    <t>«Строительство ВЛ 0,4 кВ от опоры №1-00/10-2 ВЛ 0,4 кВ Л-2 КТП 10/0,4 кВ №160 по ВЛ 10 кВ Л-2 РП 21 С, для электроснабжения объекта – «автомобильная мойка», расположенного по адресу: Российская Федерация, Ростовская обл, р-н Сальский, п. Конезавод имени Буденного, ул. Комсомольская, д. 1-а, кадастровый номер земельного участка 61:34:0040101:3702, заявитель Мурсалиев Р.К.» (Ориентировочная протяженность ЛЭП – 0,03 км)</t>
  </si>
  <si>
    <t>«Строительство ВЛ 0,4 кВ от опоры №2-01/14 ВЛ 0,4 кВ Л-2 КТП 10/0,4 кВ    № 301 по ВЛ 10 кВ Л-3 Волочаевская, для электроснабжения объекта – «Вводно-распределительное устройство», расположенного по адресу: РФ, Ростовская область, Орловский район, п. Волочаевский, ул. Октябрьская, д. 49, к.н. з.у.: 61:29:0020101:1896, заявитель ИП Головко В.А. глава К(Ф)Х» (Ориентировочная протяженность ЛЭП – 0,046 км)</t>
  </si>
  <si>
    <t>«Строительство ТП 10/0,4 кВ от опоры №4-00/222 по ВЛ 10 кВ Л-4 Ново-Егорлыкская, строительство ВЛ 0,4 кВ от РУ 0,4 кВ вновь строящейся ТП 10/0,4 кВ для электроснабжения объекта –«жилой дом», расположенного по адресу: 347626 Российская Федерация, Ростовская область, Сальский район, с. Романовка, жт. Канал, д.1, кадастровый номер земельного участка 61:34:0140101:402, заявитель Хантуева З.М.» (Ориентировочная протяженность ЛЭП – 0,025 км, ориентировочная мощность ТП – 0,025 МВА)</t>
  </si>
  <si>
    <t>«Строительство ВЛ 6 кВ от опоры 1-00/13-3 по ВЛ 6 кВ Л-1 Фрунзе 3, МТП 6/0,4 кВ и ВЛ 0,4 кВ для электроснабжения: объекта «нежилой застройки», расположенного по адресу: Российская федерация, Ростовская обл., Сальский район, Манычское сельское поселение, кадастровый номер земельного участка 61:34:0600001:2970, заявитель Прудникова Л.Г.; объекта «нежилой застройки (хозяйственная постройка, нежилое здание)», расположенного по адресу: Российская федерация, Ростовская обл., Сальский район, Манычское сельское поселение, кадастровый номер земельного участка 61:34:0600001:2969, заявитель Копченко О.В.» (Ориентировочная протяженность ЛЭП-0,08 км, ориентировочная мощность ТП-0,04 МВА)</t>
  </si>
  <si>
    <t>«Строительство ВЛ 0,4 кВ от опоры №1-00/3-5 ВЛ 0,4 кВ Л-1 КТП 10/0,4 кВ №250 по ВО 10 кВ Л-3 РП 1П для электроснабжения объекта «дачный дом», расположенного по адресу: 347571, РФ, Ростовская область, Песчанокопский район, х. Солдатский, д.4, к.н.з.у.: 61:30:0010401:23, заявитель Полянский А.А.» (Ориентировочная протяженность ЛЭП-0,16 км)</t>
  </si>
  <si>
    <t>«Строительство ВЛ 0,4 кВ от опоры №1-00/2-3 ВЛ 0,4 кВ Л-1 КТП №76 по ВЛ 10 кВ Л-6 РП-1-6П для электроснабжения объекта «гараж», расположенного по адресу: Российская Федерация, Ростовская обл., р-н. Пролетарский, г. Пролетарск, ул. Московская, д. 23/45, заявитель Бабкин М.И.»</t>
  </si>
  <si>
    <t>«Строительство ВЛ 0,4 кВ от опоры №2-00/10 ВЛ-0,4 кВ Л-2 КТП 10/0,4 кВ № 130 по ВЛ-10 кВ Л-4 Уютная, для электроснабжения объекта – «дачный дом», расположенного по адресу: РФ, Ростовская область, Пролетарский район, ДНТ "Заречное", ул. Южная, д.273, к.н.з.у.: 61:31:0500401:27, заявитель Кириченко В.К.» (Ориентировочная протяженность ЛЭП – 0,62 км)»</t>
  </si>
  <si>
    <t>«Строительство ВЛ 0,4 кВ от КТП 10/0,4 кВ №304 по ВЛ 10 кВ Л-1 Краснополянская для электроснабжения объекта –«ангар», расположенного по адресу: 347565 Российская Федерация, Ростовская обл., р-н. Песчанокопский, с. Красная Поляна, ул. Владимирова, д. 38, к.н.з.у. 61:30:0050101:5442, заявитель ИП глава КФХ Ковтунов Е.Н.» (Ориентировочная протяженность ЛЭП – 0,025 км)</t>
  </si>
  <si>
    <t>Строительство ВЛ 10 кВ от опоры №1-00/183 ВЛ 10 кВ Л-1 Ивановская, строительство КТП 10/0,4 и ВЛ 0,4 кВ для электроснабжения объекта –«насосная станция», расположенного по адресу: РФ, Ростовская область, Сальский район, с. Ивановка, 6 км от с. Ивановка, стр. б/н, к.н.з.у. 61.34.0600018:0966, заявитель Колесников М.М.» (Ориентировочная протяженность ЛЭП - 4,41 км, ориентировочная мощность ТП – 0,025 МВА)</t>
  </si>
  <si>
    <t>Строительство ВЛ 10кВ от опоры №1-11/61 ВЛ 10кВ Л-1 Пролетарская, строительство КТП 10/0,4 и ВЛ 0,4кВ для электроснабжения объекта – «здание», расположенного по адресу: РФ, Ростовская область, Пролетарский район, Участок находится примерно в 11км по направлению на северо-восток от ориентира хутора М. Ельмута, расположенного за пределами участка, адрес ориентира, р-н Пролетарский, х. Мокрая Ельмута, к.н. 61:31:0600009:642, заявитель Зинченко А.Г.» (Ориентировочная протяженность ЛЭП-2,94км, ориентировочная мощность ТП-0,04МВА)</t>
  </si>
  <si>
    <t>Строительство ВЛ 0,4 кВ от опоры №3-00/16 ВЛ 0,4 кВ Л-3 КТП 10/0,4 кВ №182 по ВЛ 10 кВ Л-10 Сандатовская, для электроснабжения объекта – «ангар», расположенного по адресу: 347612 Российская Федерация, Ростовская обл, р-н Сальский, с. Сандата, ул. Социалистическая, д. 34, кадастровый номер земельного участка 61:34:0170101:2315, заявитель ИП Елисеев А.Г.» (Ориентировочная протяженность ЛЭП – 0,03 км)</t>
  </si>
  <si>
    <t>«Строительство ВЛИ 0,4 кВ от существующей опоры №1-00/10 ВЛ 0,4 кВ  Л-1 КТП 10/0,4 кВ №268 по ВЛ 10 кВ Л-3 Летницкая и установка системы учета электрической энергии (мощности) на границе земельного участка для электроснабжения объекта  «нежилого помещения», расположенного по адресу: 347568, РФ, Ростовская область, Песчанокопский район, с. Летник, ул. Мичурина, д. 43, кв 2, 3, 4, к.н.: 61:30:0060101:3576, заявитель АО «Почта России» (Ориентировочная протяженность ЛЭП-0,04 км)</t>
  </si>
  <si>
    <t>«Строительство ВЛИ 0,4 кВ от существующей опоры 1-00/10 ВЛ 0,4 кВ Л-1 КТП 10/0,4 кВ №296 ВЛ 10 кВ Л-3 Целинская для технологического присоединения «база строительных материалов», расположенного по адресу: РФ, Ростовская область, Целинский район, п. Целина, ул. Продольная, д. 7/1, к.н.з.у.:61:40:0010155:41, заявитель ИП Горлов С.А.» (Ориентировочная протяженность ЛЭП – 0,1 км)</t>
  </si>
  <si>
    <t>«Строительство ВЛ 0,4 кВ от опоры №4-00/3 ВЛ 0,4 кВ Л-4 КТП 10/0,4 кВ №389 по ВЛ 10 кВ Л-3 Чапаевская, для электроснабжения объекта – «объект крестьянского (фермерского) хозяйства», расположенного по адресу: 347626 Российская Федерация, Ростовская обл, р-н Сальский, с. Романовка, ул. Юбилейная, д. 16 а, кадастровый номер земельного участка 61:34:0140101:1587, заявитель ИП Ковалев А.А.» (Ориентировочная протяженность ЛЭП – 0,08 км)</t>
  </si>
  <si>
    <t>«Строительство ВЛ 10 кВ от опоры №16-00/22 ВЛ 10 кВ Л-16 Сальская, строительство ТП 10/0,4 и ВЛ 0,4 кВ для электроснабжения объекта – «объект сельскохозяйственного производства», расположенного по адресу: Российская Федерация, Ростовская обл., р-н Сальский, г. Сальск, ул. Мелиоративная, 9, кадастровый номер земельного участка 61:57:0010214:22, заявитель ООО «Сальская ярмарка»</t>
  </si>
  <si>
    <t>«Строительство ВЛ 10 кВ от опоры №6-00/59 ВЛ 10 кВ Л-6 Шаблиевская, строительство КТП 10/0,4 и ВЛ 0,4 кВ для электроснабжения объекта – «нежилая застройка», расположенного по адресу: РФ, Ростовская обл, р-н Сальский, 800м. на северо-запад от с. Шаблиевка, строение б/н, кадастровый номер земельного участка 61:34:0600009:5, заявитель Рыжков И.С.» (Ориентировочная протяженность ЛЭП – 0,260 км, ориентировочная мощность ТП – 0,025 МВА)»</t>
  </si>
  <si>
    <t>«Строительство ВЛ 10 кВ от опоры 1-01/36 ВЛ 10 кВ Л-1 ПС Уютная, строительство КТП 10/0,23 и ВЛ 0,23 кВ для электроснабжения объекта – «дачный дом», расположенного по адресу: РФ, Ростовская обл.,р-н. Пролетарский, СА "Уютная", отделение 3, контур 304, кадастровый номер земельного участка: 61:31:0600011:860, заявитель Огрызько Ю.В. (Ориентировочная протяженность ЛЭП – 1,11 км, ориентировочная мощность ТП – 0,010 МВА)»</t>
  </si>
  <si>
    <t>«Строительство ВЛ 0,4 кВ от ЗТП-10/0,4кВ №1248 по ВЛ-10 кВ Л-4 ПС КРС для электроснабжения объекта-«жилой дом», расположенного по адресу: РФ, Ростовская обл., р-н. Пролетарский, п. Опенки, ул. Каштанов, д.1, заявитель Просяная Т.Д.» (Ориентировочная протяженность ЛЭП-0,35 км)»</t>
  </si>
  <si>
    <t>«Строительство ВЛИ 0,4 кВ от существующей опоры 1-00/1 ВЛ 0,4 кВ Л-1 КТП 10/0,4 кВ №267 ВЛ 10 кВ Л-1 Ольшанская для технологического присоединения «складское здание/помещение», расположенного по адресу: РФ, Ростовская область, Целинский район, с. Ольшанка, Ольшанское сельское поселение, в границах СПК «Победа», поле №42, к.н.з.у.:61:40:0600001:1363, заявитель ИП глава КФХ Соннов А.А.»   (Ориентировочная протяженность ЛЭП-0,04 км)</t>
  </si>
  <si>
    <t>«Реконструкция ВЛ 0,4 кВ от опоры №1-00/19 ВЛ 0,4 кВ Л-1 КТП 10/0,4 кВ    № 325 по ВЛ 10 кВ Л-8 Орловская, для электроснабжения объекта – «Незавершенный строительством садовый дом», расположенного по адресу: РФ, Ростовская область, Орловский район, садовый массив «Луганка-1»,  ул. 1 линия, д. 25, к.н. з.у.: 61:29:500401:0017, заявитель Рыбалко В.В.»</t>
  </si>
  <si>
    <t>«Строительство ВЛ 0,4 кВ от опоры №2-01/4 ВЛ 0,4 кВ Л-2 КТП 10/0,4 кВ №148 по ВЛ 10 кВ Л-3 Уютная и установка системы учета электрической энергии (мощности) на границе земельного участка для электроснабжения объекта «нежилое помещение», расположенного по адресу: Российская Федерация, р-н. Пролетарский, х. Уютный, ул. Ленина, д. 29, кв.3, 3а, 4, кадастровый номер земельного участка: 61:31:0100101:1132, заявитель АО «Почта России» (Ориентировочная протяженность ЛЭП – 0,04 км)</t>
  </si>
  <si>
    <t>«Строительство ВЛ 0,4 кВ от опоры №2-00/15 ВЛ 0,4 кВ Л-2 КТП 10/0,4 кВ №131 по ВЛ 10 кВ Л-7 Ново-Егорлыкская, для электроснабжения объекта – «базовой станции сотовой связи №1058», расположенного по адресу: Российская Федерация, Ростовская обл, р-н Сальский, с. Новый Егорлык, рядом с земельным участком с кадастровым номером 61:31:0110101:6706, координаты: широта – 46,385018, долгота – 41,874968, кадастровый номер земельного участка 61:31:0110101, заявитель ООО «Т2 Мобайл» (Ориентировочная протяженность ЛЭП – 0,11 км)</t>
  </si>
  <si>
    <t xml:space="preserve">пообъектная расшифровка * </t>
  </si>
  <si>
    <t>Строительство ВЛ 0,4 кВ от новой ТП 10/0,4 кВ, строительство ТП 10/0,4 кВ, строительство ВЛ 10 кВ от ВЛ 10 кВ №1 ПС 110/35/10 кВ Чалтырь, для технологического присоединения нежилого здания Заявителя (ИП Мелконян С.М.) по адресу: Ростовская область, Мясниковский район, Краснокрымское сельское поселение, на землях колхоза «Дружба» к.н. №61:25:0600401:3579 (ориентировочная протяженность ЛЭП 0,015 км; мощность силового трансформатора 160 кВА)</t>
  </si>
  <si>
    <t>Строительство ВЛ 0,4 кВ от новой ТП 10/0,4 кВ, строительство ТП 10/0,4 кВ, строительство ВЛ 10 кВ от ВЛ 10 кВ №1/3 ПС 110/35/10 кВ «Троицкая-1», для технологического присоединения ЛЭП 0,4 кВ Заявителя (Жилин Е.Е.) по адресу: Ростовская область, Неклиновский район, с. Николаевка, ул. Чехова, 199-б, к.н. 61:26:0110101:8992 (ориентировочная протяженность ЛЭП 1,235 км; мощность силового трансформатора 63 кВА)</t>
  </si>
  <si>
    <t>Строительство ВЛ 0,4 кВ от РУ 0,4 кВ ТП 10/0,4 кВ, строительство ТП 10/0,4 кВ, строительство ВЛ 10 кВ от ВЛ 10 кВ №4/3 ПС 110/35/10 кВ «Троицкая-1» для технологического присоединения инженерной инфраструктуры Заявителя: (МКУ НР «УКС»), по адресу: Ростовская область, Неклиновский район, с. Троицкое, к.н. 61:26:0600014:1975 (ориентировочная протяженность ЛЭП 0,02 км; мощность силового трансформатора – 250 кВА)</t>
  </si>
  <si>
    <t>Строительство двух ВЛ 0,4 кВ, строительство двух ТП 10/0,4 кВ, строительство ВЛ 10 кВ от ВЛ 10 кВ №5 отпайки на ТП 10/0,4 кВ №5-51, запитанной от ВЛ 10 кВ №12 ПС 110/35/10 кВ Чалтырь, строительство ВЛ 10 кВ от ВЛ 10 кВ №3 отпайки на ТП 10/0,4 кВ №3-37 ПС 110/35/10 кВ Чалтырь, для технологического присоединения муниципального бюджетного детского образовательного учреждения Заявителя: (МУ «Отдел образования Администрации Мясниковского района») по адресу: Ростовская обл. Мясниковский р-н, с. Чалтырь, ул. Гайламазяна, д 19/2 к.н. 61:25:0101605:182 (ориентировочная протяженность ЛЭП -0,82 км; мощность силового трансформатора – 2х0,25 МВА)</t>
  </si>
  <si>
    <t>Строительство ВЛ 0,4 кВ от РУ 0,4 кВ новой ТП 10/0,4 кВ, строительство ТП 10/0,4 кВ, строительство ВЛ 10 кВ от ВЛ 10 кВ №6 ПС 110/35/10 кВ  Синявская до новой ТП 10/0,4 кВ, для технологического присоединения жилых домов заявителей Бурдейный В.П., Коваленко П.В., Горбенко Н.Н. по адресам: Мясниковский район, х. Веселый, ул. Русская 12,24,26 (ориентировочная протяженность ЛЭП - 0,46 км, ориентировочная мощность ТП – 63 кВА)</t>
  </si>
  <si>
    <t>Строительство ВЛ 0,4 кВ от РУ 0,4 кВ ТП 10/0,4 кВ, строительство ТП 10/0,4 кВ, строительство ВЛ 10 кВ от ВЛ 10 кВ №4 ПС 110/35/10 кВ Чалтырь, отпайки на ТП 10/0,4 кВ №4-25А, для технологического присоединения производственного здания Заявителя: (ООО «САН-АГРО»), по адресу: Мясниковский район, с. Крым, ул. 19-я линия, д. 26, корп. А, к.н. 61:25:0201019:496 (ориентировочная протяженность ЛЭП 0,120 км; мощность силового трансформатора – 160 кВА)</t>
  </si>
  <si>
    <t>Строительство ВЛ 0,4 кВ от РУ 0,4 кВ ТП 10/0,4 кВ, строительство ТП 10/0,4 кВ, строительство ВЛ 10 кВ от ВЛ 10 кВ №2 ПС 110/35/10 кВ Чалтырь, для технологического присоединения производственного здания Заявителя: (ООО «Железобетон»), по адресу: Мясниковский район, установлено относительно ориентира, расположенного в границах участка №3/6 к.н 61:25:0600401:8620. (ориентировочная протяженность ЛЭП 0,02 км; мощность силового трансформатора – 0,16 МВА)</t>
  </si>
  <si>
    <t>Строительство ВЛ 0,4 кВ от новой ТП 10/0,4 кВ, строительство ТП 10/0,4 кВ, строительство ВЛ 10 кВ от ВЛ 10 кВ №6 ПС 35/10 кВ «Покровская», для технологического присоединения нежилого помещения Заявителя (ИП Атоян А.Л.) по адресу: Ростовская область, Неклиновский район, с. Покровское, ул. Привокзальная, 1, к.н. 61:26:0050101:260 (ориентировочная протяженность ЛЭП 0,015 км; мощность силового трансформатора 160 кВА)</t>
  </si>
  <si>
    <t>Строительство ВЛ 0,4 кВ от РУ 0,4 кВ ТП 10/0,4 кВ, строительство ТП 10/0,4 кВ, строительство ВЛ 10 кВ от ВЛ 10 кВ №6 ПС 35/10 кВ Б.Салы, отпайки на ТП 10/0,4 кВ №6-3 для технологического присоединения жилых домов Заявителя: (Явруев А.Х.), по адресу: Мясниковский район, х. Красный Крым, ул. Пшеничная, (ориентировочная протяженность ЛЭП 0,56 км; мощность силового трансформатора – 630 кВА)</t>
  </si>
  <si>
    <t>Строительство ВЛ 0,4 кВ от РУ 0,4 кВ ТП 10/0,4 кВ, строительство ТП 10/0,4 кВ, строительство ВЛ 10 кВ от ВЛ 10 кВ №7 ПС 110/35/10 кВ Синявская для технологического присоединения жилых домов Заявителей: (Трофименко А.И., Долгова Т.Ю.), по адресу: Мясниковский район, х. Недвиговка, ул. Молодежная, д. 29/в, 28/ж, к.н. 61:25:0070101:4521, 61:25:0070101:4702 (ориентировочная протяженность ЛЭП 0,22 км; мощность силового трансформатора – 160 кВА)</t>
  </si>
  <si>
    <t>Строительство ВЛ 0,4 кВ от новой ТП 10/0,4 кВ, строительство ТП 10/0,4 кВ, строительство ВЛ 10 кВ от ВЛ 10 кВ №4 ПС 110/35/10 кВ Чалтырь, для технологического присоединения Заявителей (Халамбашян Л.Г., ИП Халамбашян В.Х.) по адресу: Ростовская область, Мясниковский район, с. Крым (ориентировочная протяженность ЛЭП 0,520 км; мощность силового трансформатора 40 кВА)</t>
  </si>
  <si>
    <t xml:space="preserve">Строительство 2-х ВЛ 0,4 кВ от новой ТП 10/0,4 кВ, строительство ТП 10/0,4 кВ, строительство ВЛ 10 кВ от ВЛ 10 кВ № 2 ПС 35/10 кВ «Троицкая», для технологического присоединения нежилых помещений Заявителей (ИП Цыганенко Е.В. и ИП Кириченко Е.Н.) по адресу: Ростовская область, Неклиновский район, с. Троицкое, к.н. 61:26:060014:320 и к.н. 61:26:060014:321 (ориентировочная протяженность ЛЭП 1,23 км; мощность силового трансформатора 250 кВА) </t>
  </si>
  <si>
    <t>Строительство двух ВЛ 0,4 кВ, строительство 2-х трансформаторной ТП 10/0,4 кВ, строительство ВЛ 10 кВ от ВЛ 10 кВ №7 ПС 35/10 кВ Петровская, строительство ВЛ 10 кВ от ВЛ 10 кВ №2 ПС 35/10 кВ Петровская, для технологического присоединения муниципального бюджетного детского образовательного учреждения Заявителя: (МУ «Отдел образования Администрации Мясниковского района») по адресу: Ростовская обл. Мясниковский р-н, сл. Петровка, ул. Южная, д 9 к.н. 61:25:0080101:1680 (ориентировочная протяженность ЛЭП -1,04 км; мощность силового трансформатора – 2х0,16 МВА)</t>
  </si>
  <si>
    <t>Строительство ВЛ 10 кВ от ВЛ 10 кВ №7 ПС 35/10 кВ «Русский Колодец», для технологического присоединения нежилого здания Заявителя (ООО «ПК-ЭНЕРГО») по адресу: Ростовская область, Неклиновский район, х. Русский Колодец, 100 м на юг от ул. Мирная, к.н. 61:26:0600023:417 (ориентировочная протяженность ЛЭП 0,017 км)</t>
  </si>
  <si>
    <t>«Строительство ВЛ 10кВ от ВЛ 10кВ №3 ПС 35/10кВ "Советка" для электроснабжения административных и офисных зданий Заявителя (Иваненко Д.О.) по адресу: Ростовская область, Неклиновский район, с. Самбек, СПК к-з "Колос", поле №101, к.н. 61:26:0600015:1217 (ориентировочная протяженность ЛЭП 0,05км)</t>
  </si>
  <si>
    <t>«Строительство ВЛ 0,4 кВ от РУ 0,4 кВ ТП 10/0,4 кВ, строительство ТП 10/0,4 кВ, строительство ВЛ 10 кВ от ВЛ 10 кВ №12 ПС 110/35/10 кВ Чалтырь, для технологического присоединения Заявителя: (Донченко А.П.), по адресу: Мясниковский район, с. Чалтырь, ул. Пионерская (ориентировочная протяженность ЛЭП – 0,54 км, мощность силового трансформатора – 250 кВА)»</t>
  </si>
  <si>
    <t>Строительство ВЛ 0,4 кВ от РУ 0,4 кВ проектируемого ТП 10/0,4 кВ, строительство ТП 10/0,4 кВ, строительство ВЛ 10 кВ от ВЛ 10 кВ №7 ПС 35/10 кВ Б. Салы, для технологического присоединения нежилой застройки (крематорий) Заявителя: (ООО «Омская Мемориальная Организация») по адресу: Ростовская обл. Мясниковский р-н, земли колхоза «Колос» к.н. 61:25:0600501:1515 (ориентировочная протяженность ЛЭП - 0,02 км; мощность силового трансформатора – 0,4 МВА)</t>
  </si>
  <si>
    <t>Строительство ВЛ 0,4 кВ от РУ 0,4 кВ ТП 10/0,4 кВ, строительство ТП 10/0,4 кВ, строительство ВЛ 10 кВ от ВЛ 10 кВ №1 ПС 110/35/10 кВ Чалтырь, отпайки на ТП 10/0,4 кВ №1-38А для технологического присоединения жилых домов Заявителей: (Курбанов М.К., Гаджибаев М.Э., Алиева С.М., Габибуллаев А.И., Акопян А.Р. Шубина С.Н., Гаджифейтуллаева Б.Г., Алиева М.Г., Гаджибалаева Д.С., Масимова Э.З., Масимов К.Т.) (ориентировочная протяженность ЛЭП 1,05 км; мощность силового трансформатора – 250 кВА)</t>
  </si>
  <si>
    <t>Строительство ВЛ 10 кВ от ВЛ 10 кВ №2 ПС 110/10 кВ «Самбек», строительство КВЛ 10 кВ от ВЛ 10 кВ №5 ПС 110/10 кВ «Самбек» для технологического присоединения очистных сооружений Заявителя: (МКУ НР «УКС»), по адресу: Ростовская область, Неклиновский район, с. Самбек, ул. Спортивная, 4, к.н. 61:58:0600015:3818 (ориентировочная протяженность ЛЭП 6,8 км)</t>
  </si>
  <si>
    <t xml:space="preserve">Строительство участка ВЛЗ-6 кВ от опоры №154 ВЛ-6 кВ №1 ПС 35/6 кВ Романовская, с установкой ТП-6/0,4 кВ и строительство ВЛИ-0,4 кВ от РУ-0,4 кВ вновь установленной ТП-6/0,4 кВ  для присоединения жилых домов Ястребова В.Г. и Усова А.А., расположенных по адресу: Ростовская область, Волгодонской район, г. Волгодонск, ул. Отдыха (ориентировочная протяженность ЛЭП 0,426 км, ориентировочная мощность трансформатора 250 кВА) </t>
  </si>
  <si>
    <t>Строительство участка ВЛЗ-6 кВ от опоры №10/7 ВЛ-6 кВ №6 ПС 35/6 кВ Потаповская,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для присоединения зернохранилища ООО «Русский продукт», расположенного по адресу: Ростовская область, Волгодонской район, станица Каргальская, 2400 м севернее ж.д. №67 ул. Центральная, к.н.з.у. 61:08:0600601:3987 (ориентировочная протяженность ЛЭП 2,26 км, ориентировочная мощность трансформатора 160 кВА)</t>
  </si>
  <si>
    <t>Строительство участка ВЛЗ-6 кВ от опоры №2/2 по ВЛ-6 кВ №42 ПС 110/10/6 кВ ЮЗР,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для присоединения производственной базы ИП Шаповалова С.С., расположенной по адресу: Ростовская область, г. Волгодонск, Ростовское шоссе, 1, к.н.з.у. 61:48:0080104:307 (ориентировочная протяженность ЛЭП 0,15 км, ориентировочная мощность трансформатора 0,25 МВА, количество приборов коммерческого учета – 1 шт)</t>
  </si>
  <si>
    <t xml:space="preserve"> Строительство ВЛИ-0,4 кВ от вновь построенной ТП 10/0,4 кВ подключенной к вновь построенной ВЛ-10кВ от ВЛ-10кВ Комплекс ПС 110/35/10 Ш-34 для присоединения вагончика ИП Лукьянова М.А. в ст. Мелиховская Усть-Донецкого района (ориентировочная протяженность ЛЭП 0,250 км, ориентировочная мощность трансформатора 25 кВА)</t>
  </si>
  <si>
    <t>Строительство ТП-10/0,4 от существующей опоры № 26 ВЛ 10 кВ Каменный Брод от ПС 110/10 кВ АС-12, и ВЛИ-0,4 кВ от вновь установленной ТП-10/0,4 кВ для присоединения садового домика Белакина В.В. (ориентировочная протяженность ЛЭП 0,005 км, ориентировочная мощность трансформатора 250 кВА)</t>
  </si>
  <si>
    <t>Строительство участка ВЛЗ10 кВ от ВЛ10 кВ Придонский ПС 110/35/10 Ш-34, с установкой ТП 10/0,4 кВ, и строительство ВЛИ 0,4 кВ от вновь установленной ТП 10/0,4 кВ для присоединения ВРУ-0,4 кВ карьера, ООО Фирма «Стройпроект» в ст. Мелиховская Усть-Донецкого района (ориентировочная протяженность ЛЭП 1,285 км, ориентировочная мощность трансформатора 0,25 МВА)</t>
  </si>
  <si>
    <t>Строительство ВЛИ-0,4 кВ от оп.22 ВЛ 0,4 кВ № 1 от ТП 10/0,4кВ № 134 по ВЛ-10кВ «Заря» ПС Н-9, для электроснабжения магазина ИП Головкова В.М.по адресу: сл. Родионово-Несветайская, ул. 30 лет Победы, д. 31В (ориентировочная протяженность ЛЭП – 0,050 км)</t>
  </si>
  <si>
    <t xml:space="preserve"> Строительство ТП-10/0,4, ВЛ-10 кВ от существующей оп. №150 ВЛ 10 кВ Федоровка ПС С-5, и ВЛИ-0,4 кВ от вновь установленной ТП-10/0,4 кВ для присоединения строительной площадки, Ростовская обл, Красносулинского района, СПК «Федоровский», в 830 м на юго-запад от х. Большая Федоровка (ориентировочная протяженность ЛЭП 0,095 км, ориентировочная мощность трансформатора 25 кВА)</t>
  </si>
  <si>
    <t>Строительство ТП-6/0,4, ЛЭП-6 кВ от оп. №60 ВЛ 6 кВ Кривянка ПС Ш-43, и ВЛИ-0,4 кВ от вновь установленной ТП-6/0,4 кВ для присоединения девяти жилых домов (Цебенко П.С., Пудов Ю.В., Каклюгина Н.И., Бобернага О.В., Страданченков В.И., Пятаков А.М., Чернов А.С., Болдырева Т.Н., Пудов Т.А.) по адресу: Октябрьский район, ст. Кривянская, ул. Кирпичная (ориентировочная протяженность ЛЭП 0,7 км, ориентировочная мощность трансформатора 160 кВА)</t>
  </si>
  <si>
    <t xml:space="preserve"> Строительство ТП-6/0,4, ЛЭП-6 кВ от оп. №12 отпайки к КТП №275 по ВЛ 6 кВ Кривянка ПС Ш-40, и ВЛИ-0,4 кВ от вновь установленной ТП-6/0,4 кВ для присоединения объекта крестьянского (фермерского) хозяйства ИП Александрова Б.Б. по адресу: Октябрьский район, ст. Кривянская, на поле №11(ориентировочная протяженность ЛЭП 1,010 км, ориентировочная мощность трансформатора 25 кВА)</t>
  </si>
  <si>
    <t>Строительство участка ВЛ-10 кВ от существующей оп. №199 по ВЛ-10 кВ «Федоровка» от ПС С-5, с установкой ТП-10/0,4 кВ, и строительство ВЛИ-0,4 кВ от вновь установленной ТП-10/0,4 кВ для присоединения ВРУ-0,4 кВ освещения, офисных помещений и бытовых помещений, Ростовская обл, Красносулинский район, в 2,7км севернее х. Большая Федоровка (ООО Карьер) (ориентировочная протяженность ЛЭП 1,845 км, ориентировочная мощность трансформатора 250 кВА)</t>
  </si>
  <si>
    <t>Строительство участка ВЛ-10 кВ от опоры № 9, ВЛ-10 кВ № 2, ПС 35/10 кВ «Нижнепоповская», ТП 10/0,4 кВ и участка ВЛ-0,4 кВ от РУ-0,4 кВ новой ТП 10/0,4 кВ, для электроснабжения ВНС Администрации Белокалитвинского района, расположенного по адресу: Ростовская обл., Белокалитвинский р-н, х. Нижнепопов к.н. 61:04:0600013:997. (ориентировочная протяженность ЛЭП – 0,200 км, ориентировочная мощность ТП – 0, 063 МВА, прибор учёта  электроэнергии - 1шт</t>
  </si>
  <si>
    <t>30,3</t>
  </si>
  <si>
    <t>Строительство участка ВЛ-10 кВ от опоры № 50 ВЛ-10 кВ № 3, ПС 35/10 кВ «Калитвенская», ТП 10/0,4 кВ и участка ВЛ-0,4 кВ от РУ-0,4 кВ проектируемого ТП 10/0,4 кВ для подключения скважины Кудинова С.С., расположенной по адресу: Ростовская обл., Каменский р-н, ООО «Донецкие Зори», уч. № 84,7 ку, к. н.:61:15:602201:0760 (ориентировочная протяженность ЛЭП - 1,205 км, ориентировочная мощность ТП – 0,025 МВА)</t>
  </si>
  <si>
    <t>4603</t>
  </si>
  <si>
    <t>Строительство участка ВЛ-10 кВ от опоры № 24, отпайка Л-527, ВЛ-10 кВ № 4, ПС 35/10 кВ «Колушкинская», ТП 10/0,4 кВ и ВЛ-0,4 кВ от РУ-0,4 кВ проектируемой ТП 10/0,4 кВ, для подключения строящегося помещения ИП Главы К(Ф)Х Давыденко С.Я, для содержания животных, расположенного по адресу: Ростовская обл., Тарасовский р-н, Ефремово-Степановское сельское поселение, 2,2 км на юго-запад от х. Нижнемакеевский, КН ЗУ 61:37:060008:910 (ориентировочная протяженность ЛЭП –0,03 км, трансформаторная мощность – 0,025 МВА, прибор учёта электроэнергии - 1шт)</t>
  </si>
  <si>
    <t>16</t>
  </si>
  <si>
    <t>4604</t>
  </si>
  <si>
    <t>Строительство участка ВЛ-10 кВ от опоры № 7, отпайка Л-183, ВЛ-10 кВ №3, ПС 110/35/10 кВ «Чеботовская», ТП 10/0,4 кВ и ВЛ-0,4 кВ от РУ-0,4 кВ проектируемой ТП 10/0,4 кВ, для подключения телятника ООО «Деметра», расположенного по адресу: Ростовская обл., Тарасовский р-н, х. Зеленовка, ул. Центральная, д. 85 а, КН ЗУ 61:37:0600021:1327 (ориентировочная протяженность ЛЭП –0,19 км, трансформаторная мощность – 0,063 МВА, прибор учёта электроэнергии - 1шт)</t>
  </si>
  <si>
    <t>25</t>
  </si>
  <si>
    <t>Строительство участка ВЛ-10 кВ от опоры № 7, ВЛ-10 кВ № ДКУ, ПС 110/35/10 кВ «Б-4», ТП 10/0,4кВ и участка ВЛ-0,4кВ от РУ-0,4 кВ проектируемого ТП 10/0,4 кВ для подключения объекта крестьянского (фермерского) хозяйства Байкова Н.Н. расположенного по адресу: Ростовская обл., Каменский р-н, х. Богданов, ТсОО им. Кирова, пастбище р.у. 7, к.н.з.у. 61:15:0602501:1372 (ориентировочная протяженность ЛЭП – 0,353 км,трансформаторная мощность – 0,063МВА,прибор учёта электроэнергии 40 кВт- 1шт)</t>
  </si>
  <si>
    <t>Строительство участка ВЛ-10кВ от опоры № 81, ВЛ-10кВ № 2, ПС 110/35/10/6кВ «К-4», ТП 10/0,4кВ и участка ВЛ-0,4кВ от РУ-0,4кВ новой   ТП 10/0,4кВ для подключения магазина Кривогузовой Т.Н., расположенного по адресу: Ростовская обл., Каменский р-н, х. Красновка, ул. Профильная, д. №1, корп. А, к.н.з.у. 61:15:0080109:1309 (ориентировочная протяженность ЛЭП – 0,205км, трансформаторная мощность – 0,100МВА, прибор учёта электроэнергии - 1шт.)</t>
  </si>
  <si>
    <t>90</t>
  </si>
  <si>
    <t>«Строительство участка ВЛ-10 кВ от опоры № 20 отпайка Л-361 ВЛ-10 кВ  № 1, ПС 35/10 кВ «Тарасовская СХТ», ТП 10/0,4 кВ и участка ВЛ-0,4 кВ от РУ-0,4 кВ новой ТП 10/0,4 кВ, для подключения строящегося склада ИП Рудаков Д.В., расположенного по адресу: Ростовская обл., Тарасовский р-н, сл. Дячкино, к.н.з.у. 61:37:0600012:1523 (ориентировочная протяженность ЛЭП – 2,76 км, ориентировочная мощность ТП – 0,16 МВА)»</t>
  </si>
  <si>
    <t>Строительство участка ВЛ-10 кВ от опоры № 16, отпайка Л-РК 58, ВЛ-10 кВ № 1, ПС 35/10 кВ «Митякинская», ТП 10/0,4 кВ и ВЛ-0,4 кВ от РУ-0,4 кВ новой ТП 10/0,4 кВ, для подключения жилых домов Лаврухиной Л. В., Кузьмичевой М. И., Талалаевой С. В., Дзюбенко В. М., расположенных по адресу: Ростовская обл., Тарасовский р-н, х. Верхний Митякин, ул.Заречная, жилые дома № 57 (к.н.з.у. 61:37:0060101:367),  № 59 (к.н.з.у. 61:37:0060101:369), № 61 (к. н.з.у. 61:37:0060101:382) ,     № 58 (к.н.з.у.61:37:000000:4179) (ориентировочная протяженность ЛЭП –0,53 км, трансформаторная  мощность – 0,1 МВА, прибор учёта электроэнергии – 4 шт)</t>
  </si>
  <si>
    <t>Строительство участка ВЛ-10 кВ от опоры № 20, отпайка Л-361, ВЛ-10 кВ №1, ПС 35/10 кВ «Тарасовская СХТ», ТП 10/0,4 кВ и ВЛ-0,4 кВ от РУ-0,4 кВ проектируемой ТП 10/0,4 кВ, для подключения освещения территории строящегося придорожного комплекса  Геворкяна Г.В., расположенного по адресу: Ростовская обл., Тарасовский р-н, Дячкинское сельское поселение, разъезд Дяткино, территория Сервисная, земельный участок № 4, КН ЗУ 61:37:0600012:1539 (ориентировочная протяженность ЛЭП –0,05 км, трансформаторная мощность – 0,16 МВА, прибор учёта электроэнергии 100 кВт - 1шт)</t>
  </si>
  <si>
    <t>100</t>
  </si>
  <si>
    <t>Строительство участка КВЛ-10 кВ от опоры № 42, ВЛ-10 кВ № 1, ПС 35/10 кВ «Глубокинская», ТП 10/0,4 кВ и участка ВЛ-0,4 кВ от РУ-0,4 кВ новой ТП 10/0,4 кВ, для подключения электрической зарядной станции для электромобилей АО «Ситроникс», расположенной по адресу: Ростовская обл., Каменский р-н, р.п. Глубокий, а/д М-4 «Дон» в 30 м от дорожного полотна слева, АЗС Лукойл 31362, к.н.з.у. 61:15:0010106:127 (ориентировочная протяженность ЛЭП – 0,472 км, трансформаторная мощность – 0,160 МВА, прибор учёта электроэнергии - 1 шт.)</t>
  </si>
  <si>
    <t>Строительство ВЛ-10 кВ от опоры № 3/49 по ВЛ-10 кВ № 6 ПС 110/35/10 кВ «Ал. Лозовская», установка КТП- 10/04 кВ и строительство ВЛ- 0,4 кВ, установка прибора коммерческого учета электрической энергии (мощности) в точке поставки и установка шкафа 0,4 кВ с коммутационным аппаратом, строительство ВЛ-10 кВ от опоры № 35 по ВЛ-10 кВ № 9 ПС 110/35/10 кВ «Ал. Лозовская», установка КТП-10/04 кВ и строительство ВЛ-0,4 кВ, установка прибора коммерческого учета электрической энергии (мощности) в точке поставки и установка шкафа 0,4 кВ с коммутационным аппаратом, для технологического присоединения МБДОУ Алексеево-Лозовский детский сад II категории, заявитель Отдел образования Администрации Чертковского района, расположенного в Ростовской области, Чертковский р-н, с. Алексеево-Лозовское, ул. Спортивная, д. 3-в,  (61:42:0010101:3801) (ориентировочная   протяженность ЛЭП – 1,9 км, ориентировочная мощность 2-х ТП – 0,5 МВА (2х0,25)</t>
  </si>
  <si>
    <t>Строительство ВЛ-10 кВ от опоры №13/46 отпайки на ТП10/04 кВ № 0217(на балансе ООО «ЛУКОЙЛ-Югнефтепродукт») по ВЛ-10 кВ №1 ПС 110/10 кВ «Дегтевская» с установкой КТП и строительством ВЛ-0,4 кВ, установка коммерческого учета (1 шт.) электрической энергии (мощности) в точке поставки и установка шкафа 0,4 кВ с коммутационными аппаратами, для электроснабжения электрической зарядной станции Заявителя, АО «Ситроникс» расположенной в Ростовской области, Миллеровский р-н, а/д М4 Дон с южной стороны от х. Грай-Воронец, 824 км+500 м слева, координаты 49.163482, 40.597913 (к.н.з.у. 61:22:600006:439), (ориентировочная протяженность ЛЭП – 0,015 км, ориентировочная мощность ТП – 0,160 МВА)</t>
  </si>
  <si>
    <t xml:space="preserve">Строительство КТПН 10/0,4 кВ, ВЛ 0,4 кВ, ВЛ 10 кВ от ВЛ 10 кВ №403 ПС 110 кВ АС4 для электроснабжения ВРУ 0,4 кВ жилых домов по ул. Крымская в х. Ленина Аксайского района Ростовской области </t>
  </si>
  <si>
    <t xml:space="preserve">Строительство КТП 10/0,4 кВ, ВЛ 0,4 кВ, ВЛ 10 кВ от ВЛ 10 кВ №705 ПС 35 кВ БГ7 для электроснабжения насосной станции Гучучалиева К.Г. по адресу: Ростовская обл., р-н. Багаевский, местоположение установлено относительно ориентира, расположенного в границах участка. Ориентир от п. Садовый. Участок находится примерно в 2 км от ориентира по направлению на северо-запад, к.н.: 61:03:0600010:69. </t>
  </si>
  <si>
    <t>Строительство ТП 6/0,4 кВ, ВЛ 0,4 кВ, ВЛ 6 кВ от ВЛ 6 кВ №3 РП 6 кВ №6 КЛ 6 кВ №340 ПС 110 кВ БТ3 для электроснабжения ВРУ 0,22 кВ жилых домов Марченко А. Г. в п. Красный Сад Азовского района Ростовской области</t>
  </si>
  <si>
    <t xml:space="preserve">Строительство ТП 10/0,4 кВ, ВЛ 10 кВ, ВЛ 0,4 кВ от опоры №217  ВЛ 10 кВ №125 ПС 110 кВ СМ1 для электроснабжения ВРУ-0,4 кВ на земельном участке, заявителя: Денисовой Ирины Ивановны по адресу: Ростовская область, Семикаракорский  район,  Семикаракорское лесничество ,Семикаракорское участковое лесничество, квартал 59 выд.17 к.н.:61:35:0600004:195  </t>
  </si>
  <si>
    <t>Строительство ВЛ 10 кВ от ВЛ 10 кВ №105 ПС 110 кВ АС1, установка пункта коммерческого учета для электроснабжения жилого дома Фролова А. В. по адресу: Ростовской обл., р-н Аксайский, х. Рыбацкий, ул. Новая, 45, участок с КН 61:02:0110301:218 (ориентировочная протяженность ЛЭП 0,21 км)</t>
  </si>
  <si>
    <t xml:space="preserve">Строительство ТП 6/0,4 кВ, ВЛ 0,4 кВ, ВЛ 6 кВ от ВЛ 6 кВ №807 ПС 35 кВ АС7 для электроснабжения складского здания/помещения ИП Варламовой Т. Н. на участке с КН 61:02:0010201:6894 в х. Большой Лог Аксайского района Ростовской области </t>
  </si>
  <si>
    <t xml:space="preserve">Строительство ВЛ 0,4 кВ от проектируемой ВЛ 0,4 кВ (по договору №61-1-19-00461385 от 25.09.2019 г.) КТПН 10/0,4 кВ ВЛ 10 кВ №1203 ПС 110 кВ АС12 для электроснабжения ВРУ 0,4 кВ жилого дома Чемериченко К. В. в совх. Каменобродский Родионово-Несветайского района Ростовской области </t>
  </si>
  <si>
    <t xml:space="preserve">Строительство ТП 10/0,4 кВ, ВЛ 10 кВ, ВЛ 0,4 кВ от ВЛ 10 кВ №1005 ПС 110 кВ АС10 для электроснабжения складов ООО “Горизонт” на участках с КН 61:02:0600002:929, 61:02:0600002:2420 в ст-це Грушевская Аксайского района Ростовской области </t>
  </si>
  <si>
    <t xml:space="preserve">Строительство ТП 10/0,4 кВ, ВЛ 10 кВ, ВЛ 0,4 кВ от опоры №352  ВЛ 10 кВ №255 ПС 110 кВ БГ2 для электроснабжения складов сельскохозяйственной продукции ООО «Ритм»  по адресу: Ростовская обл., Аксайский район, АО «Заречное», поле 33 к.н.: 61:02:0600019:1255, к.н: 61:02:0600019:1261, к.н. 61:02:0600019:1213  </t>
  </si>
  <si>
    <t xml:space="preserve">Строительство КТП 10/0,4 кВ, ВЛ 0,4 кВ, ВЛ 10 кВ от ВЛ 10 кВ №1208 ПС 110 кВ АС12 для электроснабжения ВРУ 0,4 кВ жилых домов Полулях С. А. в п. Щепкин Аксайского района Ростовской области </t>
  </si>
  <si>
    <t xml:space="preserve">Строительство ТП 10/0,4 кВ, ВЛ 0,4 кВ, ВЛ 10 кВ от ВЛ 10 кВ №653 ПС 110 кВ АС6 для электроснабжения ВРУ 0,4 кВ жилых домов по ул. Ласточкина, 11, 13, 15 в х. Краснодворск Аксайского района Ростовской области </t>
  </si>
  <si>
    <t xml:space="preserve">Строительство ТП 6/0,4 кВ, ВЛ 0,4 кВ, ВЛ 6 кВ от ВЛ 6 кВ №807 ПС 35 кВ АС8 для электроснабжения ВРУ 0,4 кВ нежилой застройки Чевычалова А. И. на участке с КН 61:02:0600011:1281 в х. Большой Лог Аксайского района Ростовской области </t>
  </si>
  <si>
    <t xml:space="preserve">Строительство ЛЭП 10 кВ от КЛ 10 кВ №3Ф6 РП 10 кВ №3 КЛ 10 кВ №1532 и №1546 ПС 110 кВ АС15, установка ПКУ и прибора учета в РУ ТП 10/0,4 кВ Заявителя для электроснабжения производственного здания/помещения ИП Балаева Р. Г. и складского здания ООО «Вельтпласт-Дон» на участках с КН 61:02:0120101:19, 61:02:120101:0005  в г. Аксае </t>
  </si>
  <si>
    <t xml:space="preserve">Строительство ТП 10/0,4 кВ, ВЛ 0,4 кВ, ВЛ 10 кВ от ВЛ 10 кВ №125 ПС 110 кВ СМ1 для электроснабжения ВРУ-0,4 кВ жилого дома заявителя Худотеплова А.С. по адресу: Ростовская обл., р-н. Семикаракорский, г. Семикаракорск, ул. Серегина, д.64, а к.н.: 61:35:0110205:634., </t>
  </si>
  <si>
    <t>Строительство ВЛ-0,4 кВ от КТП-6/0,4 кВ  № 303 по КЛ-6 кВ № 927 ПС-110/6 кВ " Т-9 " до границы земельного участка Заявителя ( Скорикова В. В. )</t>
  </si>
  <si>
    <t>Строительство ВЛ 0,4 кВ от ВЛ 0,4 кВ №1 КТП 10/0,4 кВ №511А ВЛ 10 кВ №3 ПС 110/10 кВ «Лиманная» для технологического присоединения жилого дома Заявителя (Арустамян Н.А.) по адресу: Ростовская область, Неклиновский район, х. Лотошники, пер. Веселый, 1-а, к.н. 61:26:0600013:1076 (ориентировочная протяженность ЛЭП 0,28 км)</t>
  </si>
  <si>
    <t>Строительство ВЛ 0,4 кВ от ВЛ 0,4 кВ №1 КТП №357 ВЛ 10 кВ №7 ПС 110/10 кВ «Самбек» для технологического присоединения жилого дома Заявителя (Соловьев А.А.) по адресу: Ростовская область, Неклиновский район, ст. Морская, ул. Ленина, 1/2-а-г, к.н. 61:26:0120301:193 (ориентировочная протяженность ЛЭП 0,24 км)</t>
  </si>
  <si>
    <t>Строительство ВЛ 0,4 кВ от ВЛ 0,4 кВ №1 КТП 10/0,4 кВ №660 ВЛ 10 кВ №3 ПС 110/10 кВ «Самбек» для технологического присоединения энергопринимающих устройств Заявителей: Муртазин М.Р., Клычникова Е.В., Хачатрян Л.В., Недашковская Л.В., Рудаков В.А., Манджари А.Р., Викулина Е.В., Гаспарян В.Л., Ювакаева А.В., Шакер М., Хидешели М.В. в с. Самбек Неклиновского района Ростовской области (ориентировочная протяженность ЛЭП 0,45 км)</t>
  </si>
  <si>
    <t>Строительство ВЛ 0,4 кВ от ВЛ 0,4 кВ №2 ТП 10/0,4 кВ №413Ам по ВЛ 10 кВ №4 ПС 35/10 кВ «Русский Колодец» для технологического присоединения жилого дома Заявителя (Назарян М.Г.) по адресу: Ростовская область, Неклиновский район, с. Боцманово, проезд. Сквозной, 1, к.н. 61:26:0070801:1854 (ориентировочная протяженность ЛЭП 0,2 км)</t>
  </si>
  <si>
    <t>Строительство ВЛ 0,4 кВ от ЗТП 10/0,4 кВ №198 ВЛ 10 кВ №5/3 ПС 110/35/10 кВ «Троицкая-1» для технологического присоединения участка сельхозпереработки Заявителя (ИП Аракелян К.К.) по адресу: Ростовская область, Неклиновский р-н, с. Троицкое, ул. Ленина, 198, к.н. 61:26:0600014:1979 (ориентировочная протяженность ЛЭП 0,24 км)</t>
  </si>
  <si>
    <t>Строительство двух ВЛ 0,4 кВ от РУ 0,4 кВ ТП 10/0,4 кВ, строительство ТП 10/0,4 кВ, строительство ВЛ 10 кВ от ВЛ 10 кВ №5/3 ПС 110/35/10 кВ «Троицкая-1» для технологического присоединения производственных объектов Заявителей: (ИП Бадаков А.С., ИП Гребенников А.Н.), по адресу: Ростовская область, Неклиновский район, с. Николаевка, ул. Пушкина, 132, к.н. 61:58:0600014:1309, к.н. 61:58:0600014:1308 (ориентировочная протяженность ЛЭП 0,52 км; мощность силового трансформатора – 400 кВА)</t>
  </si>
  <si>
    <t>Строительство ВЛ 0,4 кВ от новой ТП 10/0,4 кВ, строительство ТП 10/0,4 кВ, строительство ВЛ 10 кВ от ВЛ 10 кВ №8 ПС 35/10 кВ «Русский Колодец», для технологического присоединения объектов Заявителей в х. Русская Слободка, ул. Маршала СССР А.И. Покрышкина (ориентировочная протяженность ЛЭП 0,5 км; мощность силового трансформатора 0,16 МВА)</t>
  </si>
  <si>
    <t>Строительство ВЛ 0,4 кВ от РУ 0,4 кВ ТП 10/0,4 кВ №6-10 по ВЛ 10 кВ №6 ПС 35/10 кВ Б. Салы, для технологического присоединения жилого дома Заявителя (Мирзоян П.Г.) по адресу: Ростовская область, Мясниковский район, с. Большие Салы, ул. Центральная, д. 23, к.н. №61:25:0600501:1726 (ориентировочная протяженность ЛЭП 0,21 км)</t>
  </si>
  <si>
    <t>Строительство ВЛИ 0,4 кВ от опоры по ВЛИ 0,4 кВ №1 ТП 10/0,4 кВ №7-21 по ВЛ 10 кВ №7 ПС 35/10 кВ Б. Салы, для технологического присоединения жилых домов Заявителей (Папян С.К., Цветков И.М.) по адресу: Ростовская область, Мясниковский район, с. Большие Салы, ул. Центральная, д. 27, к.н. №61:25:0600501:1657, ул. Мира, 31, к.н. 61:25:0600501:1599 (ориентировочная протяженность ЛЭП 0,43 км)</t>
  </si>
  <si>
    <t>Строительство ВЛ 0,4 кВ от РУ 0,4 кВ ТП 10/0,4 кВ №7-7 по ВЛ 10 кВ №7 ПС 110/35/10 кВ Синявская, для технологического присоединения жилого дома Заявителя (Гужавина С.В, Хохлова Л.М, Вылупко Т.Н, Мельников В.А, Кабарухина Т.И, Сонин А.В.) по адресу: Ростовская область, Мясниковский район, х. Недвиговка, ул. Железнодорожная, ул. 2-я Линия (ориентировочная протяженность ЛЭП 0,75 км)</t>
  </si>
  <si>
    <t>Строительство ВЛ 0,4 кВ от опоры ВЛ 0,4 кВ №1 ТП 10/0,4 кВ №6-10 по ВЛ 10 кВ №6 ПС 35/10 кВ Б.Салы для технологического присоединения жилого дома Заявителя (Саркисов В.А, Шеховцов А.Д, Егиазарян К.И, Бабаян А.В.) по адресу: Мясниковский район, с. Большие Салы, ул. Согласия, ул. Мира (ориентировочная протяженность ЛЭП 0,47 км)</t>
  </si>
  <si>
    <t>Строительство ВЛ 0,4 кВ от ТП 10/0,4 кВ №3-101 по ВЛ 10 кВ №3 ПС 110/35/10 кВ Чалтырь для технологического присоединения Заявителей (Хартавакян А.А., Хошафян А.М., Лимарев А.И.) по адресу: Ростовская область, Мясниковский район, с. Чалтырь, линия 16-я, д.24, д.26, ул. Олимпийская, д №28-а (ориентировочная протяженность ЛЭП 0,26 км)</t>
  </si>
  <si>
    <t>Строительство ВЛ 0,4 кВ от новой ТП 10/0,4 кВ, строительство ТП 10/0,4 кВ, строительство ВЛ 10 кВ от ВЛ 10 кВ №5 ПС 110/10 кВ «Самбек», для технологического присоединения объектов Заявителей в с. Бессергеновка (ориентировочная протяженность ЛЭП 1,4 км; мощность силового трансформатора 400 кВА)</t>
  </si>
  <si>
    <t>Строительство ВЛ 10 кВ от ВЛ 10 кВ №12 ПС110/35/10 кВ Чалтырь, до границы земельного участка заявителя (Даглдиян С.С.), строительство ТП10/0,4 кВ» (ориентировочная протяженность ЛЭП - 0,005 км., ориентировочная мощность ТП-100 кВА</t>
  </si>
  <si>
    <t>Строительство ВЛ 0,4 кВ от РУ 0,4 кВ ТП 6/0,4 кВ №155 (на балансе ООО «Югстроймонтаж») по КЛ 6 кВ №8 ПС 110/6 кВ Т-5 для технологического присоединения нежилого здания Заявителя (Арутюнов Ю.Б.) по адресу: Ростовская область, г. Таганрог, ул. Фрунзе, 92 б, к.н. 61:58:0003007:8 (ориентировочная протяженность ЛЭП 0,25 км)</t>
  </si>
  <si>
    <t>Строительство ВЛ 0,4 кВ от ВЛ 0,4 кВ №1 КТП 10/0,4 кВ №473 ВЛ 10 кВ №6 ПС 110/10 кВ «Самбек», для технологического присоединения производственного цеха заявителя Войнова В.С. по адресу: Ростовская область, Неклиновский р-н, с. Самбек, х-во СПК к-з «Колос», поле №63, к.н. № 61:26:060015:1088 (ориентировочная протяженность ЛЭП - 0,15 км)</t>
  </si>
  <si>
    <t>Строительство ВЛ 0,4 кВ от КТП 10/0,4 кВ №248м ВЛ 10 кВ №3 ПС 110/10 кВ «Ефремовская» для технологического присоединения здания детского сада заявителя (МБДОУ Детский сад «Теремок» с. Ефремовка) по адресу: Ростовская область, Неклиновский район, с. Ефремовка, ул. Советская, 10, к.н. 61:26:0170101:54 (ориентировочная протяженность ЛЭП 0,1 км)</t>
  </si>
  <si>
    <t>Строительство ВЛ 0,4 кВ от опоры по ВЛ 0,4 кВ проектируемой по договору №61-1-20-00523063 ТП 10/0,4 кВ №3-101 по ВЛ 10 кВ №3 ПС 110/35/10 кВ Чалтырь, для технологического присоединения жилого дома Заявителя (Караханян В.Т.) по адресу: Ростовская область, Мясниковский район, с. Чалтырь, ул. 16-я линия, д. 30, к.н. №61:25:0101243:166 (ориентировочная протяженность ЛЭП 0,04 км)</t>
  </si>
  <si>
    <t xml:space="preserve"> «Строительство ВЛ 0,4 кВ от РУ 0,4 кВ новой ТП 10/0,4 кВ, строительство ТП 10/0,4 кВ, строительство ВЛ 10 кВ от ВЛ 10 кВ №2 ПС 35/10 кВ  Колесниковская, для технологического присоединения жилых домов, нежилого помещения (магазина) заявителей (Фильшин В.Н., Розинская М.П., Азаров А.В., Толстиков С.В., Шитова Л.Н., ИП Решетка В.Н., Терчиев Д.Х., Ким А.М., Луговой Г.А. Новикова А.А., Кравченко Г.М.) по адресу: Ростовская область, М-Курганский р-н, п. М-Курган, ул. Сосновая 1, 3, 8, 10, 12, 14, 14а, 15, 20, ул. Московская 136, ул. Придорожная 33 (ориентировочная протяженность ЛЭП - 0,870 км, ориентировочная мощность ТП – 160 кВА)»</t>
  </si>
  <si>
    <t>Строительство ВЛ 0,4 кВ от ВЛ 0,4 кВ № 3 ТП 6/0,4 кВ № 85 для технологического присоединения жилого дома Заявителя (ООО "Голден Бэй") по адресу: Ростовская область, г. Таганрог, пер. Дуровский спуск, 1, к.н. 61:58:0001087:28   (ориентировочная протяжённость: 0,35 км)</t>
  </si>
  <si>
    <t xml:space="preserve">Строительство ВЛ 0,4 кВ от новой ТП 6/0,4 кВ, строительство ТП 6/0,4 кВ, строительство КЛ 6 кВ от места врезки в КЛ 6 кВ №79 до новой ТП 6/0,4 кВ для технологического присоединения нежилого помещения Заявителя (Чегодарь С.И.) по адресу: Ростовская область, Таганрог, пер. 7-й Новый, к.н. 61:58:0004482:355. (ориентировочная протяженность ЛЭП 0,14 км; мощность силового трансформатора 160 кВА)
</t>
  </si>
  <si>
    <t>Строительство ВЛ 0,4 кВ от новой ТП 10/0,4 кВ, строительство ТП 10/0,4 кВ, строительство ВЛ 10 кВ от опоры по ВЛ 10 кВ №7 ПС 35/10 кВ М-Курганская, для технологического присоединения ЛЭП 0,4 кВ Заявителя (ООО «Крынка») по адресу: Ростовская область, Матвеево-Курганский район, 250 м на север от п. Крынка, ул. Гагарина, д. 15, к.н. 61:21:0600021:709 (ориентировочная протяженность ЛЭП 0,04 км; мощность силового трансформатора 160 кВА)</t>
  </si>
  <si>
    <t xml:space="preserve">Строительство участка ВЛ-10 кВ от опоры №58 ВЛ-10 кВ №3 ПС 110/35/10 кВ Дубенцовская, с установкой ТП-10/0,4 кВ и строительство ВЛИ-0,4 кВ от РУ-0,4 кВ вновь установленной ТП-10/0,4 кВ  для присоединения производственного помещения ИП Никулова А.В., расположенного по адресу: Ростовская обл., Волгодонской район, станица Дубенцовская, 2350 м юго-западнее дома №2 ул. Пролетарская ст. Дубенцовская, кадастровый номер земельного участка: 61:08:0600201;1393 (ориентировочная протяженность ЛЭП 2,83 км, ориентировочная мощность трансформатора 63 кВА) </t>
  </si>
  <si>
    <t xml:space="preserve">Строительство участка ВЛ-10 кВ от опоры №29 ВЛ-10 кВ №13 ПС 35/10 кВ Андреевская, с установкой ТП-10/0,4 кВ и строительство ВЛИ-0,4 кВ от РУ-0,4 кВ вновь установленной ТП-10/0,4 кВ  для присоединения жилого помещения Отроды Т.П., квартиры Кравченко Л.В. и квартиры в жилом доме Яценко В.Р., расположенных по адресам: Ростовская область, Дубовский район, станица Андреевская, ул. Восточная, д.34, кв.2, к.н. 61:09:0600011:500;  ул. Кольцевая, д.1, кв.1, к.н. 61:09:0080101:1918 и кв.2, к.н. 61:09:0080101:0:724 (ориентировочная протяженность ЛЭП 0,49 км, ориентировочная мощность трансформатора 40 кВА)
</t>
  </si>
  <si>
    <t>Строительство ВЛИ-0,4 кВ от РУ-0,4 кВ КТП-7054/40 кВА ВЛ-10 кВ №1 ПС 35/10 кВ Почтовская для присоединения жилого дома Лосева А.Е., расположенного по адресу: Ростовская область, Константиновский район, северо-восточнее х. Кременской, к.н.61:17:0600002:1966 (ориентировочная протяженность ЛЭП 1,31 км)</t>
  </si>
  <si>
    <t>Строительство участка ВЛИ-0,4 кВ от вновь установленной опоры вновь построенной ВЛИ-0,4кВ от вновь установленной ТП-10/0,4кВ по ВЛ-10кВ №2 ПС 35/10кВ Нижне-Журавская (по договору №61-1-19-00490149 от 19.12.2019г) для присоединения жилого дома Жилина А.В., расположенного по адресу: Ростовская область, Константиновский район, х. Хрящевский, пер. Дальний, д.10, к.н. 61:17:0600010:3487 (ориентировочная протяженность ЛЭП 0,022 км)</t>
  </si>
  <si>
    <t>Строительство ВЛИ-0,4 кВ от РУ-0,4 кВ КТП-1468 ВЛ 10 кВ №11 ПС 35 кВ Камышевская и установка прибора коммерческого учета электрической энергии (мощности) в точке поставки для присоединения жилого дома Кольцова А.А., расположенного по адресу: Ростовская область, Цимлянский район, х. Рынок-Каргальский, ул. Полевая, д. 4, к.н.з.у. 61:41:0040401:5 (ориентировочная протяженность ЛЭП 1,1 км)</t>
  </si>
  <si>
    <t>Строительство участка ВЛ-6 кВ от опоры №281 ВЛ-6 кВ №6 ПС 110/6 кВ НС-1, с установкой ТП-6/0,4 кВ, и строительство ВЛИ-0,4 кВ от вновь установленной ТП-6/0,4 кВ  для присоединения коровника ИП главы К(Ф)Х Магомедовой З.А., расположенного по адресу: Ростовская область, Мартыновский район, х. Садовый, Ильиновское сельское поселение, к.н. 61:20:0600022:2326 (ориентировочная протяженность ЛЭП 0,675 км, ориентировочная мощность трансформатора 25 кВА)</t>
  </si>
  <si>
    <t>Строительство ВЛ 0,4 кВ подключить от ТП-6/0,4 от ЛЭП-6 кВ от оп №25 отпайки на КТП №110 по ВЛ 6 кВ Орошение ПС 110/35/6 кВ Н-8 строящейся по договору №61-1-20-00511053 заключенному с Мелиховым А.В, для присоединения ВРУ-0,4 кВ приюта для собак. Ростовская область, г. Красный Сулин, ул. Тельмана, в 1,1 км на юго-запад от дома № 104 (ИП Сычева И.Ю) (ориентировочная протяженность ЛЭП-0,63 км)</t>
  </si>
  <si>
    <t>Строительство участка ВЛ-10 кВ от существующей оп. №243 по ВЛ-10 кВ «Федоровка» от ПС С-5, с установкой ТП-10/0,4 кВ, и строительство ВЛИ-0,4 кВ от вновь установленной ТП-10/0,4 кВ для присоединения ВРУ-0,4 кВ уличное освещение периметра, бытовые вагончики, Ростовская обл, Красносулинский район, х. Малая Федоровка, Владимировское сельское поселение, 2,8 км на северо-восток от х. Малая Федоровка (ООО Дельта) (ориентировочная протяженность ЛЭП 3,415 км, ориентировочная мощность трансформатора 160 кВА)</t>
  </si>
  <si>
    <t xml:space="preserve"> Строительство участка ВЛ-6 кВ от существующей оп. №127 ВЛ-6 кВ «Россия» от ПС Ш-12, с установкой ТП-6/0,4 кВ, и строительство ВЛИ-0,4 кВ от вновь установленной ТП-6/0,4 кВ для присоединения кондитерского цеха ИП Сенаторова Н.А. (ориентировочная протяженность ЛЭП 0,015 км, ориентировочная мощность трансформатора 160 кВА)</t>
  </si>
  <si>
    <t>Строительство участка ВЛ-10 кВ от существующей оп. №243 по ВЛ-10 кВ «Федоровка» от ПС С-5, с установкой ТП-10/0,4 кВ, и строительство ВЛИ-0,4 кВ от вновь установленной ТП-10/0,4 кВ для присоединения ВРУ-0,4 кВ уличное освещение периметра, бытовые вагончики, Ростовская обл, Красносулинский район, СПК «Федоровский», р.у. №96 (ООО Дельта) (ориентировочная протяженность ЛЭП 1,285 км, ориентировочная мощность трансформатора 250 кВА)</t>
  </si>
  <si>
    <t>Строительство ТП-10/0,4, ЛЭП-10 кВ от оп. № 70 ВЛ 10 кВ Каменный Брод от ПС АС-12, и ВЛИ-0,4 кВ от вновь установленной ТП-10/0,4 кВ для присоединения складского здания ИП Алоян Н.А.: Родионово-Несветайский район, в 470 м от ориентира от х. Каменный Брод по направлению на запад. КН 61:33:0600015:46 (ориентировочная протяженность ЛЭП 1,365 км, ориентировочная мощность трансформатора 160 кВА)</t>
  </si>
  <si>
    <t>Строительство ТП-10/0,4 кВ от существующей оп.№59 ВЛ 10 кВ «Кутейниково» ПС 110/35/10 кВ Н-9 и ВЛИ-0,4 кВ от вновь установленной ТП-10/0,4 кВ для присоединения стоянки для с/х техники ИП Раздорского А.В. (ориентировочная протяженность ЛЭП 0,020 км, ориентировочная мощность трансформатора 25 кВА)</t>
  </si>
  <si>
    <t>Строительство ВЛИ-0,4 кВ от оп.34 по ВЛ-0,4кВ №3 от КТП 6/0,4 кВ №45 по ВЛ-6кВ Совхоз-10 ПС Ш-12 для электроснабжения жилого дома Мгоева А.Ю. Ростовская обл., Октябрьский р-н, х. Марьевка, ул. Парковая, д. 6 (ориентировочная протяженность ЛЭП – 0,07 км)</t>
  </si>
  <si>
    <t>Строительство ВЛИ-0,4 кВ от оп. №19 ВЛ-0,4 кВ №1 КТП №363 по ВЛ-10 кВ Зерновой ПС 110 кВ Ш-36 для присоединения полевого стана ИП Минина В.В. по адресу: Ростовская область, Октябрьский район, Керчикское сельское поселение, вблизи п. Атлантово (ориентировочная протяженность ЛЭП-0,3 км)</t>
  </si>
  <si>
    <t>Строительство ВЛИ 0,4 кВ от ВЛ 0,4 кВ №1 КТП 87 ВЛ 10 кВ Крымский ПС Ш14 для электроснабжения ВРУ-0.4кВ малоэтажной жилой застройки Колоскова В.В. по адресу: Усть-Донецкий район, х. Ещеулов, ул. Комарова, д. 11, КН ЗУ:61:39:0050301:649 (ориентировочная протяженность ЛЭП – 0,780 км</t>
  </si>
  <si>
    <t>Строительство ВЛИ-0,4 кВ от оп. №14 ВЛИ-0,4 кВ №1 КТП №412 по ВЛ-6 кВ ПТФ ПС 35 кВ Ш-20 для присоединения склада ИП Штогрина С.В. по адресу: Ростовская область, Красносулинский район, с/п Табунщиковское, в 150 м на запад от с. Табунщиково (ориентировочная протяженность ЛЭП 0,37 км)</t>
  </si>
  <si>
    <t>Строительство ТП-10/0,4, ЛЭП-10 кВ от №163 по ВЛ-10кВ «Новоегорьевка» ПС 110кВ Н-9, и ВЛИ-0,4 кВ от вновь установленной ТП-10/0,4 кВ для присоединения объекта с-х производства ИП Лигус В.Н. по адресу: Родионово-Несветайский район, относительно ориентира 470м по направлению на юг от х. Грекова-Балка. КН 61:33:0600001:639 (ориентировочная протяженность ЛЭП 0,085 км, ориентировочная мощность трансформатора 160 кВА)</t>
  </si>
  <si>
    <t>Строительство участка ВЛ-10 кВ от существующей оп. №243 по ВЛ-10 кВ «Федоровка» от ПС С-5, с установкой ТП-10/0,4 кВ, и строительство ВЛИ-0,4 кВ от вновь установленной ТП-10/0,4 кВ для присоединения ВРУ-0,4 кВ освещения, насосов, Ростовская обл., Красносулинский район, СПК «Федоровский», примерно 5,8 км от х. Обухов №4 (ООО Щебторг) (ориентировочная протяженность ЛЭП 0,56 км, ориентировочная мощность трансформатора 250 кВА)</t>
  </si>
  <si>
    <t>Строительство ТП-6/0,4, ЛЭП-6 кВ от оп. №10 отпайки к КТП №228 по ВЛ 6 кВ Кривянка ПС Ш-43, и ВЛИ-0,4 кВ от вновь установленной ТП-6/0,4 кВ для присоединения восьми жилых домов (Сидоренко Е.Н., Гречишкин А.Н., Ягодкин А.В., Величко Л.А., Юрасов С.В., Морщагин Н.С., Череповская В.П., Куреннов А.Г.) по адресу:Октябрьский район, ст. Кривянская, ул. Жданова, ул. Чехова (ориентировочная протяженность ЛЭП 1,070 км, ориентировочная мощность трансформатора 160 кВА)</t>
  </si>
  <si>
    <t>Строительство ВЛИ 0,4 кВ от РУ 0,4кВ КТП 29 ВЛ 10кВ Мостовой ПС 35/10 Ш18 для электроснабжения ВРУ 0,4кВ малоэтажной жилой застройки Винниковой Ю.В. по адресу: Ростовская обл., Усть-Донецкий район, ст. Верхнекундрюченская, ул. Пушкина, д. 13, КН ЗУ:61:39:0070101:643 (ориентировочная протяженность ЛЭП – 0,470 км)</t>
  </si>
  <si>
    <t>«Строительство ВЛ-10 кВ от опоры №10/129 по ВЛ-10 кВ №4 ПС 110/35/10 кВ "ГОК" с установкой КТП и строительством ВЛ- 0,4 кВ,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ангара заявителя, ООО ИП Бачевский А.С., расположенного в Ростовской области, Миллеровский р-н, с юго- западной стороны от х. Малотокмацкий, бригада 1, гуртовой участок 2, (61:22:0600027:712) (ориентировочная протяженность ЛЭП-0,01 км, ориентировочная мощность ТП- 0,16 МВА)»</t>
  </si>
  <si>
    <t xml:space="preserve">Строительство ВЛ 0,4 кВ от РУ 0,4 кВ техперевооружаемой КТП №605 (по договору №61-1-19-00480303 от 31.10.2019 г.) ВЛ 10 кВ №101 ПС 110 кВ АС1 для электроснабжения ВРУ 0,4 кВ жилого дома Румянниковой А. Ю. по ул. Ленина, 10 в ст-це Ольгинская Аксайского района Ростовской области </t>
  </si>
  <si>
    <t xml:space="preserve">Строительство ТП 10/0,4 кВ, ВЛ 10 кВ, ВЛ 0,4 кВ от ВЛ 10 кВ №3 ПС 35 кВ Б. Салы для электроснабжения жилого дома Мунтян В. Ю. по ул. Сосновая, 42 в пос. Темерницкий Аксайского района Ростовской области </t>
  </si>
  <si>
    <t xml:space="preserve">Строительство ВЛ 0,4 кВ, ТП 10/0,4 кВ, КЛ 10 кВ от ВЛ 10 кВ №26-66 ПС 110 кВ Р26 для электроснабжения заявителя Абдулкадировой П.А., расположенной по адресу: Ростовская область, Мясниковский район, тер. Юго-Восточная промзона, КН 61:25:601001:0313 </t>
  </si>
  <si>
    <t>Строительство ТП 10/0,4 кВ, ВЛ 0,4 кВ, ВЛ 10 кВ от ВЛ 10 кВ №111 ПС 110 кВ АС1 для электроснабжения нежилого здания ИП Кравцова А. В. и складов Рогальского А. В. в п. Дорожный Аксайского района Ростовской области</t>
  </si>
  <si>
    <t xml:space="preserve">Строительство ТП 10/0,4 кВ, ВЛ 10 кВ, ВЛ 0,4 кВ от ВЛ 10 кВ №111 ПС 110 кВ АС1 для электроснабжения складов ООО “Молот” на участке с КН 61:02:0600016:3581 в х. Ленина Аксайского района Ростовской области </t>
  </si>
  <si>
    <t>Строительство ВЛ 10 кВ от ВЛ 10 кВ №407 ПС 110 кВ СМ4 до проектируемой  ВЛ 10 кВ по договору №61-1-19-00486467 (ООО Стройснаб), строительство ТП 10/0,4 кВ, ВЛ 0,4 кВ, ВЛ10 кВ от ВЛ10 кВ КРС №407 ПС110 Ш34 для электроснабжения ВРУ-0,4 кВ нежилого здания заявителя Синцова В.В. по адресу: Р.О., Усть-Донецкий р-н, ст-ца Раздорская, левый берег р. Дон, к.н.: 61:39:0000000:6684</t>
  </si>
  <si>
    <t xml:space="preserve">Строительство ТП 10/0,4 кВ, ВЛ 0,4 кВ, ВЛ 10 кВ от опоры №2/18 ВЛ 10 кВ №610 ПС 35 кВ СМ6,  с установкой прибора учета электрической энергии на границе балансовой принадлежности для электроснабжения объекта сельхоз. производства заявителя ИП Анастасиадис Д.Я. адресу: РО, Семикаракорский район, п. Крымский, поле № 4,5 массива земель реорганизованного сельскохозяйственного предприятия ОАО «Крымское» к.н.:61:35:060009:482 </t>
  </si>
  <si>
    <t xml:space="preserve">Строительство ВЛ 0,4 кВ от РУ 0,4 кВ проектируемой ТП 10/0,4 кВ (по договору №61-1-20-00505085 от 16.04.2020 г.) ВЛ 10 кВ №403 ПС 110 кВ АС4 для электроснабжения ВРУ 0,4 кВ жилого дома Бондаревой Е. Ю. в х. Ленина Аксайского района Р.О. </t>
  </si>
  <si>
    <t>Строительство ВЛ 0,4 кВ от кольцевой проектируемой опоры по договору № 61-1-21-00584993 от 29.06.2021г. проектируемого ТП 10/0,4 кВ ВЛ 10 кВ № 403 ПС 110 АС-4 для электроснабжения жилого дома Кипко М.В. по адресу РО, Аксайский р-н, х. Ленина, ул. Севастопольская, 13 К.Н. 61:02:0600016:4496.</t>
  </si>
  <si>
    <t xml:space="preserve">Строительство ВЛ 0,4 кВ от проектируемой ВЛ 0,4 кВ (по договору №61-1-20-00524953 от 18.09.2020 г.) ТП 10/0,4 кВ №39 ВЛ 10 кВ №1213 ПС 110 кВ АС-12 для электроснабжения ВРУ 0,4 кВ жилого дома Кусакиной Я.Ю. на участке с КН 61:33:0600015:1126 в совх. Каменобродский, Родионово-Несветайский р-н, юго-западнее х. Каменный Брод, участок 107 Аксайского района Ростовской области </t>
  </si>
  <si>
    <t xml:space="preserve">Строительство ВЛ 0,4 кВ от проектируемой ВЛ 0,4 кВ (по договору №61-1-21-00602853 от 21.09.2021 г.) проектируемой КТПН 10/0,4 кВ ВЛ 10 кВ №403 ПС 110 кВ АС4 для электроснабжения ВРУ 0,4 кВ жилого дома Баранцевой Е. О. на участке с КН 61:02:0600016:4452 в х. Ленина Аксайского района Ростовской области </t>
  </si>
  <si>
    <t xml:space="preserve">Строительство ВЛ 0,4 кВ по ВЛ 0,4 кВ №3 от КТП 10 кВ №91, ВЛ 10 кВ №160 ПС 110 кВ В1 для электроснабжения жилого дома Ахметова Р. У.  на участке с КН 61:06:0010141:354 в Веселовском районе Ростовской области, п. Веселый, ул. Береговая, 40 </t>
  </si>
  <si>
    <t>Строительство ВЛ 10кВ от отпайки на ТП 10/0,4кВ №1-54 по ВЛ 10кВ №1 ПС 110/35/10кВ Чалтырь, запитанной от ВЛ 10кВ №29-35 ПС Р-29, до границы земельного участка заявителя (ИП Шапошников А.В.)» (ориентировочная протяженность ЛЭП-0,12км)</t>
  </si>
  <si>
    <t>Строительство ЛЭП-6 кВ от опоры № 44 отпайки к КТП 6/0,4 кВ № 38 по ВЛ 6 кВ Пушкино ПС 110/6 кВ С2, с установкой на конечной опоре ПКУ-6 кВ, для объекта торговли ООО «МАК-Лоджистик», по адресу: Российская Федерация, Ростовская обл., Красносулинский район, в 1 км по направлению на запад от х. Пушкино, К.Н З.М: 61:18:0600022:1120. (ориентировочная протяженность ЛЭП – 0,500 км.)</t>
  </si>
  <si>
    <t>Строительство ВЛ 0,4 кВ от РУ 0,4 кВ ТП 6/0,4 кВ №84 по КВЛ 6 кВ №6 ПС 110/6 кВ Т-5, строительство ВЛ 0,4 кВ от РУ 0,4 кВ проектируемой ТП 6/0,4 кВ, строительство ТП 6/0,4 кВ, строительство КЛ 6 кВ от новой ТП 6/0,4 кВ до места врезки в КЛ 6 кВ №4 ПС 110/6 кВ Т-5, для электроснабжения здания ГДК Заявителя МАУ «Городской дом культуры» по адресу РО г. Таганрог ул. Петровская, д. 104, корп. 1 к.н..61:58:0003014:57. (протяженность ЛЭП – 0,510 км. ориентировочная мощность силового трансформатора – 160 кВА)</t>
  </si>
  <si>
    <t>Строительство ВЛИ-0,4 кВ от РУ-0,4 кВ МТП №803 ВЛ-10 кВ Красюковка ПС Ш-39 для электроснабжения одиннадцати садовых домов с/т «Электровозостроитель» (ориентировочная протяженность ЛЭП – 1,15 км)</t>
  </si>
  <si>
    <t>Строительство ВЛ-0,4 кВ от опоры №10/6, ВЛ 0,4 кВ №1, КТП-10/0,4 кВ №630 по ВЛ-10 кВ №2 ПС  110/27,5/10 кВ «Ст. Станица»,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дробильно-сортировочного комплекса Заявителя, ООО «АГРОДОН», расположенного по адресу: Ростовская область, Миллеровский р-н, х. Верхнеталовка, Верхнеталовское сельское поселение (к.н.з.у. 61:22:0600026:757) (ориентировочная протяженность ЛЭП – 0,22 км)</t>
  </si>
  <si>
    <t>Строительство участка ВЛИ-0,4 кВ от РУ-0,4 кВ, КТП № 24, ВЛ-10 кВ № 6, ПС 35/10 кВ «Вишневецкая» для подключения жилого дома Головкова Н.А.. расположенного по адресу: Ростовская обл., Каменский р-н, х. Филиппенков, ул. Некрасова, д. № 56, корп. Б, к.н.з.у. 61:15:0080501:1924 (ориентировочная протяженность ЛЭП – 0,321км, прибор учёта электроэнергии - 1шт)</t>
  </si>
  <si>
    <t>Строительство участка ВЛ-0,4 кВ от опоры № 12, ВЛ-0,4 кВ № 1, КТП№ 243, ВЛ-10 кВ № 9, ПС 35/10 кВ «Селивановская», для подключения строящегося жилого дома Кривошлыкова А.А., расположенного по адресу: Ростовская обл., Милютинский р-н, х. Вячеслав, ул. Горелова. д. 1, КН ЗУ 61:23:050601:39 (ориентировочная протяженность ЛЭП – 0,070 км(прибор учета электроэнергии – 1шт).</t>
  </si>
  <si>
    <t>Строительство участка ВЛ-0,4 кВ от опоры № 7, ВЛ-0,4 кВ № 1, КТП 224, ВЛ 10 кВ № 3, ПС 35/10 кВ «Селивановская», для подключения жилого дома Осадченко Н.А., расположенного по адресу: Ростовская обл., Милютинский р-н, ст. Селивановская, пер. Вишнёвый, д.8, к.н. 61:21:080101:0289 (ориентировочная протяженность ЛЭП – 0,130 км).</t>
  </si>
  <si>
    <t>Строительство участка ВЛ-0,4 кВ от опоры №7, ВЛ-0,4 кВ №2 , КТП №851, ВЛ-10 кВ №1, ПС 35/10 кВ "Грушевская", для подключения строящегося жилого дома Денисенко Е.П., расположенного по адресу: Ростовская обл., Белокалитвенский р-н, х. Грушевка, ул. Солнечная д.35. (ориентировочная протяженность ЛЭП - 0,360 км)</t>
  </si>
  <si>
    <t>Строительство участка ВЛ-0,4 кВ от опоры № 1, ВЛ-0,4 кВ №2, КТП №82, ВЛ-10 кВ №6, ПС 35/10 кВ «Вишневецкая», для подключения строящегося жилого дома Анучкина С.И. расположенного по адресу: Ростовская обл., Каменский р-н, х. Верхнекрасный.  расположен с северо-западной стороны от земельного участка с к.н 61:15:0100201:8, к.н. 61:15:0100201:781 (ориентировочная протяженность ЛЭП – 0,171км)</t>
  </si>
  <si>
    <t>Строительство участка ВЛ-0,4 кВ от опоры №8, ВЛ-0,4кВ №1, КТП №251, ВЛ-10 кВ №5, ПС 110/10 кВ «Обливская ПТФ», для подключения «здания конюшни» Обжерина С.Ю., расположенного по адресу: Ростовская область, Обливский район, х. Солонецкий, пер.Луговой, 4б, к.н. № 61:27:0600016:69 (ориентировочная протяженность ЛЭП – 0,390 км)</t>
  </si>
  <si>
    <t>'Строительство участка ВЛИ-0,4 кВ от опоры № 6 ВЛ-0,4 кВ №2, КТП № 146, ВЛ-10 кВ № 3, ПС 35/10 кВ «Каменская СХТ», для подключения строящегося дома Шепелева В.М. расположенного по адресу: Ростовская обл., Каменский р-н, х. Старая Станица, пер. Транспортный, д. 41, КН 61:15:0130105:593 (ориентировочная   протяженность ЛЭП – 0, 225 км, прибор учёта электроэнергии - 1шт)</t>
  </si>
  <si>
    <t>Строительство участка ВЛ-0,4 кВ от РУ-0,4 кВ КТП № 556, ВЛ-10 кВ № 5, ПС 35/10 кВ «Колушкинская» для подключения коровника Серякова В.В. расположеного по адресу: местоположение установлено относительно ориентира, расположенного в границах участка. Почтовый адрес ориентира: Ростовская область, Тарасовский район, 530 м на север от х.Рыновка, КН 61:37:0600023:128 (ориентировочная протяженность ЛЭП – 0,65 км, прибор учёта электроэнергии - 1шт)</t>
  </si>
  <si>
    <t>'Строительство участка ВЛ-0,4 кВ от опоры № 6, ВЛ-0,4 кВ № 2, КТП № 80, ВЛ-10 кВ № 4, ПС 35/10 кВ «Скосырская», для подключения ВРУ-0,4 кВ жилого дома Карпенко Г.А., расположенного по адресу: Ростовская область, Тацинский район, х. Пролетарский, ул. Набережная, д. 14, к.н. 61:38:0061001:71 (ориентировочная протяженность ЛЭП – 0,25 км, прибор учёта электроэнергии - 1шт)</t>
  </si>
  <si>
    <t>Строительство участка ВЛ-0,4 кВ от РУ-0,4 кВ КТП № 255, ВЛ-10 кВ № 2, ПС 110/35/10/6 кВ «К - 4» для подключения рыбной фермы ИП Хабарова О.Н. расположенной по адресу: Ростовская обл., Каменский р-н, х. Филиппенков, АКХ «Колос», участок № 48, КН 61:15:0602101:2668 (ориентировочная протяженность ЛЭП – 0,394 км, прибор учёта электроэнергии - 1шт)</t>
  </si>
  <si>
    <t>Строительство участка ВЛ-0,4 кВ от КТП № 88, ВЛ-10 кВ № 3, ПС 35/10 кВ «Владимировская», для подключения здания фермы ООО «Ермак», расположенного по адресу: Ростовская обл., Морозовский р-н, совхоз Россия 1,5 км на юго-запад от ул. Безменова, п. Знаменка, к.н. 61:24:0090103:239 (ориентировочная   протяженность ЛЭП – 0,14 км, прибор учёта электроэнергии - 1шт)</t>
  </si>
  <si>
    <t>Строительство участка ВЛ-0,4 кВ от опоры № 3/6, ВЛ-0,4 кВ №1, КТП № 62, ВЛ-10 кВ № 1, ПС 35/10 кВ «Советская-1», для подключения строящегося нежилого здания Артюковской О.Н, расположенного по адресу: Ростовская обл., Советский р-н, примерно в 0,05 км на север от ориентира х. Русаков, КНЗУ 61:36:0600002:454 (ориентировочная протяженность ЛЭП – 0,095 км, прибор учёта электроэнергии - 1шт)</t>
  </si>
  <si>
    <t>Строительство участка ВЛ 0,4 кВ от опоры №11 ВЛ-0,4 кВ №2, КТП №2,7 ВЛ-10 кВ №4, ПС 110/35/10 кВ «Милютинская» для присоединения жилого дома Коноваловой А.А., расположенного по адресу: Ростовская область, Милютинский район, х. Терновой, пер. Тенистый, д. № 6, к.н. 61:23:0030601:18 (ориентировочная протяженность ЛЭП - 0,295 км)</t>
  </si>
  <si>
    <t>'Строительство участка ВЛ-0,4 кВ от опоры № 8, ВЛ-0,4 кВ № 1, КТП 399, ВЛ 10 кВ № 2, ПС 35/10 кВ «Нижнепоповская», для подключения сада Сандулян Н.И., расположеннго по адресу: Ростовская обл., Белокалитвинский р-н, х. Верхнепопов., КН № 61:04:0600013:1004 (ориентировочная протяженность ЛЭП – 0,278 км)</t>
  </si>
  <si>
    <t>Строительство участка ВЛ-0,4 кВ от опоры № 10 ВЛ-0,4 кВ № 1, КТП № 379, ВЛ-10 кВ № 9, ПС 35/10 кВ «Селивановская», для присоединения ВРУ-0,4 кВ жилого дома Ерошовой Е.А., расположенного по адресу: Ростовская обл., Милютинский р-н, ст. Селивановская, ул. Привольная, д. 48, к.н.з.у. 61:23:0080101:531 (ориентировочная протяженность ЛЭП-0,460 км, прибор учёта электроэнергии - 1шт.)</t>
  </si>
  <si>
    <t>Строительство участка ВЛ-0,4 кВ от опоры № 19 ВЛ-0,4 кВ 3, КТП № 4, ВЛ-10 кВ № 3, ПС 35/10 кВ «Вольно-Донская», для подключения жилого дома Узаировой Халиды Алижановны, расположенного по адресу: Ростовская обл., Морозовский р-н, х. Сибирьки, ул. Большая Садовая, д. 58, КНЗУ 61:24:0060601:168 (ориентировочная   протяженность ЛЭП – 0,22 км, прибор учёта электроэнергии - 1шт)</t>
  </si>
  <si>
    <t>Строительство участка ВЛИ-0,4 кВ от опоры № 3, ВЛ-0,4 кВ № 1, КТП № 301, ВЛ-10 кВ №1, ПС 35/10 кВ «Артемовская», для подключения летней кухни Брызгалина И.А., расположенной по адресу: Ростовская обл., Обливский район, поселок Сосновый, улица Лесная, д. № 3, КНЗУ 61:27:0040401:271 (ориентировочная протяженность ЛЭП – 0,382 км, прибор учёта электроэнергии- 1шт)</t>
  </si>
  <si>
    <t>Строительство участка ВЛ-10 кВ от опоры № 3 отпайка на КТП №67, ВЛ-10 кВ от ПС 110/35/10 кВ «Советская-2», ТП 10/0,4 кВ и ВЛ-0,4 кВ от проектируемой ТП 10/0,4 кВ, для подключения дошкольной организации на 60 мест, расположенной по адресу: Ростовская обл., Советский р-н, поселок Чирский, ул. Дорожная д. 16, КН ЗУ 61:36:0030101:1574 (ориентировочная протяженность ЛЭП –0,04 км, трансформаторная мощность – 0,160 МВА, прибор учёта электроэнергии - 1шт)</t>
  </si>
  <si>
    <t>Строительство участка ВЛ-10 кВ от опоры № 3 отпайка на КТП № 144, ВЛ-10 кВ №1 от ПС 35/10 кВ «Советская-1», ТП 10/0,4 кВ и ВЛ-0,4 кВ от проектируемой ТП 10/0,4 кВ, для подключения дошкольной организации на 50 мест, расположенной по адресу: Ростовская обл., Советский  р-н, слобода Чистяково, ул. Западная  д. 18 «а», КН ЗУ 61:36:0020101:1395 (ориентировочная протяженность ЛЭП –0,08 км, трансформаторная мощность – 0,160 МВА, прибор учёта электроэнергии - 1шт)</t>
  </si>
  <si>
    <t>Строительство участка ВЛИ-0,4 кВ от КТП № 360, ВЛ-10 кВ № 2,ПС 35/10 кВ "Верхне-Кольцовская", для подключения ВРУ-0,4 кВ нежилого здания Дядичко И.П., расположенного по адресу: Ростовская область, Тацинский район, х. Пуличев, ул. Кривая, д. 1, к.н. 61:38:0020401:53 (ориентировочная протяженность ЛЭП – 0,36 км, прибор учёта электроэнергии - 1шт)</t>
  </si>
  <si>
    <t>Строительство участка ВЛИ-0,4 кВ от КТП № 207, ВЛ-10 кВ № 3, ПС 35/10 кВ "Быстрянская", для подключения ВРУ-0,4 кВ жилого дома Соловьевой Т.М., расположенного по адресу: Ростовская область, Тацинский район, х. Ковылкин, ул. Луговая, д. 7, к.н. 61:38:0110101:168 (ориентировочная протяженность ЛЭП – 0,3 км, прибор учёта электроэнергии - 1шт)</t>
  </si>
  <si>
    <t>Строительство участка ВЛИ-0,4кВ от опоры № 64 ВЛ-0,4кВ №1, КТП № 120, ВЛ-10кВ № 2, ПС 35/10 кВ «Каменская СХТ» для подключения дома Войтенко И.А. расположенного по адресу: Ростовская обл., Каменский р-н, х. Старая Станица, ул. Чайковского, д. № 28, КН 61:15:0130106:547 (ориентировочная протяженность ЛЭП – 0,108км)</t>
  </si>
  <si>
    <t>Строительство участка ВЛ-0,4 кВ от опоры № 14, ВЛ-0,4 кВ № 1, КТП №433 по ВЛ 10 кВ № 3, ПС 35/10 «Нижнепоповская» для электроснабжения строящегося жилого дома Нисановой О.Н., расположенного по адресу: Ростовская обл., Белокалитвинский р-н, п. Сосны, ул. Зеленая, д. 34 а, к.н. 61:04:0150415:98. (ориентировочная протяженность ЛЭП – 0,04 км, прибор учёта электроэнергии - 1шт)</t>
  </si>
  <si>
    <t>Строительство участка ВЛИ-0,4 кВ от опоры № 37, ВЛ-0,4 кВ № 1, КТП № 680, ВЛ-6 кВ «Восход», ПС 110/6 кВ «Б-1», для подключения жилого дома Калабухова В.И., расположенного по адресу: Ростовская область, Белокалитвинский р-н, х. Поцелуев, ул. Старцева, д. № 35, КНЗУ 61:04:005101:102 (ориентировочная протяженность ЛЭП – 0,071 км, прибор учёта электроэнергии - 1 шт.)</t>
  </si>
  <si>
    <t>Строительство участка ВЛИ-0,4 кВ от опоры № 4/2, ВЛ-0,4 кВ № 1, КТП № 432, ВЛ-10 кВ № 3, ПС 35/10 кВ «Нижнепоповская», для подключения строящегося жилого дома Руденко В.Р., расположенного по адресу: Ростовская область, Белокалитвинский р-н, п. Сосны, ул. Крайняя, д. № 7 б, КНЗУ 61:04:0150405:498 (ориентировочная протяженность ЛЭП – 0,050 км, прибор учёта электроэнергии - 1 шт.)</t>
  </si>
  <si>
    <t>Строительство участка ВЛ-0,4 кВ от опоры № 22 ВЛ-0,4 кВ №1 КТП № 63, ВЛ-10 кВ № 3, ПС 35/10 кВ «Широко-Атамановская», для подключения крытого тока ИП Главы КФХ Ноздрина Александра Ивановича, расположенного по адресу: Ростовская обл., Морозовский р-н, х. Покровский, 140 м на юго-запад от ул. Покровская, д.12, КНЗУ 61:24:0600010:358 (ориентировочная   протяженность ЛЭП – 0,265 км, прибор учёта электроэнергии - 1шт).</t>
  </si>
  <si>
    <t>Строительство участка ВЛ-0,4 кВ от оп. № 25 ВЛ-0,4 кВ №2, КТП № 334, ВЛ-10 кВ № 3, ПС 110/35/10 кВ «Тарасовская», для подключения строящегося жилого дома Пшеничного В.Н., расположенного по адресу: Ростовская обл., Тарасовский р-н, х. Нижняя Тарасовка, ул. Центральная, д.77 б, КН 61:37:0020401:896 (ориентировочная протяженность ЛЭП – 0,03 км, прибор учёта электроэнергии - 1шт)</t>
  </si>
  <si>
    <t>Строительство участка ВЛ-10 кВ от опоры № 66, Л-286 по ВЛ-10 кВ № 2,  ПС 110/35/10/6 кВ «К - 4», ТП 10/0,4 кВ и участка ВЛИ 0,4 кВ от РУ-0,4 кВ проектируемой ТП для подключения жилого дома Бородина С.И.,  расположенного по адресу: Ростовская область, Каменский район, хутор Красновка, ул. Профильная, д. № 18, корпус А,  КНЗУ 61:15:080109:0266 (ориентировочная протяженность ЛЭП – 0,089 км, трансформаторная мощность – 0,025МВА, прибор учёта электроэнергии - 1 шт.)</t>
  </si>
  <si>
    <t>Строительство участка ВЛ-10 кВ от опоры № 14, Л-63, ВЛ-10 кВ № 2, ПС 110/10 кВ «Головокалитвинская», ТП 10/0,4 кВ и участка ВЛ-0,4 кВ от РУ-0,4 кВ новой ТП 10/0,4 кВ, для электроснабжения здания коровника индивидуального предпринимателя Шакенус И.А., расположенного по адресу: Ростовская обл., Белокалитвинский р-н, от п.п. 8787. Участок находится в 1500 метрах от ориентира по направлению на северо-восток, к.н. 61:04:0600002:209 (ориентировочная протяженность ЛЭП – 0,150 км, ориентировочная мощность ТП – 0, 025 МВА, прибор учёта электроэнергии - 1шт)</t>
  </si>
  <si>
    <t>Строительство участка ВЛИ-0,4 кВ от опоры № 10, ВЛ-0,4 кВ № 5, КТП № 419, ВЛ-10 кВ № 3, ПС 35/10 кВ «Нижнепоповская», для подключения магазина Индивидуального предпринимателя Гнетнева А. А., расположенного по адресу: Ростовская область, Белокалитвинский район, п. Сосны, улица 50 лет СССР, дом № 17 Д, КНЗУ 61:04:0150405:209 (ориентировочная протяженность ЛЭП – 0,032 км, прибор учёта электроэнергии - 1 шт.)</t>
  </si>
  <si>
    <t>Строительство участка ВЛ-0,22 кВ от опоры № 39 ВЛ-0,4 кВ № 2, КТП № 375, ВЛ-10 кВ № 2, ПС 35/10 кВ «Нижнепоповская», для подключения строящегося жилого дома Усачёвой Н.Д., расположенного по адресу: Ростовская обл., Белокалитвинский р-н, х. Погорелов, ул. Сергея Саринова,   д.18 Б, к.н.з.у. 61:04:0130201:168 (ориентировочная   протяженность ЛЭП – 0,050 км, прибор учёта электроэнергии - 1шт)</t>
  </si>
  <si>
    <t>Строительство участка ВЛИ-0,4 кВ от РУ-0,4 кВ, КТП № 83, ВЛ-10 кВ № 5, ПС 35/10 кВ «Вишневецкая», для электроснабжения «базовой станции сотовой связи» ООО «Т2 Мобайл», расположенной по адресу: Ростовская обл., Каменский р-н, 150 м на северо-восток от х. Вишнивецкий, к.н. 61:15:0601401:1319. (ориентировочная протяженность ЛЭП – 0,037 км, прибор учёта электроэнергии - 1шт)</t>
  </si>
  <si>
    <t>Строительство участка ВЛИ-0,4 кВ от опоры № 6, ВЛ-0,4 кВ № 1, КТП № 321, ВЛ-10 кВ № 4, ПС 35/10 кВ «Каменская СХТ», для подключения жилого дома Меркулова С.В. расположенного по адресу: Ростовская обл., Каменский р-н, х. Абрамовка, ул. Ленина, д. № 26, корп. Б, КНЗУ 61:15:0130201:1907 (ориентировочная протяженность ЛЭП – 0,057км, прибор учёта электроэнергии 15 кВт- 1шт).</t>
  </si>
  <si>
    <t>Строительство участка ВЛИ-0,4 кВ от опоры № 7, ВЛ-0,4 кВ № 2, КТП № 97, ВЛ-10 кВ № 2, ПС 110/35/10/6 кВ «К-4» для подключения жилого дома Калитвенцева А.В. расположенного по адресу: Ростовская обл., Каменский р-н, х. Красновка, ул. 8 Марта, д. № 46, корп. А, КНЗУ 61:15:0080107:207 (ориентировочная протяженность ЛЭП – 0,087 км, прибор учёта электроэнергии 15 кВт - 1шт)</t>
  </si>
  <si>
    <t>Строительство участка ВЛИ-0,4 кВ от опоры № 17, ВЛ-0,4 кВ № 2,  КТП № 105, ВЛ-10 кВ № 2, ПС 110/35/10/6 кВ «К - 4» для подключения базовой станции сотовой связи ПАО «Вымпел-Коммуникации», расположенной по адресу: Ростовская область, Каменский район, хутор Красновка, улица Янтарная, дом № 1, корпус А, КНЗУ 61:15:0080101:134 (ориентировочная протяженность ЛЭП – 0,057 км, прибор учёта электроэнергии 15 кВт - 1 шт.</t>
  </si>
  <si>
    <t>Строительство участка ВЛИ-0,4 кВ от ВЛ – 0,4 кВ № 2, КТП № 196, ВЛ-10 кВ № 5, ПС 35/10 кВ «Каменская СХТ» для подключения жилого дома Фоменко В.Н., расположенного по адресу: Ростовская обл., Каменский р-н, х. Богданов, ул. Кирова, д. № 12, КНЗУ 61:15:0030101:68 (ориентировочная протяженность ЛЭП – 0,210 км, прибор учёта электроэнергии - 1 шт.)</t>
  </si>
  <si>
    <t>Строительство участка ВЛ-0,4 кВ от опоры № 4, ВЛ-0,4 кВ № 1, КТП № 106, ВЛ-10 кВ № 1, ПС 35/10 кВ "Успенская", для подключения склада ИП Павлова В.В., расположенного по адресу: Ростовская область, Милютинский район, п. Аграрный, в 800 м северо-восточнее, к.н.з.у. 61:23:0600012:433 (ориентировочная протяженность ЛЭП – 0,082 км, прибор учёта электроэнергии - 1шт)</t>
  </si>
  <si>
    <t>Строительство участка ВЛ-0,4 кВ от опоры № 33 ВЛ-0,4 кВ № 1, КТП № 3, ВЛ-10 кВ № 4, ПС 110/35/10 кВ "Милютинская", для подключения ВРУ-0,4 кВ автомойки ИП Свиридова А А., расположенной по адресу: Ростовская обл., Милютинский р-н, х. Старокузнецов, ул. Центральная, д. 6, к.н.з.у. 61:23:0030201:1872 (ориентировочная протяженность ЛЭП – 0,030 км, прибор учёта электроэнергии - 1шт)</t>
  </si>
  <si>
    <t>Строительство участка ВЛ-0,22 кВ от опоры № 37 ВЛ-0,4 кВ № 1, КТП № 176,  ВЛ-10 кВ № 6, ПС 110/35/10 кВ «Б-11», для подключения вагона-бытовки Лихачева А.В., расположенного по адресу: Ростовская обл., Морозовский р-н, г. Морозовск, западная окраина г. Морозовска, СТ "Мечта", участок № 4, к.н. 61:24:0014001:495 (ориентировочная   протяженность ЛЭП – 0,18 км, прибор учёта электроэнергии - 1шт)</t>
  </si>
  <si>
    <t>Строительство участка ВЛ-0,4 кВ от опоры № 20 ВЛ-0,4 кВ № 2, КТП № 4, ВЛ-10 кВ № 3, ПС 35/10 кВ «Вольно-Донская», для подключения жилого дома Исмоиловой Нарвесты Шерали Кызы, расположенного по адресу: Ростовская обл., Морозовский р-н, х. Сибирьки, ул. Степная, д .43, к.н. 61:24:0060601:119 (ориентировочная   протяженность ЛЭП – 0,135 км, прибор учёта электроэнергии - 1шт)</t>
  </si>
  <si>
    <t>Строительство участка ВЛ-0,4 кВ от опоры № 6 ВЛ-0,4 кВ № 2, КТП № 41 ВЛ-10 кВ № 6 ПС 110/35/10 кВ «Б-11», для подключения гаража Чупаха Татьяны Сергеевны, расположенного по адресу: Ростовская обл., Морозовский р-н, г. Морозовск, ул. Халтурина, 179, гараж № 31, КНЗУ 61:24:0013011:35 (ориентировочная   протяженность ЛЭП – 0,04 км, прибор учёта электроэнергии - 1шт)</t>
  </si>
  <si>
    <t>Строительство участка ВЛ-10 кВ от опоры № 17 на отпайке Л-139 по ВЛ-10 кВ № 4, ПС 35/10 кВ «Обливская-2», ТП 10/0,4 кВ и участка ВЛ-0,4 кВ от РУ-0,4 кВ новой ТП 10/0,4 кВ, для подключения жилого дома Дьяченко В.М., расположенного по адресу: Ростовская обасть, Обливский район, хутор Кривов, улица Новая, дом № 17, к.н.з.у. 61:27:0050402:59 (ориентировочная протяженность ЛЭП – 0,1 км, трансформаторная мощность – 0,025 МВА, прибор учёта электроэнергии - 1шт.)</t>
  </si>
  <si>
    <t>Строительство участка ВЛ-0,4 кВ от РУ-0,4 кВ КТП № 364 ВЛ 10 кВ №1 ПС 35/10 «Тарасовская СХТ», для подключения строящегося производственного здания Геворкяна Г.Г., расположенного по адресу: Ростовская область, Тарасовский район, севернее сл. Дячкино, к.н.з.у. 61:37:0600012:1669 (ориентировочная протяженность ЛЭП – 0,654 км,  прибор учёта электроэнергии – 1 шт.)</t>
  </si>
  <si>
    <t>Строительство участка ЛЭП-0,4 кВ от ВЛ-0,4 кВ №1, КТП № 567, ВЛ-10 кВ №3, ПС 35/10 кВ «Краснодонецкая», для подключения жилого дома Лушницкой И.А., расположенного по адресу: Ростовская область, Белокалитвинский р-н, х. Усть - Быстрый, ул. Нижняя, д. 41 а, к.н.з.у. 61:04:0070202:112 (ориентировочная протяженность ЛЭП – 0,268 км, прибор учёта электроэнергии - 1шт)</t>
  </si>
  <si>
    <t>Строительство участка ЛЭП-0,4 кВ от ВЛ-0,4 кВ № 1, КТП № 680, ВЛ-6 кВ «Восход», ПС 110/6 кВ «Б-1», для подключения жилого дома Акимовой Т.В., расположенного по адресу: Ростовская область, р-он Белокалитвинский, х. Поцелуев, ул. Бунина, д. 9, к.н. 61:04:0050102:1 (ориентировочная протяженность ЛЭП – 0,220 км, прибор учёта электроэнергии - 1шт)</t>
  </si>
  <si>
    <t>Установка автономного источника питания от АВ-0,4 кВ «ОРТПЦ» КТП 10/0,4 кВ №47 ВЛ 10 кВ №2 ПС 110/10 «Голокалитвинская» для подключения РТС Ильинка ФГУП «Российская телевизионная и радиовещательная сеть» филиал «Ростовский областной радиотелевизионный передающий центр» (ориентировочная мощность автономного источника питания 0,016 МВА)</t>
  </si>
  <si>
    <t>Установка автономного источника питания от опоры №60 ВЛ 10 кВ №4 ПС 35/10 кВ «Селивановская» для подключения РТС Селивановская ФГУП «Российская телевизионная и радиовещательная сеть» филиал «Ростовский областной радиотелевизионный передающий центр» (ориентировочная мощность автономного источника питания 0,044 МВА)</t>
  </si>
  <si>
    <t>Строительство участка ВЛ-10 кВ опоры № 76 ВЛ-10 кВ № 1, ПС 35/10 кВ «Широко-Атамановская», ТП 10/0,4 кВ и участка ВЛ-0,4 кВ от РУ-0,4 кВ новой ТП 10/0,4 кВ, для подключения жилых домов Громовой В.Н. и Громова С.А. расположенных по адресу: Ростовская обл., Морозовский р-н, х. Большая Хлоповая, д. 3 (КНЗУ 61:24:0040101:67), д. 5 (КНЗУ 61:24:0040101:5) (ориентировочная   протяженность ЛЭП – 0,410 км, трансформаторная мощность – 0,040 МВА, прибор учёта электроэнергии – 2 шт)</t>
  </si>
  <si>
    <t>Строительство участка ВЛ-0,4 кВ от опоры № 33, ВЛ-0,4 кВ № 1, КТП № 35, ВЛ-10 кВ № 4, ПС 35/10 кВ "Советская-1", для подключения ВРУ-0,4 кВ строящегося жилого дома Попова В.В., расположенной по адресу: Ростовская область, Советский р-н, ст. Советская, ул. Лесхозная, д. 62 «а», К.Н 61:36:0010101:4839 (ориентировочная протяженность ЛЭП – 0,025 км, прибор учёта электроэнергии - 1шт)</t>
  </si>
  <si>
    <t>Установка автономного источника питания от РУ 0,4 кВ  ВЛ 10 кВ №8, ПС 110/35/10 кВ «Советская-2» для подключения РТС  Чирский ФГУП «Российская телевизионная и радиовещательная сеть» филиал «Ростовский областной радиотелевизионный передающий центр» (ориентировочная мощность автономного источника питания 0,039 МВА)</t>
  </si>
  <si>
    <t>Строительство участка ВЛ-0,4 кВ от оп. № 17 ВЛ-0,4 кВ № 1, КТП № 250, ВЛ-10 кВ № 2, ПС 35/10 кВ «Митякинская» для подключения строящегося объекта сельскохозяйственного производства ИП главы К(Ф)Х Вербицкой Л.И., расположенного по адресу: Ростовская обл., Тарасовский р-н, п. Весенний, 300м на юго-восток от ориентира, КН 61:37:0040101:1023 (ориентировочная протяженность ЛЭП – 0,33 км, прибор учёта электроэнергии - 1шт)</t>
  </si>
  <si>
    <t>Строительство участка ВЛ-10 кВ от проектируемой опоры на отпайке Л-565 ВЛ-10 кВ № 3, ПС 35/10 кВ «Краснодонецкая», ТП 10/0,4 кВ и участка ВЛ-0,4 кВ от РУ-0,4 кВ новой ТП 10/0,4 кВ, для подключения щита питания берега наплавного моста Администрации Белокалитвинского района, расположенного по адресу: Ростовская обл., Белокалитвинский р-н, Краснодонецкое сельское поселение, ст-ца. Краснодонецкая, ул. Центральная, д. 39 В, КНЗУ 61:04:0080104:508, (ориентировочная   протяженность ЛЭП – 0,210 км, трансформаторная мощность – 0,063 МВА, прибор учёта электроэнергии - 1шт)</t>
  </si>
  <si>
    <t>Строительство участка ВЛИ-0,4 кВ от РУ - 0,4 кВ КТП № 70, ВЛ-10 кВ № 3, ПС 35/10 кВ  «Каменская СХТ»  для   подключения   жилого   дома Луханиной Н.В., расположенного по адресу: Ростовская обл., Каменский р-н,   х. Старая Станица, ул. Красноармейская, д. № 74, корп. А, КН ЗУ  61:15:130103:1226 (ориентировочная протяженность ЛЭП – 0,202 км, прибор учёта электроэнергии - 1 шт.)</t>
  </si>
  <si>
    <t>Строительство участка ВЛ-0,4 кВ от опоры № 13 ВЛ-0,4 кВ № 3, КТП № 221, ВЛ-10 кВ № 3, ПС 35/10 кВ " Селивановская", для подключения ВРУ- 0,4 кВ склада сельскохозяйственного назначения  ИП Главой К(Ф)Х Сахно В.С., расположенного по адресу: Ростовская обл., Милютинский р-н, ст. Селивановская, примерноо в 0,9 км на юго- запад от ст. Селивановская, к.н.з.у. 61:23:0600003:557 (ориентировочная протяженность ЛЭП – 0,045 км, прибор учёта электроэнергии - 1шт)</t>
  </si>
  <si>
    <t>Строительство участка ВЛ-0,4 кВ от ВЛ-0,4 кВ № 1, КТП № 339, ВЛ 10 кВ № 1 ПС 35/10 кВ «Знаменская», для подключения мельницы Лиманского П.В., расположенной по адресу: Ростовская обл., Милютинский  р-н, сл. Маньково-Берёзовская, ул. Новикова, д. 2, к.н.з.у. 61:23:0020501:1104 (ориентировочная протяженность ЛЭП – 0,028 км, прибор учёта электроэнергии - 1 шт.)</t>
  </si>
  <si>
    <t>Строительство участка ЛЭП-0,4 кВ от опоры № 10, ВЛ-0,4 кВ №1, КТП № 26, ВЛ-10 кВ №4, ПС 110/35/10 кВ «Милютинская» для подключения жилого дома Устиновой И.С., расположенного по адресу: Ростовская область, Милютинский р-он, х. Старокузнецов, ул. Хлебная, д.21, к.н. 61:23:0030201:1141 (ориентировочная протяженность ЛЭП – 0,030 км, прибор учёта электроэнергии - 1шт)</t>
  </si>
  <si>
    <t>Строительство участка ВЛ-0,4 кВ от опоры № 6 ВЛ-0,4 кВ № 2, КТП № 65, ВЛ-10 кВ № 2, ПС 35/10 кВ "Семёновская", для подключения жилого дома Солодкова В.А., расположенного по адресу: Ростовская область, Милютинский район, х. Широко-Бахолдинский, ул. Набережная, д. 13, к.н.з.у. 61:23:0070201:34 (ориентировочная протяженность ЛЭП – 0,265 км, прибор учёта электроэнергии - 1шт)</t>
  </si>
  <si>
    <t>Строительство участка ВЛ-0,4 кВ от опоры №1 ВЛ-0,4 кВ № 1, КТП № 58, ВЛ-10 кВ № 6, ПС 110/35/10 кВ «Б-11», для подключения административного здания ООО «АгроФактор», расположенного по адресу: Ростовская обл., Морозовский р-н, х. Скачки-Малюгин, д. 28, КНЗУ 61:24:0020601:99 (ориентировочная   протяженность ЛЭП – 0,055 км, прибор учёта электроэнергии  - 1шт)</t>
  </si>
  <si>
    <t>Строительство участка ВЛ-0,4 кВ от опоры № 37 ВЛ-0,4 кВ № 2, КТП № 42, ВЛ-10 кВ № 2, ПС 110/35/10 кВ «Б-11», для присоединения жилого дома Линник В.А., расположенного по адресу: Ростовская область, Морозовский р-н, х. Вербочки, ул. Урожайная, д. 32, кадастровый номер земельного участка: 61:24:0030107:31 (ориентировочная   протяженность ЛЭП – 0,047 км, прибор учёта электроэнергии  - 1шт)</t>
  </si>
  <si>
    <t>Строительство ВЛИ-0,4 кВ от КТП № 41, ВЛ-10 кВ № 6, ПС 110/35/10 кВ «Обливская-1», для подключения ВРУ-0,4 кВ «складское помещение» Сербиненко Е.В., расположенного по адресу: Ростовская обл., Обливский район, станица Обливская, улица Калиманова, д. 27, К.Н.61:27:0000000:849 (ориентировочная протяженность ЛЭП – 0,055 км, прибор учёта электроэнергии - 1шт)</t>
  </si>
  <si>
    <t>Строительство участка ВЛИ-0,4 кВ от опоры № 18, ВЛ-0,4 кВ № 1, КТП  № 341, ВЛ-10 кВ № 3, ПС 35/10 кВ «Артемовская», для подключения жилого дома Бурдиной О.С., расположенной по адресу: Ростовская обл., Обливский      р-н, х. Караичев, ул. Раздольная, д. № 16, к.н.з.у. 61:27:0040101:141 (ориентировочная протяженность ЛЭП – 0,490 км, прибор учёта электроэнергии - 1шт)</t>
  </si>
  <si>
    <t>Строительство участка ЛЭП-0,4 кВ от ВЛ-0,4 кВ № 1, КТП № 678, ВЛ-6 кВ «Восход», ПС 110/10 кВ «Б-1» для подключения ЛПХ  Кудинова П.И., расположенного по адресу: Ростовская область, р-он Белокалитвинский, х. Поцелуев, ул. Солнечная, д.23а, к.н. 61:47:060103:1  (ориентировочная протяженность ЛЭП – 0,04 км, прибор учёта электроэнергии - 1шт)»</t>
  </si>
  <si>
    <t>Строительство участка ВЛ-0,4 кВ от опоры № 16 ВЛ-0,4 кВ № 2, КТП № 27, ВЛ-10 кВ № 4, ПС 110/35/10 кВ "Милютинская", для подключения ВРУ-0,4 кВ жилого дома Корплякова Ю.В., расположенного по адресу: Ростовская обл., Милютинский р-н, х. Терновой, ул. Большая Терновская, д.18, к.н.з.у. 61:23:0030601:0023 (ориентировочная протяженность ЛЭП – 0,095 км, прибор учёта электроэнергии - 1шт)</t>
  </si>
  <si>
    <t>Строительство ВЛ-0,4 кВ от опоры № 13/16 проектируемой ВЛ-0,4 кВ (по договорам № 61-1-20-00539815 от 21.10.2020 г. и № 61-1-21-00597313 от 08.09.2021 г.), от опоры № 13 ВЛ-0,4 кВ № 3, КТП № 27, ВЛ-10 кВ № 4, ПС 110/35/10 кВ «Милютинская», для подключения жилых домов Пучковой О.Н. и Тарасенко Н.Б., расположенных по адресу: Ростовская область, Милютинский р-н, х. Терновой, пер. Тенистый, д. № 16, к.н.з.у. 61:23:0030601:0002:1268, д. № 14, к.н.з.у 61:23:0030601:22 (ориентировочная протяженность ЛЭП – 0,390 км, прибор учёта электроэнергии – 2 шт)</t>
  </si>
  <si>
    <t>Строительство участка ВЛ-0,4 кВ от опоры № 16, ВЛ-0,4 кВ № 1, КТП № 82, ВЛ- 10 кВ №7, ПС 110/35/10 кВ «Милютинская», для подключения жилого дома Коровиной В.И.,   расположенного по адресу: Ростовская область, Милютинский район, х. Юдин, пер. Вербный, д. 16, к.н. 61:23:0030101:221 (ориентировочная протяженность ЛЭП – 0,39 км)</t>
  </si>
  <si>
    <t>Строительство участка ВЛИ-0,4 кВ от опоры № 1, ВЛ-0,4 кВ № 1, КТП № 82, ВЛ-10 кВ № 7, ПС 110/35/10 кВ "Милютинская", для подключения жилого дома Алимова Н.И., расположенного по адресу: Ростовская область, Милютинский район, х. Юдин, ул.Черёмушки, д. 43, к.н. 61:23:0030101:39 (ориентировочная протяженность ЛЭП – 0,24 км, прибор учёта электроэнергии - 1шт)</t>
  </si>
  <si>
    <t>Строительство участка ВЛ-0,4 кВ от опоры №9 ВЛ-0,4 кВ № 1, КТП №211, ВЛ- 10 кВ №5, ПС "Б-11», для подключения строящегося жилого дома Макарова С.М., расположенного по адресу: Ростовская обл., Морозовский р-н, х. Грузинов, ул. Абрикосовая, д.1/7, кадастровый номер земельного участка :61:24:0050312:64 (ориентировочная протяженность ЛЭП – 0,260 км)</t>
  </si>
  <si>
    <t>Строительство участка ВЛ-0,4 кВ от опоры № 20 ВЛ-0,4 кВ № 1, КТП № 11, ВЛ-10 кВ № 1, ПС 35/10 кВ «Вольно-Донская», для подключения телятника Сорокина Николая Анатольевича, расположенного по адресу: Ростовская обл., Морозовский р-н, х. Власов, ул. Вязовая, д. 40 а, КНЗУ 61:24:0600007:988 (ориентировочная   протяженность ЛЭП – 0,24 км, прибор учёта электроэнергии - 1шт)</t>
  </si>
  <si>
    <t>Строительство участка ВЛИ-0,4 кВ от РУ-0,4 кВ КТП № 260 ВЛ-10 кВ № 5,  ПС 110/10 кВ «Обливская ПТФ» для подключения жилого дома Мартиросян А.В., расположенного по адресу: Ростовская область, Обливский район, хутор Рябовский, улица Сосновая, дом 30, к.н.з.у.  61:27:0070201:612 (ориентировочная протяженность ВЛИ – 0,085 км, прибор учёта электроэнергии - 1шт.)</t>
  </si>
  <si>
    <t>Строительство участка ВЛ-10 кВ от опоры № 8, отпайка Л-168, ВЛ-10 кВ №3, ПС 110/35/10 кВ «Чеботовская», ТП 10/0,4 кВ и ВЛ-0,4 кВ от РУ-0,4 кВ проектируемой ТП 10/0,4 кВ, для подключения здания сельского дома культуры Муниципального учреждения культуры Зеленовского сельского поселения, расположенного по адресу: Ростовская обл., Тарасовский р-н, х.Зеленовка, ул. Центральная, д. 51, КН ЗУ 61:37:0070101:332 (ориентировочная протяженность ЛЭП –0,03 км, трансформаторная мощность – 0,063 МВА, прибор учёта электроэнергии - 1шт)</t>
  </si>
  <si>
    <t>Строительство участка ВЛ-0,4 кВ от опоры № 69 ВЛ-0,4 кВ № 2 КТП № 3, ВЛ-10 кВ № 1, ПС 35/10 кВ «Войковская» для подключения монтерского пункта Щуровой М.П., расположенного по адресу: Ростовская обл., Тарасовский р-н, п. Войково, ул. Садовая, д. 57, КН 61:37:0110201:596 (ориентировочная протяженность ЛЭП – 0,08 км, прибор учёта электроэнергии - 1шт)</t>
  </si>
  <si>
    <t>Строительство участка ВЛ-0,22 кВ от ВЛ-0,4 № 1 кВ, КТП № 88, ВЛ-10 кВ № 5, ПС 35/10 кВ «Войковская» для подключения жилого дома Полковниченко И.В., расположенного по адресу: Ростовская область, Тарасовский р-н, х. Дубы, ул. Центральная, д.45, к.н.з.у 61:37:0100201:1816, (ориентировочная протяженность ЛЭП – 0,017 км, прибор учёта электроэнергии - 1шт)</t>
  </si>
  <si>
    <t>Строительство участка ВЛ-0,4 кВ от РУ-0,4 кВ КТП № 286, ВЛ-10 кВ № 2, ПС 110/35/10 кВ «Тарасовская» для подключения здания утятника № 1, здание утятника № 2 Надуева А.В., расположенных по адресу: Ростовская область, район Тарасовский, х. Липовка, примерно в 1,7 км по направлению на север от ориентира х. Липовка, к.н. 61:37:0600005:574 (ориентировочная протяженность ЛЭП – 1,3 км, прибор учёта электроэнергии - 1шт)</t>
  </si>
  <si>
    <t>Строительство участка ВЛИ-0,4 кВ от опоры № 5, ВЛ-0,4 кВ № 2, КТП № 137, ВЛ-10 кВ № 2, ПС 35/10 кВ "Тацинская СХТ", для     подключения ВРУ-0,4 кВ обьектов наружного освещения Администрации Тацинского района, расположенного по адресу: Ростовская область, Тацинский район, ст. Тацинская, Автомобильная дорога   ст. Тацинская – х. Исаев, к.н. 61:38:0061001:98 (ориентировочная протяженность ЛЭП – 0,458 км, прибор учёта электроэнергии - 1шт)</t>
  </si>
  <si>
    <t>Строительство участка ВЛ-10 кВ  от  опоры № 6 Л-129, ВЛ-10 кВ № 4, ПС110/10 кВ «Волченская ПТФ», ТП 10/0,4кВ и участка ВЛ-0,4 кВ от РУ-0,4 кВ новой ТП 10/0,4 кВ, для подключения нежилого здания «Свято-Троицкий храм», расположенного по адресу: Ростовская обл., Каменский р-н, х. Волченский, ул. Шахтерская, д. № 104, к.н.з.у. 61:15:0040101:648 (ориентировочная протяженность ЛЭП – 0,029 км, трансформаторная мощность – 0,160 МВА, прибор учёта электроэнергии - 1шт.)</t>
  </si>
  <si>
    <t>«Строительство участка ВЛ-0,4 кВ от РУ-0,4 кВ КТП № 138 по ВЛ- 10 кВ №4, ПС 35/10 кВ «Обливская-2», для подключения жилых домов Избаевой С.А., Здасюк С.С., Индрисова А.Е., Индрисовой Т.Е., Маринич О.А., расположенных по адресу: Ростовская область, Обливский  район, х. Трухин, ул. Овражная, дома  №№ 13, 14, 16, 18, 21,  к.н. 61:27:0050701:23, 61:27:0050701:20, 61:27:0050701:26, 61:27:0050701:37, 61:27:0050701:31 (ориентировочная протяженность ЛЭП – 0,985 км)»</t>
  </si>
  <si>
    <t>Строительство участка ВЛИ-0,4 кВ от опоры № 7, ВЛ-0,4 кВ № 1, КТП  № 513, ВЛ-6 кВ «Дробзавод-1», ЗРП-6 кВ «БКУ», ВЛ-6 кВ «ЗРП-2», ПС 35/6 кВ «Б-6», для подключения ВРУ-0,4 кВ строящегося здания Штоколова С.В., расположенного по адресу: Ростовская область, Тацинский район, п. Быстрогорский, ул. Санаторная, д. 1, корп. ф, к.н. 61:38:0040103:130 (ориентировочная протяженность ЛЭП – 0,45 км, прибор учёта электроэнергии - 1шт)</t>
  </si>
  <si>
    <t>Строительство участка ВЛИ-0,4 кВ от опоры № 1, ВЛ-0,4 кВ № 1, КТП № 282, ВЛ-10 кВ № 4, ПС 35/10 кВ "Скосырская", для подключения ВРУ-0,4 кВ жилого дома Перебейнос И.А., расположенного по адресу: Ростовская область, Тацинский район, х. Пролетарский, ул. Комсомольская, д. 17, к.н. 61:38:0061001:98 (ориентировочная протяженность ЛЭП – 0,668 км, прибор учёта электроэнергии - 1шт)</t>
  </si>
  <si>
    <t>Строительство ВЛ-0,4 кВ от предпоследней опоры проектируемой ВЛ-0,4 кВ (по договору № 61-1-20-00539815 от 21.10.2020 г.) от опоры № 13 ВЛ-0,4 кВ № 3, КТП № 27, ВЛ-10 кВ № 4, ПС 110/35/10 кВ «Милютинская», для подключения ВРУ-0,4 кВ жилого дома Корплякова А.В., расположенного по адресу: Ростовская область, Милютинский р-н, х. Терновой, пер. Тенистый, д. № 12, к.н. 61:23:0030601:1 (ориентировочная протяженность ЛЭП – 0,385 км, прибор учёта электроэнергии - 1шт)</t>
  </si>
  <si>
    <t>Строительство участка ВЛИ 0,4кВ от проектируемой ВЛ 0,4 кВ (по договору ТП № 61-1-20-00571813 от 21.04.2021 г.) КТП 10/0,4 кВ №174 ВЛ 10кВ 1011 ПС 110/35/10 кВ «Самарская» и системы учета электрической энергии (мощности) на границе земельного участка для электроснабжения жилых домов заявителей Ильченко И.С., Харабаджаховой Е.Ю., Шер О.И., с.Самарское, Азовский район, Ростовская область (ориентировочная протяженность ЛЭП – 0,055 км)</t>
  </si>
  <si>
    <t>Строительство участка ВЛИ 0,4кВ от оп. №30-58 ВЛ-0,4 №3 от КТП-30 по ВЛ-10 1402 ПС 110 кВ ЗР14 и системы учета электрической энергии (мощности) на границе земельного участка для электроснабжения ЛПХ заявителя Перетятько В.И., Ростовская область, Зерноградский р-н, с. Светлоречное, ул. Новая д.27 (ориентировочная протяженность ВЛИ-0,4  – 0,08 км)</t>
  </si>
  <si>
    <t>Строительство участка ВЛИ 0,4кВ от проектируемой ВЛ 0,4 кВ (по договору ТП № 61-1-20-00572525 от 22.04.2021 г.) КТП 10/0,4 кВ №329 ВЛ 10кВ 106Н ПС 110/6/10 кВ «НС-1» и установка системы учета электрической энергии (мощности) на границе земельного участка для электроснабжения жилого дома заявителя Томышевой А.С., ДНТ «Виктория», Азовский район, Ростовская область (ориентировочная протяженность ЛЭП – 0,075 км)</t>
  </si>
  <si>
    <t>Строительство ВЛ 0,4 кВ от №13-18 ВЛ 0,4 кВ №1 КТП 10/0,4 кВ №13 ВЛ 10 кВ №3203 ПС 110/35/10 кВ А-32 и установка коммерческого учета электрической энергии (мощности) на границе земельного участка для электроснабжения жилого дома заявителя Покотило Н.Ф., Ростовская обл.  р-н. Азовский, с. Александровка (ориентировочная протяженность ЛЭП – 0,03 км)</t>
  </si>
  <si>
    <t>Строительство ВЛ 0,4 кВ от №44-64 ВЛ 0,4 кВ №3 КТП 10/0,4 кВ №44 по ВЛ 10 кВ №1107 ПС 35/10 кВ А-11 и установка коммерческого учета электрической энергии (мощности) на границе земельного участка для электроснабжения жилого дома заявителя Вердиева Т.И., с. Кагальник, Азовский р-он Ростовская область (ориентировочная протяженность ЛЭП – 0,04 км)</t>
  </si>
  <si>
    <t>Строительство ВЛ 0,4 кВ от №190-37 ВЛ 0,4 кВ №2 КТП 10/0,4 кВ №190 ВЛ 10 кВ №3113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Ибрагимова Т.М., с. Пешково, Азовский р-он Ростовская область (ориентировочная протяженность ЛЭП – 0,04 км)</t>
  </si>
  <si>
    <t>Строительство ВЛ 0,4 кВ от №93-30 ВЛ 0,4 кВ №1 КТП 10/0,4 кВ №93 ВЛ 10 кВ №802 ПС 35/10 кВ А-8 и установка коммерческого учета электрической энергии (мощности) на границе земельного участка для электроснабжения жилого дома заявителя Явруян О.А., с. Семибалки, Азовский р-он Ростовская область (ориентировочная протяженность ЛЭП – 0,110 км)</t>
  </si>
  <si>
    <t>Строительство ВЛ 0,4 кВ от №218-2 по ВЛ 0,4 кВ №1 КТП 10/0,4 кВ №218 ВЛ 10 кВ №901 ПС 35/10 кВ А-9 и установка коммерческого учета электрической энергии (мощности) на границе земельного участка для электроснабжения жилого дома заявителя Макаровой И.А., с. Высочино, Азовский район, Ростовская область (ориентировочная протяженность ЛЭП – 0,05 км)</t>
  </si>
  <si>
    <t>Строительство участка ВЛИ 0,4кВ в пролетах оп. №60-55 &amp;#247; 60-58 ВЛ-0,4 №1 от КТП-60 по ВЛ-10 204 ПС 110 кВ Краснолучинская и системы учета электрической энергии (мощности) на границе земельного участка для электроснабжения магазина заявителя Капиносовой Е.С., Ростовская обл., р-н. Зерноградский, х. Большая Таловая, ул. Буденного д.7 кв.2 (ориентировочная протяженность ВЛИ-0,4 – 0,1 км)</t>
  </si>
  <si>
    <t>Строительство ВЛ 0,4 кВ от №144-53 ВЛ 0,4 кВ №2 КТП 10/0,4кВ №144 ВЛ 10 кВ №1101 ПС 35/10 кВ А-11 и установка коммерческого учета электрической энергии (мощности) на границе земельного участка для электроснабжения объекта торговли заявителя ИП Воронцова А.А., с. Кагальник, Азовский район, Ростовская область (ориентировочная протяженность ЛЭП – 0,05 км)</t>
  </si>
  <si>
    <t>Строительство участка ВЛИ-0,4 кВ от проектируемой опоры (по договору ТП № 61-1-21-00610441 от 05.11.2021г.) ВЛ-0,4 №1 от ЗТП-28 по ВЛ-10 313 ПС 35 кВ КГ3 и системы учета электрической энергии (мощности) на границе земельного участка для электроснабжения жилого дома заявителя Глуховской А.В., Ростовская область, Кагальницкий р-н, ст. Кировская, ул. Северная д.8 (ориентировочная протяженность ВЛИ-0,4 – 0,06 км)</t>
  </si>
  <si>
    <t>Строительство участка ВЛИ 0,4 кВ от оп. №28-37 ВЛ-0,4 №1 от КТП-28 по ВЛ-10 313 ПС 35 кВ КГ3 и системы учета электрической энергии (мощности) на границе земельного участка для электроснабжения ЛПХ заявителя Аристакесяна С.А., Ростовская область, Кагальницкий р-н, ст. Кировская, ул. Северная д.6 (ориентировочная протяженность ВЛИ-0,4 – 0,025 км)</t>
  </si>
  <si>
    <t>Строительство участка ВЛИ-0,4кВ от опоры №251-9 ВЛ-0,4 кВ №2 КТП - №251 ВЛ-10 кВ №904 ПС 110 кВ Балко-Грузская и установка системы учета электрической энергии (мощности) на границе земельного участка для электроснабжения склада заявителя ИП Бойченко Н.А., х.Балко-Грузский, Егорлыкский р-он, Ростовская область (ориентировочная протяженность ЛЭП – 0,035 км)</t>
  </si>
  <si>
    <t>Строительство участка ВЛИ 0,4 кВ от оп. №89-10 ВЛ-0,4 №1 от КТП-89 по ВЛ-10 319 ПС 35 кВ КГ3 и системы учета электрической энергии (мощности) на границе земельного участка для электроснабжения ЛПХ заявителя Кустовой Т.Н., Ростовская область, Кагальницкий р-н, ст. Кировская, ул. Рабочая д.2А (ориентировочная протяженность ВЛИ-0,4 – 0,03 км)</t>
  </si>
  <si>
    <t>Строительство участка ВЛИ 0,4 кВ от оп. №89-134 ВЛ-0,4 №3 от КТП-89 по ВЛ-10 415 ПС 35 кВ КГ4 и системы учета электрической энергии (мощности) на границе земельного участка для электроснабжения ЛПХ заявителя Вишницкого И.И., Ростовская область, Кагальницкий р-н, с. Иваново-Шамшево, ул. Береговая д.2Г (ориентировочная протяженность ВЛИ-0,4 – 0,05 км)</t>
  </si>
  <si>
    <t>Строительство участка ВЛИ 0,4 кВ от оп. №33-22 ВЛ-0,4 №1 от КТП-33 по ВЛ-10 1402 ПС 110 кВ ЗР14 и системы учета электрической энергии (мощности) на границе земельного участка для электроснабжения квартиры заявителя Казачины В.Я., Ростовская область, Зерноградский р-н, х. Вишневка, пер. Западный д.5 кв.1 (ориентировочная протяженность ВЛИ-0,4 – 0,1 км)</t>
  </si>
  <si>
    <t>Строительство участка ВЛИ 0,4кВ от опоры б/н ВЛ-0,4 кВ КТП 10/0,4 кВ №35 (на балансе Администрации Елизаветинского сельского поселения) ВЛ-10кВ №1814 ПС 35/10 кВ А-18 и системы учета электрической энергии (мощности) на границе земельного участка для электроснабжения жилого дома заявителя Паксеевой С.В., х. Обуховка, Азовский район, Ростовская область (ориентировочная протяженность ЛЭП – 0,05 км)</t>
  </si>
  <si>
    <t>Строительство участка ВЛИ-0,4кВ от оп. №1 ВЛ-0,4 кВ №2 КТП-10/0,4 кВ №98 ВЛ-10 кВ №1815 ПС 35/10 кВ «А-18» и системы учета электрической энергии (мощности) на границе земельного участка для электроснабжения жилого помещения заявителя Яковлевой И.В., х. Колузаево, Азовский р-он Ростовская область (ориентировочная протяженность ЛЭП – 0,09 км)</t>
  </si>
  <si>
    <t>Строительство участка ВЛИ 0,4кВ от опоры №36-50 ВЛ 0,4 кВ №1 ЗТП 10/0,4 кВ №36 ВЛ 10кВ №1901 РП-19 ПС 110/35/10 кВ Самарская и системы учета электрической энергии (мощности) на границе земельного участка для электроснабжения жилого дома заявителя Рубаниковой С.А., п. Каяльский, Азовский район, Ростовская область (ориентировочная протяженность ЛЭП – 0,075 км)</t>
  </si>
  <si>
    <t>Строительство участка ВЛИ 0,4кВ от опоры №121-38 6 ВЛ 0,4 кВ №2 КТП 10/0,4 кВ №121 ВЛ 10 кВ №1904 РП-19 ПС 110/35/10 кВ Самарская и системы учета электрической энергии (мощности) на границе земельного участка для электроснабжения жилого дома заявителя Зеленской Е.А., с. Новотроицкое, Азовский район, Ростовская область (ориентировочная протяженность ЛЭП – 0,07 км)</t>
  </si>
  <si>
    <t>Строительство участка ВЛИ 0,4кВ от опоры №41-61 ВЛ-0,4 кВ №3 ЗТП 10/0,4 кВ №41 (бесхозная) ВЛ 10 кВ №2608 от ПС 110/10 кВ А-26 и системы учета электрической энергии (мощности) на границе земельного участка для электроснабжения жилого дома заявителя Гиносян М.В., с. Кулешовка, Азовский район, Ростовская область (ориентировочная протяженность ЛЭП – 0,07 км)</t>
  </si>
  <si>
    <t>Строительство участка ВЛ-0,4кВ от оп. №32-104 ВЛ-0,4кВ №1 КТП 10/0,4кВ № 32 ВЛ 10кВ № 2907 РП-29 ПС 35/10 кВ А-18 и системы учета электрической энергии (мощности) на границе земельного участка для электроснабжения жилого дома заявителя Галкиной Р.А., Ростовская область, Азовский р-н, х. Коса (ориентировочная протяженность ЛЭП – 0,060 км)</t>
  </si>
  <si>
    <t>Строительство ВЛ 0,4 кВ от №316-5 ВЛ-0,4 кВ №1 МТП 10/0,4 кВ №316 ВЛ-10 кВ №211 ПС 35/10 кВ А-2 и установка коммерческого учета электрической энергии (мощности) на границе земельного участка для электроснабжения жилого дома заявителя Онищенко А.Г., х. Новоалександровка, Азовский р-он Ростовская область (ориентировочная протяженность ЛЭП – 0,03 км)</t>
  </si>
  <si>
    <t>Строительство ВЛ 0,4 кВ от №311-3/8 ВЛ 0,4 кВ №3 МТП 10/0,4 кВ №311 ВЛ 10кВ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Иванова Д.Ю., СХА "Кулешовское" поле III о, Азовский район, Ростовская область (ориентировочная протяженность ЛЭП – 0,03 км)</t>
  </si>
  <si>
    <t>Строительство ВЛ 0,4 кВ от проектируемой ВЛ 0,4 кВ (по договору ТП № 61-1-21-00580865 от 10.06.2021 г.) КТП 10/0,4 кВ №6 ВЛ-10 кВ №3113 от ПС 110/35/10 кВ А-31 и установка коммерческого учета электрической энергии (мощности) на границе земельных участков для электроснабжения нежилого здания заявителя ИП Старикова В.В., с. Пешково, Азовский р-он Ростовская область (ориентировочная протяженность ЛЭП – 0,08 км</t>
  </si>
  <si>
    <t>Строительство ВЛ 0,4 кВ от опоры №10-21 ВЛ-0,4 кВ №1 КТП 10/0,4 кВ №10 ВЛ-10 кВ №3125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Сониной Л.В., с.Пешково, Азовский район, Ростовская область (ориентировочная протяженность ЛЭП – 0,09 км)</t>
  </si>
  <si>
    <t>Строительство ВЛ 0,4 кВ от проектируемой ВЛ 0,4 кВ (по договору ТП № 61-1-21-00597887 от 03.09.2021г с заявителем Томышевой А.С.) ТП 10/0,4 кВ №329 ВЛ-10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Шарипова Х.И., ДНТ «Виктория», Азовский р-он Ростовская область (ориентировочная протяженность ЛЭП – 0,075 км)</t>
  </si>
  <si>
    <t>Строительство ВЛИ 0,4 кВ от РУ 0,4 кВ КТП 10/0,4 кВ №74 ВЛ 10 кВ №405 ПС 35/10 кВ Е-4 и установка коммерческого учета электрической энергии (мощности) на границе земельного участка для электроснабжения нежилого здания заявителя Грекова В.Н., Егорлыкский район, Ростовская область, к.н. 61:10:0600010:2221 (ориентировочная протяженность ЛЭП – 0,220 км)</t>
  </si>
  <si>
    <t>Строительство ВЛИ 0,4 кВ от оп.78-16 кВ ВЛ-0,4кВ № 1 КТП-78 ВЛ 10 № 507 ПС 35 кВ Е-5 и установка коммерческого учета электрической энергии (мощности) на границе земельного участка для электроснабжения жилого дома заявителя Чернышова А.Ю., х.Дудукалов, Егорлыкский район, Ростовская область, к.н. 61:10:0080201:129 (ориентировочная протяженность ЛЭП – 0,017 км)</t>
  </si>
  <si>
    <t>Строительство участка ВЛИ 0,4кВ от опоры №3-15 ВЛ-0,4 кВ №1 КТП 10/0,4 кВ №3 ВЛ-10кВ №2903 РП-29 ПС 35/10 кВ «А-18» и системы учета электрической энергии (мощности) на границе земельного участка для электроснабжения жилого дома заявителя Берко А.С., х. Обуховка, Азовский район, Ростовская область (ориентировочная протяженность ЛЭП – 0,03 км)</t>
  </si>
  <si>
    <t>Строительство участка ВЛИ 0,4кВ от опоры №190-3 ВЛ 0,4 кВ №1 КТП 10/0,4 кВ №190 ВЛ 10 кВ №3113 от ПС 110/35/10 кВ А-31 и системы учета электрической энергии (мощности) на границе земельного участка для электроснабжения жилого дома заявителя Сементяевой И.А., с. Пешково, Азовский район, Ростовская область (ориентировочная протяженность ЛЭП – 0,130 км)</t>
  </si>
  <si>
    <t>Строительство ВЛ 0,4 кВ от №8-13 ВЛ 0,4 кВ №1 КТП 10/0,4 кВ №8 ВЛ 10 кВ 3125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Бригадир М.И., Ростовская обл.  р-н. Азовский, с. Пешково (ориентировочная протяженность ЛЭП – 0,07 км)</t>
  </si>
  <si>
    <t>Строительство ВЛ 10 кВ от опоры №31-108 по ВЛ 10 кВ №2412 ПС 35/10 кВ А-24, ТП 10/0,4 кВ, ВЛ 0,4 кВ и системы учета электрической энергии (мощности) на границе земельного участка для электроснабжения жилого дома заявителя Федорец К.С., Ростовская обл.  р-н. Азовский, х. Полушкин (ориентировочная протяженность ЛЭП– 0,100 км, ориентировочная трансформаторная мощность – 0,025 МВА)</t>
  </si>
  <si>
    <t>Строительство ВЛ 0,4 кВ от №390-3 ВЛ-0,4 кВ №1 КТП 6/0,4 кВ №390 ВЛ-6 кВ №10701 ПС 110/35/6 кВ А-1 и установка коммерческого учета электрической энергии (мощности) на границе земельного участка для электроснабжения жилого дома заявителя Тужакова С.П., г. Азов, Азовский район, Ростовская область (ориентировочная протяженность ЛЭП – 0,05 км)</t>
  </si>
  <si>
    <t>Строительство ВЛ 0,4 кВ от опоры №390-3 ВЛ-0,4 кВ №1 КТП 6/0,4 кВ №390 ВЛ-6 кВ №10701 ПС 110/35/6 кВ А-1 и установка коммерческого учета электрической энергии (мощности) на границе земельного участка для электроснабжения жилого дома заявителя Авсециной О.В., г.Азов, Городской округ «Город Азов», Ростовская область (ориентировочная протяженность ЛЭП – 0,065 км)</t>
  </si>
  <si>
    <t>Строительство ВЛ 0,4 кВ от опоры №205-46 ВЛ 0,4 кВ №2 КТП 10/0,4 кВ №205 ВЛ 10 кВ 3127 ПС 110/35/10 кВ А-31 и установка коммерческого учета электрической энергии (мощности) на границе земельного участка для электроснабжения нежилой застройки заявителя Шелест Н.А., с. Кагальник, Азовский район, Ростовская область (ориентировочная протяженность ЛЭП – 0,04 км)</t>
  </si>
  <si>
    <t>Строительство участка ВЛИ-0,4кВ от опоры №95-13 ВЛ-0,4 КТП-95 ВЛ-10кВ № 1106 ПС 35кВ Е-11 установленных в рамках исполнения договора ТП 61-1-21-00597631, с заявителем ИП Волгиным В.С. и установка системы учета электрической энергии (мощности) на границе земельного участка для электроснабжения нежилого здания (навес) заявителя ИП Дорганова Н.Н., х.Изобильный, Егорлыкский р-он, Ростовская область (ориентировочная протяженность ЛЭП – 0,105 км)</t>
  </si>
  <si>
    <t>Строительство участка ВЛИ 0,4 кВ от оп. №191-8 ВЛ-0,4 №1 от КТП-191 по ВЛ-10 318 ПС 35 кВ КГ3 и системы учета электрической энергии (мощности) на границе земельного участка для электроснабжения жилого дома заявителя Попхадзе И.Г., Ростовская область, Кагальницкий р-н, ст. Кировская, к.н. 61:14:0050131:667 (ориентировочная протяженность ВЛИ-0,4 – 0,04 км)</t>
  </si>
  <si>
    <t>Строительство ВЛИ 0,4 кВ от оп.77-23 кВ ВЛ-0,4кВ № 1 КТП-77 ВЛ 10 № 313 ПС 35 кВ КГ3 и установка коммерческого учета электрической энергии (мощности) на границе земельного участка для электроснабжения ЛПХ заявителя Фащеева А.С., ст. Кировская, Кагальницкий район, Ростовская область, к.н. 61:14:0050103:21 (ориентировочная протяженность ЛЭП – 0,11 км)</t>
  </si>
  <si>
    <t>Строительство участка ВЛИ-0,4кВ от  опоры №211-47 ВЛ-0,4кВ № 1  КТП-211 ВЛ-10кВ № 612 ПС 35кВ Е-6  и установка системы учета электрической энергии (мощности) на границе земельного участка для электроснабжения Церкви Святого Саркиса Святой Армянской Апостольской Православной Церкви заявителя Местная религиозная организация Святой Армянской Апостольской Православной Церкви., х.Шаумяновский, Егорлыкский р-он, Ростовская область (ориентировочная протяженность ЛЭП – 0,016 км)</t>
  </si>
  <si>
    <t>Строительство ВЛ 0,4 кВ от проектируемой ВЛ 0,4 кВ (по договору ТП № 61-1-20-00549837 от 26.01.2021 г.) КТП 10/0,4 кВ №25 ВЛ 10кВ №1815 ПС 35/10 кВ А-18 и установка коммерческого учета электрической энергии (мощности) на границе земельных участков для электроснабжения жилого дома заявителя Севериновой Л.И., х.Курган, Азовский р-он Ростовская область (ориентировочная протяженность ЛЭП – 0,330 км</t>
  </si>
  <si>
    <t>Строительство ВЛ-10 кВ от оп. №57 по ВЛ-10кВ №1002 от ПС 110/35/10 кВ «Самарская», ТП-10/0,4 кВ, ВЛ-0,4 кВ и системы учета электрической энергии (мощности) на границе земельного участка для электроснабжения строительной площадки заявителя ООО "ДАУАВИН", Ростовская обл.  р-н. Азовский, в границах землепользования бывшего ТОО «Самарское» (ориентировочная протяженность ЛЭП– 0,410 км, ориентировочная трансформаторная мощность – 0,025 МВА)</t>
  </si>
  <si>
    <t>Строительство ВЛ 0,4 кВ от оп. №48-79 ВЛ 0,4 кВ № 1 КТП 10/0,4 кВ № 48 ВЛ 10кВ № 1815 ПС 35/10 кВ А-18 и установка коммерческого учета электрической энергии (мощности) на границе земельных участков для электроснабжения жилого дома заявителя Головина О.В, Рыболовецкий колхоз им.Ленина, Азовский р-он Ростовская область (ориентировочная протяженность ЛЭП – 0,215 км)</t>
  </si>
  <si>
    <t>Строительство ВЛ 0,4 кВ от оп. №48-70 ВЛ 0,4 кВ № 1 КТП 10/0,4 кВ № 48 ВЛ 10кВ № 1815 ПС 35/10 кВ А-18 и установка коммерческого учета электрической энергии (мощности) на границе земельных участков для электроснабжения трех жилых домов заявителя Головина О.В, Рыболовецкий колхоз им.Ленина, Азовский р-он Ростовская область (ориентировочная протяженность ЛЭП – 0,240 км)</t>
  </si>
  <si>
    <t>Строительство участка ВЛИ-0,4кВ от опоры №42-23 ВЛ-0,4 кВ №2 КТП-10/0,4 кВ №42 по ВЛ-10 кВ № 707 ПС 35/10 кВ Е-7 и установка системы учета электрической энергии (мощности) на границе земельного участка для электроснабжения сельского дома культуры заявителя МБУК Войновского сельского поселения Егорлыкского района «Войновский СДК», Егорлыкский р-он Ростовская область (1шт), (ориентировочная протяженность ЛЭП – 0,016 км)</t>
  </si>
  <si>
    <t>Строительство ВЛ-10 кВ от опоры №120 ВЛ-10 кВ №1815 ПС 35/10 кВ А-18, ТП-10/0,4 кВ, ВЛИ-0,4 кВ для подключения жилых домов заявителя ООО «Флавия Норд» х. Городище, Азовский р-он, Ростовская область (ориентировочная протяженность ЛЭП – 0,715 км, ориентировочная трансформаторная мощность – 0,063 МВА)</t>
  </si>
  <si>
    <t>Строительство ВЛ 0,4 кВ от №120-40 ВЛ-0,4 кВ №1 КТП 10/0,4 кВ №120 ВЛ-10 кВ №1107 ПС 35/10 кВ А-11 и установка коммерческого учета электрической энергии (мощности) на границе земельного участка для электроснабжения жилого дома заявителя Павлова А.А., с. Кагальник, Азовский район, Ростовская область (ориентировочная протяженность ЛЭП – 0,05 км)</t>
  </si>
  <si>
    <t>Строительство ВЛ 0,4 кВ от проектируемой ВЛ 0,4 кВ (по договору ТП № 61-1-21-00589387 от 20.07.2021г.) КТП 10/0,4 кВ №329 ВЛ 10кВ №106Н ПС 110/6/10 кВ НС-1 и установка коммерческого учета электрической энергии (мощности) на границе земельных участков для электроснабжения жилого дома заявителя Стрюк В.А., ДНТ «Виктория», Азовский р-он Ростовская область (ориентировочная протяженность ЛЭП – 0,03 км)</t>
  </si>
  <si>
    <t>Строительство ВЛ 0,4 кВ от №160-19 ВЛ-0,4 кВ №1 КТП 10/0,4 кВ №160 ВЛ-10 кВ №1101 ПС 35/10 кВ А-11 и установка коммерческого учета электрической энергии (мощности) на границе земельных участков для электроснабжения жилых домов заявителей Наумова М.С., Наумовой Л.В., с. Кагальник, Азовский район, Ростовская область (ориентировочная протяженность ЛЭП – 0,03 км)</t>
  </si>
  <si>
    <t>Строительство ВЛ 0,4 кВ от №16-151 ВЛ-0,4 кВ №3 КТП 10/0,4 кВ №16 ВЛ 10 кВ №2608 от ПС 110/10 кВ А-26 и установка коммерческого учета электрической энергии (мощности) на границе земельного участка для электроснабжения жилого дома заявителя Дзюба Е.И., с. Кулешовка, Азовский р-он Ростовская область (ориентировочная протяженность ЛЭП – 0,03 км)</t>
  </si>
  <si>
    <t>Строительство ВЛ 0,4 кВ от опоры №217-57 ВЛ-0,4 кВ №2 КТП 10/0,4 кВ №217 ВЛ-10 кВ №1107 ПС 35/10 кВ А-11 и установка коммерческого учета электрической энергии (мощности) на границе земельного участка для электроснабжения жилого дома заявителя Нестеренко Д.А., с. Кагальник, Азовский район, Ростовская область (ориентировочная протяженность ЛЭП – 0,05 км)</t>
  </si>
  <si>
    <t>Техническое перевооружение ВЛ 0,22 кВ от опоры №136-33 до опоры №136-35 по ВЛ-0,4 кВ №1 КТП-10/0,4 кВ №136 ВЛ-10 кВ №803 ПС 35/10 кВ А-8 для обеспечения возможности технологического присоединения жилого дома заявителя Горобовской Т.В., с. Семибалки, Азовский район Ростовская область (ориентировочная протяженность ЛЭП – 0,085км)</t>
  </si>
  <si>
    <t>Строительство ВЛ 0,4 кВ от опоры №7-11 ВЛ-0,4 №1 КТП-7 ВЛ-10 114 ПС 220 кВ Зерновая и установка коммерческого учета электрической энергии (мощности) на границе земельного участка для электроснабжения жилого дома заявителя Варнавского А.В., г. Зерноград, Зерноградский район, Ростовская область, к.н. 61:12:0040806:47 (ориентировочная протяженность ЛЭП – 0,03 км)</t>
  </si>
  <si>
    <t>Строительство ВЛ 0,4 кВ от опоры №202-37 ВЛ-0,4 №2 КТП-202 ВЛ-10 319 ПС 35 кВ КГ3 и установка коммерческого учета электрической энергии (мощности) на границе земельного участка для электроснабжения ЛПХ заявителя Петренко В.В., п. Мокрый Батай, Кагальницкий район, Ростовская область, к.н. 61:14:0060110:584 (ориентировочная протяженность ЛЭП – 0,03 км)</t>
  </si>
  <si>
    <t>Строительство совместного подвеса ВЛИ-0,4 кВ от КТП-95 ВЛ 10кВ № 1106 ПС 35кВ Е-11 в пролетах опор № 95-1*95-13 ВЛ 10кВ № 1106 ПС 35кВ Е-11 и установка системы учета электрической энергии (мощности) на границе земельного участка для электроснабжения нежилого помещения заявителя ИП Волгина В.С., х.Изобильный Егорлыкский район, Ростовская область (1шт.), (ориентировочная протяженность ЛЭП – 0,500 км)</t>
  </si>
  <si>
    <t>Строительство ВЛ 0,4 кВ от опоры №134-5 ВЛ-0,4 №1 КТП-134 ВЛ-10 101 ПС 220 кВ Зерновая и установка коммерческого учета электрической энергии (мощности) на границе земельного участка для электроснабжения жилого дома заявителя Ерылкина С.А., Зерноградский р-н., Ростовская область, к.н. 61:12:0040573:55 (ориентировочная протяженность ЛЭП – 0,03 км)</t>
  </si>
  <si>
    <t>Строительство ВЛ 0,4 кВ от опоры №136-48 ВЛ-0,4 кВ №2 КТП 10/0,4 кВ №136 ВЛ 10 кВ №3113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Бойко М.А., с. Пешково, Азовский район, Ростовская область, к.н. 61:01:0140101:8159 (ориентировочная протяженность ЛЭП – 0,08 км)</t>
  </si>
  <si>
    <t>Строительство ВЛ 0,4 кВ от опоры №311-1/10 ВЛ-0,4 кВ №3 МТП 10/0,4 кВ №311 ВЛ 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Хачатуровой Е.С., Ростовская область, Азовский район, СХА "Кулешовское" поле III о, к.н. 61:01:0600006:5005 (ориентировочная протяженность ЛЭП – 0,060 км)</t>
  </si>
  <si>
    <t>Строительство ВЛ 0,4 кВ от опоры №4-93 ВЛ-0,4 №4 КТП-4 ВЛ-10 305 ПС 35 кВ КГ3 и установка коммерческого учета электрической энергии (мощности) на границе земельного участка для электроснабжения жилого дома заявителя Белова С.А., ст. Кировская, Кагальницкий р-н, Ростовская область, к.н. 61:14:0050150:456 (ориентировочная протяженность ЛЭП – 0,07 км)</t>
  </si>
  <si>
    <t>Строительство ВЛ 0,4 кВ от оп. №63-29 ВЛ-0,4 №2 от КТП-63 по ВЛ-10 319 ПС 35 кВ КГ3 и системы учета электрической энергии (мощности) на границе земельного участка для электроснабжения жилого дома заявителя Суриковой В.В., Ростовская область, Кагальницкий р-н. п. Новоракитный, к.н. 61:14:0050902:110 (ориентировочная протяженность – 0,05 км)</t>
  </si>
  <si>
    <t>Строительство участка ВЛИ 0,4 кВ от оп. №123-41 ВЛ-0,4 №1 от КТП-123 по ВЛ-10 114 ПС 220 кВ Зерновая и системы учета электрической энергии (мощности) на границе земельного участка для электроснабжения жилого дома заявителя Забей-Ворота И.Г., Ростовская область, Зерноградский р-н, г. Зерноград, пер. Волжский д.5 (ориентировочная протяженность ВЛИ-0,4  – 0,23 км)</t>
  </si>
  <si>
    <t>Техническое перевооружение ВЛИ 0,4 кВ от оп. №5-11 ВЛ-0,4 №1 от КТП-5 по ВЛ-10 1407 ПС 110 кВ ЗР14 и системы учета электрической энергии (мощности) на границе земельного участка для электроснабжения квартиры заявителя Ивановой И.И., Ростовская область, Зерноградский р-н, х. Гуляй-Борисовка, к.н. 61:12:0011228:1(ориентировочная протяженность – 0,31 км)</t>
  </si>
  <si>
    <t>Строительство ВЛИ 0,4 кВ от РУ 0,4 кВ КТП -113 ВЛ 10 кВ №203 ПС 110 кВ Егорлыкская и установка коммерческого учета электрической энергии (мощности) на границе земельного участка для электроснабжения нежилого здания (склада) заявителя ИП Губиной В.Н., Егорлыкский район, Ростовская область, к.н. 61:10:0600014:2602 (ориентировочная протяженность ЛЭП – 0,550 км)</t>
  </si>
  <si>
    <t>Строительство ВЛ-10 кВ от оп. №71 по ВЛ-10кВ №1815 ПС 35/10 кВ А-18, ТП-10/0,4 кВ, ВЛ-0,4 кВ и системы учета электрической энергии (мощности) на границе земельного участка для электроснабжения жилого дома заявителя Зубова А.В., в 850 м от ориентира ПТ «Городище» по направлению на юго-восток Азовский район, Ростовская область (ориентировочная протяженность ЛЭП– 0,230 км, ориентировочная трансформаторная мощность – 0,025 МВА)</t>
  </si>
  <si>
    <t>Строительство участка ВЛИ 0,4кВ от РУ-0,4кВ КТП 10/0,4 кВ №46 ВЛ 10 кВ №1815 ПС 35/10 кВ А-18 и системы учета электрической энергии (мощности) на границе земельного участка для электроснабжения жилого дома заявителя Кравченко В.Н., х.Обуховка, Азовский район, Ростовская область (ориентировочная протяженность ЛЭП – 0,270 км)</t>
  </si>
  <si>
    <t>Строительство участка ВЛИ 0,4кВ от опоры №43-45 ВЛ 0,4 кВ №2 КТП 10/0,4 кВ №43 ВЛ 10 кВ 105Н ПС 110/6/10 кВ НС-1 и системы учета электрической энергии (мощности) на границе земельного участка для электроснабжения жилого дома заявителя Рындина Ю.Б., х. Шмат, Азовский район, Ростовская область (ориентировочная протяженность ЛЭП – 0,205 км)</t>
  </si>
  <si>
    <t>Строительство ВЛ-10 кВ от оп. №188 по ВЛ-10кВ №801 ПС 35/10 кВ «ЗР-8», ТП-10/0,4 кВ, ВЛ-0,4 кВ и системы учета электрической энергии (мощности) на границе земельного участка для электроснабжения производственной базы заявителя Перетятько А.А., х. Клюев, 3,6 км на северо-запад от него, Зерноградский р-н, Ростовская область (ориентировочная протяженность ЛЭП– 0,08 км, ориентировочная трансформаторная мощность – 0,063 МВА)</t>
  </si>
  <si>
    <t>Строительство ЛЭП 10 кВ от опоры № 22 по ВЛ 10 кВ №1101 ПС 35/10 кВ А-11,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Потапенко Н.М., Ростовская область, Азовский район, с.Кагальник, ул.Тельмана (ориентировочная протяженность ЛЭП– 0,070 км, ориентировочная трансформаторная мощность – 0,250 МВА)</t>
  </si>
  <si>
    <t>Строительство ЛЭП 10 кВ от опоры № 109 по ВЛ 10 кВ №1001 ПС 110/35/10 кВ Самарская, ТП 10/0,4 кВ, ЛЭП 0,4 кВ и установка системы учета электрической энергии (мощности) на границе земельного участка для электроснабжения нежилого строения ИП Корнилова С.В., Ростовская область, Азовский район, х. Победа (ориентировочная протяженность ЛЭП– 0,06 км, ориентировочная трансформаторная мощность – 0,250 МВА)</t>
  </si>
  <si>
    <t>Строительство ЛЭП 10 кВ от опоры №1-137 по ВЛ 10 кВ №1701 ПС 35/10 кВ А-17, ТП 10/0,4 кВ, ЛЭП 0,4 кВ и установка системы учета электрической энергии (мощности) на границе земельного участка для электроснабжения объектов заявителя ИП Мироненко С.А., Ростовская область, Азовский район, с. Круглое (ориентировочная протяженность ЛЭП– 0,09 км, ориентировочная трансформаторная мощность – 0,250 МВА)</t>
  </si>
  <si>
    <t>Строительство ВЛ-10 кВ от оп. №47 ВЛ-10 кВ №1815 ПС 35/10 кВ А-18, ТП-10/0,4 кВ, ВЛИ-0,4 кВ для подключения жилого дома заявителя Малыгина Е.В. х. Городище, Азовский район Ростовская область (ориентировочная протяженность ЛЭП – 0,860 км, ориентировочная трансформаторная мощность – 0,025 МВА)</t>
  </si>
  <si>
    <t>Строительство ВЛ 10 кВ от опоры № 6 по ВЛ 10 кВ №1010 РП-10 ПС 220/110/10 кВ А-20, ТП 10/0,4 кВ, ВЛИ 0,4 кВ и установка системы учета электрической энергии (мощности) на границе земельного участка для электроснабжения объекта наружного освещения ул. Дружбы заявителя Министерство транспорта Ростовской области, г. Азов, Ростовская область (ориентировочная протяженность ЛЭП– 0,065 км, ориентировочная трансформаторная мощность – 0,025 МВА)</t>
  </si>
  <si>
    <t>Строительство ВЛ-10 кВ от оп. 10 кВ оп. №20-131 (бесхозная) по ВЛ-10кВ №801 ПС 35/10 кВ «А-8», ТП-10/0,4 кВ, ВЛИ-0,4 кВ и установка системы учета электрической энергии (мощности) на границе земельного участка для электроснабжения дачного дома заявителя Гладкова Л.Я., х. Павло-Очаково, Азовский район Ростовская область (ориентировочная протяженность ЛЭП– 0,085 км, ориентировочная трансформаторная мощность – 0,025 МВА)</t>
  </si>
  <si>
    <t>Строительство ВЛ 6 кВ от опоры № 11 по ВЛ 6 кВ №10706 ПС 110/35/6 кВ А-1, ТП 6/0,4 кВ, ВЛИ 0,4 кВ и установка системы учета электрической энергии (мощности) на границе земельного участка для электроснабжения производственного помещения заявителя Зозуля С.Ю., г.Азов, Ростовская область (ориентировочная протяженность ЛЭП– 0,04 км, ориентировочная трансформаторная мощность – 0,250 МВА)</t>
  </si>
  <si>
    <t>Строительство ВЛ-10 кВ от оп. №57 по ВЛ-10кВ №1002 от ПС 110/35/10 кВ «Самарская», ТП-10/0,4 кВ, ВЛ-0,4 кВ и системы учета электрической энергии (мощности) на границе земельного участка для электроснабжения жилого дома заявителя Триф И.В., Ростовская обл.  р-н. Азовский, в границах землепользования бывшего ТОО «Самарское» (ориентировочная протяженность ЛЭП– 0,03км, ориентировочная трансформаторная мощность – 0,025 МВА)</t>
  </si>
  <si>
    <t>Строительство ЛЭП 10 кВ от опоры № 5-34 по ВЛ 10 кВ №1101 ПС 35/10 кВ А-11, ТП 10/0,4 кВ, ЛЭП 0,4 кВ и установка системы учета электрической энергии (мощности) на границе земельного участка для электроснабжения нежилого помещения заявителя Оганесян М.В., Ростовская область, Азовский район, с.Кагальник, ул.Пролетарская (ориентировочная протяженность ЛЭП– 0,060 км, ориентировочная трансформаторная мощность – 0,160 МВА)</t>
  </si>
  <si>
    <t>Строительство ЛЭП 10 кВ от опоры №184 по ВЛ 10 кВ №3129 ПС 110/35/10 кВ А-31, 2хТП 10/0,4 кВ, ЛЭП 0,4 кВ и установка системы учета электрической энергии (мощности) на границе земельных участков для электроснабжения 4-х объектов сельскохозяйственного производства заявителя ИП Глава К(Ф)Х Дорошенко Р.И., в границах СПК «Заветы Ильича», поля №137-140, №124, №122, №121 Азовский район, Ростовская область, к.н. 61:01:0600012:734, к.н. 61:01:0600012:726, к.н. 61:01:0600012:933, к.н. 61:01:0600012:723 (ориентировочная протяженность ЛЭП- 1,590 км, ориентировочная трансформаторная мощность – 2х0,400 МВА)</t>
  </si>
  <si>
    <t>Строительство ЛЭП 10 кВ от опоры № 159 по ВЛ 10 кВ 1507 ПС 110/10кВ ЗР15, ТП 10/0,4 кВ, ЛЭП 0,4 кВ и установка системы учета электрической энергии (мощности) на границе земельного участка для электроснабжения здания проходной заявителя ИП Харьковской А.А., Ростовская область, г. Зерноград, к.н. 61:12:0040102:422 (ориентировочная протяженность ЛЭП– 0,045 км, ориентировочная трансформаторная мощность – 0,250 МВА)</t>
  </si>
  <si>
    <t>Строительство ЛЭП 10 кВ от опоры №6-1 по ВЛ 10 кВ №801 ПС 35/10 кВ А-8, ТП 10/0,4 кВ, ЛЭП 0,4 кВ и установка системы учета электрической энергии (мощности) на границе земельного участка для электроснабжения базы отдыха Савченко В.Ю., Ростовская область, Азовский район, х. Павло-Очаково (ориентировочная протяженность ЛЭП– 0,06 км, ориентировочная трансформаторная мощность – 0,250 МВА)</t>
  </si>
  <si>
    <t>Строительство ЛЭП 10 кВ от опоры №57 по ВЛ 10 кВ №107Н ПС 110/10/6 кВ НС-1, ТП 10/0,4 кВ, ЛЭП 0,4 кВ и установка системы учета электрической энергии (мощности) на границе земельного участка для электроснабжения складского помещения ООО «СпецТех», Ростовская область, Азовский район, п. Овощной (ориентировочная протяженность ЛЭП– 0,03 км, ориентировочная трансформаторная мощность – 0,250 МВА)</t>
  </si>
  <si>
    <t>Строительство ЛЭП 10 кВ от опоры №34 по ВЛ 10 кВ №1107 ПС 35/10 кВ А-11, ТП 10/0,4 кВ, ЛЭП 0,4 кВ и установка системы учета электрической энергии (мощности) на границе земельного участка для электроснабжения магазина ИП Мироненко С.А., Ростовская область, Азовский район, с. Кагальник (ориентировочная протяженность ЛЭП– 0,03 км, ориентировочная трансформаторная мощность – 0,100 МВА)</t>
  </si>
  <si>
    <t>Строительство ЛЭП 10 кВ от опоры №224 по ВЛ 10 кВ №103 ПС 110/35/10 кВ Звонкая-110, ТП 10/0,4 кВ, ЛЭП 0,4 кВ и установка системы учета электрической энергии (мощности) на границе земельного участка для электроснабжения складского здания заявителя ИП Роговой Т.А., Ростовская область, Кагальницкий район, к.н.: 61:14:0600019:3331 (ориентировочная протяженность ЛЭП– 0,070 км, ориентировочная трансформаторная мощность – 0,250 МВА)</t>
  </si>
  <si>
    <t>Строительство ВЛ-10 кВ от оп. №11-48 по ВЛ-10кВ 318 ПС 35 кВ КГ3, ТП-10/0,4 кВ, ВЛ-0,4 кВ и системы учета электрической энергии (мощности) на границе земельного участка для электроснабжения гаражей, заявителя ИП Мизюковой Т. В., Ростовская обл.  р-н. Кагальницкий, х. Николаевский, ул. Луговая: д. 199А; 197А (ориентировочная протяженность ЛЭП– 0,10км, ориентировочная трансформаторная мощность – 0,250 МВА)</t>
  </si>
  <si>
    <t>Строительство ЛЭП 10 кВ от опоры № 41 по ВЛ 10 кВ №1002 ПС 110/35/10 кВ Самарская,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Высочина Г.В., Ростовская область, Азовский район, с.Самарское, пер.Жданова (ориентировочная протяженность ЛЭП– 0,380км, ориентировочная трансформаторная мощность – 0,250 МВА)</t>
  </si>
  <si>
    <t>Строительство участка ВЛ-0,4 кВ от опоры № 1, ВЛ-0,4 кВ №1, КТП №680, ВЛ-6 кВ «Восход», ПС 110/6 кВ «Б-1», для подключения жилого дома Жигулиной О.М., расположенного по адресу: Ростовская обл., Белокалитвинский р-н, х.Поцелуев, ул.Есенина д. 19, кв. 2. (ориентировочная протяженность ЛЭП – 0,355 км)</t>
  </si>
  <si>
    <t>Строительство участка ВЛ-0,4 кВ от опоры № 28, ВЛ-0,4 кВ №2, КТП №168, ВЛ-10 кВ №1, ПС 110/35/10/6 кВ «К-4», для подключения строящегося жилого дома Воликова Л.В. расположенного по адресу: Ростовская обл., Каменский р-н, х. Астахов, ул. Кирова, д.24, корпус А к.н. 61:15:020201:0056 (ориентировочная протяженность ЛЭП – 0,149км)</t>
  </si>
  <si>
    <t>Строительство участка ВЛИ-0,4 кВ от опоры № 2, ВЛ-0,4 кВ № 1, КТП № 89, ВЛ-10 кВ № 3, ПС 110/10 кВ «Головокалитвинская», для подключения жилого дома Похивка Е.Г., расположенного по адресу: Ростовская обл., Белокалитвинский р-н, х. Раздолье, улица Лесная, дом № 12, КНЗУ 61:04:0090301:48 (ориентировочная протяженность ЛЭП – 0,150 км, прибор учёта электроэнергии - 1 шт.)</t>
  </si>
  <si>
    <t>Строительство участка ВЛ-0,4 кВ от ВЛ-0,4 кВ № 1 КТП №123, ВЛ 10 кВ № 4, ПС-110/10 кВ «Головокалитвинская», для подключения модульного здания Дома культуры МБУК Литвиновская клубная смстема, расположенного по адресу: Ростовская обл., Белокалитвинский р-н, х. Кононов, ул. Центральная, д. 66 а, к.н.з.у. 61:04:0090402:561 (ориентировочная протяженность ЛЭП – 0,077 км,  прибор учёта электроэнергии - 1 шт.)</t>
  </si>
  <si>
    <t>Строительство участка ВЛИ-0,4 кВ  от ВЛ – 0,4 кВ № 1, КТП №  22,ВЛ-10  кВ  №  2, ПС  110/35/10/6  кВ   «К - 4»  для  подключения  жилого  дома Долженко С.И., расположенного по адресу: Ростовская область, Каменский район, хутор Масаловка, ул. Дружбы, д. № 17, корпус В, КНЗУ 61:15:0080201:1623 (ориентировочная протяженность ЛЭП – 0,356 км, прибор учёта электроэнергии - 1 шт.)</t>
  </si>
  <si>
    <t>Строительство участка ВЛ-0,4 кВ от РУ-0,4 кВ КТП № 138, ВЛ- 10 кВ №4, ПС 35/10 кВ «Обливская-2», для подключения жилых домов Гончаровой О.В., Жаманбалиевой А.Б., расположенных по адресу: Ростовская область, Обливский район, х. Трухин, ул. Овражная дом 5, 10, к.н. 61:27:0050701:13, 61:27:0050701:38, (ориентировочная протяженность ЛЭП – 0,607 км, прибор учёта электроэнергии – 2 шт.)</t>
  </si>
  <si>
    <t>Строительство участка ВЛ-10 кВ от опоры № 17 Л-205, ВЛ-10 кВ № 3, ПС 35/10 кВ «Каменская СХТ», ТП 10/0,4 кВ и ВЛ-0,4 кВ от РУ-0,4 кВ проектируемой ТП 10/0,4 кВ, для подключения строящегося склада ИП Рудакова Д.В. расположенного по адресу: Ростовская обл., Каменский р-н, х. Старая Станица,АКХ «Колос», пастбище 12г, КН ЗУ 61:15:06002101:2655 (ориентировочная протяженность ЛЭП –1,420 км, трансформаторная мощность – 0,160 МВА, прибор учёта электроэнергии - 1шт)</t>
  </si>
  <si>
    <t>Строительство участка ВЛИ-0,4кВ от РУ-0,4кВ КТП 10/0,4кВ №6 ВЛ-10 №3113 ПС 110/35/10 «А-31» для подключения ангара заявителя Главы КФХ Могила В.П., с. Пешково Азовский район, Ростовская область (ориентировочная протяженность ЛЭП – 0,150км)</t>
  </si>
  <si>
    <t>Строительство участка ВЛИ 0,4кВ от РУ-0,4кВ КТП 10/0,4 кВ №48 ВЛ 10 кВ №1815 ПС 35/10 кВ А-18 и системы учета электрической энергии (мощности) на границе земельного участка для электроснабжения жилого дома заявителя Назаретян С.Ш., Рыболовецкий колхоз им. Ленина, Азовский район, Ростовская область (ориентировочная протяженность ЛЭП – 0,700 км)</t>
  </si>
  <si>
    <t>Строительство ВЛ 10 кВ от опоры №104 по ВЛ 10 кВ №3113 ПС 110/35/10 кВ А-31, ТП 10/0,4 кВ, ВЛ 0,4 кВ и установка систем учета электрической энергии (мощности) на границе земельных участков для электроснабжения 10 жилых домов заявителя ООО «РСК Юг», с. Пешково, Азовский район, Ростовская область (ориентировочная трансформаторная мощность – 0,250 МВА, ориентировочная протяженность ЛЭП– 0,200 км)</t>
  </si>
  <si>
    <t>Техническое перевооружение ВЛ 0,4 кВ №1 от РУ-0,4 кВ КТП 10/0,4 кВ №143 ВЛ 10 кВ №1411 РП-14 ПС 110/35/10 кВ А-32 для обеспечения возможности технологического присоединения объектов заявителей Самойленко Д.М., Самойленко М.В., п. Новополтавский, Азовский район Ростовская область (ориентировочная протяженность ЛЭП – 0,590км)</t>
  </si>
  <si>
    <t>Строительство КВЛ 6 кВ от резервной ячейки 6 кВ №18 «Резерв -18» на ПС 110/35/6 кВ «Гундоровская», для технологического присоединения тепличного комплекса ООО "ПМТ», расположенного по адресу: Ростовская область, городской округ муниципальное образование «Город Донецк»  г. Донецк, ул. Чехова, 26,  к.н.з.у. 61:5:0020105:471 (ориентировочная протяженность ЛЭП 0,12 км, в том числе ГНБ 0,03 км, прибор учёта электроэнергии 2 МВт - 1шт)</t>
  </si>
  <si>
    <t>Строительство ВЛЗ-10 кВ от ПС 35/10 кВ Е-1, ТП-10/0,4 кВ, ВЛИ-0,4 кВ для подключения дачного домика заявителя Берковцева В.В., Егорлыкский р-он, Ростовская область (ориентировочная протяженность ЛЭП – 0,470 км, ориентировочная трансформаторная мощность – 0,025 МВА)</t>
  </si>
  <si>
    <t>Строительство участка ВЛ-6 кВ от существующей оп. №127 ВЛ-6 кВ «Россия» от ПС Ш-12, с установкой ТП-6/0,4 кВ, и строительство ВЛИ-0,4 кВ от вновь установленной ТП-6/0,4 кВ для присоединения кондитерского цеха ИП Сенаторова Н.А. (ориентировочная протяженность ЛЭП 0,015 км, ориентировочная мощность трансформатора 160 кВА)</t>
  </si>
  <si>
    <t xml:space="preserve"> Строительство участка ВЛ-10 кВ от существующей оп. №243 по ВЛ-10 кВ «Федоровка» от ПС С-5, с установкой ТП-10/0,4 кВ, и строительство ВЛИ-0,4 кВ от вновь установленной ТП-10/0,4 кВ для присоединения ВРУ-0,4 кВ освещения, насосов, Ростовская обл., Красносулинский район, СПК «Федоровский», примерно 5,8 км от х. Обухов №4 (ООО Щебторг) (ориентировочная протяженность ЛЭП 0,56 км, ориентировочная мощность трансформатора 250 кВА)</t>
  </si>
  <si>
    <t>«Строительство ВЛ 10 кВ от  проектируемой ВЛ 10 кВ (по договору № 61-1-19-00480445 от 20.11.2019г.) от опоры №65/49 по ВЛ 10 кВ №8 ПС 35/10кВ «Ореховская», строительство ПКУ на границе балансовой принадлежности, для технологического присоединения КФХ заявителя, ООО «Транс - Маркет», расположенного в Ростовской области, Миллеровский р-н, х. Локтев,  (61:22:0600027:46), (ориентировочная   протяженность ЛЭП – 0,22 км.)»</t>
  </si>
  <si>
    <t>Строительство   ВЛ 10 кВ от опоры №110/73 по ВЛ 10 кВ №5 ПС 110/10кВ «Дёгтевская», строительство ПКУ на границе балансовой принадлежности, для технологического присоединения объекта торговли, Заявитель ООО «МАК-Лоджистик»., расположенного в Ростовской области, Миллеровский р-н, с северной стороны от сл. Дёгтево (61:22:0600006:1508), ориентировочная   протяженность ЛЭП – 0,1 км.</t>
  </si>
  <si>
    <t>Реконструкция участка ВЛИ-0,4 кВ от опоры №1/3 до опоры №1/9 ВЛ-0,4 кВ №1 КТП-3458 ВЛ-10 кВ №2  ПС 35 кВ Комиссаровская и установка прибора коммерческого учета электрической энергии (мощности) в точке поставки для присоединения жилого помещения Ульяновой Т.Г., расположенного по адресу: Ростовская область, Дубовский район, х. Сиротский, ул. Молодежная, д. 28, кв. 1, к.н.з.у. 61:09:0090101:1813 (ориентировочная протяженность ЛЭП 0,21 км)</t>
  </si>
  <si>
    <t xml:space="preserve">Строительство ВЛ 0,4 кВ от РУ 0,4 кВ КТП 10 кВ №447, ВЛ 10 кВ №705 ПС 35 кВ В7 для электроснабжения жилого дома Оджа Р. М. на участке с КН 61:06:0020101:6 в Веселовском районе, РО, х. Верхнесоленый, ул. Заречная, 14 </t>
  </si>
  <si>
    <t>Строительство ВЛ 10 кВ от ВЛ 10 кВ №407 ПС 110 кВ СМ4 до проектируемой  ВЛ 10 кВ по договору №61-1-19-00486467 (ООО Стройснаб), строительство ТП 10/0,4 кВ, ВЛ 0,4 кВ, ВЛ10 кВ от ВЛ10 кВ КРС №407 ПС110 Ш34 для электроснабжения ВРУ-0,4 кВ нежилого здания заявителя Синцова В.В. по адресу: Р.О., Усть-Донецкий р-н, ст-ца Раздорская, левый берег р. Дон, к.н.: 61:39:0000000:6684 (ориентировочная мощность трансформатора 0,040 МВА, ориентировочная протяжённость ЛЭП 5,455км)» (II этап)</t>
  </si>
  <si>
    <t>Строительство ВЛ 10 кВ от опоры № 214-188 по ВЛ-10кВ №1802 ПС 35/10 кВ А-18, ТП 10/0,4 кВ, ВЛ 0,4 кВ и установка системы учета электрической энергии (мощности) на границе земельного участка для электроснабжения жилого дома заявителя Пасика Р.П., х.Донской Азовского района, Ростовская область (ориентировочная протяженность ЛЭП– 0,06 км, ориентировочная трансформаторная мощность – 0,025 МВА)</t>
  </si>
  <si>
    <t xml:space="preserve">Строительство КЛ 6 кВ, ТП 6/0,4 кВ, КЛ 0,4 кВ от КЛ 6 кВ №24-25 ПС 110 кВ Р24 для электроснабжения производственной базы (ИП Бабичева Т.Ф.) расположенного по адресу: г. Ростов-на-Дону, пер. Радиаторный, д.11/3, к.н. 61:44:0081116:56 </t>
  </si>
  <si>
    <t>Строительство ТП 6/0,4 кВ, КЛ 6 кВ от опоры №36 ВЛ 6 кВ №603 ПС 110 кВ АС6 для электроснабжения подсобного хозяйства Религиозной организации «Свято-Донской Старочеркасский мужской монастырь Ростовской-на-Дону Епархии Русской Православной Церкви (Московской Патриархат)</t>
  </si>
  <si>
    <t xml:space="preserve">Строительство КЛ 0,4 кВ от РУ 0,4 кВ ТП 10/0,4 кВ №113 по КЛ 10 кВ №625, №628 ПС 110 кВ Р6 для электроснабжения жилого дома Ивлеевой А.О. в г. Ростов-на-Дону, ул. Прогулочная, д.5 </t>
  </si>
  <si>
    <t xml:space="preserve">Строительство КЛ 10 кВ от КЛ 10 кВ №104ф1 РП 10 кВ №104 ПС 110 кВ Р19 для электроснабжения автомобильного салона (ИП Недогоновой Т.В.), расположенной по адресу: г. Ростов-на-Дону, ул. Доватора, д. 273, КН 61:44:0070502:19 </t>
  </si>
  <si>
    <t xml:space="preserve">Строительство ТП 6/0,4 кВ, КЛ 6 кВ от КЛ 6 кВ №31-44 ПС 110 кВ Р31 для электроснабжения производственной базы, на участке с КН 61:44:0062502:273 в г. Ростов-на-Дону, ул. Луговая 2-я, д.10, корп. А. </t>
  </si>
  <si>
    <t xml:space="preserve">Строительство ТП-10/0,4 кВ, ЛЭП 10 кВ, ЛЭП 0,4 кВ от опоры № 50 ВЛ 10 кВ №401 ПС 110 кВ АС4 для электроснабжения нежилых зданий ИП Гулуа Р.З., для электроснабжения ВРУ 0,4 кВ нежилых зданий ООО «Экогазтехнолоджи» в х. Ленина, ул. Тенисная, Аксайского района, Ростовской области </t>
  </si>
  <si>
    <t>3.1.2.1.3.1</t>
  </si>
  <si>
    <t>Строительство КЛ в траншеях многожильные с резиновой и пластмассовой изоляцией сечением провода от 100 до 200 квадратных мм включительно с одним кабелем в траншее</t>
  </si>
  <si>
    <t xml:space="preserve">Строительство двух КВЛ 10 кВ от ячеек №23 и №24 ПС 110 кВ АС10 для электроснабжения РТП-1 ГК “Российские автомобильные дороги” на участке с КН 61:55:0010901:10 в г. Новочеркасске Ростовской области </t>
  </si>
  <si>
    <t>«Строительство КЛ 0,4 кВ от ТП 6/0,4 кВ №305 по КЛ 6кВ №161 и КЛ 6кВ №162 от РП 6кВ №16 по КЛ 6кВ №1316/1 и КЛ 6кВ №1316/2 от ПС 110/35/6 кВ Т-13 для технологического присоединения нежилого помещения Заявителя (АО «ИНТЭК») по адресу: Ростовская область, г. Таганрог, ул. 4-я Линия, к.н. 61:58:0004524:30 (ориентировочная протяженность ЛЭП 2х0,26 км)»</t>
  </si>
  <si>
    <t>3.6.2.1.2.1.</t>
  </si>
  <si>
    <t>Кабельные линии, прокладываемые методом горизонтального наклонного бурения, многожильные с резиновой или пластмассовой изоляцией сечением провода от 50 до 100 квадратных мм включительно с одной трубой в скважине</t>
  </si>
  <si>
    <t>0,4кВ</t>
  </si>
  <si>
    <t xml:space="preserve"> Строительство ТП-10/0,4 кВ от существующей оп.№59 ВЛ 10 кВ «Кутейниково» ПС 110/35/10 кВ Н-9 и ВЛИ-0,4 кВ от вновь установленной ТП-10/0,4 кВ для присоединения стоянки для с/х техники ИП Раздорского А.В. (ориентировочная протяженность ЛЭП 0,020 км, ориентировочная мощность трансформатора 25 кВА)</t>
  </si>
  <si>
    <t>Строительство ТП 6/0,4 кВ, ВЛ 0,4 кВ, ВЛ 6 кВ от ВЛ 6 кВ №807 ПС 35 кВ АС8 для электроснабжения ВРУ 0,4 кВ нежилой застройки Чевычалова А. И. на участке с КН 61:02:0600011:1281 в х. Большой Лог Аксайского района Ростовской области</t>
  </si>
  <si>
    <t>"Строительство ВЛ 10 кВ от опоры №1-00/183 ВЛ 10 кВ Л-1 Ивановская, строительство КТП 10/0,4 и ВЛ 0,4 кВ для электроснабжения объекта –«насосная станция», расположенного по адресу: РФ, Ростовская область, Сальский район, с. Ивановка, 6 км от с. Ивановка, стр. б/н, к.н.з.у. 61.34.0600018:0966, заявитель Колесников М.М.» (Ориентировочная протяженность ЛЭП - 4,41 км, ориентировочная мощность ТП – 0,025 МВА)"</t>
  </si>
  <si>
    <t>Техническое перевооружение ТП 10/0,4 кВ №3-101 по ВЛ 10 кВ №3 ПС 110/35/10 кВ Чалтырь с заменой силового трансформатора для технологического присоединения Заявителей (Хартавакян А.А., Хошафян А.М., Лимарев А.И.) по адресу: Ростовская область, Мясниковский район, с. Чалтырь, линия 16-я, д.24, д.26, ул. Олимпийская, д №28-а (мощность силового трансформатора 100 кВА)</t>
  </si>
  <si>
    <t>Строительство участка ВЛ-10 кВ от опоры №29 ВЛ-10 кВ №13 ПС 35/10 кВ Андреевская, с установкой ТП-10/0,4 кВ и строительство ВЛИ-0,4 кВ от РУ-0,4 кВ вновь установленной ТП-10/0,4 кВ  для присоединения жилого помещения Отроды Т.П., квартиры Кравченко Л.В. и квартиры в жилом доме Яценко В.Р., расположенных по адресам: Ростовская область, Дубовский район, станица Андреевская, ул. Восточная, д.34, кв.2, к.н. 61:09:0600011:500;  ул. Кольцевая, д.1, кв.1, к.н. 61:09:0080101:1918 и кв.2, к.н. 61:09:0080101:0:724 (ориентировочная протяженность ЛЭП 0,49 км, ориентировочная мощность трансформатора 40 кВА)</t>
  </si>
  <si>
    <t>Строительство ТП 6/0,4 кВ, ВЛ 0,4 кВ, ВЛ 10 кВ от ВЛ 6 кВ №807 ПС 35 кВ АС8 для электроснабжения объекта сельскохозяйственного объекта ООО НПФ «ФИТЭКО» на участке с КН 61:02:0600011:1808 в п. Мускатный Аксайского района Ростовской области</t>
  </si>
  <si>
    <t>Техперевооружение КТП 6/0,4 кВ № 329 ВЛ 6 кВ Орошение ПС 110 кВ Ш9 для электроснабжения объекта животноводства ИП Дроздов А.Ю. в р-н. Красносулинский, Пролетарское сельское поселение, на землях ПСХ “Соколовское’, кадастровьпй номер земельного участка: 61:18:0600022:900 (ориентировочная мощность трансформатора 0,25 МВА)</t>
  </si>
  <si>
    <t>Строительство ТП 6/0,4 кВ, ВЛ 0,4 кВ, ВЛ 6 кВ от ВЛ 6 кВ №3 РП-6 КЛ 6кВ №340 ПС 110 кВ БТ3 для электроснабжения нежилой застройки ИП Кудина Ю. П. на участке с КН 61:01:0600007:2314 в п. Красный Сад Азовского района Ростовской области</t>
  </si>
  <si>
    <t>Техническое перевооружение КТП 7295 ВЛ 10 кВ №15 ПС 110 кВ Константиновская, с заменой силового трансформатора, и установка прибора коммерческого учета электрической энергии (мощности) в точке поставки для присоединения сторожки ООО «Костины Горы», расположенной по адресу: Ростовская область, Константиновский район, АО «Ленинский Путь», к.н.з.у.: 61:17:0600010:781 (ориентировочная мощность трансформатора 0,16 МВА)</t>
  </si>
  <si>
    <t xml:space="preserve">Строительство ТП 10/0,4 кВ, ВЛ 10 кВ по ВЛ 10 кВ №111 ПС 110 кВ АС1, ВЛ 0,4 кВ от РУ 0,4 кВ нового ТП 10/0,4 кВ для электроснабжения нежилой застройки ИП Шкарпитко О.Н. на участке с КН 61:02:0600016:4512 в Ростовской области,  Аксайского района х. Маяковского, </t>
  </si>
  <si>
    <t>"Строительство ВЛ 10 кВ от опоры №13-00/11 ВЛ 10 кВ Л-13 Пролетарская, строительство КТП 10/0,4 и ВЛ 0,4 кВ для электроснабжения объекта – «производственное здание/помещение», расположенного по адресу: РФ, Ростовская область, Пролетарский район, г. Пролетарск, пер Чкалова, д. 22-в, к.н.: 61:31:0110470:12, заявитель ООО «Импульс» (Ориентировочная протяженность ЛЭП – 0,015 км, ориентировочная мощность ТП – 0,25 МВА)"</t>
  </si>
  <si>
    <t>5.1.4.3</t>
  </si>
  <si>
    <t>5.1.4.4</t>
  </si>
  <si>
    <t>5.1.4.5</t>
  </si>
  <si>
    <t>Строительство участка ВЛ-10кВ от опоры 6-00/237 по ВЛ-10кВ Л-6 Целинская и участка ВЛ-10кВ от опоры 1-03/11 по ВЛ-10кВ Л-1 Лопанская, строительство КТП 10/0,4 и ВЛ 0,4 кВ для электроснабжения скважин №11-14, 16-19 и насосной станции второго подъема, расположенных по адресу: Ростовская область, Целинский район, заявитель Администрация Целинского района Ростовской области» (Ориентировочная протяженность ЛЭП – 15,38 км, ориентировочная мощность ТП – 0,9 МВА)</t>
  </si>
  <si>
    <t>Техническое перевооружение ТП 6/0,4 кВ №51 по КВЛ 6 кВ №3 ПС 110/6 кВ Т-5 с заменой силового трансформатора для технологического присоединения нежилого здания Заявителя (ИП Иванов С.О.) по адресу: ростовская область, г. Таганрог, пл. Красная, 27 к.н. 61:58:02511:0008. ( мощность силового трансформатора 630 кВА)</t>
  </si>
  <si>
    <t>Установка системы учета для технологического присоединения энергопринимающих устройств Заявителя (Ахвердян К.Р.) по адресу: Ростовская область, Мясниковский район, х. Красный Крым, ул. Лермонтовская, д. 12, к.н. 61:25:0600401:17053 (1 шт.)</t>
  </si>
  <si>
    <t>Установка системы учета для технологического присоединения энергопринимающих устройств Заявителя (Богданова Т.В.) по адресу: Ростовская область, Мясниковский район, х. Красный Крым, ул. Лермонтовская, д. 6, к.н. 61:25:0600401:17056 (1 шт.)</t>
  </si>
  <si>
    <t>Установка системы учета для технологического присоединения энергопринимающих устройств Заявителя (Боровинских О.Н.) по адресу: Ростовская область, Мясниковский район, х. Красный Крым, ул. Осенняя, д. 16/а, к.н. 61:25:0600401:18627 (1 шт.)</t>
  </si>
  <si>
    <t>Установка системы учета для технологического присоединения энергопринимающих устройств Заявителя (Гордиенко М.Е.) по адресу: Ростовская область, Мясниковский район, с. Чалтырь, ул. 15-я линия, д. 9/к, к.н. 61:25:0101243:892 (1 шт.)</t>
  </si>
  <si>
    <t>Установка системы учета для технологического присоединения энергопринимающих устройств Заявителя (Егизарян Л.В.) по адресу: Ростовская область, Мясниковский район, х. Красный Крым, ул. Пушкинская, д. 48, к.н. 61:25:0600401:16313 (1 шт.)</t>
  </si>
  <si>
    <t>Установка системы учета для технологического присоединения энергопринимающих устройств Заявителя (Ефремова Т.С.) по адресу: Ростовская область, Мясниковский район, х. Красный Крым, ул. Сатхинская, д. 27 к.н. 61:25:0600401:17254 (1 шт.)</t>
  </si>
  <si>
    <t>Установка системы учета для технологического присоединения энергопринимающих устройств Заявителя (Карюк А.П.) по адресу: Ростовская область, Мясниковский район, х. Ленинакан, ул. Осенняя, д. 8/а, к.н. 61:25:0600401:18625 (1 шт.)</t>
  </si>
  <si>
    <t>Установка системы учета для технологического присоединения энергопринимающих устройств Заявителя (Кудря Н.А.) по адресу: Ростовская область, Мясниковский район, х. Ленинакан, ул. Майская, д. 17/а, к.н. 61:25:0600401:16748 (1 шт.)</t>
  </si>
  <si>
    <t>Установка системы учета для технологического присоединения энергопринимающих устройств Заявителя (Хусинова Е.А.) по адресу: Ростовская область, Мясниковский район, х. Ленинакан, ул. Майская, д. 16, к.н. 61:25:0600401:19123 (1 шт.)</t>
  </si>
  <si>
    <t>Установка системы учета для технологического присоединения энергопринимающих устройств Заявителя (Цыганская Ю.А.) по адресу: Ростовская область, Мясниковский район, х. Ленинакан, ул. Майская, д. 1/а, к.н. 61:25:0600401:17600 (1 шт.)</t>
  </si>
  <si>
    <t>Установка системы учета для технологического присоединения энергопринимающих устройств Заявителя (Мкртчян С.С.) по адресу: Ростовская область, Мясниковский район, х. Красный Крым, ул. Сатхинская, д. 13 к.н. 61:25:0600401:17262 (1 шт.)</t>
  </si>
  <si>
    <t>Установка системы учета для технологического присоединения энергопринимающих устройств Заявителя (Панарина А.В.) по адресу: Ростовская область, Мясниковский район, х. Красный Крым, ул. Пушкинская, д. 59, к.н. 61:25:0600401:16307 (1 шт.)</t>
  </si>
  <si>
    <t>Установка системы учета для технологического присоединения энергопринимающих устройств Заявителя (Спиваков А.С.) по адресу: Ростовская область, Мясниковский район, х. Красный Крым, ул. Сатхинская, д. 8 к.н. 61:25:0600401:17232 (1 шт.)</t>
  </si>
  <si>
    <t>Установка системы учета для технологического присоединения энергопринимающих устройств Заявителя (Феоктистов К.А.) по адресу: Ростовская область, Мясниковский район, х. Красный Крым, ул. Пушкинская, д. 46, к.н. 61:25:0600401:16314 (1 шт.)</t>
  </si>
  <si>
    <t>Установка системы учета для технологического присоединения энергопринимающих устройств Заявителя (Салтовский К.Г.) по адресу: Ростовская область, Мясниковский район, х. Красный Крым, ул. Урожайная, д. 16, к.н. 61:25:0600401:16107 (1 шт.)</t>
  </si>
  <si>
    <t>Установка системы учета для технологического присоединения энергопринимающих устройств Заявителя (Сиренко В.В.) по адресу: Ростовская область, Мясниковский район, х. Красный Крым, ул. Пушкинская, д. 62, к.н. 61:25:0600401:16356 (1 шт.)</t>
  </si>
  <si>
    <t>Установка системы учета для технологического присоединения энергопринимающих устройств Заявителя (Чиж Ю.Д.) по адресу: Ростовская область, Мясниковский район, х. Ленинаван, ул. Московская, д. 11, к.н. 61:25:0600401:5571 (1 шт.)</t>
  </si>
  <si>
    <t>Установка системы учета для технологического присоединения энергопринимающих устройств Заявителя (Шульженко К.С.) по адресу: Ростовская область, Мясниковский район, х. Ленинакан, ул. Майская, д. 16/а, к.н. 61:25:0600401:17365 (1 шт.)</t>
  </si>
  <si>
    <t>Установка системы учета для технологического присоединения энергопринимающих устройств Заявителя (Юрченко М.С.) по адресу: Ростовская область, Мясниковский район, х. Ленинакан, ул. Майская, д. 21, к.н. 61:25:0600401:16826 (1 шт.)</t>
  </si>
  <si>
    <t>Установка системы учета для технологического присоединения энергопринимающих устройств Заявителя (Бондарев Д.А.) по адресу: Ростовская область, Мясниковский район, х. Ленинакан, ул. Майская, д. 18/а, к.н. 61:25:0600401:18002 (1 шт.)</t>
  </si>
  <si>
    <t>Установка системы учета для технологического присоединения энергопринимающих устройств Заявителя (Горунова Л.А.) по адресу: Ростовская область, Мясниковский район, х. Красный Крым, ул. Сатхинская, д. 36 к.н. 61:25:0600401:17217 (1 шт.)</t>
  </si>
  <si>
    <t>Установка системы учета для технологического присоединения энергопринимающих устройств Заявителя (Устюжанина Л.И.) по адресу: Ростовская область, Мясниковский район, х. Красный Крым, ул. Лермонтовская, д. 33, к.н. 61:25:0600401:17075</t>
  </si>
  <si>
    <t>Установка системы учета для технологического присоединения энергопринимающих устройств Заявителя (Хавранян А.О.) по адресу: Ростовская область, Мясниковский район, с. Чалтырь, ул. Западная, д. 84, к.н. 61:25:0101602:135 (1 шт.)</t>
  </si>
  <si>
    <t>Установка системы учета для технологического присоединения энергопринимающих устройств Заявителя (Хачатрян А.Г.) по адресу: Ростовская область, Мясниковский район, х. Красный Крым, ул. Сатхинская, д. 43 к.н. 61:25:0600401:17246 (1 шт.)</t>
  </si>
  <si>
    <t>Установка системы учета для технологического присоединения энергопринимающих устройств Заявителя (Афентьев И.В.) по адресу: Ростовская область, Мясниковский район, х. Красный Крым, ул. Сатхинская, д. 58 к.н. 61:25:0600401:17234 (1 шт.)</t>
  </si>
  <si>
    <t>Установка системы учета для технологического присоединения энергопринимающих устройств Заявителя (Гильц М.В.) по адресу: Ростовская область, Мясниковский район, х. Ленинакан, ул. Майская, д. 20, к.н. 61:25:0600401:18001 (1 шт.)</t>
  </si>
  <si>
    <t>Установка системы учета для технологического присоединения энергопринимающих устройств Заявителя (Григорьян Т.Г.) по адресу: Ростовская область, Мясниковский район, с. Большие Салы, ул. Московская, д. 6/а к.н. 61:25:0600501:3184 (1 шт.)</t>
  </si>
  <si>
    <t>Установка системы учета для технологического присоединения энергопринимающих устройств Заявителя (Дадиян А.К.) по адресу: Ростовская область, Мясниковский район, с. Чалтырь, ул. Центральная, д. 57/а, к.н. 61:25:0101232:654 (1 шт.)</t>
  </si>
  <si>
    <t>Установка системы учета для технологического присоединения энергопринимающих устройств Заявителя (Камбулова А.С.) по адресу: Ростовская область, Мясниковский район, х. Красный Крым, ул. Сатхинская, д. 26 к.н. 61:25:0600401:17222 (1 шт.)</t>
  </si>
  <si>
    <t>Установка системы учета для технологического присоединения энергопринимающих устройств Заявителя (Кривенко О.Г.) по адресу: Ростовская область, Мясниковский район, х. Красный Крым, ул. Капитальная, д. 25 к.н. 61:25:0600401:17201 (1 шт.)</t>
  </si>
  <si>
    <t>Установка системы учета для технологического присоединения энергопринимающих устройств Заявителя (Майстренко А.А.) по адресу: Ростовская область, Мясниковский район, х. Красный Крым, ул. Сатхинская, д. 42 к.н. 61:25:0600401:17214 (1 шт.)</t>
  </si>
  <si>
    <t>Установка системы учета для технологического присоединения энергопринимающих устройств Заявителя (Макуха А.В.) по адресу: Ростовская область, Мясниковский район, х. Ленинакан, ул. Осенняя, д. 16, к.н. 61:25:0600401:18628 (1 шт.)</t>
  </si>
  <si>
    <t>Установка системы учета для технологического присоединения энергопринимающих устройств Заявителя (Малышев Б.В.) по адресу: Ростовская область, Мясниковский район, х. Ленинакан, ул. Майская, д. 12/а, к.н. 61:25:0600401:17369 (1 шт.)</t>
  </si>
  <si>
    <t>Установка системы учета для технологического присоединения энергопринимающих устройств Заявителя (Пивоварова Е.А.) по адресу: Ростовская область, Мясниковский район, х. Красный Крым, ул. Пушкинская, д. 55 к.н. 61:25:0600401:16309 (1 шт.)</t>
  </si>
  <si>
    <t>Установка системы учета для технологического присоединения энергопринимающих устройств Заявителя (Погосян С.У.) по адресу: Ростовская область, Мясниковский район, х. Красный Крым, ул. Капитальная, д. 18 к.н. 61:25:0600401:17209 (1 шт.)</t>
  </si>
  <si>
    <t>Установка системы учета для технологического присоединения энергопринимающих устройств Заявителя (Ткаченко О.Е.) по адресу: Ростовская область, Мясниковский район, х. Ленинакан, ул. Майская, д. 11, к.н. 61:25:0600401:16755 (1 шт.)</t>
  </si>
  <si>
    <t>Установка системы учета для технологического присоединения энергопринимающих устройств Заявителя (Тютюнников А.И.) по адресу: Ростовская область, Мясниковский район, х. Красный Крым, ул. Пушкинская, д. 44 к.н. 61:25:0600401:16315 (1 шт.)</t>
  </si>
  <si>
    <t>Установка системы учета для технологического присоединения энергопринимающих устройств Заявителя (Шетухина О.В.) по адресу: Ростовская область, Мясниковский район, х. Красный Крым, ул. Сатхинская, д. 12 к.н. 61:25:0600401:18679 (1 шт.)</t>
  </si>
  <si>
    <t>Установка системы учета для технологического присоединения энергопринимающих устройств Заявителя (Егоров А.В.) по адресу: Ростовская область, Мясниковский район, х. Красный Крым, ул. Пушкинская, д. 67 к.н. 61:25:0600401:16334 (1 шт.)</t>
  </si>
  <si>
    <t>Установка системы учета для технологического присоединения энергопринимающих устройств Заявителя (Казакова М.Ю.) по адресу: Ростовская область, Мясниковский район, х. Ленинакан, ул. Осенняя, д. 1/11, к.н. 61:25:0600401:17939 (1 шт.)</t>
  </si>
  <si>
    <t>Установка системы учета для технологического присоединения энергопринимающих устройств Заявителя (Карпенко А.А.) по адресу: Ростовская область, Мясниковский район, х. Ленинакан, ул. Майская, д. 18, к.н. 61:25:0600401:18003 (1 шт.)</t>
  </si>
  <si>
    <t>Установка системы учета для технологического присоединения энергопринимающих устройств Заявителя (Кушнир Д.М.) по адресу: Ростовская область, Мясниковский район, х. Красный Крым, ул. Капитальная, д. 13, к.н. 61:25:0600401:17195 (1 шт.)</t>
  </si>
  <si>
    <t>Установка системы учета для технологического присоединения энергопринимающих устройств Заявителя (Лиховицкая О.С.) по адресу: Ростовская область, Мясниковский район, х. Красный Крым, ул. Верхняя, д. 14, к.н. 61:25:0600401:18752 (1 шт.)</t>
  </si>
  <si>
    <t>Установка системы учета для технологического присоединения энергопринимающих устройств Заявителя (Мошиян В.Х.) по адресу: Ростовская область, Мясниковский район, с. Чалтырь, ул. Карла Маркса, к.н. 61:25:0101128:317 (1 шт.)</t>
  </si>
  <si>
    <t>Установка системы учета для технологического присоединения энергопринимающих устройств Заявителя (Налбандян О.С.) по адресу: Ростовская область, Мясниковский район, х. Красный Крым, ул. Пушкинская, д. 33, к.н. 61:25:0600401:16333 (1 шт.)</t>
  </si>
  <si>
    <t>Установка системы учета для технологического присоединения энергопринимающих устройств Заявителя (Свириденко Д.Ю.) по адресу: Ростовская область, Мясниковский район, х. Красный Крым, ул. Лермонтовская, д. 24, к.н. 61:25:0600401:17047 (1 шт.)</t>
  </si>
  <si>
    <t>Установка системы учета для технологического присоединения энергопринимающих устройств Заявителя (Скворцова М.Г.) по адресу: Ростовская область, Мясниковский район, х. Красный Крым, ул. Лермонтовская, д. 18, к.н. 61:25:0600401:17050 (1 шт.)</t>
  </si>
  <si>
    <t>Установка системы учета для технологического присоединения энергопринимающих устройств Заявителя (Уманец К.Ю.) по адресу: Ростовская область, Мясниковский район, х. Красный Крым, ул. Сатхинская, д. 21, к.н. 61:25:0600401:17258 (1 шт.)</t>
  </si>
  <si>
    <t>Установка системы учета для технологического присоединения энергопринимающих устройств Заявителя (Фомин В.В.) по адресу: Ростовская область, Мясниковский район, х. Ленинакан, ул. Майская, д. 14/а, к.н. 61:25:0600401:17367 (1 шт.)</t>
  </si>
  <si>
    <t>Установка системы учета для технологического присоединения энергопринимающих устройств Заявителя (Шишкарев С.В.) по адресу: Ростовская область, Мясниковский район, х. Красный Крым, ул. Лермонтовская, д. 16, к.н. 61:25:0600401:17051 (1 шт.)</t>
  </si>
  <si>
    <t>Установка системы учета для технологического присоединения энергопринимающих устройств Заявителя (Якунин В.Е.) по адресу: Ростовская область, Мясниковский район, х. Ленинакан, ул. Осенняя, д. 10, к.н. 61:25:0600401:19455 (1 шт.)</t>
  </si>
  <si>
    <t>Установка системы учета для технологического присоединения энергопринимающих устройств Заявителя (Аббасова О.Ю.) по адресу: Ростовская область, Мясниковский район, х. Ленинакан, ул. Осенняя, д. 6 к.н. 61:25:0600401:18104 (1 шт.)</t>
  </si>
  <si>
    <t>Установка системы учета для технологического присоединения энергопринимающих устройств Заявителя (Колесников Г.Д.) по адресу: Ростовская область, Мясниковский район, х. Красный Крым, ул. Пушкинская, д. 53, к.н. 61:25:0600401:16310 (1 шт.)</t>
  </si>
  <si>
    <t>Установка системы учета для технологического присоединения энергопринимающих устройств Заявителя (Овчарук Н.В.) по адресу: Ростовская область, Мясниковский район, х. Ленинакан, ул. Майская, д. 12, к.н. 61:25:0600401:17370 (1 шт.)</t>
  </si>
  <si>
    <t>Установка системы учета для технологического присоединения энергопринимающих устройств Заявителя (Черкесова О.Н.) по адресу: Ростовская область, Мясниковский район, х. Красный Крым, ул. Пушкинская, д. 57 к.н. 61:25:0600401:16308 (1 шт.)</t>
  </si>
  <si>
    <t>Установка системы учета для технологического присоединения энергопринимающих устройств Заявителя (Великанов О.Н.) по адресу: Ростовская область, Мясниковский район, х. Красный Крым, ул. Пушкинская, д. 36, к.н. 61:25:0600401:16326 (1 шт.)</t>
  </si>
  <si>
    <t>Установка системы учета для технологического присоединения энергопринимающих устройств Заявителя (Григорьев И.В.) по адресу: Ростовская область, Мясниковский район, х. Красный Крым, ул. Пушкинская, д. 60, к.н. 61:25:0600401:16371 (1 шт.)</t>
  </si>
  <si>
    <t>Установка системы учета для технологического присоединения энергопринимающих устройств Заявителя (Постовалов Е.П.) по адресу: Ростовская область, Мясниковский район, х. Красный Крым, ул. Пушкинская, д. 51, к.н. 61:25:0600401:16318 (1 шт.)</t>
  </si>
  <si>
    <t>Установка системы учета для технологического присоединения энергопринимающих устройств Заявителя (Раджабов К.К.) по адресу: Ростовская область, Мясниковский район, х. Красный Крым, ул. Капитальная, д. 19, к.н. 61:25:0600401:17198 (1 шт.)</t>
  </si>
  <si>
    <t>Установка системы учета для технологического присоединения энергопринимающих устройств Заявителя (Арутюнян Л.В.) по адресу: Ростовская область, Мясниковский район, с. Чалтырь, ул. 15-я линия, д. 7/т, к.н. 61:25:0101243:903 (1 шт.)</t>
  </si>
  <si>
    <t>Установка системы учета для технологического присоединения энергопринимающих устройств Заявителя (Побережный А.А.) по адресу: Ростовская область, г. Таганрог, ул. Больничная, к.н.: 61:58:0002226:283 (1 шт.)</t>
  </si>
  <si>
    <t>Установка системы учета для технологического присоединения энергопринимающих устройств Заявителя (ИП Коробейникова О.В.) по адресу: Ростовская область, г. Таганрог, ул. Вишневая, д. 15-1, к.н.: 61:58:0005274:2991 (1 шт.)</t>
  </si>
  <si>
    <t>Установка системы учета для технологического присоединения энергопринимающих устройств Заявителя (ИП Коробейникова О.В.) по адресу: Ростовская область, г. Таганрог, ул. Вишневая, д. 15-1, к.н.: 61:58:0005274:3001 (1 шт.)</t>
  </si>
  <si>
    <t>Установка системы учета для технологического присоединения энергопринимающих устройств Заявителя (ИП Коробейникова О.В.) по адресу: Ростовская область, г. Таганрог, ул. Вишневая, д. 15-1, к.н.: 61:58:0005274:3014 (1 шт.)</t>
  </si>
  <si>
    <t>Установка системы учета для технологического присоединения энергопринимающих устройств Заявителя (Медведева Е.В.) по адресу: Ростовская область, г. Таганрог, ул. Мартеновская, д. 17, к.н.: 61:58:0004313:35 (1 шт.)</t>
  </si>
  <si>
    <t>Установка системы учета для технологического присоединения энергопринимающих устройств Заявителя (Ягунов А.А.) по адресу: Ростовская область, г. Таганрог, ул. Петровская, д.78-а, к.н. 61:58:0001114:116 (1 шт.)</t>
  </si>
  <si>
    <t>Установка системы учета для технологического присоединения энергопринимающих устройств Заявителя (Астахова И.В.) по адресу: Ростовская область, г. Таганрог, ул. Ореховая, д.24б к.н. 61:58:0005230:337 (1 шт.)</t>
  </si>
  <si>
    <t>Установка системы учета для технологического присоединения энергопринимающих устройств Заявителей (Буряк Ю.И.) по адресу: Ростовская область, г. Таганрог, 19 переулок д.91 (1 шт.)</t>
  </si>
  <si>
    <t>Установка системы учета для технологического присоединения энергопринимающих устройств Заявителя (Ларионов А.А.) по адресу: Ростовская область, г. Таганрог, ул. Ореховая, к.н.: 61:58:0005230:340 (1 шт.)</t>
  </si>
  <si>
    <t>Установка системы учета для технологического присоединения энергопринимающих устройств Заявителя (ИП Кареньких А.П.) по адресу: Ростовская область, г. Таганрог, ул. Ломоносова, д. 57, к.н.: 61:58:0005138:1157; к.н.: 61:58:0005138:1159; к.н.: 61:58:0005138:1158 (1 шт.)</t>
  </si>
  <si>
    <t>Установка системы учета для технологического присоединения энергопринимающих устройств Заявителя (Жиленко Я.А.) по адресу: Ростовская область, г. Таганрог, ул. Дзержинского, д. 144-е, к.н.: 61:58:0003278:656 (1 шт.)</t>
  </si>
  <si>
    <t>Установка системы учета для технологического присоединения энергопринимающих устройств Заявителя (ИП Киндзерский А.В.) по адресу: Ростовская область, г. Таганрог, ул. Р. Люксембург, д. 305, к.н.: 61:58:0005108:26 (1 шт.)</t>
  </si>
  <si>
    <t>Установка системы учета для технологического присоединения энергопринимающих устройств Заявителя (ИП Майоров М.В.) по адресу: Ростовская область, г. Таганрог, ул. Менделеева, д. 117-3, к.н.: 61:58:0000000:42732 (1 шт.)</t>
  </si>
  <si>
    <t>Установка системы учета для технологического присоединения энергопринимающих устройств Заявителя (Богуш О.А.) по адресу: Ростовская область, г. Таганрог, ул. Чехова/20-й переулок, 261/80, к.н.: 61:58:0002200:176 (1 шт.)</t>
  </si>
  <si>
    <t>Установка системы учета для технологического присоединения энергопринимающих устройств Заявителя (Рябичев Д.В.) по адресу: Ростовская область, г. Таганрог, ул. Бартини, д.42, к.н.: 61:58:0005233:255, 61:58:0005233:11 (1 шт.)</t>
  </si>
  <si>
    <t>Установка системы учета для технологического присоединения энергопринимающих устройств Заявителя (Комашня А.С.) по адресу: Ростовская область, М-Курганский район, п. М-Курган, ул. Куйбышева, д. 42, к.н. 61:21:0010124:70 (1 шт.)</t>
  </si>
  <si>
    <t>Установка системы учета для технологического присоединения энергопринимающих устройств Заявителя (Лихота А.Г.) по адресу: Ростовская область, М-Курганский район, п. Матвеев Курган, ул. Транспортная, д. 42, к.н. 61:21:0010124:51 (1 шт.)</t>
  </si>
  <si>
    <t>Установка системы учета для технологического присоединения энергопринимающих устройств Заявителя (Кияшко С.С.) по адресу: Ростовская область, М-Курганский район, с. Рясное, ул. Победы, д. 2а, к.н. 61:21:0020401:819 (1 шт.)</t>
  </si>
  <si>
    <t>Установка системы учета для технологического присоединения энергопринимающих устройств Заявителя (Маковеев В.И.) по адресу: Ростовская область, Неклиновский район, с. Новобессергеневка, ул. Инициативная, д. 21-Б, к.н. 61:26:0600024:7616 (1 шт.)</t>
  </si>
  <si>
    <t>Установка системы учета для технологического присоединения энергопринимающих устройств Заявителя (Гордейко В.В.) по адресу: Ростовская область, Неклиновский район, с. Новобессергеневка, ул. Инициативная, д. 21-А, к.н. 61:26:0600024:7617 (1 шт.)</t>
  </si>
  <si>
    <t>Установка системы учета для технологического присоединения энергопринимающих устройств Заявителя (Катцына А.В.) по адресу: Ростовская область, Неклиновский район, с. Новобессергеневка, ул. Инициативная, д. 26-В, к.н. 61:26:0600024:7656 (1 шт.)</t>
  </si>
  <si>
    <t>Установка системы учета для технологического присоединения энергопринимающих устройств Заявителя (Настич Л.А.) по адресу: Ростовская область, Неклиновский район, с. Новобессергеневка, ул. Свободы, д. 11-Б, к.н. 61:26:0600024:7619 (1 шт.)</t>
  </si>
  <si>
    <t xml:space="preserve">Установка системы учета для технологического присоединения энергопринимающих устройств Заявителя (Ярощук В.С.) по адресу: Ростовская область, Неклиновский район, х. Рожок, ул. Южная, д. 3, к.н. 61:26:0100401:171 (1 шт.) </t>
  </si>
  <si>
    <t>Установка системы учета для технологического присоединения энергопринимающих устройств Заявителя (Борисенко В.А.) по адресу: Ростовская область, Неклиновский район, с. Новобессергеневка, ул. Инициативная, д. 36-В, к.н. 61:26:0600024:6348 (1 шт.)</t>
  </si>
  <si>
    <t>Установка системы учета для технологического присоединения энергопринимающих устройств Заявителя (Роменский И.В.) по адресу: Ростовская область, Неклиновский район, с. Новобессергеневка, ул. Инициативная, д. 43, к.н. 61:26:0600024:7749 (1 шт.)</t>
  </si>
  <si>
    <t>Установка системы учета для технологического присоединения энергопринимающих устройств Заявителя (Коротенко В.Н.) по адресу: Ростовская область, Неклиновский район, с. Новобессергеневка, ул. Солнечная, д. 44-А, к.н. 61:26:0600024:6019 (1 шт.)</t>
  </si>
  <si>
    <t>Установка системы учета для технологического присоединения энергопринимающих устройств Заявителя (Мхоян Г.Г.) по адресу: Ростовская область, Неклиновский район, с. Новобессергеневка, ул. Коминтерна, д. 48-Б, к.н. 61:26:0180101:8017 (1 шт.)</t>
  </si>
  <si>
    <t>Установка системы учета для технологического присоединения энергопринимающих устройств Заявителя (Мхоян С.Г.) по адресу: Ростовская область, Неклиновский район, с. Новобессергеневка, ул. Коминтерна, д. 48-А, к.н. 61:26:0180101:8018 (1 шт.)</t>
  </si>
  <si>
    <t>Установка системы учета для технологического присоединения энергопринимающих устройств Заявителя (Окорочков А.А.) по адресу: Ростовская область, Неклиновский район, с. Новобессергеневка, ул. Инициативная, д. 26, к.н. 61:26:0600024:7655 (1 шт.)</t>
  </si>
  <si>
    <t>Установка системы учета для технологического присоединения энергопринимающих устройств Заявителя (Мартасов Ф.Е.) по адресу: Ростовская область, Неклиновский район, с. Троицкое, ул. Новая, д. 5, к.н. 61:26:0010101:4540 (1 шт.)</t>
  </si>
  <si>
    <t>Установка системы учета для технологического присоединения энергопринимающих устройств Заявителя (Шарапова О.А.) по адресу: Ростовская область, Неклиновский район, п. Дмитриадовка, ул. 3-я Степная, д. 31-Б, к.н. 61:26:0600024:6451 (1 шт.)</t>
  </si>
  <si>
    <t xml:space="preserve">Установка системы учета для технологического присоединения энергопринимающих устройств Заявителя (Чередник И.С.) по адресу: Ростовская область, Неклиновский район, с. Новобессергеневка, пер. Большой, д. 11, к.н. 61:26:0180101:8002 (1 шт.) </t>
  </si>
  <si>
    <t>Установка системы учета для технологического присоединения энергопринимающих устройств Заявителя (Шелист И.А.) по адресу: Ростовская область, Неклиновский район, с. Новобессергеневка, ул. Свободы, д. 38, к.н.: 61:26:0600024:8245 (1 шт.)</t>
  </si>
  <si>
    <t>Установка системы учета для технологического присоединения энергопринимающих устройств Заявителя (Владымцев С.В.) по адресу: Ростовская область, Неклиновский район, с. Новобессергеневка, ул. Свободы, д. 2, к.н. 61:26:0600024:8147 (1 шт.)</t>
  </si>
  <si>
    <t>Установка системы учета для технологического присоединения энергопринимающих устройств Заявителя (Сабитов И.О.) по адресу: Ростовская область, Неклиновский район, х. Седых, ул. Центральная, д. 16-А, к.н. 61:26:0181101:416 (1 шт.)</t>
  </si>
  <si>
    <t>Установка системы учета для технологического присоединения энергопринимающих устройств Заявителя (Бутенко Л.М.) по адресу: Ростовская область, Неклиновский район, с. Покровское, пер. Сельмаш, д. 40-А, к.н. 61:26:0050137:1947 (1 шт.)</t>
  </si>
  <si>
    <t>Установка системы учета для технологического присоединения энергопринимающих устройств Заявителя (Джалалян М.В.) по адресу: Ростовская область,  Неклиновский район, с. Вареновка, ул. Садовая, д. 56, к.н. 61:26:0040101:640 (1 шт.)</t>
  </si>
  <si>
    <t>Установка системы учета для технологического присоединения энергопринимающих устройств Заявителя (Кравчук А.А.) по адресу: Ростовская область, Неклиновский район, с. Новобессергеневка, ул. Инициативная, д. 31-Б, к.н. 61:26:0600024:6978 (1 шт.)</t>
  </si>
  <si>
    <t>Установка системы учета для технологического присоединения энергопринимающих устройств Заявителя (Полянский А.И.) по адресу: Ростовская область, Неклиновский район, с. Долоковка, ул. Чехова, д. 2-Б, к.н. 61:26:0070401:747 (1 шт.)</t>
  </si>
  <si>
    <t>Установка системы учета для технологического присоединения энергопринимающих устройств Заявителя (Саргсян И.Н.) по адресу: Ростовская область,  Неклиновский район, с. Вареновка, ул. Первомайская, д. 124-з, к.н. 61:26:0040101:5567 (1 шт.)</t>
  </si>
  <si>
    <t>Установка системы учета для технологического присоединения энергопринимающих устройств Заявителя (Юренко Ф.Ф.) по адресу: Ростовская область, Неклиновский район, с. Покровское, пер. Сельмаш, д. 82, к.н. 61:26:0050137:146 (1 шт.)</t>
  </si>
  <si>
    <t>Установка системы учета для технологического присоединения энергопринимающих устройств Заявителя (Дёмин К.Ю.) по адресу: Ростовская область,  Неклиновский район, с. Новобессергеневка, ул. Лескова, д. 13-А, к.н. 61:26:0600024:7596 (1 шт.)</t>
  </si>
  <si>
    <t>Установка системы учета для технологического присоединения энергопринимающих устройств Заявителя (Солодунова А.В.) по адресу: Ростовская область,  Неклиновский район, с. Новобессергеневка, ул. Свободы, д. 11, к.н. 61:26:0600024:7622 (1 шт.)</t>
  </si>
  <si>
    <t>Установка системы учета для технологического присоединения энергопринимающих устройств Заявителя (Едуш О.С.) по адресу: Ростовская область, Неклиновский район, с. Петрушино, пер. Садовый, д. 35-А, к.н. 61:26:0600024:6887 (1 шт.)</t>
  </si>
  <si>
    <t>Установка системы учета для технологического присоединения энергопринимающих устройств Заявителя (Ангел Д.Г.) по адресу: Ростовская область,  Неклиновский район, с. Новобессергеневка, ул. Ворошилова, д. 18-А, к.н. 61:26:0180101:8059 (1 шт.)</t>
  </si>
  <si>
    <t>Установка системы учета для технологического присоединения энергопринимающих устройств Заявителя (Винокурова Е.П.) по адресу: Ростовская область,  Неклиновский район, с. Новобессергеневка, ул. Свободы, д. 39-Б, к.н. 61:26:0600024:6550 (1 шт.)</t>
  </si>
  <si>
    <t>Установка системы учета для технологического присоединения энергопринимающих устройств Заявителя (Рожков А.Г.) по адресу: Ростовская область,  Неклиновский район, с. Гаевка, ул. Ленина, д. 109-А, к.н. 61:26:0160301:524 (1 шт.)</t>
  </si>
  <si>
    <t>Установка системы учета для технологического присоединения энергопринимающих устройств Заявителя (Крайненко Г.Л.) по адресу: Ростовская область, Неклиновский район х. Мержаново, ул. Буденного, д. 10, к.н. 61:26:0060301:575 (1 шт.)</t>
  </si>
  <si>
    <t>Установка системы учета для технологического присоединения энергопринимающих устройств Заявителя (Остриков Е.В.) по адресу: Ростовская область, Неклиновский район с. Русская Слободка, ул. Пушкина, д. 46, к.н. 61:26:0070201:1112 (1 шт.)</t>
  </si>
  <si>
    <t>Установка системы учета для технологического присоединения энергопринимающих устройств Заявителя (Мельниченко О.Ф.) по адресу: Ростовская область,  Неклиновский район, с. Бессергеновка, ул. Колхозная, д. 52, к.н. 61:26:0040201:810 (1 шт.)</t>
  </si>
  <si>
    <t>Установка системы учета для технологического присоединения энергопринимающих устройств Заявителя (Труфанова Т.И.) по адресу: Ростовская область, Неклиновский район, с. Лотошники, пер. Морской, д. 13-А, к.н. 61:26:0090401:49 (1 шт.)</t>
  </si>
  <si>
    <t>Установка системы учета для технологического присоединения энергопринимающих устройств Заявителя (Ясковец А.А.) по адресу: Ростовская область, Неклиновский район, х. Калиновка, ул. Набережная, д. 36-В, к.н. 61:26:0150301:530 (1 шт.)</t>
  </si>
  <si>
    <t>Установка системы учета для технологического присоединения энергопринимающих устройств Заявителя (Денисов А.В.) по адресу: Ростовская область, Неклиновский район, с. Новобессергеневка, ул. Инициативная, д. 28-В, к.н. 61:26:0600024:7717 (1 шт.)</t>
  </si>
  <si>
    <t>Установка системы учета для технологического присоединения энергопринимающих устройств Заявителей (Валенцев Е.Р.) по адресу: Ростовская область, Неклиновский район с. Новобессергеневка, ул. Островского д.12-А (1 шт.)</t>
  </si>
  <si>
    <t>Установка системы учета для технологического присоединения энергопринимающих устройств Заявителя (Литвиненко М.В.) по адресу: Ростовская область, Неклиновский район с. Николаевка, ул. Межевая, д.36, к.н. 61:26:0110101:1210 (1 шт.)</t>
  </si>
  <si>
    <t>Установка системы учета для технологического присоединения энергопринимающих устройств Заявителя (Кузьменко О.В.) по адресу: Ростовская область, Неклиновский район с. Николаевка, ул. Межевая, д.4-Б к.н. 61:26:0110101:9993 (1 шт.)</t>
  </si>
  <si>
    <t>Установка системы учета для технологического присоединения энергопринимающих устройств Заявителя (Кузьменко О.В.) по адресу: Ростовская область, Неклиновский район с. Николаевка, ул. Межевая, д.6-А к.н. 61:26:0110101:9997 (1 шт.)</t>
  </si>
  <si>
    <t>Установка системы учета для технологического присоединения энергопринимающих устройств Заявителя (Кузьменко О.В.) по адресу: Ростовская область, Неклиновский район с. Николаевка, ул. Межевая, д.6-Б к.н. 61:26:0110101:9996 (1 шт.)</t>
  </si>
  <si>
    <t>Установка системы учета для технологического присоединения энергопринимающих устройств Заявителя (Литвиненко М.В.) по адресу: Ростовская область, Неклиновский район, с. Николаевка, ул. Межевая, д. 36-Б, к.н. 61:26:0110101:10254 (1 шт.)</t>
  </si>
  <si>
    <t>Установка системы учета для технологического присоединения энергопринимающих устройств Заявителя (Литвиненко М.В.) по адресу: Ростовская область, Неклиновский район, с. Николаевка, ул. Межевая, д. 36-А, к.н. 61:26:0110101:10255 (1 шт.)</t>
  </si>
  <si>
    <t>Установка системы учета для технологического присоединения энергопринимающих устройств Заявителя (Бабкин Ю.Ф.) по адресу: Ростовская область, Неклиновский район, с. Новобессергеневка, ул. Малая Куйбышева, д. 13-Б, к.н. 61:26:0180101:8108 (1 шт.)</t>
  </si>
  <si>
    <t>Установка системы учета для технологического присоединения энергопринимающих устройств Заявителя (Яковлев Е.В.) по адресу: Ростовская область, г. Таганрог, ул. Кузнечная, д. 9, к:н.: 61:58:0002014:204 (1 шт.)</t>
  </si>
  <si>
    <t>Установка системы учета для технологического присоединения энергопринимающих устройств Заявителей (Трифонов Д.В.) по адресу: Ростовская область, г. Таганрог, Северо-Западное шоссе д.1 в НТ Дачное-3, аллея 3 участок 24 (1 шт.)</t>
  </si>
  <si>
    <t>Установка системы учета для технологического присоединения энергопринимающих устройств Заявителя (Лаптева О.В.) по адресу: Ростовская область, г. Таганрог, ш. Северо-Западное, 1-в, СНТ «Дачное-3», аллея 3, уч. 30, к.н.: 61:58:0006051:350 (1 шт.)</t>
  </si>
  <si>
    <t>Установка системы учета для технологического присоединения энергопринимающих устройств Заявителя (Огиенко С.Н.) по адресу: Ростовская область, г. Таганрог, Николаевское Шоссе, 7-а, СНТ «Радуга», аллея 16, участок 25, к.н.: 61:58:0006054:876 (1 шт.)</t>
  </si>
  <si>
    <t>Установка системы учета для технологического присоединения энергопринимающих устройств Заявителя (ИП Егоров А.В.) по адресу: Ростовская область, г. Таганрог, ул. Ленина, д. 208, к.н.: 61:58:0003183:319 (1 шт.)</t>
  </si>
  <si>
    <t>Установка системы учета для технологического присоединения энергопринимающих устройств Заявителя (ИП Шматко Ю.М.) по адресу: Ростовская область, г. Таганрог, СНТ «Спутник», уч. №201, к.н.: 61-61-42/073/2014-855 (1 шт.)</t>
  </si>
  <si>
    <t>Установка системы учета для технологического присоединения энергопринимающих устройств Заявителя (Кулешова Е.А.) по адресу: Ростовская область, г. Таганрог, 22-й переулок, д. 83, к.н.: 61:58:0002282:353, 61:58:0002282:24 (1 шт.)</t>
  </si>
  <si>
    <t>«Установка системы учета для технологического присоединения энергопринимающих устройств Заявителя (Брагинец А.А.) по адресу: Ростовская область, г. Таганрог, пер. 3-й Артиллерийский, земельный участок 25, к.н.: 61:58:0003243:264 (1 шт.)»</t>
  </si>
  <si>
    <t>Установка системы учета для технологического присоединения энергопринимающих устройств Заявителя (Малинская В.А.) по адресу: Ростовская область, г. Таганрог, Садоводческое товарищество «Дружба-1», участок 17, к.н.: 61:58:0005165:556 (1 шт.)</t>
  </si>
  <si>
    <t>Установка системы учета для технологического присоединения энергопринимающих устройств Заявителя (Галицкий Я.М.) по адресу: Ростовская область, г. Таганрог, СНТ «Маяк», уч. 50, к.н.: 61:58:005177:95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</si>
  <si>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Инструментальная (между пер. Смирновский и Площадь Авиаторов), около ул. Инструментальная, д. 15В, к.н.: 61:58:0002246:450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</si>
  <si>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Инструментальная (между пер. Смирновский и Площадь Авиаторов), около ул. Инструментальная, д. 13-1, к.н.: 61:58:0002245:1065 (1 шт.)</t>
  </si>
  <si>
    <t>Установка системы учета для технологического присоединения энергопринимающих устройств Заявителя (Кикла Д.П.) по адресу: Ростовская область, г. Таганрог, ул. Комарова, земельный участок 19, к.н.: 61:58:0005046:411 (1 шт.)</t>
  </si>
  <si>
    <t>Установка системы учета для технологического присоединения энергопринимающих устройств Заявителя (Дудко Л.И.) по адресу: Ростовская область, г. Таганрог, ул. Нестерова, д.4-а, кв.2, к.н.: 61:58:0000000:36924 (1 шт.)</t>
  </si>
  <si>
    <t>Установка системы учета для технологического присоединения энергопринимающих устройств Заявителя (Менякина Т.А.) по адресу: Ростовская область, г. Таганрог, ул. Петлякова, д. 14, к.н.: 61:58:0005223:337 (1 шт.)</t>
  </si>
  <si>
    <t>Установка системы учета для технологического присоединения энергопринимающих устройств Заявителя (Пахомов К.В.) по адресу: Ростовская область, г. Таганрог, 10-й Переулок, д. 98, к.н.: 61:58:0002117:6 (1 шт.)</t>
  </si>
  <si>
    <t>Установка системы учета для технологического присоединения энергопринимающих устройств Заявителя (ИП Аллахвердов И.А.) по адресу: Ростовская область, г. Таганрог, ул. Дзержинского, д. 161-4 (1 шт.)</t>
  </si>
  <si>
    <t>Установка системы учета для технологического присоединения энергопринимающих устройств Заявителя (Иващенко Э.К.) по адресу: Ростовская область, г. Таганрог, ул, Бартини, д.24/пер. 4-й Мариупольский, д. 31, к.н.: 61:58:005231:247 (1 шт.)</t>
  </si>
  <si>
    <t>Установка системы учета для технологического присоединения энергопринимающих устройств Заявителя (ИП Майоров М.В.) по адресу: Ростовская область, г. Таганрог, ул, Гарибальди вблизи дома №27, к.н.: 61:58:0000000:94 (1 шт.)</t>
  </si>
  <si>
    <t>Установка системы учета для технологического присоединения энергопринимающих устройств Заявителя (Перлик О.В.) по адресу: Ростовская область, г. Таганрог, ул. Р. Люксембург/2 переулок, д. 160/58, к.н.: 61:58:0002062:59 (1 шт.)</t>
  </si>
  <si>
    <t>Установка системы учета для технологического присоединения энергопринимающих устройств Заявителя (Степаненко Н.В.) по адресу: Ростовская область, г. Таганрог, пер. 5-й Артиллерийский, к.н.: 61:58:0003276:369 (1 шт.)</t>
  </si>
  <si>
    <t>Установка системы учета для технологического присоединения энергопринимающих устройств Заявителя (Степаненко Е.В.) по адресу: Ростовская область, г. Таганрог, пер. 5-й Артиллерийский, к.н.: 61:58:0003276:370 (1 шт.)</t>
  </si>
  <si>
    <t>Установка системы учета для технологического присоединения энергопринимающих устройств Заявителя (ИП Кодоева М.А.) по адресу: Ростовская область, г. Таганрог, ул. Инициативная, 54а, к.н. 61:58:0004386:253 (1 шт.)</t>
  </si>
  <si>
    <t>Установка системы учета для технологического присоединения энергопринимающих устройств Заявителя (Галицкого Я.М.) по адресу: Ростовская область, г. Таганрог, пер. 18-й Мариупольский, 3а, к.н. 61:58:005201:115 (1 шт.)</t>
  </si>
  <si>
    <t>Установка системы учета для технологического присоединения энергопринимающих устройств Заявителя (Самойлова Л.Н.) по адресу: Ростовская область, г. Таганрог, пер. Зеленый, 19-г, к.н. объекта: 61:58:0002352:301 (1 шт.)</t>
  </si>
  <si>
    <t>Установка системы учета для технологического присоединения энергопринимающих устройств Заявителя (Акопян А.П.) по адресу: Ростовская область, Мясниковский район, х. Красный Крым, ул. Лермонтовская, д. 41, к.н. 61:25:0600401:17071 (1 шт.)</t>
  </si>
  <si>
    <t>Установка системы учета для технологического присоединения энергопринимающих устройств Заявителя (Амирханян К.В.) по адресу: Ростовская область, Мясниковский район, х. Красный Крым, ул. Сатхинская, д. 49 к.н. 61:25:0600401:17242 (1 шт.)</t>
  </si>
  <si>
    <t>Установка системы учета для технологического присоединения энергопринимающих устройств Заявителя (Дарбинян Л.В.) по адресу: Ростовская область, Мясниковский район, х. Красный Крым, ул. Лермонтовская, д. 31, к.н. 61:25:0600401:17076 (1 шт.)</t>
  </si>
  <si>
    <t>Установка системы учета для технологического присоединения энергопринимающих устройств Заявителя (Егиазарян С.А.) по адресу: Ростовская область, Мясниковский район, с. Крым, ул. Александра Суворова, д. 17 к.н. 61:25:0600201:1531 (1 шт.)</t>
  </si>
  <si>
    <t>Установка системы учета для технологического присоединения энергопринимающих устройств Заявителя (Мелохаян Е.Е.) по адресу: Ростовская область, Мясниковский район, с. Чалтырь, ул. Молодежная, д. 11/б, к.н. 61:25:0101430:314 (1 шт.)</t>
  </si>
  <si>
    <t>Установка системы учета для технологического присоединения энергопринимающих устройств Заявителя (Окунев И.А.) по адресу: Ростовская область, Мясниковский район, х. Красный Крым, ул. Верхняя, д. 58, к.н. 61:25:0600401:18740 (1 шт.)</t>
  </si>
  <si>
    <t>Установка системы учета для технологического присоединения энергопринимающих устройств Заявителя (Свиридова Н.В.) по адресу: Ростовская область, Мясниковский район, х. Красный Крым, ул. Молодежная, д. 70, к.н. 61:25:0600401:16114 (1 шт.)</t>
  </si>
  <si>
    <t>Установка системы учета для технологического присоединения энергопринимающих устройств Заявителя (Татарская Ю.С.) по адресу: Ростовская область, Мясниковский район, х. Красный Крым, ул. Молодежная, д. 62, к.н. 61:25:0600401:16119 (1 шт.)</t>
  </si>
  <si>
    <t>Установка системы учета для технологического присоединения энергопринимающих устройств Заявителя (Терехов С.И.) по адресу: Ростовская область, Мясниковский район, с. Чалтырь, ул. Западная, д. 116/а, к.н. 61:25:0101602:219 (1 шт.)</t>
  </si>
  <si>
    <t>Установка системы учета для технологического присоединения энергопринимающих устройств Заявителя (Яковлева Ю.В.) по адресу: Ростовская область, Мясниковский район, х. Красный Крым, ул. Молодежная, д. 58, к.н. 61:25:0600401:16121 (1 шт.)</t>
  </si>
  <si>
    <t>Установка системы учета для технологического присоединения энергопринимающих устройств Заявителя (Грачев А.Н.) по адресу: Ростовская область, Мясниковский район, х. Красный Крым, ул. Верхняя, д. 31, к.н. 61:25:0600401:17502 (1 шт.)</t>
  </si>
  <si>
    <t>Установка системы учета для технологического присоединения энергопринимающих устройств Заявителя (Грачев А.Н.) по адресу: Ростовская область, Мясниковский район, х. Красный Крым, ул. Верхняя, д. 33, к.н. 61:25:0600401:17515 (1 шт.)</t>
  </si>
  <si>
    <t>Установка системы учета для технологического присоединения энергопринимающих устройств Заявителя (Григорян Н.С.) по адресу: Ростовская область, Мясниковский район, х. Красный Крым, ул. Баграмяна, д. 3, к.н. 61:25:0600401:18273 (1 шт.)</t>
  </si>
  <si>
    <t>Установка системы учета для технологического присоединения энергопринимающих устройств Заявителя (Соловьев А.А.) по адресу: Ростовская область, Мясниковский район, х. Ленинаван, ул. Кольцевая, д. 15, к.н. 61:25:0600401:9972 (1 шт.)</t>
  </si>
  <si>
    <t>Установка системы учета для технологического присоединения энергопринимающих устройств Заявителя (Дмитриев И.К.) по адресу: Ростовская область, Мясниковский район, х. Красный Крым, ул. Капитальная, д. 27, к.н. 61:25:0600401:17202 (1 шт.)</t>
  </si>
  <si>
    <t xml:space="preserve">Установка системы учета для технологического присоединения энергопринимающих устройств Заявителя (Каменская Е.О.) по адресу: Ростовская область, Мясниковский район, х. Красный Крым, ул. Урожайная, д. 18, к.н. 61:25:0600401:16106 (1 шт.) </t>
  </si>
  <si>
    <t xml:space="preserve">Установка системы учета для технологического присоединения энергопринимающих устройств Заявителя (Гребенюк В.В.) по адресу: Ростовская область, Мясниковский район, х. Красный Крым, ул. Молодежная, д. 64, к.н. 61:25:0600401:16118 (1 шт.) </t>
  </si>
  <si>
    <t>Установка системы учета для технологического присоединения энергопринимающих устройств Заявителя (Албертян Ш.В.) по адресу: Ростовская область, Мясниковский район, с. Чалтырь, ул. Пионерская, д. 19/п, к.н. 61:25:0101130:326 (1 шт.)</t>
  </si>
  <si>
    <t>Установка системы учета для технологического присоединения энергопринимающих устройств Заявителя (Бабиян М.А.) по адресу: Ростовская область, Мясниковский район, с. Крым, ул. Пролетарская, д. 12, кв. 1, к.н. 61:25:0201024:117 (1 шт.)</t>
  </si>
  <si>
    <t>Установка системы учета для технологического присоединения энергопринимающих устройств Заявителя (Баздыкян М.В.) по адресу: Ростовская область, Мясниковский район, х. Красный Крым, ул. Звездная, д. 30/а, к.н. 61:25:0600401:15015 (1 шт.)</t>
  </si>
  <si>
    <t>Установка системы учета для технологического присоединения энергопринимающих устройств Заявителя (Вартеванян К.С.) по адресу: Ростовская область, Мясниковский район, с. Чалтырь, ул. 12-я линия, д. 14, к.н. 61:25:0101243:243 (1 шт.)</t>
  </si>
  <si>
    <t>Установка системы учета для технологического присоединения энергопринимающих устройств Заявителя (Винокурова Т.В.) по адресу: Ростовская область, Мясниковский район, х. Ленинаван, ул. Дружбы, д. 1/3, к.н. 61:25:0030202:4921 (1 шт.)</t>
  </si>
  <si>
    <t>Установка системы учета для технологического присоединения энергопринимающих устройств Заявителя (Гладких А.А.) по адресу: Ростовская область, Мясниковский район, х. Красный Крым, ул. Молодежная, д. 66, к.н. 61:25:0600401:16117 (1 шт.)</t>
  </si>
  <si>
    <t>Установка системы учета для технологического присоединения энергопринимающих устройств Заявителя (Джамалдиев М.Х.) по адресу: Ростовская область, Мясниковский район, х. Ленинакан, ул. Лукашина, д. 18/б, к.н. 61:25:0030301:1965 (1 шт.)</t>
  </si>
  <si>
    <t>Установка системы учета для технологического присоединения энергопринимающих устройств Заявителя (Джеентаева Н.В.) по адресу: Ростовская область, Мясниковский район, х. Ленинакан, ул. Трудовая, д. 35/1,  к.н. 61:25:0030301:1942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</si>
  <si>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Ленинаван, ул. Центральная, д. 6, к.н. 61:25:0600401:19787 (1 шт.)</t>
  </si>
  <si>
    <t xml:space="preserve">Установка системы учета для технологического присоединения энергопринимающих устройств Заявителя (Долгополов В.И.) по адресу: Ростовская область, Мясниковский район, х. Ленинаван, ул. Ландышевая, д. 5, к.н. 61:25:0600401:19526 (1 шт.) </t>
  </si>
  <si>
    <t xml:space="preserve">Установка системы учета для технологического присоединения энергопринимающих устройств Заявителя (Дрожко В.А.) по адресу: Ростовская область, Мясниковский район, х. Красный Крым, ул. Звездная, д. 29/а, к.н. 61:25:0600401:14944 (1 шт.) </t>
  </si>
  <si>
    <t xml:space="preserve">Установка системы учета для технологического присоединения энергопринимающих устройств Заявителя (Емельянова С.О.) по адресу: Ростовская область, Мясниковский район, х. Ленинакан, ул. Майская, д. 1/1, к.н. 61:25:0600401:19262 (1 шт.) </t>
  </si>
  <si>
    <t>Установка системы учета для технологического присоединения энергопринимающих устройств Заявителя (Звягинцев В.Д.) по адресу: Ростовская область, Мясниковский район, х. Ленинакан, ул. Осенняя, д. 10/а к.н. 61:25:0600401:18675 (1 шт.)</t>
  </si>
  <si>
    <t>Установка системы учета для технологического присоединения энергопринимающих устройств Заявителя (Иванов С.В.) по адресу: Ростовская область, Мясниковский район, х. Ленинакан, ул. Майская, д. 10 к.н. 61:25:0600401:19151 (1 шт.)</t>
  </si>
  <si>
    <t>Установка системы учета для технологического присоединения энергопринимающих устройств Заявителя (Гвоздинская С.С.) по адресу: Ростовская область, Мясниковский район, х. Ленинакан, ул. Майская, д. 7/а, к.н. 61:25:0600401:16693 (1 шт.)</t>
  </si>
  <si>
    <t>Установка системы учета для технологического присоединения энергопринимающих устройств Заявителя (Геворгян А.Э.) по адресу: Ростовская область, Мясниковский район, х. Красный Крым, ул. Пушкинская, д. 69, к.н. 61:25:0600401:16312 (1 шт.)</t>
  </si>
  <si>
    <t>Установка системы учета для технологического присоединения энергопринимающих устройств Заявителя (Кайсина О.С.) по адресу: Ростовская область, Мясниковский район, х. Ленинакан, ул. Майская, д. 22, к.н. 61:25:0600401:17520 (1 шт.)</t>
  </si>
  <si>
    <t>Установка системы учета для технологического присоединения энергопринимающих устройств Заявителя (Кароян К.А.) по адресу: Ростовская область, Мясниковский район, с. Большие Салы, ул. 26 Бакинских Комиссаров, к.н. 61:25:0040101:6100 (1 шт.)</t>
  </si>
  <si>
    <t>Установка системы учета для технологического присоединения энергопринимающих устройств Заявителя (Багдасарян Р.Ц.) по адресу: Ростовская область, Мясниковский район, х. Ленинаван, ул. И. Айвазовского, д. 36, к.н. 61:25:0600401:5760 (1 шт.)</t>
  </si>
  <si>
    <t>Установка системы учета для технологического присоединения энергопринимающих устройств Заявителя (Бахлян М.М.) по адресу: Ростовская область, Мясниковский район, х. Красный Крым, ул. Крымская, д. 44, к.н. 61:25:0600401:16643 (1 шт.)</t>
  </si>
  <si>
    <t xml:space="preserve">Установка системы учета для технологического присоединения энергопринимающих устройств Заявителя (Беликова Л.П.) по адресу: Ростовская область, Мясниковский район, с. Чалтырь, ул. Центральная, д. 47 к.н. 61:25:0101232:76 (1 шт.) </t>
  </si>
  <si>
    <t>Установка системы учета для технологического присоединения энергопринимающих устройств Заявителя (Деев А.В.) по адресу: Ростовская область, Мясниковский район, х. Ленинаван, ул. Ландышевая, д. 1/а, к.н. 61:25:0600401:16834 (1 шт.)</t>
  </si>
  <si>
    <t>Установка системы учета для технологического присоединения энергопринимающих устройств Заявителя (Кротова Н.С.) по адресу: Ростовская область, Мясниковский район, с. Чалтырь, ул. Социалистическая, 20/н, к.н. 61:25:0101204:41 (1 шт.)</t>
  </si>
  <si>
    <t>. Установка системы учета для технологического присоединения энергопринимающих устройств Заявителя (Касымбеков К.О.) по адресу: Ростовская обл., Мясниковский р-н, х. Красный Крым, ул. Лермонтовская, д. 20, к.н. 61:25:0600401:17049 (1 шт.)</t>
  </si>
  <si>
    <t>Установка системы учета для технологического присоединения энергопринимающих устройств Заявителя (Керимова А.М.) по адресу: Ростовская область, Мясниковский район, с. Чалтырь, ул. 4-я линия, д. 36/б, к.н. 61:25:0101101:127 (1 шт.)</t>
  </si>
  <si>
    <t>Установка системы учета для технологического присоединения энергопринимающих устройств Заявителя (Клеменищев С.В.) по адресу: Ростовская область, Мясниковский район, х. Красный Крым, ул. Звездная, д. 33/а, к.н. 61:25:0600401:17145 (1 шт.)</t>
  </si>
  <si>
    <t>Установка системы учета для технологического присоединения энергопринимающих устройств Заявителя (Коломиец Т.А.) по адресу: Ростовская область, Мясниковский район, х. Красный Крым, ул. Сатхинская, д. 20, к.н. 61:25:0600401:19107 (1 шт.)</t>
  </si>
  <si>
    <t>Установка системы учета для технологического присоединения энергопринимающих устройств Заявителя (Королев А.А.) по адресу: Ростовская область, Мясниковский район, х. Красный Крым, ул. Молодежная, д. 60, к.н. 61:25:0600401:16120 (1 шт.)</t>
  </si>
  <si>
    <t>Установка системы учета для технологического присоединения энергопринимающих устройств Заявителя (Лагоша Е.Г.) по адресу: Ростовская область, Мясниковский район, х. Красный Крым, ул. Крымская, д. 16, к.н. 61:25:0600401:16930 (1 шт.)</t>
  </si>
  <si>
    <t>Установка системы учета для технологического присоединения энергопринимающих устройств Заявителя (Мамаюнусова А.К.) по адресу: Ростовская область, Мясниковский район, х. Красный Крым, ул. Лермонтовская, д. 38 к.н. 61:25:0600401:17039 (1 шт.)</t>
  </si>
  <si>
    <t>Установка системы учета для технологического присоединения энергопринимающих устройств Заявителя (Михайленко С.А.) по адресу: Ростовская область, Мясниковский район, с. Крым, ул. Маршала Баграмяна, д. 18, к.н. 61:25:0201019:232 (1 шт.)</t>
  </si>
  <si>
    <t>Установка системы учета для технологического присоединения энергопринимающих устройств Заявителя (Михайленко С.А.) по адресу: Ростовская область, Мясниковский район, с. Крым, ул. Григора Бабияна, д. 30/а к.н. 61:25:0600201:1443 (1 шт.)</t>
  </si>
  <si>
    <t>Установка системы учета для технологического присоединения энергопринимающих устройств Заявителя (Михайленко С.А.) по адресу: Ростовская область, Мясниковский район, с. Крым, ул. Григора Бабияна, д. 30/б, к.н. 61:25:0600201:1444 (1 шт.)</t>
  </si>
  <si>
    <t>Установка системы учета для технологического присоединения энергопринимающих устройств Заявителя (Мудревская А.Э.) по адресу: Ростовская область, Мясниковский район, х. Красный Крым, ул. Крымская, д. 12, к.н. 61:25:0600401:16902 (1 шт.)</t>
  </si>
  <si>
    <t>Установка системы учета для технологического присоединения энергопринимающих устройств Заявителя (Нестулей Е.И.) по адресу: Ростовская область, Мясниковский район, х. Ленинакан, ул. Осенняя, д. 28, к.н. 61:25:0600401:8713 (1 шт.)</t>
  </si>
  <si>
    <t>Установка системы учета для технологического присоединения энергопринимающих устройств Заявителя (Овсепян Е.С.) по адресу: Ростовская область, Мясниковский район, х. Красный Крым, ул. Сатхинская, д. 9, к.н. 61:25:0600401:17264 (1 шт.)</t>
  </si>
  <si>
    <t xml:space="preserve">Установка системы учета для технологического присоединения энергопринимающих устройств Заявителя (Пищета Д.С.) по адресу: Ростовская область, Мясниковский район, х. Красный Крым, ул. Сатхинская, д. 15, к.н. 61:25:0600401:17261 (1 шт.) </t>
  </si>
  <si>
    <t>Установка системы учета для технологического присоединения энергопринимающих устройств Заявителя (Пономарев В.Ю.) по адресу: Ростовская область, Мясниковский район, х. Ленинакан, ул. Трудовая, д. 28/4, к.н. 61:25:0030301:1904 (1 шт.)</t>
  </si>
  <si>
    <t>Установка системы учета для технологического присоединения энергопринимающих устройств Заявителя (Потемкин А.Е.) по адресу: Ростовская область, Мясниковский район, х. Калинин, ул. Школьная, д. 72, к.н. 61:25:0050101:2149 (1 шт.)</t>
  </si>
  <si>
    <t>Установка системы учета для технологического присоединения энергопринимающих устройств Заявителя (Прибыльнова С.В.) по адресу: Ростовская область, Мясниковский район, х. Ленинакан, ул. Майская, д. 9, к.н. 61:25:0600401:16709 (1 шт.)</t>
  </si>
  <si>
    <t>Установка системы учета для технологического присоединения энергопринимающих устройств Заявителя (Прядкина Н.Ю.) по адресу: Ростовская область, Мясниковский район, х. Ленинаван, ул. Абовяна, д. 19/б, к.н. 61:25:0030202:4825 (1 шт.)</t>
  </si>
  <si>
    <t>Установка системы учета для технологического присоединения энергопринимающих устройств Заявителя (Романенко Э.А.) по адресу: Ростовская область, Мясниковский район, х. Красный Крым, ул. Звездная, д. 16/а к.н. 61:25:0600401:10441 (1 шт.)</t>
  </si>
  <si>
    <t>Установка системы учета для технологического присоединения энергопринимающих устройств Заявителя (Рябеченкова С.А.) по адресу: Ростовская область, Мясниковский район, х. Красный Крым, ул. Сатхинская, д. 5, к.н. 61:25:0600401:17266 (1 шт.)</t>
  </si>
  <si>
    <t>Установка системы учета для технологического присоединения энергопринимающих устройств Заявителя (Савельев Ю.Ю.) по адресу: Ростовская область, Мясниковский район, х. Красный Крым, ул. Оливковая, д. 23, к.н. 61:25:0600401:19619 (1 шт.)</t>
  </si>
  <si>
    <t>Установка системы учета для технологического присоединения энергопринимающих устройств Заявителя (Савицкая А.Ю.) по адресу: Ростовская область, Мясниковский район, х. Ленинаван, ул. Дружбы, д. 1/6, к.н. 61:25:0030202:4923 (1 шт.)</t>
  </si>
  <si>
    <t>Установка системы учета для технологического присоединения энергопринимающих устройств Заявителя (Саркисян А.В.) по адресу: Ростовская область, Мясниковский район, с. Большие Салы, ул. Московская, д. 4, к.н. 61:25:0600501:3190 (1 шт.)</t>
  </si>
  <si>
    <t>Установка системы учета для технологического присоединения энергопринимающих устройств Заявителя (Семенова В.В.) по адресу: Ростовская область, Мясниковский район, х. Ленинакан, ул. Майская, д. 9/а к.н. 61:25:0600401:16708 (1 шт.)</t>
  </si>
  <si>
    <t>Установка системы учета для технологического присоединения энергопринимающих устройств Заявителя (Сидоренко О.А.) по адресу: Ростовская область, Мясниковский район, х. Ленинакан, ул. Майская, д. 6/в, к.н. 61:25:0600401:16312 (1 шт.)</t>
  </si>
  <si>
    <t>Установка системы учета для технологического присоединения энергопринимающих устройств Заявителя (Симонова Ю.А.) по адресу: Ростовская область, Мясниковский район, х. Красный Крым, ул. Молодежная, д. 68, к.н. 61:25:0600401:16116 (1 шт.)</t>
  </si>
  <si>
    <t>Установка системы учета для технологического присоединения энергопринимающих устройств Заявителя (Самойлова Е.А.) по адресу: Ростовская область, Мясниковский район, х. Ленинакан, ул. Майская, д. 14, к.н. 61:25:0600401:17368 (1 шт.)</t>
  </si>
  <si>
    <t>Установка системы учета для технологического присоединения энергопринимающих устройств Заявителя (Степанян Л.Г.) по адресу: Ростовская область, Мясниковский район, с. Крым, ул. 3-я линия, д. 3/г, к.н. 61:25:0201016:447 (1 шт.)</t>
  </si>
  <si>
    <t>Установка системы учета для технологического присоединения энергопринимающих устройств Заявителя (Тютюнникова Н.Ю.) по адресу: Ростовская область, Мясниковский район, х. Ленинакан, ул. Майская, д. 4/б, к.н. 61:25:0600401:17386 (1 шт.)</t>
  </si>
  <si>
    <t>Установка системы учета для технологического присоединения энергопринимающих устройств Заявителя (Фролова Г.А.) по адресу: Ростовская область, Мясниковский район, х. Красный Крым, ул. Пушкинская, д. 42, к.н. 61:25:0600401:16316 (1 шт.)</t>
  </si>
  <si>
    <t>Установка системы учета для технологического присоединения энергопринимающих устройств Заявителя (Хамаев Э.Р.) по адресу: Ростовская область, Мясниковский район, х. Красный Крым, ул. Крымская, д. 37, к.н. 61:25:0600401:16865 (1 шт.)</t>
  </si>
  <si>
    <t xml:space="preserve">Установка системы учета для технологического присоединения энергопринимающих устройств Заявителя (Хейгетян Г.Е.) по адресу: Ростовская область, Мясниковский район, с. Крым, ул. 18-я линия, д. 9, к.н. 61:25:0201008:510 (1 шт.) </t>
  </si>
  <si>
    <t>Установка системы учета для технологического присоединения энергопринимающих устройств Заявителя (Хейгетян Г.Е.) по адресу: Ростовская область, Мясниковский район, с. Крым, ул. 18-я линия, д. 9/а, к.н. 61:25:0201008:511 (1 шт.)</t>
  </si>
  <si>
    <t>Установка системы учета для технологического присоединения энергопринимающих устройств Заявителя (Хейгетян Г.Е.) по адресу: Ростовская область, Мясниковский район, с. Крым, ул. 18-я линия, д. 9/б, к.н. 61:25:0201008:512 (1 шт.)</t>
  </si>
  <si>
    <t>Установка системы учета для технологического присоединения энергопринимающих устройств Заявителя (Хейккинен А.П.) по адресу: Ростовская область, Мясниковский район, х. Красный Крым, ул. Сатхинская, д. 60, к.н. 61:25:0600401:19488 (1 шт.)</t>
  </si>
  <si>
    <t>Установка системы учета для технологического присоединения энергопринимающих устройств Заявителя (Цатурян В.К.) по адресу: Ростовская область, Мясниковский район, с. Большие Салы, ул. Московская, д. 4/г, к.н. 61:25:0600501:3240 (1 шт.)</t>
  </si>
  <si>
    <t>Установка системы учета для технологического присоединения энергопринимающих устройств Заявителя (Яловенко Н.И.) по адресу: Ростовская область, Мясниковский район, х. Ленинакан, ул. Майская, д. 1/б, к.н. 61:25:0600401:17599 (1 шт.)</t>
  </si>
  <si>
    <t>Установка системы учета для технологического присоединения энергопринимающих устройств Заявителя (Амбарцумян А.Л.) по адресу: Ростовская область, Мясниковский район, с. Крым, ул. Нольная, д. 1/в, к.н. 61:25:0201005:69 (1 шт.)</t>
  </si>
  <si>
    <t xml:space="preserve">Установка системы учета для технологического присоединения энергопринимающих устройств Заявителя (Луценко Д.А.) по адресу: Ростовская область, Мясниковский район, х. Ленинакан, ул. Майская, д. 23, к.н. 61:25:0600401:16834 (1 шт.) </t>
  </si>
  <si>
    <t xml:space="preserve">Установка системы учета для технологического присоединения энергопринимающих устройств Заявителя (Петрова А.Г.) по адресу: Ростовская область, Мясниковский район, х. Красный Крым, ул. Сатхинская, д. 34, к.н. 61:25:0600401:17218 (1 шт.) </t>
  </si>
  <si>
    <t xml:space="preserve">Установка системы учета для технологического присоединения энергопринимающих устройств Заявителя (Витютнев А.Н) по адресу: Ростовская область, Мясниковский район, х. Ленинаван, ул. Майская, д. 42, к.н. 61:25:0030202:1149 (1 шт.) </t>
  </si>
  <si>
    <t>Установка системы учета для технологического присоединения энергопринимающих устройств Заявителя (Акопян М.А.) по адресу: Ростовская область, Мясниковский район, с. Крым, ул. Маршала Баграмяна, д. 32/а, к.н. 61:25:0600201:1460 (1 шт.)</t>
  </si>
  <si>
    <t xml:space="preserve">Установка системы учета для технологического присоединения энергопринимающих устройств Заявителя (Аносов Х.С.) по адресу: Ростовская область, Мясниковский район, с. Чалтырь, ул. Речная, 34/г,  к.н. 61:25:0101211:311 (1 шт.) </t>
  </si>
  <si>
    <t>Установка системы учета для технологического присоединения энергопринимающих устройств Заявителя (Аракелян В.О.) по адресу: Ростовская область, Мясниковский район, с. Большие Салы, ул. Московская, д. 16, к.н. 61:25:0600401:2513 (1 шт.)</t>
  </si>
  <si>
    <t>Установка системы учета для технологического присоединения энергопринимающих устройств Заявителя (Бородавка М.А.) по адресу: Ростовская область, Мясниковский район, х. Ленинаван, ул. Дружбы, д. 1, к.н. 61:25:0030202:4920 (1 шт.)</t>
  </si>
  <si>
    <t>Установка системы учета для технологического присоединения энергопринимающих устройств Заявителя (Винникова А.В.) по адресу: Ростовская область, Мясниковский район, с. Большие Салы, ул. Московская, д. 5, к.н. 61:25:0600501:2535 (1 шт.)</t>
  </si>
  <si>
    <t>Установка системы учета для технологического присоединения энергопринимающих устройств Заявителя (Габриелян А.С.) по адресу: Ростовская область, Мясниковский район, с. Большие Салы, ул. Оганяна, д. 7/е, к.н. 61:25:0040101:6146 (1 шт.)</t>
  </si>
  <si>
    <t>Установка системы учета для технологического присоединения энергопринимающих устройств Заявителя (Гагалаев А.Б.) по адресу: Ростовская область, Мясниковский район, х. Ленинакан, ул. Майская, д. 8/а, к.н. 61:25:0600401:17006 (1 шт.)</t>
  </si>
  <si>
    <t>Установка системы учета для технологического присоединения энергопринимающих устройств Заявителя (Калуга А.А.) по адресу: Ростовская область, Мясниковский район, х. Красный Крым, ул. Капитальная, д. 12, к.н. 61:25:0600401:17182 (1 шт.)</t>
  </si>
  <si>
    <t>Установка системы учета для технологического присоединения энергопринимающих устройств Заявителя (Кипершлак А.О.) по адресу: Ростовская область, Мясниковский район, х. Ленинакан, ул. Майская, д. 10/а, к.н. 61:25:0600401:16983 (1 шт.)</t>
  </si>
  <si>
    <t xml:space="preserve">Установка системы учета для технологического присоединения энергопринимающих устройств Заявителя (Комарова И.В.) по адресу: Ростовская область, Мясниковский район, х. Красный Крым, ул. Верхняя, д. 53, к.н. 61:25:0600401:17510 (1 шт.) </t>
  </si>
  <si>
    <t>Установка системы учета для технологического присоединения энергопринимающих устройств Заявителя (Манвелян А.А.) по адресу: Ростовская область, Мясниковский район, х. Красный Крым, ул. Баграмяна, д. 13, к.н. 61:25:0600401:18278 (1 шт.)</t>
  </si>
  <si>
    <t xml:space="preserve">Установка системы учета для технологического присоединения энергопринимающих устройств Заявителя (Шарапов С.Н.) по адресу: Ростовская область, Мясниковский район, с. Крым, ул. Григора Бабияна, д. 48/б к.н. 61:25:0600201:1468 (1 шт.) </t>
  </si>
  <si>
    <t>Установка системы учета для технологического присоединения энергопринимающих устройств Заявителя (Чебыкин К.А.) по адресу: Ростовская область, Мясниковский район, с. Крым, ул. Григора Бабияна, д. 46/б к.н. 61:25:0600201:1546 (1 шт.)</t>
  </si>
  <si>
    <t xml:space="preserve">Установка системы учета для технологического присоединения энергопринимающих устройств Заявителя (Чабанов М.А.) по адресу: Ростовская область, Мясниковский район, с. Крым, ул. Григора Бабияна, д. 48/а, к.н. 61:25:0600201:1509 (1 шт.) </t>
  </si>
  <si>
    <t>Установка системы учета для технологического присоединения энергопринимающих устройств Заявителя (ИП Беньяминов А.В.) по адресу: Ростовская область, Мясниковский район, х. Ленинаван, к.н. 61:25:0600401:18652 (1 шт.)</t>
  </si>
  <si>
    <t>Установка системы учета для технологического присоединения энергопринимающих устройств Заявителя (Репка А.О.) по адресу: Ростовская область, Мясниковский район, х. Красный Крым, ул. Звездная, д. 34/а, к.н. 61:25:0600401:17683 (1 шт.)</t>
  </si>
  <si>
    <t>Установка системы учета для технологического присоединения энергопринимающих устройств Заявителя (Пирмурадова С.С.) по адресу: Ростовская область, Мясниковский район, х. Ленинакан, ул. Майская, д. 21/а, к.н. 61:25:0600401:18822 (1 шт.)</t>
  </si>
  <si>
    <t>Установка системы учета для технологического присоединения энергопринимающих устройств Заявителя (Пуличева Е.В.) по адресу: Ростовская область, Мясниковский район, х. Красный Крым, ул. Сатхинская, д. 38, к.н. 61:25:0600401:17216 (1 шт.)</t>
  </si>
  <si>
    <t>Установка системы учета для технологического присоединения энергопринимающих устройств Заявителя (Ратникова С.И.) по адресу: Ростовская область, Мясниковский район, х. Ленинаван, ул. Дружбы, д. 1/4, к.н. 61:25:0030202:4922 (1 шт.)</t>
  </si>
  <si>
    <t>Установка системы учета для технологического присоединения энергопринимающих устройств Заявителя (Рябова С.В.) по адресу: Ростовская область, Мясниковский район, х. Ленинакан, ул. Осенняя, д. 18/а, к.н. 61:25:0600401:19114 (1 шт.)</t>
  </si>
  <si>
    <t>Установка системы учета для технологического присоединения энергопринимающих устройств Заявителя (Семенова М.С.) по адресу: Ростовская область, Мясниковский район, х. Красный Крым, ул. Лермонтовская, д. 22, к.н. 61:25:0600401:17048 (1 шт.)</t>
  </si>
  <si>
    <t>Установка системы учета для технологического присоединения энергопринимающих устройств Заявителя (Сорохан Е.Я.) по адресу: Ростовская область, Мясниковский район, х. Красный Крым, ул. Пушкинская, д. 66, к.н. 61:25:0600401:16323 (1 шт.</t>
  </si>
  <si>
    <t>Установка системы учета для технологического присоединения энергопринимающих устройств Заявителя (Халилов И.К.) по адресу: Ростовская область, Мясниковский район, х. Красный Крым, ул. Верхняя, д. 19/б, к.н. 61:25:0600401:19817 (1 шт.)</t>
  </si>
  <si>
    <t>Установка системы учета для технологического присоединения энергопринимающих устройств Заявителя (Шахмурадян Р.К.) по адресу: Ростовская область, Мясниковский район, с. Чалтырь, ул. Октябрьская,  к.н. 61:25:0101243:942 (1 шт.)</t>
  </si>
  <si>
    <t>Установка системы учета для технологического присоединения энергопринимающих устройств Заявителя (Абгарян К.Ж.) по адресу: Ростовская область, Мясниковский район, с. Большие Салы, ул. Белорусская, д. 1/д, к.н. 61:25:0600501:3204 (1 шт.)</t>
  </si>
  <si>
    <t>Установка системы учета для технологического присоединения энергопринимающих устройств Заявителя (Азизбекян А.В.) по адресу: Ростовская область, Мясниковский район, с. Чалтырь, ул. Молодежная, д. 9/б, к.н. 61:25:0101430:316 (1 шт.)</t>
  </si>
  <si>
    <t>Установка системы учета для технологического присоединения энергопринимающих устройств Заявителя (Бондаренко Б.Н.) по адресу: Ростовская область, Мясниковский район, х. Красный Крым, ул. Лермонтовская, д. 13, к.н. 61:25:0600401:17086 (1 шт.)</t>
  </si>
  <si>
    <t>Установка системы учета для технологического присоединения энергопринимающих устройств Заявителя (Вардумян А.Л.) по адресу: Ростовская область, Мясниковский район, х. Ленинаван, ул. Суворова, д. 9/1, к.н. 61:25:0600401:20125 (1 шт.)</t>
  </si>
  <si>
    <t>Установка системы учета для технологического присоединения энергопринимающих устройств Заявителя (Водопьянов Н.В.) по адресу: Ростовская область, Мясниковский район, х. Ленинаван, ул. Кутузова, д. 66,  к.н. 61:25:0600401:6282 (1 шт.)</t>
  </si>
  <si>
    <t>Установка системы учета для технологического присоединения энергопринимающих устройств Заявителя (Волощак Д.М.) по адресу: Ростовская область, Мясниковский район, х. Ленинаван, ул. им. И.Х. Баграмяна, д. 32, к.н. 61:25:0600401:9608 (1 шт.)</t>
  </si>
  <si>
    <t>Установка системы учета для технологического присоединения энергопринимающих устройств Заявителя (Восканян К.Б.) по адресу: Ростовская область, Мясниковский район, с. Крым, ул. Шаумяна, д. 71/б, к.н. 61:25:0201004:241 (1 шт.)</t>
  </si>
  <si>
    <t>Установка системы учета для технологического присоединения энергопринимающих устройств Заявителя (Давиденко О.Б.) по адресу: Ростовская область, Мясниковский район, х. Красный Крым, ул. Баграмяна, д. 15, к.н. 61:25:0600401:18248 (1 шт.)</t>
  </si>
  <si>
    <t>Установка системы учета для технологического присоединения энергопринимающих устройств Заявителя (Зинченко Ф.В.) по адресу: Ростовская область, Мясниковский район, х. Красный Крым, ул. Верхняя, д. 15, к.н. 61:25:0600401:19812 (1 шт.)</t>
  </si>
  <si>
    <t>Установка системы учета для технологического присоединения энергопринимающих устройств Заявителя (Игнатенко В.А.) по адресу: Ростовская область, Мясниковский район, х. Ленинакан, ул. Осенняя, д. 1/10, к.н. 61:25:0600401:17943 (1 шт.)</t>
  </si>
  <si>
    <t>Установка системы учета для технологического присоединения энергопринимающих устройств Заявителя (Клементьев Д.С.) по адресу: Ростовская область, Мясниковский район, х. Ленинаван, ул. Ландышевая, д. 1, к.н. 61:25:0600401:17219 (1 шт.)</t>
  </si>
  <si>
    <t>Установка системы учета для технологического присоединения энергопринимающих устройств Заявителя (Комарова И.В.) по адресу: Ростовская область, Мясниковский район, х. Красный Крым, ул. Верхняя, д. 55, к.н. 61:25:0600401:17511 (1 шт.)</t>
  </si>
  <si>
    <t>Установка системы учета для технологического присоединения энергопринимающих устройств Заявителя (Коротков А.В.) по адресу: Ростовская область, Мясниковский район, х. Ленинакан, ул. Майская, д. 4/г, к.н. 61:25:0600401:17384 (1 шт.)</t>
  </si>
  <si>
    <t>Установка системы учета для технологического присоединения энергопринимающих устройств Заявителя (Костина И.М.) по адресу: Ростовская область, Мясниковский район, х. Красный Крым, ул. Лермонтовская, д. 10, к.н. 61:25:0600401:17054 (1 шт.)</t>
  </si>
  <si>
    <t>Установка системы учета для технологического присоединения энергопринимающих устройств Заявителя (Куличенко М.А.) по адресу: Ростовская область, Мясниковский район, х. Красный Крым, ул. Пушкинская, д. 65, к.н. 61:25:0600401:16367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</si>
  <si>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Красный Крым, ул. Крымская, д. 70, к.н. 61:25:0600401:16921 (1 шт.)</t>
  </si>
  <si>
    <t>Установка системы учета для технологического присоединения энергопринимающих устройств Заявителя (Лаврик Е.А.) по адресу: Ростовская область, Мясниковский район, х. Красный Крым, ул. Лермонтовская, д. 17, к.н. 61:25:0600401:17084 (1 шт.)</t>
  </si>
  <si>
    <t>Установка системы учета для технологического присоединения энергопринимающих устройств Заявителя (Лепилов И.Л.) по адресу: Ростовская область, Мясниковский район, х. Красный Крым, ул. Баграмяна, д. 7, к.н. 61:25:0600401:18275 (1 шт.)</t>
  </si>
  <si>
    <t>Установка системы учета для технологического присоединения энергопринимающих устройств Заявителя (Ломака В.Е.) по адресу: Ростовская область, Мясниковский район, х. Красный Крым, ул. Капитальная, д. 15, к.н. 61:25:0600401:17196 (1 шт.)</t>
  </si>
  <si>
    <t>Установка системы учета для технологического присоединения энергопринимающих устройств Заявителя (Мигаль Е.С.) по адресу: Ростовская область, Мясниковский район, х. Ленинаван, ул. Звездная, д. 26/а, к.н. 61:25:0600401:17456 (1 шт.)</t>
  </si>
  <si>
    <t>Установка системы учета для технологического присоединения энергопринимающих устройств Заявителя (Мироненко Н.С.) по адресу: Ростовская область, Мясниковский район, х. Ленинакан, ул. Майская, д. 5/б, к.н. 61:25:0600401:17593 (1 шт.)</t>
  </si>
  <si>
    <t>Установка системы учета для технологического присоединения энергопринимающих устройств Заявителя (Морозова М.Н.) по адресу: Ростовская область, Мясниковский район, с. Крым, ул. Маршала Жукова, д. 5, к.н. 61:25:0600201:466 (1 шт.)</t>
  </si>
  <si>
    <t>Установка системы учета для технологического присоединения энергопринимающих устройств Заявителя (Нечаева Е.В.) по адресу: Ростовская область, Мясниковский район, х. Ленинаван, ул. Удачная, д. 11, к.н. 61:25:0600401:15013 (1 шт.)</t>
  </si>
  <si>
    <t>Установка системы учета для технологического присоединения энергопринимающих устройств Заявителя (Петросян А.А.) по адресу: Ростовская область, Мясниковский район, с. Крым, ул. Первомайская, д. 92, к.н. 61:25:0201019:614 (1 шт.)</t>
  </si>
  <si>
    <t>Установка системы учета для технологического присоединения энергопринимающих устройств Заявителя (Пилтакян П.Х.) по адресу: Ростовская область, Мясниковский район, с. Крым, ул. Комсомольская, д. 28, к.н. 61:25:0201018:899 (1 шт.)</t>
  </si>
  <si>
    <t>Установка системы учета для технологического присоединения энергопринимающих устройств Заявителя (Савченко С.В.) по адресу: Ростовская область, Мясниковский район, х. Красный Крым, ул. Сатхинская, д. 40, к.н. 61:25:0600401:17215 (1 шт.)</t>
  </si>
  <si>
    <t>Установка системы учета для технологического присоединения энергопринимающих устройств Заявителя (Сотников А.В.) по адресу: Ростовская область, Мясниковский район, х. Ленинакан, ул. Майская, д. 5/а, к.н. 61:25:0600401:17594 (1 шт.)</t>
  </si>
  <si>
    <t>Строительство системы учета для технологического присоединения энергопринимающих устройств Заявителей: «Муниципальное бюджетное учреждение здравоохранения "Центральная районная больница "Матвеево - Курганского района.,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</si>
  <si>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Булавинцев А.Ю., Кручинина Е.В., в Матвеево Курганском районе Ростовской области</t>
  </si>
  <si>
    <t>Установка системы учета для технологического присоединения энергопринимающих устройств Заявителя: «Администрация Анастасиевского сельского поселения»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</si>
  <si>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Попов Л.В., в Матвеево Курганском районе Ростовской области – 1 шт.</t>
  </si>
  <si>
    <t>Строительство системы учета для технологического присоединения жилого дома Заявителя Михайленко А.В. по адресу: Ростовская область, Мясниковский район, с. Крым, ул. Григора Бабияна, д. 18, корп. а, к. н. 61:25:0201019:778</t>
  </si>
  <si>
    <t>Строительство системы учета для технологического присоединения энергопринимающих устройств Заявителей: Зозулюк С.В., Бурунин А.С., Кучер В.М.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</si>
  <si>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МКУ «Благоустройство», Сухоруков Е.А. в г. Таганроге, Ростовской области</t>
  </si>
  <si>
    <t>«Строительство системы учета для технологического присоединения энергопринимающих устройств Заявителей: Вороненко А.В., Исаджанян Г.З.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</si>
  <si>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МКУ «Благоустройство», Комарков А.Б., Макарова И.Н., Индивидуальный предприниматель Гребень В.В., в г. Таганроге, Ростовской области</t>
  </si>
  <si>
    <t>Строительство системы учета для технологического присоединения энергопринимающих устройств Заявителей: Щербина А.В., Мамонов А.В.  в г. Таганроге, Ростовской области</t>
  </si>
  <si>
    <t>Строительство системы учета для технологического присоединения энергопринимающих устройств Заявителей: Карпухина Н.А. в г. Таганроге, Ростовской области</t>
  </si>
  <si>
    <t>Установка системы учета для технологического присоединения энергопринимающих устройств Заявителя ИП Малашенко Г.В. в г.Таганроге Ростовской области (1 шт.)</t>
  </si>
  <si>
    <t>Установка системы учета для технологического присоединения энергопринимающих устройств Заявителя: Подгорная А.В. в г.Таганроге, Ростовской области (1 шт)</t>
  </si>
  <si>
    <t>Установка системы учета для технологического присоединения энергопринимающих устройств Заявителя: ООО «ДорСтройИнвест» в г. Таганроге, Ростовской области (1 шт)</t>
  </si>
  <si>
    <t>Установка системы учета для технологического присоединения энергопринимающих устройств Заявителей: Лаушкина А.Ю. в г.Таганроге, Ростовской области (1 шт)</t>
  </si>
  <si>
    <t>Установка системы учета для технологического присоединения энергопринимающих устройств Заявителей: Администрация Алексеевского сельского поселения,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</si>
  <si>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Заявителей: Лихота А.Г.,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</si>
  <si>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Жилякова Н.А. в г. Таганроге, Ростовской области (1 шт)</t>
  </si>
  <si>
    <t>Установка системы учета для технологического присоединения энергопринимающих устройств Заявителя: МРОП Приход храма праведного Павла Таганрогского п. М-Курган РО,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</si>
  <si>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Бучко О.В. в г. Таганроге, Ростовской области (1 шт)</t>
  </si>
  <si>
    <t>Установка системы учета для технологического присоединения энергопринимающих устройств Заявителя: Администрация Большекирсановского сельского поселения, в Матвеево Курганском районе Ростовской области – 7 шт.</t>
  </si>
  <si>
    <t>Установка системы учета для технологического присоединения энергопринимающих устройств Заявителя: Администрация Екатериновского сельского поселения,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</si>
  <si>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Администрация Большекирсановского сельского поселения,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</si>
  <si>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Заявителей: Саратикян А.Г., Казарян А.Г.,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</si>
  <si>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Переу Александр Федорович в г. Таганроге, Ростовской области (1 шт)</t>
  </si>
  <si>
    <t>Строительство системы учета для технологического присоединения энергопринимающих устройств Заявителей: Государственное бюджетное учреждение культуры Ростовской области «Таганрогский государственный литературный и историко-архитектурный музей-заповедник», Кравченко А.П., в г.Таганроге, Ростовской области</t>
  </si>
  <si>
    <t>Установка системы учета для технологического присоединения энергопринимающих устройств Заявителей: Аветисян А.Г. в г. Таганроге, Ростовской области (1 шт)</t>
  </si>
  <si>
    <t>Установка системы учета для технологического присоединения энергопринимающих устройств Заявителей: Пожидаева Е.Н., Гукасян Т.С.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</si>
  <si>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Сарычева А.В., Малинская Н.Н.  в г. Таганроге, Ростовской области (2 шт)</t>
  </si>
  <si>
    <t>Установка системы учета для технологического присоединения энергопринимающих устройств Заявителей: Скворцов В.Ф. в г. Таганроге, Ростовской области (1 шт)</t>
  </si>
  <si>
    <t>Установка системы учета для технологического присоединения энергопринимающих устройств Заявителей: Сюренко Т.И., Тебекин С.С., Пушкарева Н.И.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</si>
  <si>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Трубников А.А., Жихарева А.О., Герасименко Е.В. в Неклиновском районе Ростовской области (3 шт.)</t>
  </si>
  <si>
    <t>Установка системы учета для технологического присоединения энергопринимающих устройств Заявителя Гаврилова В.В. в г.Таганроге Ростовской области (1 шт.)</t>
  </si>
  <si>
    <t>Установка системы учета для технологического присоединения энергопринимающих устройств Заявителя Лазарева Л.Н. в Куйбышевском районе Ростовской области (1 шт)</t>
  </si>
  <si>
    <t>Установка системы учета для технологического присоединения энергопринимающих устройств Заявителя: Строгин Э.Г. в Неклиновском районе Ростовской области (1 шт)</t>
  </si>
  <si>
    <t>Установка системы учета для технологического присоединения энергопринимающих устройств Заявителя ИП Гиль В.П. в Куйбышевском районе Ростовской области (1 шт)</t>
  </si>
  <si>
    <t>Установка системы учета для технологического присоединения энергопринимающих устройств Заявителя Жуков А.А. в Куйбышевском районе Ростовской области (1 шт)</t>
  </si>
  <si>
    <t>Установка системы учета для технологического присоединения энергопринимающих устройств Заявителей Никитина Е.А., Мащенко П.М. в Куйбышевском районе Ростовской области (2 шт)</t>
  </si>
  <si>
    <t>Установка системы учета для технологического присоединения энергопринимающих устройств Заявителей Мамбетова В.Д., Гречко В.В. в Куйбышевском районе Ростовской области (2 шт)</t>
  </si>
  <si>
    <t>Установка системы учета для технологического присоединения энергопринимающих устройств Заявителя Хасанова Т.М. по адресу Ростовская обл., Куйбышевский район, с. Куйбышево, ул. Дмитриевская, д.97 (1 шт.)</t>
  </si>
  <si>
    <t>Установка системы учета для технологического присоединения энергопринимающих устройств Заявителя Сорока С.И. по адресу Ростовская обл., Куйбышевский район, с. Куйбышево, юго-западнее с. Куйбышево, 1000м, к.н: 61:19:0600005:888 (1шт)</t>
  </si>
  <si>
    <t>Установка системы учета для технологического присоединения энергопринимающих устройств Заявителя (Иванников П.А.) по адресу Ростовская обл., р-н. Куйбышевский, х. Русско-Лютино, ул. Социалистическая, д. 34, кв./оф. 1, к.н: 61:19:0020601:214 (1шт).</t>
  </si>
  <si>
    <t>Установка системы учета для технологического присоединения энергопринимающих устройств Заявителя (Юрченко В.В.) по адресу Ростовская обл., Куйбышевский район, с. Куйбышево, ул. Огородная, д. 4, к.н: 61:19:0010107:1 (1шт)</t>
  </si>
  <si>
    <t>Установка системы учета для технологического присоединения энергопринимающих устройств Заявителя (Гончарова Е.И.) по адресу Ростовская обл., Куйбышевский район, с. Куйбышево, ул. Ростовская, д. 14, к.н: 61:19:0010161:1 (1шт)</t>
  </si>
  <si>
    <t>Установка системы учета для технологического присоединения энергопринимающих устройств Заявителя (Григориади Л.А.) по адресу Ростовская обл., Куйбышевский район, с. Куйбышево, пер. Лесной, д. 32, к.н: 61:19:0010175:44 (1шт)</t>
  </si>
  <si>
    <t>Установка системы учета для технологического присоединения энергопринимающих устройств Заявителя (Кистенева Е.Ю.) по адресу Ростовская обл., Куйбышевский район, х. Примиусский, ул. Примиусская, д. 23, к.н: 61:19:0010401:205 (1шт)</t>
  </si>
  <si>
    <t>Установка системы учета для технологического присоединения энергопринимающих устройств Заявителей: Муниципальное бюджетное учреждение здравоохранения «Центральная районная больница» Матвеево-Курганского района Ростовской области.,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</si>
  <si>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Зинченко С.Н.,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</si>
  <si>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ИП Ларионова Г.Г.,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</si>
  <si>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Фомичев И.В., Скрытченко А.А., в Матвеево Курганском районе Ростовской области – 2 шт.</t>
  </si>
  <si>
    <t xml:space="preserve">Установка системы учета для технологического присоединения энергопринимающих устройств Заявителя: Сигута А.А., в Матвеево Курганском районе Ростовской области – 1 шт. </t>
  </si>
  <si>
    <t>Установка системы учета для технологического присоединения энергопринимающих устройств Заявителя: Бондаренко С.Г.,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</si>
  <si>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Петрушенко О.Г., в Матвеево Курганском районе Ростовской области – 1 шт.</t>
  </si>
  <si>
    <t xml:space="preserve">Установка системы учета для технологического присоединения энергопринимающих устройств Заявителя: Администрация Большекирсановского сельского поселения, в Матвеево Курганском районе Ростовской области (Ростовская область, М-Курганский район, х. Криничный, в 44 м западнее домовладения по пер. Трудовой №2) - 1 шт. </t>
  </si>
  <si>
    <t xml:space="preserve">Установка системы учета для технологического присоединения энергопринимающих устройств Заявителя: Администрация Большекирсановского сельского поселения, в Матвеево Курганском районе Ростовской области (Ростовская область, М-Курганский район, х. Иваново-Ясиновка, в 20 м северо-западнее от домовладения по пер. Ясиновский №2) – 1 шт. </t>
  </si>
  <si>
    <t xml:space="preserve">Установка системы учета для технологического присоединения энергопринимающих устройств Заявителя: Администрация Большекирсановского сельского поселения, в Матвеево Курганском районе Ростовской области (Ростовская область, М-Курганский район, х. Иваново-Ясиновка, в 35 м северо-восточнее домовладения по ул. Калинина №3) – 1 шт. </t>
  </si>
  <si>
    <t xml:space="preserve">Установка системы учета для технологического присоединения энергопринимающих устройств Заявителя: Николаенко Ю.В., в Матвеево Курганском районе Ростовской области – 1 шт. </t>
  </si>
  <si>
    <t>Установка системы учета для технологического присоединения энергопринимающих устройств Заявителя: Администрация Большекирсановского сельского поселения, в Матвеево Курганском районе Ростовской области (Ростовская область, М-Курганский район, х. Петрополье, в 6 м северо-западнее домовладения по пер. Гвардейский №1)   – 1 шт.</t>
  </si>
  <si>
    <t xml:space="preserve">Установка системы учета для технологического присоединения энергопринимающих устройств Заявителя (Клипач Т.А.) по адресу: Ростовская область, Матвеево-Курганский район, х. Колесниково, ул. Лазоревая, д. 27, к.н. 61:21:0010301:630 (1 шт.) </t>
  </si>
  <si>
    <t>Установка системы учета для технологического присоединения энергопринимающих устройств Заявителя (Глазков А.В.) по адресу: Ростовская область, Матвеево-Курганский район, п. Матвеев Курган, ул. Березовая, д. 2, к.н. 61:21:0010124:81 (1 шт.)</t>
  </si>
  <si>
    <t>Установка системы учета для технологического присоединения энергопринимающих устройств Заявителя (Зимогляденко А.С.) по адресу: Ростовская область, Матвеево-Курганский район, с. Анастасиевка,
 ул. Октябрьская, д. 68, к.н. 61:21:0040101:1002 (1 шт.)</t>
  </si>
  <si>
    <t>Установка системы учета для технологического присоединения энергопринимающих устройств Заявителя (Митько Л.Д.) по адресу: Ростовская область, Матвеево-Курганский район, п. Красный Бумажник, ул. Подгорная, д. 34, к.н. 61:21:0010601:141 (1 шт.)</t>
  </si>
  <si>
    <t>Установка системы учета для технологического присоединения энергопринимающих устройств Заявителя (Администрация Матвеево-Курганского района) по адресу: Ростовская область, Матвеево-Курганский район, с. Алексеевка, ул. Ворошилова, д. 41, к.н. 61:21:030101:564 (1 шт.)</t>
  </si>
  <si>
    <t>Установка системы учета для технологического присоединения энергопринимающих устройств Заявителя (Шарафаненко К.В.) по адресу: Ростовская область, М-Курганский район, п. М-Курган, ул. Молодежная, гараж №7, к.н.: 61:21:0010178:665 (1 шт.)</t>
  </si>
  <si>
    <t xml:space="preserve">Установка системы учета для технологического присоединения энергопринимающих устройств Заявителя (Карпов С.В.) по адресу: Ростовская область, М-Курганский район, п. М-Курган, ул. Строительная, гараж №10, к.н.: 61:21:0010158:149 (1 шт.) </t>
  </si>
  <si>
    <t>Установка системы учета для технологического присоединения энергопринимающих устройств Заявителя (Галицкая Е.В.) по адресу: Ростовская область, М-Курганский район, с. Ряженое, ул. Ленина, д. 16, кв. а, к.н.: 61:21:0020101:5296 (1 шт.)</t>
  </si>
  <si>
    <t>Установка системы учета для технологического присоединения энергопринимающих устройств Заявителя (Цанга Л.Г.) по адресу: Ростовская область, М-Курганский район, п. М-Курган, ул. Новгородская, д. 13, к.н.: 61:21:0010135:93 (1 шт.)</t>
  </si>
  <si>
    <t>Установка системы учета для технологического присоединения энергопринимающих устройств Заявителя (Тишин В.В.) по адресу: Ростовская область, М-Курганский район, п. Матвеев Курган, ул. Строительная, гараж № 71, к.н.: 61:21:0010158:382 (1 шт.)</t>
  </si>
  <si>
    <t>Установка системы учета для технологического присоединения энергопринимающих устройств Заявителя (Тур С.М.) по адресу: Ростовская область, М-Курганский район, п. Матвеев Курган, ул. Верхняя д. 27, к.н.: 61:21:0010301:751 (1 шт.)</t>
  </si>
  <si>
    <t>Установка системы учета для технологического присоединения энергопринимающих устройств Заявителя (Администрация Ряженского сельского поселения) по адресу: Ростовская область, М-Курганский район, с. Ряженое, 20 м на северо-восток от ул. Ленина 57, к.н.: 00:00:000000:00 (1 шт.)</t>
  </si>
  <si>
    <t>Установка системы учета для технологического присоединения энергопринимающих устройств Заявителя (Фионкин А.Н.) по адресу: Ростовская область, М-Курганский район, с. Рясное, ул. Восточная д. 2/б, к.н.: 61:21:0020401:3445 (1 шт.)</t>
  </si>
  <si>
    <t>Установка системы учета для технологического присоединения энергопринимающих устройств Заявителя (Федоренко А.В.) по адресу: Ростовская область, М-Курганский район, п. Матвеев Курган, ул. Одесская, д. 37, кв.2, к.н.: 61:21:0010118:104 (1 шт.)</t>
  </si>
  <si>
    <t>Установка системы учета для технологического присоединения энергопринимающих устройств Заявителя (Комарова Н.А.) по адресу: Ростовская область, М-Курганский район, с. Латоново, ул. Ленина, д. 9, 
к.н.: 61:21:0070101:748 (1 шт.)</t>
  </si>
  <si>
    <t>Установка системы учета для технологического присоединения энергопринимающих устройств Заявителя (Милохин Г.В.) по адресу: Ростовская область, М-Курганский район, х. Балка, ул. Мира, д. 24, к.н.: 61:21:0051101:679 (1 шт.)</t>
  </si>
  <si>
    <t>Установка системы учета для технологического присоединения энергопринимающих устройств Заявителя (Савицкий И.Ж.) по адресу: Ростовская область, М-Курганский район, х. Колесниково, ул. Таганрогская, д. 81 а, к.н. 61:21:0010301:564 (1 шт.)</t>
  </si>
  <si>
    <t>Установка системы учета для технологического присоединения энергопринимающих устройств Заявителя (Антоненко А.А.) по адресу: Ростовская область, М-Курганский район, с. Анастасиевка, ул. Пролетарская, д.71, к.н. 61:21:0040101:928 (1 шт.)</t>
  </si>
  <si>
    <t>Установка системы учета для технологического присоединения энергопринимающих устройств Заявителя: Галицына А.Е.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</si>
  <si>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Трубников А.А., Клюйкова Ю.С., Исаджанян З.Г.  в Неклиновском районе Ростовской области (3 шт.).</t>
  </si>
  <si>
    <t xml:space="preserve">Установка системы учета для технологического присоединения энергопринимающих устройств Заявителя: Букша А.Г.   в Неклиновском районе Ростовской области (1 шт.). </t>
  </si>
  <si>
    <t>Установка системы учета для технологического присоединения энергопринимающих устройств Заявителей: Голованов Д.Н., Карнута И.Н., Настатуха А.А., Федоренко А.С.   в Неклиновском районе Ростовской области (4 шт.).</t>
  </si>
  <si>
    <t>Установка системы учета для технологического присоединения энергопринимающих устройств Заявителей: Полянский В.А., Гузикова Г.А., Радченко А.О.  в Неклиновском районе Ростовской области (3 шт.).</t>
  </si>
  <si>
    <t xml:space="preserve">Установка системы учета для технологического присоединения энергопринимающих устройств Заявителя: Казакова А.А. в Неклиновском районе Ростовской области (1 шт.). </t>
  </si>
  <si>
    <t>Установка системы учета для технологического присоединения энергопринимающих устройств Заявителей: Брынзарь С.В., Починский А.М., Шевцова Е.И.  в Неклиновском районе Ростовской области (3 шт.).</t>
  </si>
  <si>
    <t>Установка системы учета для технологического присоединения энергопринимающих устройств Заявителя: Кириченко Д.В.   в Неклиновском районе Ростовской области (1 шт.).</t>
  </si>
  <si>
    <t>Установка системы учета для технологического присоединения энергопринимающих устройств Заявителя: Дубасар О.А.   в Неклиновском районе Ростовской области (1 шт.).</t>
  </si>
  <si>
    <t>Установка системы учета для технологического присоединения энергопринимающих устройств Заявителя: Соскова О.И.   в Неклиновском районе Ростовской области (1 шт.)</t>
  </si>
  <si>
    <t>Установка системы учета для технологического присоединения энергопринимающих устройств Заявителя: Тупиха Л.Н.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</si>
  <si>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Заявителя (Богомолова Т.В.)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</si>
  <si>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(Дорогань К.С.)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</si>
  <si>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(Зарудняя Е.А.) в г. Таганроге Ростовской области (1шт.) </t>
  </si>
  <si>
    <t xml:space="preserve">Установка системы учета для технологического присоединения энергопринимающих устройств Заявителя (Котовский Н.В.)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</si>
  <si>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(Кунева О.Г.) в г. Таганроге Ростовской области (1шт.) </t>
  </si>
  <si>
    <t xml:space="preserve">Установка системы учета для технологического присоединения энергопринимающих устройств Заявителя (Малайчук И.В.)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</si>
  <si>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(Маршалкин А.В.)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</si>
  <si>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(Окунцева И.Г.)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</si>
  <si>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(Нижниковский А.П.) по адресу: Ростовская область, Неклиновский район, с. Новобессергеневка, ул. Чапаева, 28-Б (1шт.) </t>
  </si>
  <si>
    <t xml:space="preserve">Установка системы учета для технологического присоединения энергопринимающих устройств Заявителя (Нижниковский А.П.) по адресу: Ростовская область, Неклиновский район, с. Новобессергеневка, ул. Чапаева, 28-В (1шт.) </t>
  </si>
  <si>
    <t xml:space="preserve">Установка системы учета для технологического присоединения энергопринимающих устройств Заявителя (Оленев Ф.А.)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</si>
  <si>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(Администрация Большенеклиновского с.п.) по адресу: Ростовская область, Неклиновский район, с. Отрадное, ул. Первомайская, 26 (1шт.) </t>
  </si>
  <si>
    <t xml:space="preserve">Установка системы учета для технологического присоединения энергопринимающих устройств Заявителя (Администрация Большенеклиновского с.п.) по адресу: Ростовская область, Неклиновский район, с. Отрадное, ул. Молодежная, 1 (1шт.) </t>
  </si>
  <si>
    <t xml:space="preserve">Установка системы учета для технологического присоединения энергопринимающих устройств Заявителя (Самохина Ю.С.)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</si>
  <si>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Заявителей: Саркисян Б.В.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</si>
  <si>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(Спиридонова С.С.)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</si>
  <si>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(Стасенко Н.П.) в Неклиновском районе Ростовской области (1шт.) </t>
  </si>
  <si>
    <t>Установка системы учета для технологического присоединения энергопринимающих устройств Заявителя (Фацкая И.А.)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</si>
  <si>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Заявителя (Фацкий В.А.)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</si>
  <si>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(Цапова Л.С.)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</si>
  <si>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(Шевченко В.В.)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</si>
  <si>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(Шилова Л.Д.)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</si>
  <si>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(Шкуропат А.В.)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</si>
  <si>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(Шостик И.П.) в Неклиновском районе Ростовской области (1шт.) </t>
  </si>
  <si>
    <t>Установка системы учета для технологического присоединения энергопринимающих устройств Заявителя (Кукибная Т.А.) в Неклиновском районе Ростовской области (1шт.)</t>
  </si>
  <si>
    <t xml:space="preserve">Установка системы учета для технологического присоединения энергопринимающих устройств Заявителя (Агафонов Ю.М.) по адресу: Ростовская область, Неклиновский район, с. Марьевка, ул. Мирная, д. 164, к.н. 61:26:0190401:166 (1 шт.) </t>
  </si>
  <si>
    <t xml:space="preserve">Установка системы учета для технологического присоединения энергопринимающих устройств Заявителя (Александрова Т.Н.) по адресу: Ростовская область, Неклиновский район, х. Красный Десант, ул. Октябрьская, д. 96, к.н. 61:26:0070101:435 (1 шт.) </t>
  </si>
  <si>
    <t xml:space="preserve">Установка системы учета для технологического присоединения энергопринимающих устройств Заявителя (Бандурист А.Н.) в Неклиновском районе Ростовской области (1шт.) </t>
  </si>
  <si>
    <t>Установка системы учета для технологического присоединения энергопринимающих устройств Заявителя (МБУК "Межпоселенческая центральная библиотека имени И.М.Бондаренко" Неклиновского района Ростовской области)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</si>
  <si>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Заявителя (Долженко А.А.) по адресу: Ростовская область, Неклиновский район, с. Самбек, ул. Первомайская, д. 109-Б, к.н. 61:26:0020101:5129 (1 шт.) </t>
  </si>
  <si>
    <t xml:space="preserve">Установка системы учета для технологического присоединения энергопринимающих устройств Заявителя (Дударева В.П.) по адресу: Ростовская область, Неклиновский район, с. Петрушино, 8-й переулок, д. 8-а, к.н. 61:26:0180201:4261 (1 шт.) </t>
  </si>
  <si>
    <t xml:space="preserve">Установка системы учета для технологического присоединения энергопринимающих устройств Заявителя (Жиденко С.О.) по адресу: Ростовская область, Неклиновский район, с. Петрушино, пер. Садовый, д. 49-А, к.н. 61:26:0600024:7718 (1 шт.) </t>
  </si>
  <si>
    <t xml:space="preserve">Установка системы учета для технологического присоединения энергопринимающих устройств Заявителя (Заргарян А.О.) по адресу: Ростовская область, Неклиновский район, с. Бессергеновка, ул. Солнечная, д. 63, к.н. 61:26:0040201:3805 (1 шт.) </t>
  </si>
  <si>
    <t xml:space="preserve">Установка системы учета для технологического присоединения энергопринимающих устройств Заявителя (Капшук Г.Д.) в городе Таганрог Ростовской области (1шт.) </t>
  </si>
  <si>
    <t xml:space="preserve">Установка системы учета для технологического присоединения энергопринимающих устройств Заявителя (Карелина Е.Е.) по адресу: Ростовская область, Неклиновский район, с. Натальевка, ул. Чехова, д. 17-а, к.н. 61:26:0030101:235 (1 шт.) </t>
  </si>
  <si>
    <t xml:space="preserve">Установка системы учета для технологического присоединения энергопринимающих устройств Заявителя (Клещаров А.Г.) по адресу: Ростовская область, Неклиновский район, с. Покровское, пер. Вокзальный, 53-а, д. 164, к.н. 61:26:0050135:983 (1 шт.) </t>
  </si>
  <si>
    <t xml:space="preserve">Установка системы учета для технологического присоединения энергопринимающих устройств Заявителя (Копичай О.В.) по адресу: Ростовская область, Неклиновский район, с. Новобессергеневка, ул. Янтарная, д. 18-Б, к.н. 61:26:0600024:5389 (1 шт.) </t>
  </si>
  <si>
    <t xml:space="preserve">Установка системы учета для технологического присоединения энергопринимающих устройств Заявителя (Лаптаков А.Ю.) по адресу: Ростовская область, Неклиновский район, с. Новобессергеневка, ул. Янтарная, д. 18-Б, к.н. 61:26:0600024:5389 (1 шт.) </t>
  </si>
  <si>
    <t xml:space="preserve">Установка системы учета для технологического присоединения энергопринимающих устройств Заявителя (Назарчук В.И.) по адресу: Ростовская область, Неклиновский район, с. Петрушино, пер. Садовый, д. 49-Б, к.н. 61:26:0600024:7719 (1 шт.) </t>
  </si>
  <si>
    <t xml:space="preserve">Установка системы учета для технологического присоединения энергопринимающих устройств Заявителя (Сорокин Ю.В.)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</si>
  <si>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(Худик А.В.) по адресу: Ростовская область, Неклиновский район, с. Николаевка, ул. Парковая, д. 112, к.н. 61:26:0110101:191 (1 шт.) </t>
  </si>
  <si>
    <t xml:space="preserve">Установка системы учета для технологического присоединения энергопринимающих устройств Заявителя (Чеботарь Т.П.)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</si>
  <si>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(Шматков В.А.) по адресу: Ростовская область, Неклиновский район, с. Петрушино, пер. Садовый, д. 2, к.н. 61:26:0180201:721 (1 шт.) </t>
  </si>
  <si>
    <t>Установка системы учета для технологического присоединения энергопринимающих устройств Заявителя (Еременко С.Е.) по адресу: Ростовская область, Неклиновский район, х. Рожок, ул. Южная, д. 9-б (1 шт.)</t>
  </si>
  <si>
    <t xml:space="preserve">Установка системы учета для технологического присоединения энергопринимающих устройств Заявителя (Муравьев Д.А.) по адресу: Ростовская область, Неклиновский район, с. Новобессергеневка, ул. Свободы, д. 3-б, к.н. 61:26:0600024:5988 (1 шт.) </t>
  </si>
  <si>
    <t xml:space="preserve">Установка системы учета для технологического присоединения энергопринимающих устройств Заявителя (Митилинео Е.Д.) по адресу: Ростовская область, Неклиновский район, х. Веселый, ул. Свободы, 1-в, к.н. 61:26:0070901:548 (1 шт.) </t>
  </si>
  <si>
    <t>Установка системы учета для технологического присоединения энергопринимающих устройств Заявителя (Ващенко И.А.) по адресу: Ростовская область, Неклиновский район, х. Курлацкий, пер. Садовый, д. 6,  (1 шт.)</t>
  </si>
  <si>
    <t>Установка системы учета для технологического присоединения энергопринимающих устройств Заявителя (Лоткова Т.Ю.) по адресу: Ростовская область, Неклиновский район, с. Новобессергеневка, ул. Морозова, д. 2-В, к.н. 61:26:0600024:7438 (1 шт.)</t>
  </si>
  <si>
    <t xml:space="preserve">Установка системы учета для технологического присоединения энергопринимающих устройств Заявителя (Малый Н.Н.) по адресу: Ростовская область, Неклиновский район, с. Новобессергеневка, ул. Лескова, д. 25-Д, к.н. 61:26:0600024:6139 (1 шт.) </t>
  </si>
  <si>
    <t>Установка системы учета для технологического присоединения энергопринимающих устройств Заявителя (Потапов С.М.) по адресу: Ростовская область, Неклиновский район, с. Синявское, пер. Донской, д. 3, к.н. 61:26:0060101:2223 (1 шт.)</t>
  </si>
  <si>
    <t>Установка системы учета для технологического присоединения энергопринимающих устройств Заявителя (Кононенко Н.А.) по адресу: Ростовская область, Неклиновский район, с. Новобессергеневка, ул. Морозова, д. 2-Б, к.н. 61:26:0600024:7439 (1 шт.)</t>
  </si>
  <si>
    <t>Установка системы учета для технологического присоединения энергопринимающих устройств Заявителя (Рыжих В.Н.) по адресу: Ростовская область, Неклиновский район, п. Золотая Коса, ул. Новаторов, д. 14, к.н. 61:26:0071001:788 (1 шт.)</t>
  </si>
  <si>
    <t>Установка системы учета для технологического присоединения энергопринимающих устройств Заявителя (Снименко Е.В.) по адресу: Ростовская область, Неклиновский район, с. Бессергеновка, ул. Солнечная, д. 25 (1 шт.)</t>
  </si>
  <si>
    <t>Установка системы учета для технологического присоединения энергопринимающих устройств Заявителя (Хайдукова Е.В.) по адресу: Ростовская область, Неклиновский район, с. Новобессергеневка, ул. Инициативная, д. 26-Б, к.н. 61:26:0600024:7657 (1 шт.)</t>
  </si>
  <si>
    <t>Установка системы учета для технологического присоединения энергопринимающих устройств Заявителя (Щербаков В.А.) по адресу: Ростовская область, г. Таганрог, ул. Надежды Сигиды, д. 9, к.н. 61:58:0007022:293 (1 шт.)</t>
  </si>
  <si>
    <t>Установка системы учета для технологического присоединения энергопринимающих устройств Заявителя (Базан Ю.В.) по адресу: Ростовская область, Неклиновский район, х. Русский Колодец, ул. Дзержинского, д. 72, к.н. 61:26:0070101:329 (1 шт.)</t>
  </si>
  <si>
    <t>Установка системы учета для технологического присоединения энергопринимающих устройств Заявителя (Шуклин М.И.) по адресу: Ростовская область, Неклиновский район, с. Новобессергеневка, ул. Морозова, д. 2Г, к.н. 61:26:0600024:7437 (1 шт.)</t>
  </si>
  <si>
    <t>Установка системы учета для технологического присоединения энергопринимающих устройств Заявителя (Красникова В.Д.) по адресу: Ростовская область, Неклиновский район, с. Новобессергеневка, ул. Солнечная, д. 44-Б, к.н. 61:26:0600024:6018 (1 шт.)</t>
  </si>
  <si>
    <t>Установка системы учета для технологического присоединения энергопринимающих устройств Заявителя (Путято Н.В.) по адресу: Ростовская область, Неклиновский район, с. Новобессергеневка, ул. Инициативная, д. 26-А, к.н. 61:26:0600024:7658 (1 шт.)</t>
  </si>
  <si>
    <t>Установка системы учета для технологического присоединения энергопринимающих устройств Заявителя (Гомонов Д.В.) по адресу: Ростовская область, Неклиновский район, с. Новобессергеневка, ул. Янтарная, д. 16-Б, к.н. 61:26:0600024:5420 (1 шт.)</t>
  </si>
  <si>
    <t xml:space="preserve">Установка системы учета для технологического присоединения энергопринимающих устройств Заявителя (Горянная А.В.) по адресу: Ростовская область, Неклиновский район, с. Новобессергеневка, ул. Свободы, д. 11-В, к.н. 61:26:0600024:7620 (1 шт.) </t>
  </si>
  <si>
    <t>Установка системы учета для технологического присоединения энергопринимающих устройств Заявителя (Кривоносова Е.И.) по адресу: Ростовская область, Неклиновский район, с. Новобессергеневка, ул. Янтарная, д. 16-А, к.н. 61:26:0600024:5419 (1 шт.)</t>
  </si>
  <si>
    <t>Установка системы учета для технологического присоединения энергопринимающих устройств Заявителя (Крупцев А.Ю.) по адресу: Ростовская область, Неклиновский район, с. Новобессергеневка, ул. Янтарная, д. 14-А, к.н. 61:26:0600024:5426 (1 шт.)</t>
  </si>
  <si>
    <t>Установка системы учета для технологического присоединения энергопринимающих устройств Заявителя (Недостаев И.А.) по адресу: Ростовская область, Неклиновский район, п. Павло-Мануйловский, ул. Родниковая, д. 2, к.н. 61:26:0090801:25 (1 шт.)</t>
  </si>
  <si>
    <t>Установка системы учета для технологического присоединения энергопринимающих устройств Заявителя (Овсянникова Н.Ю.) по адресу: Ростовская область, Неклиновский район, п. Дмитриадовка, ул. 3-я Степная, д. 31, к.н. 61:26:0000000:6526 (1 шт.)</t>
  </si>
  <si>
    <t>Установка системы учета для технологического присоединения энергопринимающих устройств Заявителя (Паршикова И.В.) по адресу: Ростовская область, Неклиновский район, с. Николаевка, ул. Ферганская, д. 1 Б к.н. 61:26:0110101:2419 (1 шт.)</t>
  </si>
  <si>
    <t>Установка системы учета для технологического присоединения энергопринимающих устройств Заявителя (Петрив С.Н.) по адресу: Ростовская область, Неклиновский район, с. Новобессергеневка, ул. Янтарная, д. 11-Б, к.н. 61:26:0600024:4934 (1 шт.)</t>
  </si>
  <si>
    <t>Установка системы учета для технологического присоединения энергопринимающих устройств Заявителя (Сергиенко С.Ф.) по адресу: Ростовская область, Неклиновский район, с. Весело-Вознесенка, ул. Школьная, д. 67, к.н. 61:26:0100101:313 (1 шт.)</t>
  </si>
  <si>
    <t>Установка системы учета для технологического присоединения энергопринимающих устройств Заявителя (Слепухин А.И.) по адресу: Ростовская область, Неклиновский район, с. Новобессергеневка, ул. Энгельса, д. 13-Б, к.н. 61:26:0180101:7969 (1 шт.)</t>
  </si>
  <si>
    <t>Установка системы учета для технологического присоединения энергопринимающих устройств Заявителя (Кунякова Е.Д.) по адресу: Ростовская область, Неклиновский район, х. Новозолотовка, ул. Транспортная, д. 4, к.н. 61:26:0180501:208 (1 шт.)</t>
  </si>
  <si>
    <t>Установка системы учета для технологического присоединения энергопринимающих устройств Заявителя (Харповицкий В.Г.) по адресу: Ростовская область, г. Таганрог, ул. Большая Лиманная, д. 25, к.н. 61:58:0006009:200 (1 шт.)</t>
  </si>
  <si>
    <t>Установка системы учета для технологического присоединения энергопринимающих устройств Заявителя (Богданов Н.Н.) по адресу: Ростовская область, Неклиновский район, с. Новобессергеневка, ул. Виноградная, д. 49, к.н. 61:26:0600024:2247 (1 шт.)</t>
  </si>
  <si>
    <t>Установка системы учета для технологического присоединения энергопринимающих устройств Заявителя (Козловский А.В.) по адресу: Ростовская область, Неклиновский район, с. Новобессергеневка, ул. Горького, д. 12-А, к.н. 61:26:0180101:7866 (1 шт.)</t>
  </si>
  <si>
    <t>Установка системы учета для технологического присоединения энергопринимающих устройств Заявителя (Трофимов А.Н.) по адресу: Ростовская область, Неклиновский район, с. Новобессергеневка, ул. Новостройки, д. 6-а, к.н. 61:26:0180101:7929 (1 шт.)</t>
  </si>
  <si>
    <t>Установка системы учета для технологического присоединения энергопринимающих устройств Заявителя (Подмарев В.А.) по адресу: Ростовская область, Неклиновский район, с. Николаевка, ул. Гоголя, д. 27-А, к.н. 61:26:0110101:2388 (1 шт.)</t>
  </si>
  <si>
    <t>Установка системы учета для технологического присоединения энергопринимающих устройств Заявителя (Сагателов А.А.) по адресу: Ростовская область, Неклиновский район, с. Новобессергеневка, ул. Островского, д. 12-Б, к.н. 61:26:0180101:7890 (1 шт.)</t>
  </si>
  <si>
    <t>Установка системы учета для технологического присоединения энергопринимающих устройств Заявителя (Таранцова Н.А.) по адресу: Ростовская область, Неклиновский район, с. Николаевка, ул. Советская, д. 31, к.н. 61:26:0110101:8188 (1 шт.)</t>
  </si>
  <si>
    <t>Установка системы учета для технологического присоединения энергопринимающих устройств Заявителя (Пирогова Е.Г.) по адресу: Ростовская область, Неклиновский район, с. Новобессергеневка, ул. Лесная, д. 8-В, к.н. 61:26:0180101:7994 (1 шт.)</t>
  </si>
  <si>
    <t xml:space="preserve">Установка системы учета для технологического присоединения энергопринимающих устройств Заявителя (Шатова И.В.) по адресу: Ростовская область, Неклиновский район, с. Новобессергеневка, ул. Виноградная, д. 66-а, к.н. 61:26:0600024:5173 (1 шт.) </t>
  </si>
  <si>
    <t>Установка системы учета для технологического присоединения энергопринимающих устройств Заявителя (Исупов А.В.) по адресу: Ростовская область, Неклиновский район, с. Новобессергеневка, ул. Инициативная, д. 41, к.н. 61:26:0600024:7748 (1 шт.)</t>
  </si>
  <si>
    <t xml:space="preserve">Установка системы учета для технологического присоединения энергопринимающих устройств Заявителя (Марина Ю.Ю.) по адресу: Ростовская область, Неклиновский район, с. Новобессергеневка, ул. Свободы, д. 34, к.н. 61:26:0600024:6374 (1 шт.) </t>
  </si>
  <si>
    <t>Установка системы учета для технологического присоединения энергопринимающих устройств Заявителя (Кондратова Н.И.) по адресу: Ростовская область, Неклиновский район, с. Новобессергеневка, ул. Фрунзе, д. 69-а, к.н. 61:26:0180101:1784 (1 шт.)</t>
  </si>
  <si>
    <t xml:space="preserve">Установка системы учета для технологического присоединения энергопринимающих устройств Заявителя (Шелист И.А.) по адресу: Ростовская область, Неклиновский район, с. Новобессергеневка, ул. Свободы, д. 38-А, к.н.: 61:26:0600024:8244 (1 шт.) </t>
  </si>
  <si>
    <t>Установка системы учета для технологического присоединения энергопринимающих устройств Заявителя (Церюта Т.В.) по адресу: Ростовская область, Неклиновский район, с. Новобессергеневка, ул. Лескова, д. 15-А, к.н. 61:26:0600024:7594 (1 шт.)</t>
  </si>
  <si>
    <t>Установка системы учета для технологического присоединения энергопринимающих устройств Заявителя (Мельникова Л.В.) по адресу: Ростовская область, Неклиновский район, с. Новобессергеневка, ул. Янтарная, д. 16-В, к.н. 61:26:0600024:7579 (1 шт.)</t>
  </si>
  <si>
    <t>Установка системы учета для технологического присоединения энергопринимающих устройств Заявителя (Андроян Э.О.) по адресу: Ростовская область, Неклиновский район, с. Малая Неклиновка, ул. Заречная,         д. 15, к.н. 61:26:0130201:163:417 (1 шт.)</t>
  </si>
  <si>
    <t xml:space="preserve">Установка системы учета для технологического присоединения энергопринимающих устройств Заявителя (Изотов С.А.) по адресу: Ростовская область, Неклиновский район, с. Николаевка, ул. Фрунзе, д. 73-А, к.н. 61:26:01101011:1051 (1 шт.). </t>
  </si>
  <si>
    <t>Установка системы учета для технологического присоединения энергопринимающих устройств Заявителя (Атарщикова Т.В.) по адресу: Ростовская область, Неклиновский район, с. Новобессергеневка, ул. Инициативная, д. 28-А, к.н. 61:26:0600024:7715 (1 шт.)</t>
  </si>
  <si>
    <t>Установка системы учета для технологического присоединения энергопринимающих устройств Заявителя (Малявко О.Ю.) по адресу: Ростовская область, Неклиновский район, с. Новобессергеневка, ул. Янтарная, д. 16-В, к.н. 61:26:0600024:5425 (1 шт.)</t>
  </si>
  <si>
    <t>Установка системы учета для технологического присоединения энергопринимающих устройств Заявителя: Конопихин Ю.Ю. в г. Таганроге, Ростовской области (1 шт)</t>
  </si>
  <si>
    <t>Установка системы учета для технологического присоединения энергопринимающих устройств Заявителя: Нефедов С.М. в г. Таганроге, Ростовской области (1 шт)</t>
  </si>
  <si>
    <t>Установка системы учета для технологического присоединения энергопринимающих устройств Заявителя: Гаврилов С.С. в г. Таганроге, Ростовской области (1 шт)</t>
  </si>
  <si>
    <t>Установка системы учета для технологического присоединения энергопринимающих устройств Заявителей: Воропаев А.В. в г. Таганроге, Ростовской области (1 шт)</t>
  </si>
  <si>
    <t>Установка системы учета для технологического присоединения энергопринимающих устройств Заявителей: Чуприна Г.А. в г. Таганроге, Ростовской области (1 шт)</t>
  </si>
  <si>
    <t>Установка системы учета для технологического присоединения энергопринимающих устройств Заявителей: Дувалко Т.В. в г. Таганроге, Ростовской области (1 шт)</t>
  </si>
  <si>
    <t>Установка системы учета для технологического присоединения энергопринимающих устройств Заявителя: Костина Е.Б. в г. Таганроге, Ростовской области (1 шт)</t>
  </si>
  <si>
    <t>Установка системы учета для технологического присоединения энергопринимающих устройств Заявителя: Белик А.И. в г. Таганроге, Ростовской области (1 шт)</t>
  </si>
  <si>
    <t>Установка системы учета для технологического присоединения энергопринимающих устройств Заявителя: Белик И.И. в г. Таганроге, Ростовской области (1 шт)</t>
  </si>
  <si>
    <t>Установка системы учета для технологического присоединения энергопринимающих устройств Заявителя: Годжаева В.Р.К. в г. Таганроге, Ростовской области (1 шт)</t>
  </si>
  <si>
    <t>Установка системы учета для технологического присоединения энергопринимающих устройств Заявителя: Кострик А.О. в г. Таганроге, Ростовской области (1 шт)</t>
  </si>
  <si>
    <t>Установка системы учета для технологического присоединения энергопринимающих устройств Заявителя: индивидуальный предприниматель Саркисян Сурен Сергеевич в г. Таганроге, Ростовской области (1 шт)</t>
  </si>
  <si>
    <t>Установка системы учета для технологического присоединения энергопринимающих устройств Заявителя: Валько Елена Васильевна в г. Таганроге, Ростовской области (1 шт)</t>
  </si>
  <si>
    <t>Установка системы учета для технологического присоединения энергопринимающих устройств Заявителя: Злобин Дмитрий Сергеевич в г. Таганроге, Ростовской области (1 шт)</t>
  </si>
  <si>
    <t>Установка системы учета для технологического присоединения энергопринимающих устройств Заявителей: Пашкина О.А. в г. Таганроге, Ростовской области (1 шт)</t>
  </si>
  <si>
    <t>Установка системы учета для технологического присоединения энергопринимающих устройств Заявителя: Величко И.А. в г. Таганроге, Ростовской области (1 шт)</t>
  </si>
  <si>
    <t>Установка системы учета для технологического присоединения энергопринимающих устройств Заявителей: Галка Р.А. в г. Таганроге, Ростовской области (1 шт)</t>
  </si>
  <si>
    <t>Установка системы учета для технологического присоединения энергопринимающих устройств Заявителей: Степаненко Е.В. в г. Таганроге, Ростовской области (1 шт)</t>
  </si>
  <si>
    <t>Установка системы учета для технологического присоединения энергопринимающих устройств Заявителя: Бондаренко Е.В. в г.Таганроге, Ростовской области (1 шт)</t>
  </si>
  <si>
    <t>Установка системы учета для технологического присоединения энергопринимающих устройств Заявителя: Иващенко Э.К. в г.Таганроге, Ростовской области (1 шт)</t>
  </si>
  <si>
    <t>Установка системы учета для технологического присоединения энергопринимающих устройств Заявителей: Бордунов С.В. в г. Таганроге, Ростовской области (1 шт)</t>
  </si>
  <si>
    <t>Установка системы учета для технологического присоединения энергопринимающих устройств Заявителей: Татевосян А.Р. в г. Таганроге, Ростовской области (1 шт)</t>
  </si>
  <si>
    <t>Установка системы учета для технологического присоединения энергопринимающих устройств Заявителей: Венидиктова В.А. в г. Таганроге, Ростовской области (1 шт)</t>
  </si>
  <si>
    <t>Установка системы учета для технологического присоединения энергопринимающих устройств Заявителей: Зейналабдиев Т.Я. в г. Таганроге, Ростовской области (1 шт)</t>
  </si>
  <si>
    <t>Установка системы учета для технологического присоединения энергопринимающих устройств Заявителей: Пахомов К.В. в г. Таганроге, Ростовской области (1 шт)</t>
  </si>
  <si>
    <t xml:space="preserve">Установка системы учета для технологического присоединения энергопринимающих устройств Заявителя (Степаненко Н.В.) по адресу: Ростовская область, г. Таганрог, пр. 4-й Линейный, д. 71 к.н. 61:58:0004150:275 (1 шт.) </t>
  </si>
  <si>
    <t>Установка системы учета для технологического присоединения энергопринимающих устройств Заявителей: Хмеленко И.Б. в г. Таганроге, Ростовской области (1 шт)</t>
  </si>
  <si>
    <t>Установка системы учета для технологического присоединения энергопринимающих устройств Заявителя (Чернов И.В.) по адресу: Ростовская область, г. Таганрог, ул. Фрунзе, д. 62/А, к. 31, 32, 33 (1 шт.)</t>
  </si>
  <si>
    <t>Установка системы учета для технологического присоединения энергопринимающих устройств Заявителя (Чернякова Н.В.) по адресу: Ростовская область, г. Таганрог, пер. 13-й Новый, д. 102, к.н. 61:58:0004456:49 (1 шт.)</t>
  </si>
  <si>
    <t>Установка системы учета для технологического присоединения энергопринимающих устройств Заявителя (Баркарова М.В.) по адресу: Ростовская область, г. Таганрог,  ул. Фрунзе, д.3, к.н. 61:58:0001078:234(1 шт.)</t>
  </si>
  <si>
    <t>Установка системы учета для технологического присоединения энергопринимающих устройств Заявителя (Блошенко А.С.) по адресу: Ростовская область, г. Таганрог, пер. Аптечный, д. 6, к.н. 61:58:00063050:32 (1 шт.)</t>
  </si>
  <si>
    <t>Установка системы учета для технологического присоединения энергопринимающих устройств Заявителя (Комарков А.Б.) по адресу: Ростовская область, г. Таганрог,  ул. Северная, д. 125, к.н. 61:58:0004281:288 (1 шт.)</t>
  </si>
  <si>
    <t>Установка системы учета для технологического присоединения энергопринимающих устройств Заявителя (Мещерякова О.Е.) по адресу: Ростовская область, г. Таганрог,  ул. Доменская, д.45, к.н. 61:58:0003084:92  (1 шт.)</t>
  </si>
  <si>
    <t>Установка системы учета для технологического присоединения энергопринимающих устройств Заявителя (ИП Майоров М.В.) по адресу: Ростовская область, г. Таганрог, ул. Дзержинского, д.163 , к.н. 61:58:0003490 (1 шт.)</t>
  </si>
  <si>
    <t>Установка системы учета для технологического присоединения энергопринимающих устройств Заявителя (Рубайло И.Г.) по адресу: Ростовская область, г. Таганрог, ул. Надежды Сигиды, 1-1, ДНТ  «Орешек»,участок 58 (1 шт.)</t>
  </si>
  <si>
    <t>Установка системы учета для технологического присоединения энергопринимающих устройств Заявителя (Сидоренко А.Л.) по адресу: Ростовская область, г. Таганрог, пер. 9-й Мариупольский, 6а, к.н. 61:58:0005228:534 (1 шт.)</t>
  </si>
  <si>
    <t>Установка системы учета для технологического присоединения энергопринимающих устройств Заявителя (Добрынин П.Ю.) по адресу: Ростовская область, г. Таганрог, ул. Северная, д.59, к.н. 61:58:0004272:135 (1 шт.)</t>
  </si>
  <si>
    <t>Установка системы учета для технологического присоединения энергопринимающих устройств Заявителя (Емелин В.А.) по адресу: Ростовская область, г. Таганрог, пер. 18-й Мариупольский, д. 5, к.н. 61:58:0005201:114 (1 шт.)</t>
  </si>
  <si>
    <t>Установка системы учета для технологического присоединения энергопринимающих устройств Заявителя (Ивакин А.Н.) по адресу: Ростовская область, г. Таганрог, ул. Ломоносова,  к.н. 61:58:0005026:502
(1 шт.)</t>
  </si>
  <si>
    <t>Установка системы учета для технологического присоединения энергопринимающих устройств Заявителя (Корышева Н.Н..) по адресу: Ростовская область, г. Таганрог, ул. Дзержинского, д.93, к.н. 61:58:0003195:83 (1 шт.)</t>
  </si>
  <si>
    <t>Установка системы учета для технологического присоединения энергопринимающих устройств Заявителя (Литвиненко М.В.) по адресу: Ростовская область, г. Таганрог, ул. Литейная,  к.н. 61:58:0004510:280 
(1 шт.)</t>
  </si>
  <si>
    <t>Установка системы учета для технологического присоединения энергопринимающих устройств Заявителя (Лях А.Ю.) по адресу: Ростовская область, г. Таганрог, пер. 7-й, д.69, к.н. 61:58:0002074:355 (1 шт.)</t>
  </si>
  <si>
    <t>Установка системы учета для технологического присоединения энергопринимающих устройств Заявителя (Рябичев Д.В.) по адресу: Ростовская область, г. Таганрог, пер. 2-й Мариупольский, д. 3  к.н. 61:58:0005213:35 (1 шт.)</t>
  </si>
  <si>
    <t>Установка системы учета для технологического присоединения энергопринимающих устройств Заявителя (Солодовник К.О.) по адресу: Ростовская область, г. Таганрог, пер. 8-й Новый, д. 52 , к.н.: 61:58:0004262:367 (1 шт.)</t>
  </si>
  <si>
    <t xml:space="preserve">Установка системы учета для технологического присоединения энергопринимающих устройств Заявителя (Чупряков Н.А.) по адресу: Ростовская область, г. Таганрог, ул. Бериева, д.13, к.н. 61:58:0005199:2 (1 шт.)
</t>
  </si>
  <si>
    <t>Установка системы учета для технологического присоединения энергопринимающих устройств Заявителя (Шкарина З.В.) по адресу: Ростовская область, г. Таганрог, пер. 16-й Артиллерийский, д. 11  (1 шт.)</t>
  </si>
  <si>
    <t>Установка системы учета для технологического присоединения энергопринимающих устройств Заявителя (Мирошниченко Д.Ю.) по адресу: Ростовская область, г. Таганрог, пер. 7-й Новый, д.100/5, к.н. 61:58:0004479:81, (1 шт.)</t>
  </si>
  <si>
    <t>Установка системы учета для технологического присоединения энергопринимающих устройств Заявителя (ИП Топчаев В.А.) по адресу: Ростовская область, г. Таганрог, ул. Цветная, д.41, кн. 61:58:0002274:21
 (1 шт.)</t>
  </si>
  <si>
    <t>Установка системы учета для технологического присоединения энергопринимающих устройств Заявителя (Галыгин А.А.) по адресу: Ростовская область, г. Таганрог, ул. Петлякова, д.2, к.н. 61:58:0005225:86 
(1 шт.)</t>
  </si>
  <si>
    <t>Установка системы учета для технологического присоединения энергопринимающих устройств Заявителя (Дегтярев Ю.В.) по адресу: Ростовская область, г. Таганрог, пер. 7-й Новый, д.100/5, к.н. 61:58:0004479:87 (1 шт.)</t>
  </si>
  <si>
    <t xml:space="preserve">Установка системы учета для технологического присоединения энергопринимающих устройств Заявителя (Минка А.А.) по адресу: Ростовская область, г. Таганрог, ул. Пархоменко, д. 7-20, к.н.: 61:58:0005210:1722 (1 шт.) </t>
  </si>
  <si>
    <t>Установка системы учета для технологического присоединения энергопринимающих устройств Заявителя (Панченко З.В.) по адресу: Ростовская область, г. Таганрог, ул. Восточная, д.49, строение 1, к.н.: 61:58:0002337:48 (1 шт.)</t>
  </si>
  <si>
    <t>Установка системы учета для технологического присоединения энергопринимающих устройств Заявителя (Стаценко Т.Т.) по адресу: Ростовская область, г. Таганрог, пер. 7-й Мариупольский, к.н.: 61:58:0005219:64 (1 шт.)</t>
  </si>
  <si>
    <t>Установка системы учета для технологического присоединения энергопринимающих устройств Заявителя (Бова Л.П.) по адресу: Ростовская область, г. Таганрог, ул. Бартини, д.16, к.н. 61:58:0005232:12 (1 шт.)</t>
  </si>
  <si>
    <t>Установка системы учета для технологического присоединения энергопринимающих устройств Заявителя (Галицкий Я.М.) по адресу: Ростовская область, г. Таганрог, пер. 18-й Мариупольский, д.3, к.н. 61:58:0005201:35 (1 шт.)</t>
  </si>
  <si>
    <t>Установка системы учета для технологического присоединения энергопринимающих устройств Заявителя (Гришина В.И.) по адресу: Ростовская область, г. Таганрог, ул. М. Жукова, д.2-б, к.н. 61:58:0004349:2023 (1 шт.)</t>
  </si>
  <si>
    <t>Установка системы учета для технологического присоединения энергопринимающих устройств Заявителя (Кривенко Г.В.) по адресу: Ростовская область, г. Таганрог, Мариупольское шоссе, д.17-д, к.н. 61:58:0005270:2559
(1 шт.)</t>
  </si>
  <si>
    <t>Установка системы учета для технологического присоединения энергопринимающих устройств Заявителя (Медведев В.В.) по адресу: Ростовская область, г. Таганрог, плщ. 22-я Садовая, д.20, к.н. 61:58:0004215:129 (1 шт.)</t>
  </si>
  <si>
    <t>Установка системы учета для технологического присоединения энергопринимающих устройств Заявителя (Якина И.Н.) по адресу: Ростовская область, г. Таганрог, пер.  Каркасный, 5-а, ГПК-73, гараж 97, к.н. 61-61-42/064/2006-321  (1 шт.)</t>
  </si>
  <si>
    <t>Установка системы учета для технологического присоединения энергопринимающих устройств Заявителя (Мишекин А.А.) по адресу: Ростовская область, г. Таганрог, ул. Бартини, д.24, к.н.: 61:58:0005231:11
 (1 шт.)</t>
  </si>
  <si>
    <t>Установка системы учета для технологического присоединения энергопринимающих устройств Заявителя (Никитина В.Г.) по адресу: Ростовская область, г. Таганрог, ул. С. Шило, д.241-б, к.н. 61:58:0005210:1356 (1 шт.)</t>
  </si>
  <si>
    <t>Установка системы учета для технологического присоединения энергопринимающих устройств Заявителя (Печеный А.А.) по адресу: Ростовская область, г. Таганрог, пер. 4-й Мариупольский, д.11, к.н.: 61:58:0005217:47 (1 шт.)</t>
  </si>
  <si>
    <t>Установка системы учета для технологического присоединения энергопринимающих устройств Заявителя (Щиклин Е.И.) по адресу: Ростовская область, г. Таганрог, ул. Котлостроительная, д.11, к.н.: 61:58:0003432:12 (1 шт.)</t>
  </si>
  <si>
    <t>Установка системы учета для технологического присоединения энергопринимающих устройств Заявителя (Чабан Н.В.) по адресу: Ростовская область, г. Таганрог, пер. Каркасный, 5-а, ГПК-73, гараж №33, к.н. 61:58:0003186:919 (1 шт.)</t>
  </si>
  <si>
    <t>Установка системы учета для технологического присоединения энергопринимающих устройств Заявителя (Едуш А.В.) по адресу: Ростовская область, г. Таганрог, ул. Александровская,  д.57, к.н.: 61:58:0001108:122
 (1 шт.)</t>
  </si>
  <si>
    <t>Установка системы учета для технологического присоединения энергопринимающих устройств Заявителя (Лысогорский Е.С.) по адресу: Ростовская область, г. Таганрог, ул. Т. Руденко,  д.12, к.н.: 61:58:0005072:372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</si>
  <si>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№61-1-22-00630147),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</si>
  <si>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№61-1-22-00630149),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</si>
  <si>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№61-1-22-00630377),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</si>
  <si>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№61-1-22-00630379),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</si>
  <si>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№61-1-22-00630115), Ростовской области (1 шт)</t>
  </si>
  <si>
    <t>Установка системы учета для технологического присоединения энергопринимающих устройств Заявителя (Байрамбеков Р.М.) по адресу: Ростовская область, г. Таганрог, пер. 6-й Мариупольский, д. 22, к.н. : 61:58:0005218:30 (1 шт.)</t>
  </si>
  <si>
    <t>Установка системы учета для технологического присоединения энергопринимающих устройств Заявителя (Бова В.В.) по адресу: Ростовская область, г. Таганрог, ул. 9-й Мариупольский, 6в, к.н.: 61:58:0005228:539 (1 шт.)</t>
  </si>
  <si>
    <t>Установка системы учета для технологического присоединения энергопринимающих устройств Заявителя (ИП Думик Ю.А.) по адресу: Ростовская область, г. Таганрог, ул. Дзержинского, д. 193/ул. Москатова, 
д. 17 (1 шт.)</t>
  </si>
  <si>
    <t>Установка системы учета для технологического присоединения энергопринимающих устройств Заявителя (Какулия Э.В.) по адресу: Ростовская область, г. Таганрог, ул. Дзержинского, 65-а, к.н.: 61:58:0003104:353 (1 шт.)</t>
  </si>
  <si>
    <t>Установка системы учета для технологического присоединения энергопринимающих устройств Заявителя (Малинский  А.Н.) по адресу: Ростовская область, г. Таганрог, пер. 10-й, д.64-а, к.н.: 61:58:0002120:406
 (1 шт.)</t>
  </si>
  <si>
    <t>Установка системы учета для технологического присоединения энергопринимающих устройств Заявителя (ИП Юрочкин С.В.) по адресу: Ростовская область, г. Таганрог, ул. Ломоносова, д.53 (1 шт.)</t>
  </si>
  <si>
    <t xml:space="preserve">Установка системы учета для технологического присоединения энергопринимающих устройств Заявителя (Петрова Т.С.) по адресу: Ростовская область, г. Таганрог, ул. Таврическая, д. 7/ пер. 20-й Мариупольский, д. 1, к.н.: 61:58:0005206:34 (1 шт.) </t>
  </si>
  <si>
    <t>Установка системы учета для технологического присоединения энергопринимающих устройств Заявителя (Серебрякова Г.В.) по адресу: Ростовская область, г. Таганрог, пер.  1-й Цветочный, д.13, к.н.: 61:58:0002397:327 (1 шт.)</t>
  </si>
  <si>
    <t>Установка системы учета для технологического присоединения энергопринимающих устройств Заявителя (ООО «Сталит») по адресу: Ростовская область, г. Таганрог, ул. Петровская, д. 87, к.н.: 61:58:0001130:567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</si>
  <si>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г. Таганрог, ул. Инструментальная, д. 21(1 шт.)</t>
  </si>
  <si>
    <t>Установка системы учета для технологического присоединения энергопринимающих устройств Заявителя (Барабанов А.В.) по адресу: Ростовская область, г. Таганрог, 17-я Садовая площадка, д.5 (1 шт.)</t>
  </si>
  <si>
    <t>Установка системы учета для технологического присоединения энергопринимающих устройств Заявителя (Мажуга В.И.) по адресу: Ростовская область, г. Таганрог, ул. Р. Люксембург, д. 216, к.н.: 61:58:0002166:314 (1 шт.)</t>
  </si>
  <si>
    <t>Установка системы учета для технологического присоединения энергопринимающих устройств Заявителя (Седлецкая П.В.) по адресу: Ростовская область, г. Таганрог, ул. Сигиды, д. 1-1, СНТ «Орешек», уч. 92, к.н: 61:58:0007037:92 (1 шт.)</t>
  </si>
  <si>
    <t>Установка системы учета для технологического присоединения энергопринимающих устройств Заявителя (Сидоренко А.Л.) по адресу: Ростовская область, г. Таганрог, пер. 9-й Мариупольский, д.6 (1 шт.)</t>
  </si>
  <si>
    <t>Установка системы учета для технологического присоединения энергопринимающих устройств Заявителя (Скворцов А.А.) по адресу: Ростовская область, г. Таганрог, Северо-Западное шоссе, д.3, СНТ «Дачное-2», уч. 550, к.н.: 61:58:0006031:42 (1 шт.)</t>
  </si>
  <si>
    <t>Установка системы учета для технологического присоединения энергопринимающих устройств Заявителя (Алферьев Д.В.) по адресу: Ростовская область, г. Таганрог, ул. Бакинская, к.н. 61:58:0004523:1010
 (1 шт.)</t>
  </si>
  <si>
    <t>Установка системы учета для технологического присоединения энергопринимающих устройств Заявителя (Громашев Д.Н..) по адресу: Ростовская область, г. Таганрог, пер. 21-й, 64 (1 шт.)</t>
  </si>
  <si>
    <t>Установка системы учета для технологического присоединения энергопринимающих устройств Заявителя (Мишакин А.В.) по адресу: Ростовская область, г. Таганрог, пер. 4-й Мариупольский, д. 32, к.н. 61:58:0005215:241 (1 шт.)</t>
  </si>
  <si>
    <t>Установка системы учета для технологического присоединения энергопринимающих устройств Заявителя (Пахомов К.В.) по адресу: Ростовская область, г. Таганрог, ул. Северная, д. 80-а, к.н. 61:58:0004271:361 (1 шт.)</t>
  </si>
  <si>
    <t>Установка системы учета для технологического присоединения энергопринимающих устройств Заявителя (Протопопова Н.П.) по адресу: Ростовская область, г. Таганрог, ул. Полева, д. 45/пер. 15-й Новый, д. 11, к.н. 61:58:0004245:18 (1 шт.)</t>
  </si>
  <si>
    <t>Установка системы учета для технологического присоединения энергопринимающих устройств Заявителя (Галицкий Я.М.) по адресу: Ростовская область, г. Таганрог, пер. 10-й Мариупольский, 17 (1 шт.)</t>
  </si>
  <si>
    <t>Установка системы учета для технологического присоединения энергопринимающих устройств Заявителя (Золотов Н.Г.) по адресу: Ростовская область, г. Таганрог, Мариупольское шоссе, 32, ДНТ «Маяк», уч. №3 (1 шт.)</t>
  </si>
  <si>
    <t>Установка системы учета для технологического присоединения энергопринимающих устройств Заявителя (Матвиенко Г.М.) по адресу: Ростовская область, г. Таганрог, ул. Надежды Сигиды, 1-1, ДНТ «Орешек», уч. 82 (1 шт.)</t>
  </si>
  <si>
    <t>Установка системы учета для технологического присоединения энергопринимающих устройств Заявителя (Смирнов А.Н.) по адресу: Ростовская область, г. Таганрог, с/т «Дачное-1», уч. 18/ал.9 (1 шт.)</t>
  </si>
  <si>
    <t>Установка системы учета для технологического присоединения энергопринимающих устройств Заявителя (Парахина Л.В.) по адресу: Ростовская область, г. Таганрог, ул. Трубопрокатная, 21б (1 шт.)</t>
  </si>
  <si>
    <t xml:space="preserve">Установка системы учета для технологического присоединения энергопринимающих устройств Заявителя (ИП Верзунов Ю.С.) адресу: Ростовская область, г. Таганрог, пер. 7-й Новый, д.100/1 ( 1 шт.) </t>
  </si>
  <si>
    <t xml:space="preserve">Установка системы учета для технологического присоединения энергопринимающих устройств Заявителя (ИП Саркисян С.С.) по адресу: Ростовская область, г. Таганрог, Николаевское шоссе, 7-а, СНТ «Радуга», аллея 13, уч. 20, к.н. 61:58:0006054:1426 (1 шт.) </t>
  </si>
  <si>
    <t>Установка системы учета для технологического присоединения энергопринимающих устройств Заявителя (Перепелица Т.С.) по адресу: Ростовская область, г. Таганрог, СНТ «Энтузиаст», 27, к.н. 61:58:0005285:116 (1 шт.)</t>
  </si>
  <si>
    <t>Установка системы учета для технологического присоединения энергопринимающих устройств Заявителя (Тютькин А.В.) по адресу: Ростовская область, г. Таганрог, пер. 21-й Мариупольский, д. 7, к.н. 61:58:0005207:22 (1 шт.)</t>
  </si>
  <si>
    <t>Установка системы учета для технологического присоединения энергопринимающих устройств Заявителя (Алиев М.Р.о.) по адресу: Ростовская область, г. Таганрог, Северо-Западное Шоссе, д. 1а, СНТ «Ягодка», уч. 130, к.н. 61:58:0006076:145 (1 шт.)</t>
  </si>
  <si>
    <t>Установка системы учета для технологического присоединения энергопринимающих устройств Заявителя (Бова А.В.) по адресу: Ростовская область, г. Таганрог, ул. Северная, д. 32-а,  к.н. 61:58:0004265:274 
(1 шт.)</t>
  </si>
  <si>
    <t>Установка системы учета для технологического присоединения энергопринимающих устройств Заявителя (Васильева Е.И.) по адресу: Ростовская область, г. Таганрог, Северо-Западное Шоссе, д. 1-а, СНТ «Ягодка», уч. 114, к.н. 61:58:0006076:124 (1 шт.)</t>
  </si>
  <si>
    <t>Установка системы учета для технологического присоединения энергопринимающих устройств Заявителя (Половинкин С.М.) по адресу: Ростовская область, г. Таганрог, ул. Халтурина, д. 17, к.н. 61:58:0003350:93
(1 шт.)</t>
  </si>
  <si>
    <t xml:space="preserve">Установка системы учета для технологического присоединения энергопринимающих устройств Заявителя (Шилина Т.В.) по адресу: Ростовская область, г. Таганрог, 15-й переулок , д. 3, к.н. 61:58:0002161:302
 (1 шт.) </t>
  </si>
  <si>
    <t>Установка системы учета для технологического присоединения энергопринимающих устройств Заявителя (Панченко А.Г.) по адресу: Ростовская область, г. Таганрог, ул. пер. 1-й Артиллерийский, д. 24  к.н. 61:58:0003192:219 (1 шт.)</t>
  </si>
  <si>
    <t>Установка системы учета для технологического присоединения энергопринимающих устройств Заявителей (Емцова Т.Ю.) по адресу: Ростовская область, г. Таганрог, ул. Свободы д.11 (1 шт.</t>
  </si>
  <si>
    <t>Установка системы учета для технологического присоединения энергопринимающих устройств Заявителей (Фещенко А.Р.) по адресу: Ростовская область, г. Таганрог, Подгорная д. 83 (1 шт.)</t>
  </si>
  <si>
    <t>Установка системы учета для технологического присоединения энергопринимающих устройств Заявителя (Карпухина Т.А.) по адресу: Ростовская область, г. Таганрог, ул. Фаины Раневской, д.1 к.н. 61:58:0005207:25 (1 шт.)</t>
  </si>
  <si>
    <t>Установка системы учета для технологического присоединения энергопринимающих устройств Заявителя (Маркарян Н.Р) по адресу: Ростовская область, г. Таганрог, ул. Рябиновая, д.76, к.н. 61:58:0004479:88 (1 шт.)</t>
  </si>
  <si>
    <t>Установка системы учета для технологического присоединения энергопринимающих устройств Заявителя (Климков Д.А.) по адресу: Ростовская область, г. Таганрог, пер. Веселый, д. 18а, к.н.: 61:58:0004458:286 (1 шт.)</t>
  </si>
  <si>
    <t>Установка системы учета для технологического присоединения энергопринимающих устройств Заявителя (Пилипенко В.В.) по адресу: Ростовская область, г. Таганрог, ул. Лизы Чайкиной, д. 316, к.н.: 61:58:0004303:168 (1 шт.)</t>
  </si>
  <si>
    <t>Установка системы учета для технологического присоединения энергопринимающих устройств Заявителя (ИП Васюнкин С.В.) по адресу: Ростовская область, г. Таганрог, пер. Смирновский, д. 139/3, к.н.: 61:58:0002005:779 (1 шт.)</t>
  </si>
  <si>
    <t>Установка системы учета для технологического присоединения энергопринимающих устройств Заявителя (ИП Галушкин А.И.) по адресу: Ростовская область, г. Таганрог, ул. Инструментальная, д. 35 (1 шт.)</t>
  </si>
  <si>
    <t>Установка системы учета для технологического присоединения энергопринимающих устройств Заявителя (ИП Купина Л.С.) по адресу: Ростовская область, г. Таганрог, ул. Седова, д. 12, к.н.: 61:58:0002419:117 (1 шт.)</t>
  </si>
  <si>
    <t>Установка системы учета для технологического присоединения энергопринимающих устройств Заявителя (Рыбалко В.В.) по адресу: Ростовская область, г. Таганрог, Северо-Западное Шоссе, 1-а, СНТ «Ягодка», участок № 120, к.н.: 61:58:0006076:122 (1 шт.)</t>
  </si>
  <si>
    <t>Установка системы учета для технологического присоединения энергопринимающих устройств Заявителя (Скалиух В.Ф.) по адресу: Ростовская область, г. Таганрог, ул. Энгельса, д. 121, к.н.: 61:58:0001119:0:55 (1 шт.)</t>
  </si>
  <si>
    <t>Установка системы учета для технологического присоединения энергопринимающих устройств Заявителей: Назаров С.В., Беликов В.Н., Гермашева Н.Ф.в Мясниковском районе Ростовской области (4 шт.)</t>
  </si>
  <si>
    <t xml:space="preserve">Установка системы учета для технологического присоединения энергопринимающих устройств Заявителя: Басова И.Е. в Мясниковском районе Ростовской области (1 шт.) </t>
  </si>
  <si>
    <t>Установка системы учета для технологического присоединения энергопринимающих устройств Заявителей: Михайленко А.В. в Мясниковском районе Ростовской области (3 шт.)</t>
  </si>
  <si>
    <t xml:space="preserve">Установка системы учета для технологического присоединения энергопринимающих устройств Заявителя: Авакян Д.Б. в х. Ленинакан, ул. Трудовая, д. 28/3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</si>
  <si>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Адамова Е.Г. в х. Красный Крым, ул. Капитальная, д. 30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</si>
  <si>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Айрапетян Э.О. в с. Крым, ул. 27-я линия, д. 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</si>
  <si>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Анненко А.И. в с. Крым, ул. Имени Майи Пегливановой, д. 11/б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</si>
  <si>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Анненко А.И. в с. Крым, ул. Имени Майи Пегливановой, д. 11/а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</si>
  <si>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Арабаджиян С.И. в с. Чалтырь, ул. 15-я линия, д. 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</si>
  <si>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Арзуманян Р.С. в х. Красный Крым, ул. Капитальная, д. 11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</si>
  <si>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Арутюнян Л.А. в с. Чалтырь, ул. Тащияна, д. 168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</si>
  <si>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Бабаджанов А.В. в х. Красный Крым, ул. Капитальная, д. 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</si>
  <si>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Баранова Е.В. в х. Красный Крым, ул. Пушкинская, д. 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</si>
  <si>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Бедросян А.М. в х. Красный Крым, ул. Пушкинская, д. 17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</si>
  <si>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Безвестная Н.А. в с. Большие Салы, ул. Героев, д. 35-а/8/5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</si>
  <si>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Бессонов В.М. в с. Чалтырь, ул. 15-я линия, д. 9/е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</si>
  <si>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Болдырев Р.В. в х. Красный Крым, ул. Пушкинская, д. 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</si>
  <si>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Герасимова А.С. в х. Красный Крым, ул. Небесная, д. 5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</si>
  <si>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Григорян В.А. в с. Крым Мясниковского района Ростовской области (1 шт.) </t>
  </si>
  <si>
    <t xml:space="preserve">Установка системы учета для технологического присоединения энергопринимающих устройств Заявителя: Даллакян О.С. в х. Ленинакан, ул. Дачная, д. 4/1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</si>
  <si>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Дегтярев И.П. в х. Красный Крым, ул. Капитальная, д. 7 Мясниковского района Ростовской области – 1 </t>
  </si>
  <si>
    <t xml:space="preserve">Установка системы учета для технологического присоединения энергопринимающих устройств Заявителя: Дзиваян Е.А. в х. Красный Крым Мясниковскго района Ростовской области (2 шт.) </t>
  </si>
  <si>
    <t xml:space="preserve">Установка системы учета для технологического присоединения энергопринимающих устройств Заявителя: Зубкова И.А. в х. Ленинакан, ул. Дачная, д. 4/2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</si>
  <si>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Кизилова Т.И. в х. Калинин, ул. Кривоноса, д. 59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</si>
  <si>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Корниенко В.В. в х. Красный Крым Мясниковского района Ростовской области. </t>
  </si>
  <si>
    <t xml:space="preserve">Установка системы учета для технологического присоединения энергопринимающих устройств Заявителя: Косяк Р.С. в х. Красный Крым, ул. Пушкинская, д. 7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</si>
  <si>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Коцупей Д.П. в х. Красный Крым Мясниковского района Ростовской области. </t>
  </si>
  <si>
    <t xml:space="preserve">Установка системы учета для технологического присоединения энергопринимающих устройств Заявителя: Красова Л.З. в х. Ленинакан, ул. Дачная, д. 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</si>
  <si>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Кривохатская А.М. в с. Чалтырь, ул. Крестьянская, д. 18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</si>
  <si>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Лапенко В.Ю. в х. Красный Крым, ул. Звездная, д. 26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</si>
  <si>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Ларин Д.Ю. в х. Красный Крым, ул. Пушкинская, д. 38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</si>
  <si>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Легоцкий Е.Н. в с. Большие Салы, ул. Крестьянская, д. 2/а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</si>
  <si>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Меграбян А.М. в х. Красный Крым, ул. Пушкинская, д. 25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</si>
  <si>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Мискарян Ж.Л. в х. Красный Крым, ул. Шаумяна, д. 56/ж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</si>
  <si>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Мостовая Т.Г. в х. Ленинаван, ул. 1-я Кольцевая, д. 49/а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</si>
  <si>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Алдабаев К.Н. в с. Чалтырь, ул. Центральная, д. 17/а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</si>
  <si>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Горлов А.В. в х. Красный Крым, ул. Лермонтовская, д. 29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</si>
  <si>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Диденко А.Н. в х. Красный Крым, ул. Урожайная, д. 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</si>
  <si>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Мудревская О.В. в х. Красный Крым, ул. Сатхинская, д. 10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</si>
  <si>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Николаев А.А. в х. Красный Крым Мясниковского района Ростовской области. </t>
  </si>
  <si>
    <t xml:space="preserve">Установка системы учета для технологического присоединения энергопринимающих устройств Заявителя: Агакарян А.А.  в х. Красный Крым, ул. Молодежная, д. 52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</si>
  <si>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Поддубная А.В. в х. Красный Крым, ул. Урожайная, д. 10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</si>
  <si>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Полторак Д.А. в х. Красный Крым, ул. Звездная, д. 22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</si>
  <si>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Походенко П.Г. в х. Красный Крым, ул. Пушкинская, д. 11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</si>
  <si>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Рамазян Ю.Г. в с. Крым, ул. Александра Суворова, д. 6/а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</si>
  <si>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Савченко О.К. в х. Красный Крым, ул. Пушкинская, д. 16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</si>
  <si>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Сазонова О.В. в с. Большие Салы, ул. Заводская, д. 18/в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</si>
  <si>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Склярова С.А. в х. Ленинаван, ул. Звездная, д. 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</si>
  <si>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Сморгунова Е.В. в х. Красный Крым, ул. Пушкинская, д. 28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</si>
  <si>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Сучкова В.Н. в х. Красный Крым, ул. Капитальная, д. 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</si>
  <si>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Тамбиев Ю.А. в х. Красный Крым, ул. Сатхинская, д. 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</si>
  <si>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Ткачева Л.Ю. в х. Ленинаван, ул. Кольцевая, д. 54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</si>
  <si>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Емельянова И.А. в х. Красный Крым, ул. Звездная, д. 17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</si>
  <si>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ИП Цыганок В.А. в сл. Петровка, ул. Октябрьская, напротив участка 26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</si>
  <si>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Калиш И.Н. в х. Красный Крым, ул. Пушкинская, д. 3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</si>
  <si>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Кузнецов И.А. в х. Красный Крым, ул. Звездная, д. 17/а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</si>
  <si>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Мельник С.Н. в х. Красный Крым, ул. Звездная, д. 31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</si>
  <si>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Проценко О.А. в х. Ленинакан, ул. Малиновая, д. 3/2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</si>
  <si>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Рамазанов Р.И. в х. Красный Крым, ул. Лермонтовская, д. 51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</si>
  <si>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Рамазанова И.А. в х. Красный Крым, ул. Лермонтовская, д. 49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</si>
  <si>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Утева Т.В. в с. Чалтырь, ул. 15-я линия, д. 9/н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</si>
  <si>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Хавранян А.О. в х. Калинин Мясниковскго района Ростовской области (4 шт.) </t>
  </si>
  <si>
    <t xml:space="preserve">Установка системы учета для технологического присоединения энергопринимающих устройств Заявителя: Хакимов Амирхамза в х. Красный Крым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</si>
  <si>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Чекулаева Н.С. в х. Ленинаван, ул. Алексеевская, д. 24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</si>
  <si>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Чиликина И.М. в х. Красный Крым, ул. Пушкинская, д. 39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</si>
  <si>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Шаров Д.Е. в х. Красный Крым, ул. Капитальная, д. 14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</si>
  <si>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Шевцова Е.А. в х. Красный Крым, ул. Пушкинская, д. 13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</si>
  <si>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Шиятов Р.Ю. в х. Красный Крым, ул. Пушкинская, д. 23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</si>
  <si>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Шрам Д.А. в х. Красный Крым, ул. Пушкинская, д. 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</si>
  <si>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Шульга С.И. в х. Красный Крым, ул. Пушкинская, д. 47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</si>
  <si>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Яковлева Я.В. в х. Ленинаван, пер. Петровский, д. 22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</si>
  <si>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(Амирханян Р.Г.) по адресу: Ростовская область, Мясниковский район, х. Красный Крым, ул. Сатхинская, д. 22, к.н. 61:25:0600401:17225 (1 шт.) </t>
  </si>
  <si>
    <t xml:space="preserve">Установка системы учета для технологического присоединения энергопринимающих устройств Заявителя (Бабаджанян А.Г.) по адресу: Ростовская область, Мясниковский район, х. Красный Крым, ул. Пушкинская, д. 43, к.н. 61:25:0600401:16322 (1 шт.) </t>
  </si>
  <si>
    <t xml:space="preserve">Установка системы учета для технологического присоединения энергопринимающих устройств Заявителя: Бабушкина А.В. в х. Недвиговка, пер. Переездный, д. 26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</si>
  <si>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(Бакалов С.Ю.) по адресу: Ростовская область, Мясниковский район, х. Красный Крым, ул. Капитальная, д. 16, к.н. 61:25:0600401:17210 (1 шт.) </t>
  </si>
  <si>
    <t xml:space="preserve">Установка системы учета для технологического присоединения энергопринимающих устройств Заявителя (Бибичева Л.А.) по адресу: Ростовская область, Мясниковский район, х. Красный Крым, ул. Капитальная, д. 21, к.н. 61:25:0600401:18475 (1 шт.) </t>
  </si>
  <si>
    <t xml:space="preserve">Установка системы учета для технологического присоединения энергопринимающих устройств Заявителя (Буракова С.В.) по адресу: Ростовская область, Мясниковский район, х. Красный Крым, ул. Пушкинская, д. 24, к.н. 61:25:0600401:16338 (1 шт.) </t>
  </si>
  <si>
    <t xml:space="preserve">Установка системы учета для технологического присоединения энергопринимающих устройств Заявителя: Варданян Д.А. в с. Крым, ул. Маршала Жукова, д. 21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</si>
  <si>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(Велигурин Р.В.) по адресу: Ростовская область, Мясниковский район, х. Красный Крым, ул. Лермонтовская, д. 25, к.н. 61:25:0600401:17080 (1 шт.) </t>
  </si>
  <si>
    <t xml:space="preserve">Установка системы учета для технологического присоединения энергопринимающих устройств Заявителя: Виденин М.Н. в х. Красный Крым, ул. Лермонтовская, д. 3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</si>
  <si>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(Владыченко А.Ю.) по адресу: Ростовская область, Мясниковский район, х. Ленинакан, ул. Трудовая, д. 37/4, к.н. 61:25:0030301:1950 (1 шт.) </t>
  </si>
  <si>
    <t xml:space="preserve">Установка системы учета для технологического присоединения энергопринимающих устройств Заявителя: Гишян А.А. в х. Ленинаван, ул. Набережная, д. 20/а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</si>
  <si>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(Голик Л.А.) по адресу: Ростовская область, Мясниковский район, х. Красный Крым, ул. Пушкинская, д. 22, к.н. 61:25:0600401:16340 (1 шт.) </t>
  </si>
  <si>
    <t xml:space="preserve">Установка системы учета для технологического присоединения энергопринимающих устройств Заявителя (Гуринова О.Г.) по адресу: Ростовская область, Мясниковский район, х. Красный Крым, ул. Капитальная, д. 10, к.н. 61:25:0600401:17183 (1 шт.) </t>
  </si>
  <si>
    <t xml:space="preserve">Установка системы учета для технологического присоединения энергопринимающих устройств Заявителя (Дейнеко Е.А.) по адресу: Ростовская область, Мясниковский район, х. Красный Крым, ул. Капитальная, д. 28, к.н. 61:25:0600401:17192 (1 шт.) </t>
  </si>
  <si>
    <t xml:space="preserve">Установка системы учета для технологического присоединения энергопринимающих устройств Заявителя (Дзиваян А.А.) по адресу: Ростовская область, Мясниковский район, с. Большие Салы, ул. Белорусская, д. 1/и, к.н. 61:25:0600501:3215 (1 шт.) </t>
  </si>
  <si>
    <t xml:space="preserve">Установка системы учета для технологического присоединения энергопринимающих устройств Заявителя (Дзиваян А.А.) по адресу: Ростовская область, Мясниковский район, с. Большие Салы, ул. Белорусская, д. 1/г, к.н. 61:25:0600501:3214 (1 шт.) </t>
  </si>
  <si>
    <t xml:space="preserve">Установка системы учета для технологического присоединения энергопринимающих устройств Заявителя (Дзиваян А.А.) по адресу: Ростовская область, Мясниковский район, с. Большие Салы, ул. Белорусская, д. 1/в, к.н. 61:25:0600501:3212 (1 шт.) </t>
  </si>
  <si>
    <t xml:space="preserve">Установка системы учета для технологического присоединения энергопринимающих устройств Заявителя (Дзиваян А.А.) по адресу: Ростовская область, Мясниковский район, с. Большие Салы, ул. Белорусская, д. 1/ж, к.н. 61:25:0600501:3213 (1 шт.) </t>
  </si>
  <si>
    <t xml:space="preserve">Установка системы учета для технологического присоединения энергопринимающих устройств Заявителя (Дзюба Д.С.) по адресу: Ростовская область, Мясниковский район, х. Красный Крым, ул. Капитальная, д. 5, к.н. 61:25:0600401:17190 (1 шт.) </t>
  </si>
  <si>
    <t xml:space="preserve">Установка системы учета для технологического присоединения энергопринимающих устройств Заявителя (Дикун В.П.) по адресу: Ростовская область, Мясниковский район, сл. Петровка, ул. Советская, д. 30, к.н. 61:25:0080101:1654 (1 шт.) </t>
  </si>
  <si>
    <t xml:space="preserve">Установка системы учета для технологического присоединения энергопринимающих устройств Заявителя (Димитрова И.П.) по адресу: Ростовская область, Мясниковский район, х. Красный Крым, ул. Лермонтовская, д. 57, к.н. 61:25:0600401:17062 (1 шт.) </t>
  </si>
  <si>
    <t xml:space="preserve">Установка системы учета для технологического присоединения энергопринимающих устройств Заявителя (Дукян Д.С.) по адресу: Ростовская область, Мясниковский район, с. Чалтырь, ул. Салых-Су, д. 29/г, к.н. 61:25:0101513:97 (1 шт.) </t>
  </si>
  <si>
    <t xml:space="preserve">Установка системы учета для технологического присоединения энергопринимающих устройств Заявителя: Евланова А.В. в с. Крым, ул. Александра Суворова, д. 20/а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</si>
  <si>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(Згребнев В.В.) по адресу: Ростовская область, Мясниковский район, х. Красный Крым, ул. Звездная, д. 29, к.н. 61:25:0600401:14943 (1 шт.) </t>
  </si>
  <si>
    <t xml:space="preserve">Установка системы учета для технологического присоединения энергопринимающих устройств Заявителя (Калашникова А.А.) по адресу: Ростовская область, Мясниковский район, х. Красный Крым, ул. Пушкинская, д. 22/а, к.н. 61:25:0600401:16339 (1 шт.) </t>
  </si>
  <si>
    <t xml:space="preserve">Установка системы учета для технологического присоединения энергопринимающих устройств Заявителя (Киенко Е.А.) по адресу: Ростовская область, Мясниковский район, х. Красный Крым, ул. Пушкинская, д. 32, к.н. 61:25:0600401:16328 (1 шт.) </t>
  </si>
  <si>
    <t xml:space="preserve">Установка системы учета для технологического присоединения энергопринимающих устройств Заявителя (Кобцев В.А.) по адресу: Ростовская область, Мясниковский район, х. Красный Крым, ул. Пушкинская, д. 18, к.н. 61:25:0600401:16348 (1 шт.) </t>
  </si>
  <si>
    <t xml:space="preserve">Установка системы учета для технологического присоединения энергопринимающих устройств Заявителя (Ковалевский Р.А.) по адресу: Ростовская область, Мясниковский район, х. Красный Крым, ул. Пушкинская, д. 50, к.н. 61:25:0600401:16311 (1 шт.) </t>
  </si>
  <si>
    <t xml:space="preserve">Установка системы учета для технологического присоединения энергопринимающих устройств Заявителя: Коваленко А.А. в х. Веселый, ул. Молодежная, д. 6/б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</si>
  <si>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(Коваленко К.Ю.) по адресу: Ростовская область, Мясниковский район, х. Красный Крым, ул. Пушкинская, д. 29, к.н. 61:25:0600401:16341 (1 шт.) </t>
  </si>
  <si>
    <t xml:space="preserve">Установка системы учета для технологического присоединения энергопринимающих устройств Заявителя (Кондратенко А.В.) по адресу: Ростовская область, Мясниковский район, х. Хапры, пер. Степной, д. 20/а, к.н. 61:25:0070201:2268 (1 шт.) </t>
  </si>
  <si>
    <t xml:space="preserve">Установка системы учета для технологического присоединения энергопринимающих устройств Заявителя (Крикуненко Д.В.) по адресу: Ростовская область, Мясниковский район, х. Ленинаван, ул. 1-я Кольцевая, д. 51/а, к.н. 61:25:0600401:15322 (1 шт.) </t>
  </si>
  <si>
    <t xml:space="preserve">Установка системы учета для технологического присоединения энергопринимающих устройств Заявителя (Курбанов И.А.) по адресу: Ростовская область, Мясниковский район, х. Красный Крым, ул. Пушкинская, д. 37, к.н. 61:25:0600401:16331 (1 шт.) </t>
  </si>
  <si>
    <t xml:space="preserve">Установка системы учета для технологического присоединения энергопринимающих устройств Заявителя (Куренков М.А.) по адресу: Ростовская область, Мясниковский район, х. Красный Крым, ул. Сатхинская, д. 47, к.н. 61:25:0600401:17243 (1 шт.) </t>
  </si>
  <si>
    <t xml:space="preserve">Установка системы учета для технологического присоединения энергопринимающих устройств Заявителя (Лукьянченко Ю.А.) по адресу: Ростовская область, Мясниковский район, х. Ленинаван, ул. Звездная, д. 25, к.н. 61:25:0600401:16122 (1 шт.) </t>
  </si>
  <si>
    <t xml:space="preserve">Установка системы учета для технологического присоединения энергопринимающих устройств Заявителя (Луптиев М.У.) по адресу: Ростовская область, Мясниковский район, х. Красный Крым, ул. Пушкинская, д. 41, к.н. 61:25:0600401:18508 (1 шт.) </t>
  </si>
  <si>
    <t xml:space="preserve">Установка системы учета для технологического присоединения энергопринимающих устройств Заявителя (Малицкая Я.В.) по адресу: Ростовская область, Мясниковский район, х. Красный Крым, ул. Капитальная, д. 4, к.н. 61:25:0600401:17186 (1 шт.) </t>
  </si>
  <si>
    <t xml:space="preserve">Установка системы учета для технологического присоединения энергопринимающих устройств Заявителя: Манукян И.Н. в с. Чалтырь, ул. 50 лет Победы, д. 82/22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</si>
  <si>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(Марабян К.В.) по адресу: Ростовская область, Мясниковский район, с. Большие Салы, ул. 2-я Ленинская, д. 11/а, к.н. 61:25:0040101:5362 (1 шт.) </t>
  </si>
  <si>
    <t xml:space="preserve">Установка системы учета для технологического присоединения энергопринимающих устройств Заявителя (Матевосян Ш.А.) по адресу: Ростовская область, Мясниковский район, ул. Нольная линия,  д. 1/ж, к.н. 61:25:0201005:87 (1 шт.) </t>
  </si>
  <si>
    <t xml:space="preserve">Установка системы учета для технологического присоединения энергопринимающих устройств Заявителя (Михайличенкова Л.Ю.) по адресу: Ростовская область, Мясниковский район, х. Красный Крым, ул. Пушкинская, д. 40, к.н. 61:25:0600401:16317 (1 шт.) </t>
  </si>
  <si>
    <t xml:space="preserve">Установка системы учета для технологического присоединения энергопринимающих устройств Заявителя: Мудревский С.М. в х. Красный Крым, ул. Сатхинская, д. 16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</si>
  <si>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(Мурадян Н.Р.) по адресу: Ростовская область, Мясниковский район, с. Чалтырь, ул. Хошаф-Чорвах, д. 1/м, к.н. 61:25:0101401:127 (1 шт.) </t>
  </si>
  <si>
    <t xml:space="preserve">Установка системы учета для технологического присоединения энергопринимающих устройств Заявителя (Назаретян Р.А.) по адресу: Ростовская область, Мясниковский район, с. Крым, ул. Согомоняна, д. 1, к.н. 61:25:0600201:1451 (1 шт.) </t>
  </si>
  <si>
    <t xml:space="preserve">Установка системы учета для технологического присоединения энергопринимающих устройств Заявителя (Некрасов А.С.) по адресу: Ростовская область, Мясниковский район, х. Красный Крым, ул. Капитальная, д. 29, к.н. 61:25:0600401:17204 (1 шт.) </t>
  </si>
  <si>
    <t xml:space="preserve">Установка системы учета для технологического присоединения энергопринимающих устройств Заявителя (Неумывако С.Н.) по адресу: Ростовская область, Мясниковский район, х. Красный Крым, ул. Капитальная, д. 8, к.н. 61:25:0600401:17184 (1 шт.) </t>
  </si>
  <si>
    <t xml:space="preserve">Установка системы учета для технологического присоединения энергопринимающих устройств Заявителя (Олейник А.В.) по адресу: Ростовская область, Мясниковский район, х. Красный Крым, ул. Звездная, д. 28/а, к.н. 61:25:0600401:17687 (1 шт.) </t>
  </si>
  <si>
    <t xml:space="preserve">Установка системы учета для технологического присоединения энергопринимающих устройств Заявителя (Передерий Д.А.) по адресу: Ростовская область, Мясниковский район, х. Красный Крым, ул. Лермонтовская, д. 28, к.н. 61:25:0600401:17044 (1 шт.) </t>
  </si>
  <si>
    <t xml:space="preserve">Установка системы учета для технологического присоединения энергопринимающих устройств Заявителя (Рудской А.В.) по адресу: Ростовская область, Мясниковский район, х. Красный Крым, ул. Верхняя, д. 23, к.н. 61:25:0600401:17507 (1 шт.) </t>
  </si>
  <si>
    <t xml:space="preserve">Установка системы учета для технологического присоединения энергопринимающих устройств Заявителя (Сорокина А.Н.) по адресу: Ростовская область, Мясниковский район, х. Красный Крым, ул. Пушкинская, д. 35, к.н. 61:25:0600401:16332 (1 шт.) </t>
  </si>
  <si>
    <t xml:space="preserve">Установка системы учета для технологического присоединения энергопринимающих устройств Заявителя (Страхов А.И.) по адресу: Ростовская область, Мясниковский район, х. Красный Крым, ул. Звездная, д. 31/а, к.н. 61:25:0600401:17147 (1 шт.) </t>
  </si>
  <si>
    <t xml:space="preserve">Установка системы учета для технологического присоединения энергопринимающих устройств Заявителя (Суменко М.В.) по адресу: Ростовская область, Мясниковский район, с. Чалтырь, ул. Шагиняна, д. 81, к.н. 61:25:0600601:1384 (1 шт.) </t>
  </si>
  <si>
    <t xml:space="preserve">Установка системы учета для технологического присоединения энергопринимающих устройств Заявителя (Ткаченко А.В.) по адресу: Ростовская область, Мясниковский район, х. Красный Крым, ул. Пушкинская, д. 27, к.н. 61:25:0600401:16342 (1 шт.) </t>
  </si>
  <si>
    <t xml:space="preserve">Установка системы учета для технологического присоединения энергопринимающих устройств Заявителя (Ткаченко Н.В.) по адресу: Ростовская область, Мясниковский район, с. Крым, ул. Григора Бабияна, д. 44, к.н. 61:25:0600201:1489 (1 шт.) </t>
  </si>
  <si>
    <t xml:space="preserve">Установка системы учета для технологического присоединения энергопринимающих устройств Заявителя (Токузова З.М.) по адресу: Ростовская область, Мясниковский район, х. Красный Крым, ул. Лермонтовская, д. 34, к.н. 61:25:0600401:18507 (1 шт.) </t>
  </si>
  <si>
    <t xml:space="preserve">Установка системы учета для технологического присоединения энергопринимающих устройств Заявителя (Тоноян Г.Е.) по адресу: Ростовская область, Мясниковский район, с. Крым, ул. 2-я Пролетарская, д. 23, к.н. 61:25:0201024:786 (1 шт.) </t>
  </si>
  <si>
    <t xml:space="preserve">Установка системы учета для технологического присоединения энергопринимающих устройств Заявителя (Федорченко В.В.) по адресу: Ростовская область, Мясниковский район, х. Красный Крым, ул. Пушкинская, д. 21, к.н. 61:25:0600401:16346 (1 шт.) </t>
  </si>
  <si>
    <t xml:space="preserve">Установка системы учета для технологического присоединения энергопринимающих устройств Заявителя: Хараян Н.Н. в с. Большие Салы, ул. Шаумяна, д. 18/в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</si>
  <si>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(Шадрин Р.А.) по адресу: Ростовская область, Мясниковский район, х. Ленинаван, ул. Звездная, д. 1/а, к.н. 61:25:0600401:15318 (1 шт.) </t>
  </si>
  <si>
    <t xml:space="preserve">Установка системы учета для технологического присоединения энергопринимающих устройств Заявителя (Шахназарян С.А.) по адресу: Ростовская область, Мясниковский район, х. Калинин, ул. 2-я Кольцевая, д. 22/б, к.н. 61:25:0050101:2320 (1 шт.) </t>
  </si>
  <si>
    <t xml:space="preserve">Установка системы учета для технологического присоединения энергопринимающих устройств Заявителя (Шорохова М.Н.) по адресу: Ростовская область, Мясниковский район, х. Красный Крым, ул. Пушкинская, д. 49, к.н. 61:25:0600401:16319 (1 шт.) </t>
  </si>
  <si>
    <t>Установка системы учета для технологического присоединения энергопринимающих устройств Заявителя (Агабабян Г.Ц.) по адресу: Ростовская область, Мясниковский район, х. Ленинаван, ул. Шаумяна, д. 12/а, к.н. 61:25:0030202:3970 (1 шт.)</t>
  </si>
  <si>
    <t>Установка системы учета для технологического присоединения энергопринимающих устройств Заявителя (Баландина Е.Н.) по адресу: Ростовская область, Мясниковский район, х. Красный Крым, ул. Пушкинская, д. 30, к.н. 61:25:0600401:16329 (1 шт.)</t>
  </si>
  <si>
    <t>Установка системы учета для технологического присоединения энергопринимающих устройств Заявителя (Баласанян Л.Х.) по адресу: Ростовская область, Мясниковский район, с. Крым, ул. Советская, д. 69, к.н. 61:25:0201019:1018 (1 шт.)</t>
  </si>
  <si>
    <t>Установка системы учета для технологического присоединения энергопринимающих устройств Заявителя (Кабанов С.А.) по адресу: Ростовская область, Мясниковский район, х. Красный Крым, ул. Молодежная, д. 54, к.н. 61:25:0600401:16094 (1 шт.)</t>
  </si>
  <si>
    <t>Установка системы учета для технологического присоединения энергопринимающих устройств Заявителя (ИП Чубарян А.А.) по адресу: Ростовская область, Мясниковский район, с. Чалтырь, ул. Мясникяна, д. 95 и ул. Ленина, 36 (1 шт.)</t>
  </si>
  <si>
    <t>Установка системы учета для технологического присоединения энергопринимающих устройств Заявителя (Казарян А.А.) по адресу: Ростовская область, Мясниковский район, х. Красный Крым, ул. Сатхинская, д. 54, к.н. 61:25:0600401:17256 (1 шт.)</t>
  </si>
  <si>
    <t>Установка системы учета для технологического присоединения энергопринимающих устройств Заявителя (Корманукян Б.П.) по адресу: Ростовская область, Мясниковский район, с. Крым, ул. Александра Суворова, д. 20, к.н. 61:25:0600201:1461 (1 шт.)</t>
  </si>
  <si>
    <t xml:space="preserve">Установка системы учета для технологического присоединения энергопринимающих устройств Заявителя (Ливерова А.А.) по адресу: Ростовская область, Мясниковский район, х. Красный Крым, ул. Пушкинская, д. 52, к.н. 61:25:0600401:16306 (1 шт.) </t>
  </si>
  <si>
    <t>Установка системы учета для технологического присоединения энергопринимающих устройств Заявителя (Пайлеванян М.С.) по адресу: Ростовская область, Мясниковский район, х. Красный Крым, ул. Сатхинская, д. 33, к.н. 61:25:0600401:17251 (1 шт.)</t>
  </si>
  <si>
    <t>Установка системы учета для технологического присоединения энергопринимающих устройств Заявителя (Погребная Ю.Р.) по адресу: Ростовская область, Мясниковский район, х. Ленинаван, ул. Центральная, д. 15/а, к.н. 61:25:0600401:17523 (1 шт.)</t>
  </si>
  <si>
    <t>Установка системы учета для технологического присоединения энергопринимающих устройств Заявителя (Попков С.Ю.) по адресу: Ростовская область, Мясниковский район, с. Чалтырь, ул. 15-я линия, д. 7/л, к.н. 61:25:0101243:898 (1 шт.)</t>
  </si>
  <si>
    <t>Установка системы учета для технологического присоединения энергопринимающих устройств Заявителя (Рюмин М.Д.) по адресу: Ростовская область, Мясниковский район, х. Ленинаван, ул. Звездная, д. 23, к.н. 61:25:0600401:16060 (1 шт.)</t>
  </si>
  <si>
    <t>Установка системы учета для технологического присоединения энергопринимающих устройств Заявителя (Савельева Л.В.) по адресу: Ростовская область, Мясниковский район, с. Чалтырь, ул. 15-я линия, д. 9/м, к.н. 61:25:0101243:899 (1 шт.)</t>
  </si>
  <si>
    <t>Установка системы учета для технологического присоединения энергопринимающих устройств Заявителя (Стрельникова Е.П.) по адресу: Ростовская область, Мясниковский район, х. Красный Крым, ул. Капитальная, д. 24, к.н. 61:25:0600401:17206 (1 шт.)</t>
  </si>
  <si>
    <t>Установка системы учета для технологического присоединения энергопринимающих устройств Заявителя (Хавранян А.О.) по адресу: Ростовская область, Мясниковский район, х. Калинин, ул. Садовая, д. 32, к.н. 61:25:0050101:1811 (1 шт.)</t>
  </si>
  <si>
    <t>Установка системы учета для технологического присоединения энергопринимающих устройств Заявителя (Чубанов Е.А.) по адресу: Ростовская область, Мясниковский район, х. Ленинаван, ул. Пушкинская, д. 26/г, к.н. 61:25:0600401:18640 (1 шт.)</t>
  </si>
  <si>
    <t>Установка системы учета для технологического присоединения энергопринимающих устройств Заявителя (Ягунян Н.Э.) по адресу: Ростовская область, Мясниковский район, х. Красный Крым, ул. Капитальная, д. 26, к.н. 61:25:0600401:17203 (1 шт.)</t>
  </si>
  <si>
    <t>Установка системы учета для технологического присоединения энергопринимающих устройств Заявителя (Апраксина А.С.) по адресу: Ростовская область, Мясниковский район, х. Ленинаван, ул. Абовяна, д. 19/2, к.н. 61:25:0030202:4826 (1 шт.)</t>
  </si>
  <si>
    <t>Установка системы учета для технологического присоединения энергопринимающих устройств Заявителя (Беллуян Л.Р.) по адресу: Ростовская область, Мясниковский район, х. Ленинаван, ул. Алексеевская, д. 26, к.н. 61:25:0600401:16159 (1 шт.)</t>
  </si>
  <si>
    <t>Установка системы учета для технологического присоединения энергопринимающих устройств Заявителя (Блюденова Н.П.) по адресу: Ростовская область, Мясниковский район, х. Ленинакан, ул. Майская, д. 11/а, к.н. 61:25:0600401:16754 (1 шт.)</t>
  </si>
  <si>
    <t>Установка системы учета для технологического присоединения энергопринимающих устройств Заявителя (Бурым В.Г.) по адресу: Ростовская область, Мясниковский район, х. Красный Крым, ул. Верхняя, д. 9/б, к.н. 61:25:0600401:17542 (1 шт.)</t>
  </si>
  <si>
    <t>Установка системы учета для технологического присоединения энергопринимающих устройств Заявителя (Бурым В.Г.) по адресу: Ростовская область, Мясниковский район, х. Красный Крым, ул. Верхняя, д. 9/а, к.н. 61:25:0600401:17541 (1 шт.)</t>
  </si>
  <si>
    <t>Установка системы учета для технологического присоединения энергопринимающих устройств Заявителя (Викторов А.А.) по адресу: Ростовская область, Мясниковский район, х. Красный Крым, ул. Лермонтовская, д. 55, к.н. 61:25:0600401:17063 (1 шт.)</t>
  </si>
  <si>
    <t>Установка системы учета для технологического присоединения энергопринимающих устройств Заявителя (Викторов А.А.) по адресу: Ростовская область, Мясниковский район, х. Красный Крым, ул. Лермонтовская, д. 53, к.н. 61:25:0600401:17064 (1 шт.)</t>
  </si>
  <si>
    <t>Установка системы учета для технологического присоединения энергопринимающих устройств Заявителя (Грекова И.А.) по адресу: Ростовская область, Мясниковский район, х. Красный Крым, ул. Верхняя, д. 9, к.н. 61:25:0600401:17540 (1 шт.)</t>
  </si>
  <si>
    <t>Установка системы учета для технологического присоединения энергопринимающих устройств Заявителя (Канивец А.А.) по адресу: Ростовская область, Мясниковский район, х. Ленинакан, ул. Майская, д. 13, к.н. 61:25:0600401:16753 (1 шт.)</t>
  </si>
  <si>
    <t>Установка системы учета для технологического присоединения энергопринимающих устройств Заявителя (Кривко Л.В.) по адресу: Ростовская область, Мясниковский район, х. Красный Крым, ул. Небесная, д. 16/а, к.н. 61:25:0600401:18670 (1 шт.)</t>
  </si>
  <si>
    <t>Установка системы учета для технологического присоединения энергопринимающих устройств Заявителя (Кривко Л.В.) по адресу: Ростовская область, Мясниковский район, х. Красный Крым, ул. Небесная, д. 16, к.н. 61:25:0600401:18671 (1 шт.)</t>
  </si>
  <si>
    <t>Установка системы учета для технологического присоединения энергопринимающих устройств Заявителя (Лавриненко А.Л.) по адресу: Ростовская область, Мясниковский район, х. Красный Крым, ул. Пушкинская, д. 10, к.н. 61:25:0600401:16352 (1 шт.)</t>
  </si>
  <si>
    <t>Установка системы учета для технологического присоединения энергопринимающих устройств Заявителя (Лихоносова М.А.) по адресу: Ростовская область, Мясниковский район, х. Красный Крым, ул. Лермонтовская, д. 32, к.н. 61:25:0600401:17042 (1 шт.)</t>
  </si>
  <si>
    <t>Установка системы учета для технологического присоединения энергопринимающих устройств Заявителя (Мишарева Т.В.) по адресу: Ростовская область, Мясниковский район, х. Красный Крым, ул. Звездная, д. 28, к.н. 61:25:0600401:17688 (1 шт.)</t>
  </si>
  <si>
    <t>Установка системы учета для технологического присоединения энергопринимающих устройств Заявителя (Оганесян О.А.) по адресу: Ростовская область, Мясниковский район, с. Чалтырь, ул. Крестьянская, д. 6/а, к.н. 61:25:0600601:2148 (1 шт.)</t>
  </si>
  <si>
    <t>Установка системы учета для технологического присоединения энергопринимающих устройств Заявителя (Полуян И.Б.) по адресу: Ростовская область, Мясниковский район, х. Красный Крым, ул. Звездная, д. 34, к.н. 61:25:0600401:17684 (1 шт.)</t>
  </si>
  <si>
    <t>Установка системы учета для технологического присоединения энергопринимающих устройств Заявителя (Саевич А.И.) по адресу: Ростовская область, Мясниковский район, х. Красный Крым, ул. Звездная, д. 26/а, к.н. 61:25:0600401:14948 (1 шт.)</t>
  </si>
  <si>
    <t>Установка системы учета для технологического присоединения энергопринимающих устройств Заявителя (Фисенко А.С.) по адресу: Ростовская область, Мясниковский район, х. Красный Крым, ул. Пушкинская, д. 6, к.н. 61:25:0600401:16354 (1 шт.)</t>
  </si>
  <si>
    <t>Установка системы учета для технологического присоединения энергопринимающих устройств Заявителя (Черпухов И.М.) по адресу: Ростовская область, Мясниковский район, х. Ленинаван, ул. Алексеевская, д. 26/а, к.н. 61:25:0600401:16158 (1 шт.)</t>
  </si>
  <si>
    <t>Установка системы учета для технологического присоединения энергопринимающих устройств Заявителя (Щесняк А.В.) по адресу: Ростовская область, Мясниковский район, х. Красный Крым, ул. Звездная, д. 30, к.н. 61:25:0600401:15014 (1 шт.)</t>
  </si>
  <si>
    <t>Установка системы учета для технологического присоединения энергопринимающих устройств Заявителя (Ярославцев Х.А.) по адресу: Ростовская область, Мясниковский район, с. Крым, ул. 15-я линия, д. 4, к.н. 61:25:0201019:1022 (1 шт.)</t>
  </si>
  <si>
    <t>Установка системы учета для технологического присоединения энергопринимающих устройств Заявителя (Антонян С.М.) по адресу: Ростовская область, Мясниковский район, х. Красный Крым, ул. Лермонтовская, д. 44, к.н. 61:25:0600401:17036 (1 шт.)</t>
  </si>
  <si>
    <t>Установка системы учета для технологического присоединения энергопринимающих устройств Заявителя (Григорян В.С.) по адресу: Ростовская область, Мясниковский район, х. Ленинаван, ул. Звездная, д. 25/а, к.н. 61:25:0600401:16123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</si>
  <si>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Верхняя, д. 29, к.н. 61:25:0600401:17501 (1 шт.)</t>
  </si>
  <si>
    <t>Установка системы учета для технологического присоединения энергопринимающих устройств Заявителя (Дорошенко М.А.) по адресу: Ростовская область, Мясниковский район, х. Ленинакан, ул. Трудовая, д. 37/2, к.н. 61:25:0030301:1931 (1 шт.)</t>
  </si>
  <si>
    <t>Установка системы учета для технологического присоединения энергопринимающих устройств Заявителя (Карагулян Л.Н.) по адресу: Ростовская область, Мясниковский район, х. Красный Крым, ул. Сатхинская, д. 31, к.н. 61:25:0600401:17252 (1 шт.)</t>
  </si>
  <si>
    <t>Установка системы учета для технологического присоединения энергопринимающих устройств Заявителя (Конышев Ю.В.) по адресу: Ростовская область, Мясниковский район, х. Ленинакан, ул. Майская, д. 5, к.н. 61:25:0600401:17595 (1 шт.)</t>
  </si>
  <si>
    <t>Установка системы учета для технологического присоединения энергопринимающих устройств Заявителя (Мангов Д.Ю.) по адресу: Ростовская область, Мясниковский район, с. Крым, ул. Григора Бабияна, д. 40, к.н. 61:25:0600201:1446 (1 шт.)</t>
  </si>
  <si>
    <t>Установка системы учета для технологического присоединения энергопринимающих устройств Заявителя (Николаенко А.А.) по адресу: Ростовская область, Мясниковский район, с. Чалтырь, ул. Крестьянская, д. 4, к.н. 61:25:0600601:1365 (1 шт.)</t>
  </si>
  <si>
    <t>Установка системы учета для технологического присоединения энергопринимающих устройств Заявителя (Рудской А.В.) по адресу: Ростовская область, Мясниковский район, х. Красный Крым, ул. Верхняя, д. 25, к.н. 61:25:0600401:17508 (1 шт.)</t>
  </si>
  <si>
    <t>Установка системы учета для технологического присоединения энергопринимающих устройств Заявителя (Самосватова Н.Ю.) по адресу: Ростовская область, Мясниковский район, х. Красный Крым, ул. Сатхинская, д. 25, к.н. 61:25:0600401:17255 (1 шт.)</t>
  </si>
  <si>
    <t xml:space="preserve">Установка системы учета для технологического присоединения энергопринимающих устройств Заявителя (Селина Е.Н.) по адресу: Ростовская область, Мясниковский район, с. Крым, ул. Комсомольская, д. 2/б, к.н. 61:25:0201018:0245 (1 шт.) </t>
  </si>
  <si>
    <t>Установка системы учета для технологического присоединения энергопринимающих устройств Заявителя (Сукасян Л.И.) по адресу: Ростовская область, Мясниковский район, х. Красный Крым, ул. Сатхинская, д. 29, к.н. 61:25:0600401:17253 (1 шт.)</t>
  </si>
  <si>
    <t>Установка системы учета для технологического присоединения энергопринимающих устройств Заявителя (Шадрова Р.В.) по адресу: Ростовская область, Мясниковский район, х. Ленинакан, ул. Майская, д. 3/б, к.н. 61:25:0600401:17596 (1 шт.)</t>
  </si>
  <si>
    <t>Установка системы учета для технологического присоединения энергопринимающих устройств Заявителя (Блюденов С.Н.) по адресу: Ростовская область, Мясниковский район, х. Ленинакан, ул. Майская, д. 8, к.н. 61:25:0600401:17007 (1 шт.)</t>
  </si>
  <si>
    <t>Установка системы учета для технологического присоединения энергопринимающих устройств Заявителя (Загрядский А.С.) по адресу: Ростовская область, Мясниковский район, х. Красный Крым, ул. Капитальная, д. 20, к.н. 61:25:0600401:17208 (1 шт.)</t>
  </si>
  <si>
    <t>Установка системы учета для технологического присоединения энергопринимающих устройств Заявителя (Зеленовский В.В.) по адресу: Ростовская область, Мясниковский район, х. Ленинакан, ул. Трудовая, д. 37/5, к.н. 61:25:0030301:1934 (1 шт.)</t>
  </si>
  <si>
    <t>Установка системы учета для технологического присоединения энергопринимающих устройств Заявителя (ИП Аведян Т.В.) по адресу: Ростовская область, Мясниковский район, с. Чалтырь, ул. Красноармейская, д. 63/ж (слева от магазина автозапчастей) (1 шт.)</t>
  </si>
  <si>
    <t>Установка системы учета для технологического присоединения энергопринимающих устройств Заявителя (ИП Бардахчьян Г.М.) по адресу: Ростовская область, Мясниковский район, х. Ленинаван, ул. Ленина, д. 8/5
(1 шт.)</t>
  </si>
  <si>
    <t>Установка системы учета для технологического присоединения энергопринимающих устройств Заявителя (Кеян Р.М.) по адресу: Ростовская область, Мясниковский район, х. Красный Крым, ул. Сатхинская, д. 14, к.н. 61:25:0600401:17229 (1 шт.)</t>
  </si>
  <si>
    <t>Установка системы учета для технологического присоединения энергопринимающих устройств Заявителя (Колпаков М.А.) по адресу: Ростовская область, Мясниковский район, х. Ленинакан, ул. Майская, д. 3, к.н. 61:25:0600401:17598 (1 шт.)</t>
  </si>
  <si>
    <t>Установка системы учета для технологического присоединения энергопринимающих устройств Заявителя (Костырин В.Г.) по адресу: Ростовская область, Мясниковский район, х. Ленинаван, ул. Пушкинская, д. 26/а, к.н. 61:25:0600401:18641 (1 шт.)</t>
  </si>
  <si>
    <t>Установка системы учета для технологического присоединения энергопринимающих устройств Заявителя (Мелешко В.Н.) по адресу: Ростовская область, Мясниковский район, х. Ленинакан, ул. Осенняя, д. 5, к.н. 61:25:0600401:18115 (1 шт.)</t>
  </si>
  <si>
    <t>Установка системы учета для технологического присоединения энергопринимающих устройств Заявителя (Микоян С.С.) по адресу: Ростовская область, Мясниковский район, с. Крым, ул. 15-я линия, д. 6, к.н. 61:25:0201019:1023 (1 шт.)</t>
  </si>
  <si>
    <t>Установка системы учета для технологического присоединения энергопринимающих устройств Заявителя (Молоканов А.В.) по адресу: Ростовская область, Мясниковский район, х. Красный Крым, ул. Капитальная, д. 23, к.н. 61:25:0600401:17200 (1 шт.)</t>
  </si>
  <si>
    <t>Установка системы учета для технологического присоединения энергопринимающих устройств Заявителя (Панасенко Н.А.) по адресу: Ростовская область, Мясниковский район, х. Красный Крым, ул. Лермонтовская, д. 40, к.н. 61:25:0600401:17038 (1 шт.)</t>
  </si>
  <si>
    <t>Установка системы учета для технологического присоединения энергопринимающих устройств Заявителя (Песчанский Л.А.) по адресу: Ростовская область, Мясниковский район, х. Ленинакан, ул. Трудовая, д. 37/3, к.н. 61:25:0030301:1932 (1 шт.)</t>
  </si>
  <si>
    <t>Установка системы учета для технологического присоединения энергопринимающих устройств Заявителя (Прокопенко Ю.А.) по адресу: Ростовская область, Мясниковский район, с. Крым, ул. Пролетарская, д. 4/ж, к.н. 61:25:0201022:716 (1 шт.)</t>
  </si>
  <si>
    <t>Установка системы учета для технологического присоединения энергопринимающих устройств Заявителя (Сурмило А.А.) по адресу: Ростовская область, Мясниковский район, х. Красный Крым, ул. Пушкинская, д. 45, к.н. 61:25:0600401:16321 (1 шт.)</t>
  </si>
  <si>
    <t xml:space="preserve">Установка системы учета для технологического присоединения энергопринимающих устройств Заявителя (Сычева Т.В.) по адресу: Ростовская область, Мясниковский район, х. Красный Крым, ул. Капитальная, д. 22, к.н. 61:25:0600401:17207 (1 шт.) </t>
  </si>
  <si>
    <t>Установка системы учета для технологического присоединения энергопринимающих устройств Заявителя (Тарасова К.И.) по адресу: Ростовская область, Мясниковский район, х. Красный Крым, ул. Урожайная, д. 14, к.н. 61:25:0600401:16108 (1 шт.)</t>
  </si>
  <si>
    <t>Установка системы учета для технологического присоединения энергопринимающих устройств Заявителя (Абрамов Д.А.) по адресу: Ростовская область, Мясниковский район, х. Ленинакан, ул. Васильковая, д. 19/а, к.н. 61:25:0030301:1530 (1 шт.)</t>
  </si>
  <si>
    <t>Установка системы учета для технологического присоединения энергопринимающих устройств Заявителя (Бабасиева Г.Р.) по адресу: Ростовская область, Мясниковский район, х. Красный Крым, ул. Урожайная, д. 12, к.н. 61:25:0600401:16109 (1 шт.)</t>
  </si>
  <si>
    <t>Установка системы учета для технологического присоединения энергопринимающих устройств Заявителя (Бейнарович А.В.) по адресу: Ростовская область, Мясниковский район, х. Красный Крым, ул. Братьев Баян, д. 45/а, к.н. 61:25:0030101:2020 (1 шт.)</t>
  </si>
  <si>
    <t>Установка системы учета для технологического присоединения энергопринимающих устройств Заявителя (Воропай О.А.) по адресу: Ростовская область, Мясниковский район, с. Крым, ул. Григора Бабияна, д. 44/а, к.н. 61:25:0600201:1490 (1 шт.)</t>
  </si>
  <si>
    <t>Установка системы учета для технологического присоединения энергопринимающих устройств Заявителя (Доценко А.Ю.) по адресу: Ростовская область, Мясниковский район, х. Ленинакан, ул. Майская, д. 3/а, к.н. 61:25:0600401:18804 (1 шт.)</t>
  </si>
  <si>
    <t>Установка системы учета для технологического присоединения энергопринимающих устройств Заявителя (Жук Д.Л.) по адресу: Ростовская область, Мясниковский район, х. Красный Крым, ул. Лермонтовская, д. 48, к.н. 61:25:0600401:17094 (1 шт.)</t>
  </si>
  <si>
    <t>Установка системы учета для технологического присоединения энергопринимающих устройств Заявителя (Журавлев С.А.) по адресу: Ростовская область, Мясниковский район, х. Красный Крым, ул. Лермонтовская, д. 42, к.н. 61:25:0600401:17037 (1 шт.)</t>
  </si>
  <si>
    <t>Установка системы учета для технологического присоединения энергопринимающих устройств Заявителя (Зарубин Н.Н.) по адресу: Ростовская область, Мясниковский район, х. Ленинакан, ул. Осенняя, д. 8, к.н. 61:25:0600401:18626 (1 шт.)</t>
  </si>
  <si>
    <t>Установка системы учета для технологического присоединения энергопринимающих устройств Заявителя (Косов В.В.) по адресу: Ростовская область, Мясниковский район, х. Красный Крым, ул. Урожайная, д. 5/а, к.н. 61:25:0600401:17528 (1 шт.)</t>
  </si>
  <si>
    <t>Установка системы учета для технологического присоединения энергопринимающих устройств Заявителя (Магакелян К.А.) по адресу: Ростовская область, Мясниковский район, х. Красный Крым, ул. Молодежная, д. 56, к.н. 61:25:0600401:16093 (1 шт.)</t>
  </si>
  <si>
    <t>Установка системы учета для технологического присоединения энергопринимающих устройств Заявителя (Манукян Л.Г.) по адресу: Ростовская область, Мясниковский район, х. Ленинакан, ул. Васильковая, д. 2/в, к.н. 61:25:0030301:1536 (1 шт.)</t>
  </si>
  <si>
    <t xml:space="preserve">Установка системы учета для технологического присоединения энергопринимающих устройств Заявителя (Полянская И.В.) по адресу: Ростовская область, Мясниковский район, х. Ленинакан, ул. Майская, д. 17, к.н. 61:25:0600401:16749 (1 шт.) </t>
  </si>
  <si>
    <t>Установка системы учета для технологического присоединения энергопринимающих устройств Заявителя (Рамазян Ю.Г.) по адресу: Ростовская область, Мясниковский район, с. Крым, ул. Григора Бабияна, д. 9/а, к.н. 61:25:0600201:1538 (1 шт.)</t>
  </si>
  <si>
    <t>Установка системы учета для технологического присоединения энергопринимающих устройств Заявителя (Сергеева Ю.А.) по адресу: Ростовская область, Мясниковский район, х. Ленинакан, ул. Трудовая, д. 37/6, к.н. 61:25:0030301:1935 (1 шт.)</t>
  </si>
  <si>
    <t>Установка системы учета для технологического присоединения энергопринимающих устройств Заявителя (Таванец Е.Ю.) по адресу: Ростовская область, Мясниковский район, х. Красный Крым, ул. Лермонтовская, д. 26, к.н. 61:25:0600401:17045 (1 шт.)</t>
  </si>
  <si>
    <t>Установка системы учета для технологического присоединения энергопринимающих устройств Заявителя (Татаренко В.Н.) по адресу: Ростовская область, Мясниковский район, х. Ленинаван, ул. И. Айвазовского, д. 9/а, к.н. 61:25:0600401:16804 (1 шт.)</t>
  </si>
  <si>
    <t>Установка системы учета для технологического присоединения энергопринимающих устройств Заявителя (Терентьев А.Е.) по адресу: Ростовская область, Мясниковский район, х. Ленинаван, ул. Алексеевская, д. 24/а, к.н. 61:25:0600401:16057 (1 шт.)</t>
  </si>
  <si>
    <t xml:space="preserve">Установка системы учета для технологического присоединения энергопринимающих устройств Заявителя (Хавранян А.О.) по адресу: Ростовская область, Мясниковский район, х. Калинин, ул. Садовая, д. 32/б, к.н. 61:25:0050101:8011 (1 шт.) </t>
  </si>
  <si>
    <t>Установка системы учета для технологического присоединения энергопринимающих устройств Заявителя (Хавранян А.О.) по адресу: Ростовская область, Мясниковский район, х. Калинин, ул. Садовая, д. 32/а, к.н. 61:25:0050101:8010 (1 шт.)</t>
  </si>
  <si>
    <t>Установка системы учета для технологического присоединения энергопринимающих устройств Заявителя (Чернушкина М.С.) по адресу: Ростовская область, Мясниковский район, с. Крым, ул. Первомайская, д. 11/и, к.н. 61:25:0201016:706 (1 шт.)</t>
  </si>
  <si>
    <t xml:space="preserve">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Ленинаван, ул. Дружбы, д. 1/1, к.н. 61:25:0030202:4919 (1 шт.) </t>
  </si>
  <si>
    <t>Установка системы учета для технологического присоединения энергопринимающих устройств Заявителя (Юманова В.А.) по адресу: Ростовская область, Мясниковский район, х. Ленинакан, ул. Майская, д. 15/а, к.н. 61:25:0600401:16750 (1 шт.)</t>
  </si>
  <si>
    <t>Установка системы учета для технологического присоединения энергопринимающих устройств Заявителей: Пешекерян А.А., ИП Пешекерян А.А.  в Мясниковском районе Ростовской области (5 шт.)</t>
  </si>
  <si>
    <t>Установка системы учета для технологического присоединения энергопринимающих устройств Заявителей: Босенко Е.В., Смалько Д.А., Шпаков В.Н., Гурова Л.А., Родькина А.С. в Неклиновском районе Ростовской области (5 шт.).</t>
  </si>
  <si>
    <t xml:space="preserve">Установка системы учета для технологического присоединения энергопринимающих устройств Заявителей: Бондаренко А.А., Крикун Р.Ф., Скляр М.И.   в Неклиновском районе Ростовской области (3 шт.). </t>
  </si>
  <si>
    <t>Установка системы учета для технологического присоединения энергопринимающих устройств Заявителя: Григорьев А.А.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</si>
  <si>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Заявителя: ИП Дворник Е.А.   в Неклиновском районе Ростовской области (1 шт.). </t>
  </si>
  <si>
    <t>Установка системы учета для технологического присоединения энергопринимающих устройств Заявителей: Колесов А.А., Валиуллин С.Р.   в Неклиновском районе Ростовской области (2 шт.).</t>
  </si>
  <si>
    <t>Установка системы учета для технологического присоединения энергопринимающих устройств Заявителя: Кирилина К.С.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</si>
  <si>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Заявителей: ООО «Колхоз «50 лет Октября», Левченко О.А., Маличенко Л.Н. в Неклиновском районе Ростовской области (3 шт.) </t>
  </si>
  <si>
    <t xml:space="preserve">Установка системы учета для технологического присоединения энергопринимающих устройств Заявителя (Есаян Н.С.)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</si>
  <si>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(Сеник Г.А.)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</si>
  <si>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(Шадов А.Ж.)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</si>
  <si>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(Богданова А.А.) по адресу: Ростовская область, Неклиновский район, с. Новобессергеневка, ул. Инициативная, д. 27-Г, к.н. 61:26:0600024:5411 (1 шт.) </t>
  </si>
  <si>
    <t xml:space="preserve">Установка системы учета для технологического присоединения энергопринимающих устройств Заявителя (Дорохова Н.В.) по адресу: Ростовская область, Неклиновский район, х. Мержаново, ул. Буденого, д. 13, к.н. 61:26:0060301:571 (1 шт.) </t>
  </si>
  <si>
    <t xml:space="preserve">Установка системы учета для технологического присоединения энергопринимающих устройств Заявителя (Иваница Е.А.) по адресу: Ростовская область, Неклиновский район, с. Андреево-Мелентьево, ул. Береговая, д. 13, кв. 3, к.н. 61:26:0090101:1039 (1 шт.) </t>
  </si>
  <si>
    <t xml:space="preserve">Установка системы учета для технологического присоединения энергопринимающих устройств Заявителя (Мехти-Заде Ф.Ю.) по адресу: Ростовская область, Неклиновский район, х. Мержаново, ул. Буденого, д. 29-а, к.н. 61:26:0060301:752 (1 шт.) </t>
  </si>
  <si>
    <t xml:space="preserve">Установка системы учета для технологического присоединения энергопринимающих устройств Заявителя (Синдеева М.А.) по адресу: Ростовская область, Неклиновский район, х. Палий, ул. Урожайная, д. 9 (1 шт.) </t>
  </si>
  <si>
    <t>Установка системы учета для технологического присоединения энергопринимающих устройств Заявителя (Мусина В.И.) по адресу: Ростовская область, Неклиновский район, с. Новобессергеневка, ул. Инициативная, д. 27-В, к.н. 61:26:0600024:5412 (1 шт.)</t>
  </si>
  <si>
    <t>Установка системы учета для технологического присоединения энергопринимающих устройств Заявителя (Гавриков А.В.) по адресу: Ростовская область, Неклиновский район, с. Николаевка, пер. Клубный, д. 3, к.н. 61:26:0110101:8574 (1 шт.)</t>
  </si>
  <si>
    <t xml:space="preserve">Установка системы учета для технологического присоединения энергопринимающих устройств Заявителя (Бондарева Т.Ю.) в г. Таганроге Ростовской области (1шт.) </t>
  </si>
  <si>
    <t>Установка прибора коммерческого учета электрической энергии (мощности) в точке поставки для присоединения индивидуального жилого дома Трясциной А.Н., расположенного по адресу: Ростовская область, Волгодонской район, станица Романовская, ул. 75 лет Победы, д.77, к.н.з.у.: 61:08:0600601:4633</t>
  </si>
  <si>
    <t>Установка прибора коммерческого учета электрической энергии (мощности) в точке поставки для присоединения индивидуального жилого дома Бондаренко П.А., расположенного по адресу: Ростовская область, Волгодонской район, станица Романовская, ул. Лесная, д. 1А, кадастровый номер земельного участка: 61:08:0070114:243</t>
  </si>
  <si>
    <t>Установка прибора коммерческого учета электрической энергии (мощности) в точке поставки для присоединения жилого дома Сорокина Д.Е., расположенного по адресу: Ростовская область, Волгодонской район, х. Погожев, ул. Школьная, д.14, к.н.з.у.: 61:08:0070401:157</t>
  </si>
  <si>
    <t>Установка прибора коммерческого учета электрической энергии (мощности) в точке поставки для присоединения жилого дома Мордвинцева И.П., расположенного по адресу: Ростовская область, Волгодонской район, станица Романовская, ул. Соловьевых, д. 118А, к.н.з.у.: 61:08:0070130:520</t>
  </si>
  <si>
    <t>Обеспечение коммерческим учетом электрической энергии (мощности) в точке поставки и установка шкафа 0,22 кВ по присоединению жилого дома Колычева Н.В., расположенного по адресу: Ростовская область, Цимлянский район, п. Саркел, пер. Виноградный, д. 25, к.н. 61:41:0011104:535</t>
  </si>
  <si>
    <t>Обеспечение коммерческим учетом электрической энергии (мощности) в точке поставки и установка шкафа 0,22 кВ по присоединению жилого дома Русанова Б.Н., расположенного по адресу: Ростовская область, Цимлянский район, х. Лозной, ул. Виноградная, д. 16, к.н. 61:41:0030113:35</t>
  </si>
  <si>
    <t>Обеспечение коммерческим учетом электрической энергии (мощности) в точке поставки и установка шкафа 0,22 кВ по присоединению уличного освещения Администрации Красноярского сельского поселения, расположенного по адресу: Ростовская область, Цимлянский район, станица Красноярская, ул. Ленина, к.н. 61:41:0020128:297</t>
  </si>
  <si>
    <t>Обеспечение коммерческим учетом электрической энергии (мощности) в точке поставки и установка шкафа 0,22 кВ по присоединению магазина ИП Соповой Е.Г., расположенного по адресу: Ростовская область, Цимлянский район, станица Лозновская, ул. Центральная, л. 30а, к.н. 61:41:0040203:1</t>
  </si>
  <si>
    <t>Установка прибора коммерческого учета электрической энергии (мощности) в точке поставки по присоединению нежилого здания АО «Почта России», расположенного по адресу: Ростовская область, Цимлянский район, х. Антонов, ул. Центральная, д.2, с/п Калининское, кадастровый номер земельного участка 61:41:0060405:6</t>
  </si>
  <si>
    <t>Установка прибора коммерческого учета электрической энергии (мощности) в точке поставки по присоединению жилого дома Шелест М.А., расположенного по адресу: Ростовская область, Цимлянский район, станица Красноярская, ул. Социалистическая, д. 37а, кадастровый номер земельного участка: 61:41:0020118:472</t>
  </si>
  <si>
    <t>Установка прибора коммерческого учета электрической энергии (мощности) в точке поставки для присоединения жилого дома Виноградовой И.В., расположенного по адресу: Ростовская область, Цимлянский район, х. Крутой, ул. Степная, д.18, к.н.з.у.: 61:41:0020307:123</t>
  </si>
  <si>
    <t>Установка прибора коммерческого учета электрической энергии (мощности) в точке поставки для присоединения жилого дома Бурлаки А.В., расположенного по адресу: Ростовская область, Цимлянский район, станица Красноярская, ул. 60 лет Октября, д. 24, к.н.з.у.: 61:41:0020128:52</t>
  </si>
  <si>
    <t>Установка прибора коммерческого учета электрической энергии (мощности) в точке поставки для присоединения жилого дома Сапрыкиной Л.А., расположенного по адресу: Ростовская область, Цимлянский район, х. Лозной, пер. Лесной, д. 9, к.н.з.у.: 61:41:0030103:65</t>
  </si>
  <si>
    <t>Установка прибора коммерческого учета электрической энергии (мощности) в точке поставки для присоединения сети уличного освещения Администрации Новоселовского сельского поселения, расположенной по адресу: Ростовская область, Мартыновский район, х. Красноармейский, ул. Красноармейская, к.н.з.у.: 61:20:0070301:626</t>
  </si>
  <si>
    <t>Установка прибора коммерческого учета электрической энергии (мощности) в точке поставки для присоединения квартиры Лукьяненко Р.Г., расположенной по адресу: Ростовская область ,Мартыновский район, хутор Комаров, ул. Школьная, д. 54, кв./оф. 1, к.н.з.у.: 61:20:0050101:4038</t>
  </si>
  <si>
    <t>Установка прибора коммерческого учета электрической энергии (мощности) в точке поставки для присоединения жилого дома ООО «Новоселовское», расположенного по адресу: Ростовская область, Мартыновский район, х. Новоселовка, ул. Краснопартизанская, д. 28в, к.н.з.у.: 61:20:0070101:3418</t>
  </si>
  <si>
    <t>Установка прибора коммерческого учета электрической энергии (мощности) в точке поставки для присоединения жилого дома Котельниковой А.А., расположенного по адресу: Ростовская область, Константиновский район, станица Николаевская, ул. Фридриха Энгельса, д.102, к.н.з.у.: 61:17:0050101:152</t>
  </si>
  <si>
    <t>Установка прибора коммерческого учета электрической энергии (мощности) в точке поставки для присоединения торгового павильона ИП Попова Н.Н., расположенного по адресу: Ростовская область, Константиновский район, г. Константиновск, на 80 км влево от автодороги «Шахты – Цимлянск», к.н.з.у.: 61:17:0600011:350</t>
  </si>
  <si>
    <t>Установка прибора коммерческого учета электрической энергии (мощности) в точке поставки по присоединению квартиры Аникашиной Н.В., расположенной по адресу: Ростовская область, Ремонтненский район, п. Привольный, пер. Молодежный, д.5, кв.3, кадастровый номер земельного участка 61:32:0100101:1817</t>
  </si>
  <si>
    <t>Установка прибора коммерческого учета электрической энергии (мощности) в точке поставки по присоединению жилого дома Стасенко А.Н., расположенного по адресу: Ростовская область, Ремонтненский район, с. Первомайское, ул. Садовая, д. 54, к.н. объекта 61:32:0080101:1318, кадастровый номер земельного участка 61:32:0080101:86</t>
  </si>
  <si>
    <t>Установка прибора коммерческого учета электрической энергии (мощности) в точке поставки для присоединения полевого стана ИП Магомедова М.К., расположенного по адресу: Ростовская область, Ремонтненский район, х. Раздольный, в 3 км на юго-восток от х. Раздольный, 2-я бригада, поле №1 первого полевого севооборота, к.н.з.у.: 61:32:0600003:1274</t>
  </si>
  <si>
    <t>Установка коммерческого учета электрической энергии (мощности) в точке поставки и установка шкафа 0,22 кВ по присоединению жилого дома Булатова М-Р.М., расположенного по адресу: Ростовская область, Ремонтненский район, Подгорненское сельское поселение примерно в 7 км по направлению на северо-восток от с. Подгорное от ориентира 41 отарный участок, расположенного в границах участка, ж/т 13, кадастровый номер земельного участка 61:32:0000000:2311 (1 шт)</t>
  </si>
  <si>
    <t>Установка прибора коммерческого учета электрической энергии (мощности) в точке поставки для присоединения квартиры в жилом доме Донец Н.В., расположенной по адресу: Ростовская область, Дубовский район, х. Семичный, ул. Центральная, д. 21, кв. 1, к.н.з.у.: 61:09:0020101:535</t>
  </si>
  <si>
    <t>Установка прибора коммерческого учета электрической энергии (мощности) в точке поставки для присоединения дачного дома Воиновой С.М., расположенного по адресу: Ростовская область, Волгодонской район, СДТ Юбилейное, к.н.з.у.: 61:08:0601901:1193</t>
  </si>
  <si>
    <t>Обеспечение коммерческим учетом электрической энергии (мощности) в точке поставки и установка шкафа 0,22 кВ по присоединению спального домика Лещенко Е.П., расположенной по адресу: Ростовская область, г. Волгодонск, ул. Отдыха, д.3,  к.н. 61:48:0020101:1407</t>
  </si>
  <si>
    <t>Установка  коммерческого учета электрической энергии (мощности) в точках поставки и установка шкафов 0,22 кВ по присоединению жилых домов ИП Кошаташяна А.А., расположенных по адресам: Ростовская область, Волгодонской район, х. Погожев, ул. Гладкова, д. 32а, кадастровый номер земельного участка 61:08:0600601:4950, д. 32б, кадастровый номер земельного участка 61:08:0600601:4951, д. 32в, кадастровый номер земельного участка 61:08:0600601:4952</t>
  </si>
  <si>
    <t>Установка коммерческого учета электрической энергии (мощности) в точках поставки и установка шкафов 0,22 кВ по присоединению жилых домов Кошаташяна А.А., расположенных по адресам: Ростовская область, Волгодонской район, х. Погожев, ул. Гладкова, д. 34а, д. 34б, д. 34в, в границах кадастрового квартала 61:08:0600601 (количество приборов учета – 3 шт.)</t>
  </si>
  <si>
    <t>Установка прибора коммерческого учета электрической энергии (мощности) в точке поставки для присоединения жилого дома Костенко В.П., расположенного по адресу: Ростовская область, Волгодонской район, х. Лагутники, ул. Ленина, д. 35а, к.н.з.у.: 61:08:0070205:472</t>
  </si>
  <si>
    <t>Установка прибора коммерческого учета электрической энергии (мощности) в точке поставки для присоединения жилого дома Музафарова Р.Т., расположенного по адресу: Ростовская область, Волгодонской район, станица Романовская, ул. 50 лет Победы, д. 95А, к.н.з.у.: 61:08:0070127:839</t>
  </si>
  <si>
    <t>Установка прибора коммерческого учета электрической энергии (мощности) в точке поставки для присоединения жилого дома Демьянец Н.А., расположенного по адресу: Ростовская область, Волгодонской район, станица Романовская, ул. Почтовая, д. 47а, к.н.о.: 61:08:070106:829</t>
  </si>
  <si>
    <t>Строительство участка ВЛИ-0,4 кВ от вновь установленной опоры вновь построенной ВЛИ-0,4 кВ (по договору ТП №61-1-20-00512889 от 27.05.2020г) от вновь установленной ТП-6/0,4 кВ по ВЛ-6 кВ №1 ПС 35/6 кВ Романовская (по договорам ТП №61-1-19-00441801 от 13.05.2019г и №61-1-19-00437609 от 15.05.2019г), с установкой шкафов 0,4 кВ, и обеспечение коммерческим учетом электрической энергии (мощности) в точках поставки по присоединению спальных домиков Васильева В.В., Кривохижы Ю.В. и Савина А.И., вагончика Большовой Г.В., расположенных по адресам: Ростовская обл., г. Волгодонск, ул. Отдыха, д. 3, кадастровыми номерами земельных участков. 61:48:0020101:1395, 61:48:0020101:1340, 61:48:0020101:1248 и 61:48:0020101:1272 (ориентировочная протяженность ЛЭП 0,17 км)</t>
  </si>
  <si>
    <t>Обеспечение коммерческим учетом электрической энергии (мощности) в точке поставки и установка шкафа 0,22 кВ по присоединению жилого дома Трояновой В.А., расположенного по адресу: Ростовская область, Цимлянский район, станица Красноярская, ул. Социалистическая, д.29А,  к.н. 61:41:0020118:474</t>
  </si>
  <si>
    <t>Обеспечение коммерческим учетом электрической энергии (мощности) в точке поставки и установка шкафа 0,22 кВ по присоединению жилого дома Реджебова Д.Т., расположенного по адресу: Ростовская область, Волгодонской район, х. Рябичев, ул. Восточная, д.69, к.н. 61:08:0030107:554</t>
  </si>
  <si>
    <t>Установка прибора коммерческого учета электрической энергии (мощности) в точке поставки для присоединения индивидуального жилого дома Попова И.В., расположенного по адресу: Ростовская область, Волгодонской район, станица Романовская, ул. Береговая, д. 2, к.н.з.у.: 61:08:0070104:726</t>
  </si>
  <si>
    <t>Установка прибора коммерческого учета электрической энергии (мощности) в точке поставки для присоединения жилого дома Ким В.К., расположенного по адресу: Ростовская область, Волгодонской район, станица Романовская, ул. Почтовая, д. 28, к.н.з.у.: 61:08:0070107:7</t>
  </si>
  <si>
    <t>Установка прибора коммерческого учета электрической энергии (мощности) в точке поставки для присоединения дачного дома Спатаря А.В., расположенного по адресу: Ростовская область, Константиновский район, х. Нижнежуравский, ул. Солнечная, д. 18, к.н.з.у.: 61:17:0020401:121</t>
  </si>
  <si>
    <t>Установка прибора коммерческого учета электрической энергии (мощности) в точке поставки для присоединения жилого дома Асельдеровой Х., расположенного по адресу: Ростовская область, Заветинский район, х. Золотое Руно, проезд Ковыльный, д. 13, кв. 1,2, к.н.о.: 61:11:0600012:579</t>
  </si>
  <si>
    <t>Установка прибора коммерческого учета электрической энергии (мощности) в точке поставки для присоединения квартиры в жилом доме Болдыревой О.А., расположенной по адресу: Ростовская область, Заветинский район, с. Кичкино, ул. Быковского, д. 11, кв. 1, к.н.о.: 61:11:0030101:1442</t>
  </si>
  <si>
    <t>Установка прибора коммерческого учета электрической энергии (мощности) в точке поставки для присоединения подсобного помещения для ведения личного подсобного хозяйства Саидова Х.Ш., расположенного по адресу: Ростовская область, Заветинский район, х. Савдя, ул. Советская, д. 33, к.н.з.у.: 61:11:0060101:614</t>
  </si>
  <si>
    <t>Установка прибора коммерческого учета электрической энергии (мощности) в точке поставки для присоединения жилого дома Мусаева М.М., расположенного по адресу: Ростовская область, Заветинский район, п. Высокий, проезд Луговой, д. 26, кв. 1,2, к.н.о.: 61:11:0600012:578</t>
  </si>
  <si>
    <t>Установка прибора коммерческого учета электрической энергии (мощности) в точке поставки для присоединения индивидуального жилого дома Подлесных Д.А., расположенного по адресу: Ростовская область, Волгодонской район, станица Романовская, ул. Береговая, д. 17, к.н.з.у.: 61:08:0070104:721</t>
  </si>
  <si>
    <t>Установка прибора коммерческого учета электрической энергии (мощности) в точке поставки для присоединения индивидуального жилого дома Косоножкина С.В., расположенного по адресу: Ростовская область, Волгодонской район, станица Романовская, ул. Береговая, д. 8, к.н.з.у.: 61:08:0070104:707</t>
  </si>
  <si>
    <t>Установка прибора коммерческого учета электрической энергии (мощности) в точке поставки для присоединения дачного дома Гущина Е.А., расположенного по адресу: Ростовская область, г. Волгодонск, ул. Отдыха, д. 3, к.н.з.у.: 61:48:0020101:1268</t>
  </si>
  <si>
    <t>Установка прибора коммерческого учета электрической энергии (мощности) в точке поставки для присоединения жилого дома Прасолова Ю.С., расположенного по адресу: Ростовская область, Волгодонской район, х. Морозов, пер. Почтовый, д. 14, к.н.з.у.: 61:08:0020203:54</t>
  </si>
  <si>
    <t>Установка прибора коммерческого учета электрической энергии (мощности) в точке поставки для присоединения жилого дома Ивановой О.Н., расположенного по адресу: Ростовская область, Константиновский район, х. Нижнежуравский, ул. Солнечная, д. 20, к.н.з.у.: 61:17:0020401:327</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</si>
  <si>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Черкасской В.Л., расположенной по адресу: Ростовская область, Мартыновский район, х. Карповка, ул. Карповская, д.22, к.н.з.у.: 61:20:0070201:138</t>
  </si>
  <si>
    <t>Установка прибора коммерческого учета электрической энергии (мощности) в точке поставки для присоединения жилого дома ООО «Новоселовское», расположенного по адресу: Ростовская область, Мартыновский район, х. Новоселовка, ул. Краснопартизанская, д. 28б, к.н.з.у.: 61:20:0070101:3419</t>
  </si>
  <si>
    <t>Установка прибора коммерческого учета электрической энергии (мощности) в точке поставки для присоединения жилого дома Мавлюдовой Х.К., расположенного по адресу: Ростовская область, Мартыновский район, х. Новониколаевский, ул. Центральная, д. 10-г, к.н.з.у.: 61:20:0080501:500</t>
  </si>
  <si>
    <t>Установка прибора коммерческого учета электрической энергии (мощности) в точке поставки для присоединения скважины для полива огорода Усмановой Н.Н., расположенной по адресу: Ростовская область, Мартыновский район, х. Сальский Кагальник, ул. Почтовая, д.21А, к.н.з.у.: 61:20:0060501:3807</t>
  </si>
  <si>
    <t>Установка прибора коммерческого учета электрической энергии (мощности) в точке поставки для присоединения уличного освещения Бюджетного учреждения Администрация Дубовского сельского поселения, расположенного по адресу: Ростовская область, Дубовский район, х. Ериковский, 1 км на запад от ул. Кирова, к.н.з.у.: 61:09:0600005:1258</t>
  </si>
  <si>
    <t>Установка прибора коммерческого учета электрической энергии (мощности) в точке поставки для присоединения квартиры Витаханова Р.Б., расположенной по адресу: Ростовская область, Ремонтненский район, п. Привольный, пер. Молодежный, д.7, кв. 1, к.н.о.: 61:32:0100101:1716, к.н.з.у.: 61:32:0100101:305</t>
  </si>
  <si>
    <t>Установка прибора коммерческого учета электрической энергии (мощности) в точке поставки для присоединения жилого дома Куватова М.М., расположенного по адресу: Ростовская область, Ремонтненский район, п. Новопривольный, ул. Задорная, д. 14, к.н.з.у.: 61:32:0100201:257</t>
  </si>
  <si>
    <t>Обеспечение коммерческим учетом электрической энергии (мощности) в точке поставки и установка шкафа 0,22 кВ по присоединению спального домика Оберемченко Д.Н., расположенного по адресу: Ростовская область, г. Волгодонск, ул. Отдыха, д. 3, к.н. 61:48:0020101:703</t>
  </si>
  <si>
    <t>Обеспечение коммерческим учетом электрической энергии (мощности) в точке поставки и установка шкафа 0,22 кВ по присоединению жилого дома Пилецкой Е.В., расположенного по адресу: Ростовская область, Волгодонской район, х. Рябичев, ул. Космонавтов, д. 12, кадастровый номер земельного участка 61:08:0030101:154</t>
  </si>
  <si>
    <t>Установка прибора коммерческого учета электрической энергии (мощности) в точке поставки для присоединения уличного освещения Администрации Гашунского сельского поселения, расположенного по адресу: Ростовская область, Зимовниковский район, п. Байков, ул. Зеленая, кадастровый квартал: 61:13:30114</t>
  </si>
  <si>
    <t>Установка прибора коммерческого учета электрической энергии (мощности) в точке поставки для присоединения квартиры Муртазалиева Ш.А., расположенной по адресу: Ростовская область, Зимовниковский район, х. Глубокий, ул. Центральная, д. 2, кв./оф.3, к.н.з.у.: 61:13:0040402:188</t>
  </si>
  <si>
    <t>Установка прибора коммерческого учета электрической энергии (мощности) в точке поставки для присоединения скважины для полива огорода Зуфаровой Э.Х., расположенной по адресу: Ростовская область, Мартыновский район, х. Долгий, ул. Клубная, д.31, к.н.з.у.: 61:20:0060301:2099</t>
  </si>
  <si>
    <t>Установка прибора коммерческого учета электрической энергии (мощности) в точке поставки для присоединения жилого дома Панчехиной В.А., расположенного по адресу: Ростовская область, Мартыновский район, п. Новоцелинный, ул. Парковая, д. 12, к.н.з.у.: 61:20:0050501:490</t>
  </si>
  <si>
    <t>Установка прибора коммерческого учета электрической энергии (мощности) в точке поставки для присоединения жилого дома Дурицкого А.П., расположенного по адресу: Ростовская область, Ремонтненский район, п. Привольный, ул. Строительная, д.34, к.н.о.: 61:32:00100101:888, к.н.з.у.: 61:32:00100101:38</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</si>
  <si>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Суслова А.С., расположенного по адресу: Ростовская область, Цимлянский район, станица Красноярская, ул, Заречная, д,49А, к.н.з.у.: 61:41:0020127;1157</t>
  </si>
  <si>
    <t>Установка прибора коммерческого учета электрической энергии (мощности) в точке поставки для присоединения объекта наружного освещения Администрации Потаповского сельского поселения, расположенного по адресу: Ростовская область, Волгодонской район, х. Калинин, ул. Школьная, к.н.з.у.: 61:08:0040402:00</t>
  </si>
  <si>
    <t>Установка прибора коммерческого учета электрической энергии (мощности) в точке поставки для присоединения уличного освещения Администрации Потаповского сельского поселения, расположенного по адресу: Ростовская область, Волгодонской район, х. Калинин, ул. Савельевская, к.н.з.у.: 61:08:0040404:00</t>
  </si>
  <si>
    <t xml:space="preserve">Установка  коммерческого учета электрической энергии (мощности) в точке поставки и установка коммутационного аппарата 0,22 кВ  в РУ-0,4 кВ КТП-8457/100 кВА ВЛ-6 кВ №14 ПС 35/6 кВ Романовская по присоединению сетей наружного освещения Администрации Романовского сельского поселения, расположенных по адресу: Ростовская область, Волгодонской район, станица Романовская, пер. Котова (от ул. Тюхова до ул. Ленина) </t>
  </si>
  <si>
    <t>Установка прибора коммерческого учета электрической энергии (мощности) в точке поставки для присоединения объектов наружного освещения Администрации Рябичевского сельского поселения, расположенных по адресу: Ростовская область, Волгодонской район, х. Холодный, ул. Набережная, к.н.з.у.: 61:08:0030302:2</t>
  </si>
  <si>
    <t>Установка прибора коммерческого учета электрической энергии (мощности) в точке поставки для присоединения жилого дома Белодедова В.П., расположенного по адресу: Ростовская область, Волгодонской район, станица Романовская, ул. Жемчужная, д. 27, к.н.з.у.: 61:08:0070114:170</t>
  </si>
  <si>
    <t>Установка прибора коммерческого учета электрической энергии (мощности) в точке поставки для присоединения садового дома Исаак А.И., расположенного по адресу: Ростовская область, г. Волгодонск, СНТ «Машиностроитель» №98ндр, к.н.з.у.: 61:48:0020703:466</t>
  </si>
  <si>
    <t>Установка прибора коммерческого учета электрической энергии (мощности) в точке поставки для присоединения индивидуального жилого дома Михеевой Е.А., расположенного по адресу: Ростовская область, Волгодонской район, станица Романовская, ул. Одесская, д. 42, к.н.з.у.: 61:08:0600601:3870</t>
  </si>
  <si>
    <t>Установка прибора коммерческого учета электрической энергии (мощности) в точке поставки для присоединения жилого дома Мышковец И.П., расположенного по адресу: Ростовская область, Волгодонской район, станица Романовская, пер. Алферовский, д. 99, к.н.з.у.: 61:08:0070125:218</t>
  </si>
  <si>
    <t>Установка прибора коммерческого учета электрической энергии (мощности) в точке поставки для присоединения дачного домика Панова А.А., расположенного по адресу: Ростовская область, Волгодонской район, станица Романовская, снт. Энергетик, к.н.з.у.: 61:08:0600601:1729</t>
  </si>
  <si>
    <t>Установка прибора коммерческого учета электрической энергии (мощности) в точке поставки для присоединения жилого дома Попова А.А., расположенного по адресу: Ростовская область, Волгодонской район, станица Романовская, ул. Садовая, д. 34а, к.н.з.у.: 61:08:0070117:581</t>
  </si>
  <si>
    <t>Установка прибора коммерческого учета электрической энергии (мощности) в точке поставки для присоединения квартиры Примерова М.И., расположенной по адресу: Ростовская область, Волгодонской район, п. Савельевский, ул. Дружбы, д. 3, кв. 2, кадастровый номер земельного участка: 61:08:0040601:103</t>
  </si>
  <si>
    <t xml:space="preserve">Установка  коммерческого учета электрической энергии (мощности) в точке поставки и установка шкафа 0,22 кВ по присоединению жилого дома Сергиенко М.А., расположенного по адресу: Ростовская область, Волгодонской район, станица Романовская, пер. Рубиновый, д. 15, кадастровый номер земельного участка: 61:08:0070114:559 </t>
  </si>
  <si>
    <t>Установка прибора коммерческого учета электрической энергии (мощности) в точке поставки для присоединения жилого дома Теньшовой Н.А., расположенного по адресу: Ростовская область, Волгодонской район, станица Романовская, пер. Советский, д. 115, к.н.з.у.: 61:08:0070107:286</t>
  </si>
  <si>
    <t>Установка прибора коммерческого учета электрической энергии (мощности) в точке поставки для присоединения садового домика Цыганкова С.В., расположенного по адресу: Ростовская область, г. Волгодонск, ул. Отдыха, д. 39в33, к.н.з.у.: 61:48:0020101:1888</t>
  </si>
  <si>
    <t>Установка прибора коммерческого учета электрической энергии (мощности) в точке поставки для присоединения жилого дома Шевченко С.Л., расположенного по адресу: Ростовская область, Волгодонской район, х. Рябичев, ул. Театральная, д. 26, к.н.з.у.: 61:08:0030104:74</t>
  </si>
  <si>
    <t>Установка прибора коммерческого учета электрической энергии (мощности) в точке поставки для присоединения жилого дома Иваненко С.И., расположенного по адресу: Ростовская область, Константиновский район, х. Костино-Горский, пер. Нижний, д. 1, к.н.з.у.: 61:17:0020201:74</t>
  </si>
  <si>
    <t>Установка прибора коммерческого учета электрической энергии (мощности) в точке поставки для присоединения квартиры ООО «Стычное», расположенной по адресу: Ростовская область, Константиновский район, п. Стычновский, ул. Лукаша, д. 18, кв. 2, к.н.з.у.: 61:17:0070101:213</t>
  </si>
  <si>
    <t>Установка прибора коммерческого учета электрической энергии (мощности) в точке поставки по присоединению жилого дома Шихамирова Р.Г., расположенного по адресу: Ростовская область, Зимовниковский район, п. Донцов, ул. Садовая, д.6А, кадастровый номер земельного участка 61:13:00600301:22</t>
  </si>
  <si>
    <t>Установка прибора коммерческого учета электрической энергии (мощности) в точке поставки для присоединения жилого дома Омаровой М.Ш., расположенного по адресу: Ростовская область, Зимовниковский район, х. Курячий, ул. Кирова, д. 7, к.н.з.у.: 61:13:0110301:2</t>
  </si>
  <si>
    <t>Установка прибора коммерческого учета электрической энергии (мощности) в точке поставки для присоединения нежилого здания Игришина А.В., расположенного по адресу: Ростовская область, Мартыновский район, слобода Большая Орловка, ул. Дорожная, д. 2-я, к.н.з.у.: 61:20:0020101:13124</t>
  </si>
  <si>
    <t>Установка прибора коммерческого учета электрической энергии (мощности) в точки поставки для присоединения здания Самылова А.М., расположенного по адресу: Ростовская обл. р-н  Мартыновский, п. Зеленолугский ул. Центральная д.6а к.н.з.у. 61:20:0020401:280</t>
  </si>
  <si>
    <t>Установка прибора коммерческого учета электрической энергии (мощности) в точке поставки для присоединения жилого дома Черненко В.Ф., расположенного по адресу: Ростовская область, Мартыновский район, слобода Большая Орловка, ул. Строительная, д. 1а, к.н.з.у.: 61:20:0020101:12216</t>
  </si>
  <si>
    <t>Установка прибора коммерческого учета электрической энергии (мощности) в точке поставки для присоединения квартиры Сосуркаева С.С-Х., расположенной по адресу: Ростовская область, Дубовский район, х. Присальский, ул. Строителей, д.17, кв. 1, к.н.з.у.: 61:09:0070101:1026</t>
  </si>
  <si>
    <t>Установка прибора коммерческого учета электрической энергии (мощности) в точке поставки для присоединения объектов наружного освещения Администрации Новоцимлянского сельского поселения, расположенных по адресу: Ростовская обл., р-н Цимлянский, х. Ремизов, ул. Детская, район дома №9, кадастровый номер сооружения: 61:41:0000000:19656</t>
  </si>
  <si>
    <t>Установка прибора коммерческого учета электрической энергии (мощности) в точке поставки для присоединения светильника уличного освещения Администрации Шебалинского сельского поселения, расположенного по адресу: Ростовская область, Заветинский район, х. Шебалин, ул. Новоселов, к.н.з.у.: 61:11:0090101:1</t>
  </si>
  <si>
    <t>Установка прибора коммерческого учета электрической энергии (мощности) в точке поставки для присоединения жилого дома ООО «Племзавод Федосеевский», расположенного по адресу: Ростовская область, Заветинский район, с. Свободное, ул. Совхозная, д. 8, кв. 1,2, к.н.з.у.: 61:11:0600013:432</t>
  </si>
  <si>
    <t>Установка прибора коммерческого учета электрической энергии (мощности) в точке поставки для присоединения жилого дома ООО «Племзавод Федосеевский», расположенного по адресу: Ростовская область, Заветинский район, с. Свободное, ул. Совхозная, д. 3, кв. 1,2, к.н.о.: 61:11:0600013:430</t>
  </si>
  <si>
    <t>Установка прибора коммерческого учета электрической энергии (мощности) в точке поставки для присоединения жилого дома ООО «Племзавод Федосеевский», расположенного по адресу: Ростовская область, Заветинский район, х. Воротилов, ул. Луговая, д. 7, кв. 1,2, к.н.о.: 61:11:0000000:508</t>
  </si>
  <si>
    <t>Установка прибора коммерческого учета электрической энергии (мощности) в точке поставки для присоединения жилого дома ООО «Племзавод Федосеевский», расположенного по адресу: Ростовская область, Заветинский район, х. Воротилов, ул. Луговая, д. 4, кв. 1,2, к.н.о.: 61:11:0000000:514</t>
  </si>
  <si>
    <t>Установка прибора коммерческого учета электрической энергии (мощности) в точке поставки для присоединения жилого дома ООО «Племзавод Федосеевский», расположенного по адресу: Ростовская область, Заветинский район, с. Свободное, ул. Совхозная, д. 7, к.н.з.у.: 61:11:0600013:428</t>
  </si>
  <si>
    <t>Установка прибора коммерческого учета электрической энергии (мощности) в точке поставки для присоединения нежилого помещения ИП Плющева А.А., расположенного по адресу: Ростовская область, Заветинский район, х. Никольский, ул. Школьная, д.11 б, к.н.з.у.: 61:11:0050101:1483</t>
  </si>
  <si>
    <t>Установка прибора коммерческого учета электрической энергии (мощности) в точке поставки для присоединения малоэтажной жилой застройки Тановицкого В.И., расположенной по адресу: Ростовская область, Волгодонской район, станица Романовская, снт. Энергетик, к.н.з.у.: 61:08:0600601:1675</t>
  </si>
  <si>
    <t>Установка прибора коммерческого учета электрической энергии (мощности) в точке поставки для присоединения торгового павильона Полякова А.А., расположенного по адресу: Константиновский район, х. Базки, ул. Пушкина, (районе дома № 20), к.н.з.у.: 61:17:0060201:146</t>
  </si>
  <si>
    <t>Установка прибора коммерческого учета электрической энергии (мощности) в точке поставки для присоединения магазина Лещенко Н.П., расположенного по адресу: Ростовская область, Мартыновский район, слобода Большая Орловка, ул. Дорожная, д. 2/1в, к.н.з.у.: 61:20:0020101:12947</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</si>
  <si>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Чупанова М.З., расположенного по адресу: Ростовская область, Ремонтненский район, с. Валуевская, ул. Заречная, д. б/н, к.н.з.у.: 61:32:0020101:1684</t>
  </si>
  <si>
    <t>Установка прибора коммерческого учета электрической энергии (мощности) в точке поставки для присоединения малоэтажной жилой застройки Мухина А.В., расположенной по адресу: Ростовская область, Волгодонской район, х. Потапов, пер. Пионерский, д. 5, к.н.з.у.: 61:08:0040107:1</t>
  </si>
  <si>
    <t>Установка прибора коммерческого учета электрической энергии (мощности) в точке поставки для присоединения жилого дома Клевцова А.С., расположенного по адресу: Ростовская область, Волгодонской район, х. Мокросоленый, ул. Березовая, д. 4, к.н.з.у.: 61:08:0010201:302</t>
  </si>
  <si>
    <t>Установка прибора коммерческого учета электрической энергии (мощности) в точке поставки для присоединения дачного участка Штанько В.Е., расположенного по адресу: Ростовская область, г. Волгодонск, св-во Машиностроитель, уч. 23 ДР, к.н.з.у.: 61:48:0020704:4</t>
  </si>
  <si>
    <t>Установка прибора коммерческого учета электрической энергии (мощности) в точке поставки для присоединения малоэтажной жилой застройки Крошнева А.А., расположенной по адресу: Ростовская область, станица Романовская, пер. Изумрудный, д. 4а, к.н.з.у.: 61:08:0070114:614</t>
  </si>
  <si>
    <t>Установка прибора коммерческого учета электрической энергии (мощности) в точке поставки для присоединения малоэтажной жилой застройки Цыганова С.А., расположенной по адресу: Ростовская область, г. Волгодонск, СНТ Машиностроитель, №206ндр, к.н.з.у.: 61:48:0020702:175</t>
  </si>
  <si>
    <t>Установка прибора коммерческого учета электрической энергии (мощности) в точке поставки для присоединения индивидуального жилого дома Бусыревой Л.Н., расположенного по адресу: Ростовская область, Волгодонской район, станица Романовская, ул. 75 лет Победы, д. 46, к.н.з.у. 61:08:0600601:4603</t>
  </si>
  <si>
    <t>Установка прибора коммерческого учета электрической энергии (мощности) в точке поставки для присоединения здания хоз.назначения ИП Махмудовой А.И., расположенного по адресу: Ростовская область, Волгодонской район, х. Рябичев, ул. Юбилейная, д. 52, к.н.з.у.: 61:08:0030107:582</t>
  </si>
  <si>
    <t>Установка прибора коммерческого учета электрической энергии (мощности) в точке поставки для присоединения дачного дома Кияна Д.В., расположенного по адресу: Ростовская область, г. Волгодонск, Садоводство «Машиностроитель» д. 32 ндр, к.н.з.у.: 61:48:0020703:2381</t>
  </si>
  <si>
    <t>Установка прибора коммерческого учета электрической энергии (мощности) в точке поставки для присоединения малоэтажной жилой застройки Лозюк Ю.С., расположенной по адресу: Ростовская область, г. Волгодонск, СНТ Машиностроитель, №416 др, к.н.з.у.: 61:48:0020704:468</t>
  </si>
  <si>
    <t>Установка прибора коммерческого учета электрической энергии (мощности) в точке поставки для присоединения квартиры Сайдаева М.Ш., расположенной по адресу: Ростовская область, Зимовниковский район, х. Пенчуков, ул. Майская, д.9, кв./оф. 1, к.н.з.у.: 61:13:0081001:8</t>
  </si>
  <si>
    <t>Установка прибора коммерческого учета электрической энергии (мощности) в точке поставки и монтаж ответвления от ВЛ к вводу для присоединения квартиры Владыкиной Г.И., расположенной по адресу: Ростовская область, Мартыновский район, х. Новоселовка, ул. Кировская, д. 25, кв./оф. 3, к.н.з.у.: 61:20:0070101:1418</t>
  </si>
  <si>
    <t>Установка прибора коммерческого учета электрической энергии (мощности) в точке поставки для присоединения здания зерносклада КХ «Гайворонцево», расположенного по адресу: Ростовская область, Мартыновский район, п. Стрижи, в 100 м по направлению на юг от п. Стрижи, ул. Школьная, к.н.о.: 61:20:0600003:436</t>
  </si>
  <si>
    <t>Установка прибора коммерческого учета электрической энергии (мощности) в точке поставки для присоединения жилого дома Назаровой Н.В., расположенного по адресу: Ростовская область, Дубовский район, х. Овчинников, пер. Солнечный, д. 4, к.н.з.у.: 61:09:0030201:102</t>
  </si>
  <si>
    <t>Установка прибора коммерческого учета электрической энергии (мощности) в точке поставки для присоединения малоэтажной жилой застройки Славицкого С.В., расположенной по адресу: Ростовская область, Волгодонской район, станица Дубенцовская, ул. Пионерская, д. 22, кв. 2, к.н.з.у.: 61:08:0020106:528</t>
  </si>
  <si>
    <t>Установка прибора коммерческого учета электрической энергии (мощности) в точке поставки для присоединения малоэтажной жилой застройки Юсупова А.Т., расположенной по адресу: Ростовская область, г. Волгодонск, ул. Отдыха, д. 39в33 А, к.н.з.у.: 61:48:0020101:1887</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</si>
  <si>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Раюшкина Е.Ю., расположенного по адресу: Ростовская обл, г. Волгодонск, ул. Отдыха, д 39в30, к.н.61:48:0020101:1818 (1 шт)</t>
  </si>
  <si>
    <t xml:space="preserve">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Нездойминовой Е.А., расположенной по адресу: Ростовская область, Волгодонской район, станица Романовская, ул. 75 лет Победы, д. 36, к.н.з.у.: 61:08:0600601:4593 </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</si>
  <si>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Зиброва М.В., расположенного по адресу: Ростовская обл, Волгодонской р-н, ст. Романовская, ул. 75 лет Победы, д.56, 61:08:0600601:4613»</t>
  </si>
  <si>
    <t>Установка прибора коммерческого учета электрической энергии (мощности) в точке поставки для присоединения малоэтажной жилой застройки Беляева С.Л., расположенной по адресу: Ростовская область, Цимлянский район, п. Дубравный, ул. Весенняя, д. 6, к.н.з.у.: 61:41:0030401:196</t>
  </si>
  <si>
    <t>Установка прибора коммерческого учета электрической энергии(мощности)в точке поставки и монтаж ответвления от ВЛ  к  вводу  для  присоединения  малоэтажной  жилой  застройки(индивидуального жилого дома/садового/дачного дома) Следневой О.О., расположенной по адресу: Ростовская область, Цимлянский район, станица Красноярская, ул. Набережная, д.19а, к.н.з.у.: 61:41:0020113:836</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</si>
  <si>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(индивидуального жилого дома/садового/дачного дома) Следневой О.О.,расположенной по адресу: Ростовская область, Цимлянский район, станица Красноярская, ул. Набережная, д.19б, к.н.з.у.: 61:41:0020113:835</t>
  </si>
  <si>
    <t>Установка прибора коммерческого учета электрической энергии (мощности) в точке поставки для присоединения малоэтажной жилой застройки Скрябина А.И., расположенного по адресу: Ростовская обл, Волгодонской р-он, ст. Романовская, ул. Шолохова, д. 3, к.н.61:08:0600601:5004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</si>
  <si>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Гурилкина Н.С., расположенного по адресу: Ростовская обл, Волгодонской р-н, ст. Романовская, ул. 75 лет Победы, д.74, к.н.з.у.:61:08:0600601:4630</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</si>
  <si>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Соловьева Н.А., расположенного по адресу: Ростовская обл, Волгодонской р-н, х. Мокросоленый, ул. Центральная, д. 10, к.н.61:08:0010201:1454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</si>
  <si>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Васильева М.А., расположенного по адресу: Ростовская обл, г. Волгодонск, ул. Отдыха, д 39в23, к.н.61:48:0020101:1938</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</si>
  <si>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Гиренко С.А., расположенного по адресу: Ростовская обл, г. Волгодонск, ул. Отдыха, д.15м, к.н.61:48:0020101:844</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</si>
  <si>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наружного освещения Министерства транспорта Ростовской области, расположенного по адресу: Ростовская область, Константиновский район, х. Гапкин, ул. Центральная. Начало – въезд со стороны х. Савельев в х. Гапкин, конец – въезд со стороны х. Ермилов в х. Гапкин )х. Гапкин), к.н.з.у.: 61:17:0040101:796</t>
  </si>
  <si>
    <t>Установка прибора коммерческого учета электрической энергии (мощности) в точке поставки для присоединения жилого дома Зайцевой О.В., расположенной по адресу: Ростовская область, Зимовниковский район, х. Плотников, ул. Дружбы 1, к.н.з.у.: 61:13:0040106:333</t>
  </si>
  <si>
    <t>Установка прибора коммерческого учета электрической энергии (мощности) в точке поставки для присоединения жилого дома Зайцевой О.В., расположенной по адресу: Ростовская область, Зимовниковский район, х. Плотников, ул. Дружбы 2, к.н.з.у.: 61:13:0040106:335</t>
  </si>
  <si>
    <t>Установка прибора коммерческого учета электрической энергии (мощности) в точке поставки для присоединения жилого дома Зайцевой О.В., расположенной по адресу: Ростовская область, Зимовниковский район, х. Плотников, ул. Дружбы 1А, к.н.з.у.: 61:13:0040106:334</t>
  </si>
  <si>
    <t>Установка прибора коммерческого учета электрической энергии (мощности) в точке поставки для присоединения нежилого помещения Тохтаровой Я.С.., расположенного по адресу: Ростовская область, Зимовниковский район, в близи х. Марченков, к.н.з.у.: 61:13:0000000:9158</t>
  </si>
  <si>
    <t>Установка прибора коммерческого учета электрической энергии (мощности) в точке поставки и монтаж ответвления от ВЛ к вводу для присоединения квартиры Магдиевой П.Г., расположенной по адресу: Ростовская область, Ремонтненский район, п. Тихий Лиман, ул. Степная, д. 4, кв./оф. 2, к.н.о.: 61:32:0060301:686, к.н.з.у.: 61:32:0060301:91</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</si>
  <si>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Томинец  О.В., расположенного по адресу: Ростовская область, Цимлянский район, станица Красноярская, ул. Спортивная, д. 2Д, строение 1, к.н.з.у.:  61:41:0020128:258</t>
  </si>
  <si>
    <t>Строительство ВЛИ-0,4 кВ от конечной опоры ВЛИ-0,4 кВ, строящейся по договору ТП от 23.10.2020 №61-1-20-00540187 (Андреева И.В) от оп. №25 ВЛИ-0,4 кВ №2 МТП №802 ВЛ-10 кВ Красюковка ПС Ш-39 для электроснабжения двух садовых домов СТ «Электровозостроитель» (Кривцова Я.А., Московченко О.Л.) (ориентировочная протяженность ЛЭП – 0,05 км)</t>
  </si>
  <si>
    <t>Установка прибора учета для присоединения объекта «Малоэтажная жилая застройка (Индивидуальный жилой дом/Садовый/Дачный дом)» Беденко А.И., расположенного по адресу: Ростовская область, Родионово-Несветайский район, х. Волошино, ул. Советская, д. 11Б, КН ЗУ: 61:33:0070101:1501</t>
  </si>
  <si>
    <t>Установка прибора учета для присоединения объекта торговли (магазин, торговый центр, прочее) ИП Мамаевой Т.И. расположенного по адресу: Ростовская область, Родионово-Несветайский район, сл. Аграфеновка, ул. Кирова, д. 25А, КН ЗУ: 61:33:0010101:1497</t>
  </si>
  <si>
    <t>Установка прибора учета для присоединения объекта Малоэтажная жилая застройка (Индивидуальный жилой дом/Садовый/Дачный дом) Коваленко О.Б., расположенного по адресу: Ростовская область, Родионово-Несветайский район, сл. Родионово-Несветайская, ул. Абрикосовая, д. 5А, КН ЗУ: 61:33:0040123:421</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</si>
  <si>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п. Каменоломни, ул. Пролетарская д.51 (Чередниченко Е.В.) (1 шт.)</t>
  </si>
  <si>
    <t>Установка прибора учета для присоединения жилого дома Тагиева Рагима Рза-Оглы., расположенного по адресу: Ростовская область, Красносулинский район, Пролетарское сельское поселение, с. Прохоровка, в 5 м на север от участка №2 по ул.Школьная, к.н.з.у 61:18:0080402:418</t>
  </si>
  <si>
    <t xml:space="preserve"> Установка прибора учета для присоединения жилого дома Акатнова А.С., расположенного по адресу: Ростовская область, Красносулинский район, х. Лихой, ул. Садовая, д. 28, КН ЗУ: 61:18:0070104:420</t>
  </si>
  <si>
    <t>Установка прибора учета для присоединения индивидуального жилого дома Черновой Н.В., расположенного по адресу: Ростовская область, Октябрьский район, ст-ца Кривянская, ул. Матвеевка, д. 19, КН ЗУ: 61:28:0040129:170</t>
  </si>
  <si>
    <t>Установка прибора учета для присоединения малоэтажной жилой застройки Скрипиной О.Ю., расположенной по адресу: Ростовская область, Октябрьский район, п. Персиановский, ул. Университетская, д.2, КН ЗУ: 61:28:0110101:5893 (прибор учета - 1 шт.)</t>
  </si>
  <si>
    <t xml:space="preserve"> Установка прибора учета для присоединения малоэтажной жилой застройки Ревиной Л.Н., расположенной по адресу: Ростовская область, Октябрьский район, с/т «Электровозостроитель», уч. 8, КН ЗУ: 61:28:0502501:250</t>
  </si>
  <si>
    <t>Установка прибора учета для присоединения малоэтажной жилой застройки Пущенко Т.Н., расположенного по адресу: Ростовская область, Октябрьский район, садоводческое товарищество «Электровозостроитель», уч. 181, КН ЗУ: 61:28:0502501:491</t>
  </si>
  <si>
    <t>Установка прибора учета для присоединения малоэтажной жилой застройки Бородина А.В., расположенного по адресу: Ростовская область, Октябрьский район, х. Калинин, с/т «Дон», уч. 107-б, КН ЗУ: 61:28:0030201:3687</t>
  </si>
  <si>
    <t>Установка прибора учета для присоединения малоэтажной жилой застройки Шпинева С.В., расположенного по адресу: Ростовская область, Октябрьский район, х. Калинин, ул. Донская, д. 77Б, КН ЗУ: 61:28:0030201:3612</t>
  </si>
  <si>
    <t>Установка прибора учета для присоединения малоэтажной жилой застройки Матяшова В.А., расположенной по адресу: Ростовская область, Октябрьский район, х. Яново-Грушевский, пер. Короткий, д. 2, КН ЗУ: 61:28:070201:0065</t>
  </si>
  <si>
    <t>Установка прибора учета для присоединения жилого дома Вознякова Д.В., расположенного по адресу: Ростовская область, Усть-Донецкий район, х. Пухляковский, пер. Луговой, д. 6, КН ЗУ: 61:39:0090103:205</t>
  </si>
  <si>
    <t>Установка прибора учета для присоединения торгового ларька ИП Быкадоровой Т.В., расположенного по адресу: Ростовская область, Усть-Донецкий район, х. Коныгин, пер. Школьный, д. 20, КН ЗУ: 61:39:0030202:248</t>
  </si>
  <si>
    <t>Обеспечение коммерческим учетом электрической энергии (мощности) в точке поставки по присоединению объектов заявителей. Ростовская обл., р-н Усть-Донецкий, ст. Усть-Быстрянская, ул. Максима Горького, д. 30 а, ул. Гагарина, д. 15 (Егорова И.Ю., Иванченко Ю.И.) (2 шт.)</t>
  </si>
  <si>
    <t xml:space="preserve"> Установка прибора учета для присоединения  жилого дома Плехановой Н.А., расположенного по адресу: Ростовская область, Усть-Донецкий район, х. Пухляковский, ул. Центральная,  д. 124-а, КН ЗУ: 61:39:0090103:590</t>
  </si>
  <si>
    <t>Установка прибора учета для присоединения жилого дома Бабаян Б.Г., расположенного по адресу: Ростовская область, г. Шахты, ул. Крупская д. 74</t>
  </si>
  <si>
    <t>Установка прибора учета для присоединения жилого дома Анацкой З.И., расположенного по адресу: Ростовская область, г. Шахты, ул. Чапаева, д. 78</t>
  </si>
  <si>
    <t>Установка прибора учета для присоединения жилого дома Тищенко Н.М., расположенного по адресу: Ростовская область, Красносулинский район, х. Садки, ул. Степная, д. 8а, КН ЗУ: 61:18:0090104:395</t>
  </si>
  <si>
    <t>Установка прибора учета для присоединения шкафа с оборудованием видеонаблюдения ООО «ГК «Вега», расположенного по адресу: Ростовская область, Родионово-Несветайского район, сл. Родионово-Несветайская, пересечение ул. Ворошилова и ул. 30 лет Победы</t>
  </si>
  <si>
    <t xml:space="preserve"> Установка прибора учета для присоединения шкафа с оборудованием видеонаблюдения ООО «ГК «Вега», расположенного по адресу: Ростовская область, Родионово-Несветайского район, сл. Родионово-Несветайская, ул. Садовая, д. 1</t>
  </si>
  <si>
    <t xml:space="preserve"> Строительство ВЛИ-0,4 кВ от оп.5 ВЛ 0,4 кВ № 1 от ТП 10/0,4кВ № 91 по ВЛ-10кВ «Заря» ПС Н-9, для электроснабжения жилого дома Голубев В.Г. по адресу: Родионово-Несветайский р-н сл. Родионово-Несветайская, ул. Садовая, д. 81 (ориентировочная протяженность ЛЭП – 0,030 км)</t>
  </si>
  <si>
    <t>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х. Выдел, ул. Первомайская, д. 10 (АО «Почта России») (1 шт.)</t>
  </si>
  <si>
    <t>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с. Чистополье, ул. Октябрьская, д. 42 (Тызыхян В.Х.) (1 шт.)</t>
  </si>
  <si>
    <t xml:space="preserve"> Установка прибора учета для присоединения жилого дома Бирюкова Н.С., расположенного по адресу: Ростовская область, Красносулинский район, с. Павловка, ул. Московская, д. 22, КН ЗУ: 61:18:0050501:0050</t>
  </si>
  <si>
    <t>Установка прибора учета для присоединения жилого дома Караваевой И.Н., расположенного по адресу: 346393, Ростовская область, Красносулинский район, х. Платово, пер. Мирный, д. 4</t>
  </si>
  <si>
    <t>Установка прибора учета для присоединения жилого дома Перцева И.Н., расположенного по адресу: Ростовская область, Красносулинский район, х. Бобров, ул. Бургустинская, д. 13</t>
  </si>
  <si>
    <t>Установка прибора учета для присоединения шкафа с оборудованием видеонаблюдения ООО «ГК «Вега», расположенного по адресу: Ростовская область, Красносулинский район, х. Малая Гнилуша, ул. Солнечная</t>
  </si>
  <si>
    <t>Установка прибора учета для присоединения ГРПБ объекта «Межпоселковый газопровод от ГРС Садки к х. Садки, х. Дудкино Красносулинского района Ростовской области» ООО «Газпром межрегионгаз», расположенного по адресу: Ростовская область, Красносулинский район, х. Садки, КН ЗУ: 61:18:0600018:950</t>
  </si>
  <si>
    <t>Установка прибора учета для присоединения жилого дома Кучмасова П.В., расположенного по адресу: Ростовская область, Красносулинский район, х. Нижняя Ковалёвка, ул. Мичурина д. 1а</t>
  </si>
  <si>
    <t>Установка прибора учета для присоединения жилого дома Берденева В.Н., расположенного по адресу: Ростовская область, Красносулинский район, с. Киселево, ул.Пушкина, д. 10-а, к.н.з.у 61:18:0050104:138</t>
  </si>
  <si>
    <t>Установка прибора учета для присоединения жилого дома Гладченко Е.Ю., расположенного по адресу: Ростовская область, Родионово-Несветайский район, сл. Алексеево-Тузловка, ул. Школьная, д. 11, КН ЗУ: 61:33:0051001:239</t>
  </si>
  <si>
    <t>Установка прибора учета для присоединения 1/4 жилого дома Данильченко Т.Ю., расположенного по адресу: Родионово-Несветайский район, х. Веселый, ул. Центральная,  д. 5., КНЗУ: 61:33:0070401:45</t>
  </si>
  <si>
    <t>Установка прибора учета для присоединения объекта «Малоэтажная жилая застройка (Индивидуальный жилой дом/Садовый/Дачный дом)» Мадиевой Н.И., расположенного по адресу: Ростовская область, Родионово-Несветайский район, х. Болдыревка, ул. Советская,  д. 25, КН ЗУ: 61:33:020101:44</t>
  </si>
  <si>
    <t>Установка прибора учета для присоединения объекта «1/2 жилого дома» Романова С.И. расположенного по адресу: Ростовская обл., р-н. Родионово-Несветайский, х. Атамано-Власовка, ул. Чапаева, д. 8</t>
  </si>
  <si>
    <t>Установка прибора учета для присоединения жилого дома Савенкова Г.А., расположенного по адресу: Ростовская область, Родионово-Несветайский район, сл. Кутейниково, ул. Ульянова, д. 25а, КН ЗУ: 61:33:0030101:496</t>
  </si>
  <si>
    <t xml:space="preserve"> Установка прибора учета для присоединения объекта «Малоэтажная жилая застройка (Индивидуальный жилой дом/Садовый/Дачный дом)» Сантюровой Н.А., расположенного по адресу: Ростовская область,  Родионово-Несветайский район, с. Генеральское, ул. Набережная,  д. 12, КН ЗУ: 61:33:070601:118</t>
  </si>
  <si>
    <t>Установка прибора учета для присоединения объекта «Малоэтажная жилая застройка (Индивидуальный жилой дом/Садовый/Дачный дом)» Серковой М.Н., расположенного по адресу: Ростовская область, Родионово-Несветайский район, СНТ «Электромонтажник» уч. 367, КН ЗУ: 61:33:0500201:207</t>
  </si>
  <si>
    <t xml:space="preserve"> Установка прибора учета для присоединения объекта «Малоэтажная жилая застройка (Индивидуальный жилой дом/Садовый/Дачный дом)» Шапиро Н.Н., расположенного по адресу: Ростовская область, Родионово-Несветайский район, участок находится примерно в 800 м по направлению на юго-восток от ориентира х. Октябрьский СНТ "Электромонтажник", КН ЗУ: 61:33:0500201:0422</t>
  </si>
  <si>
    <t>Установка прибора учета для присоединения малоэтажной жилой застройки Вержиковского В.Н., расположенной по адресу: Ростовская область, Октябрьский район, садоводческое товарищество «Электровозостроитель», уч. №70а, КН ЗУ: 61:28:0502501:270</t>
  </si>
  <si>
    <t>Установка прибора учета для присоединения объекта медицинского учреждения МБУЗ ЦРБ Октябрьского района Ростовской области, расположенного по адресу: Ростовская область, Октябрьский район, х. Коммуна, ул. Клубная, д. 4, КН ЗУ: 61:28:0090905:217</t>
  </si>
  <si>
    <t>Установка прибора учета для присоединения жилого дома Глухова М.П., расположенного по адресу: Ростовская область, Усть-Донецкий район, ст. Мелиховская, ул. Мерзлякова, д. 43а, КН ЗУ: 61:39:0020105:176</t>
  </si>
  <si>
    <t>Установка прибора учета для присоединения жилого дома Коваленко И.П., расположенного по адресу: Ростовская область, Усть-Донецкий район, ст. Раздорская, ул. Донская, д. 75, КН ЗУ: 61:39:0030102:1118</t>
  </si>
  <si>
    <t>Установка прибора учета для присоединения жилого дома Медведева А.В., расположенного по адресу: Ростовская область, Усть-Донецкий район, ст. Мелиховская, ул. Набережная, д. 8а, кадастровый номер земельного участка: 61:39:0020104:580</t>
  </si>
  <si>
    <t>Установка прибора учета для присоединения жилого дома Гончаровой А.И., расположенного по адресу: Ростовская область, Усть-Донецкий район, ст. Усть-Быстрянская, ул. Советская, д. 21-а, КН ЗУ: 61:39:0080102:1308</t>
  </si>
  <si>
    <t>Установка прибора учета для присоединения объекта ВРУ-0.23кВ жилого дома Рахманов Н.В., расположенного по адресу: Ростовская область, Усть-Донецкий район, х. Евсеевский, ул. Разина, д. 25, кв. 1, кадастровый номер земельного участка: 61:39:0070402:128</t>
  </si>
  <si>
    <t>Установка прибора учета для присоединения жилого дома Козарева Д.А., расположенного по адресу: Ростовская область, Усть-Донецкий район, ст. Усть-Быстрянская, ул. Советская, д. 14, КН ЗУ: 61:39:0080102:133</t>
  </si>
  <si>
    <t>Установка прибора учета для присоединения жилого дома Яковлевой Е.В., расположенного по адресу: Ростовская область, Усть-Донецкий район, ст. Верхнекундрюченская, ул. Береговая, КН ЗУ: 61:39:0070103:105</t>
  </si>
  <si>
    <t>Установка прибора учета для присоединения 1/3 жилого дома Кривоносова А.В., расположенного по адресу: Ростовская область, Родионово-Несветайский район, х. Большой Должик, ул. Новая, д. 11, КН ЗУ: 61:3360040501:442</t>
  </si>
  <si>
    <t>Установка прибора учета для присоединения объекта «Малоэтажная жилая застройка (Индивидуальный жилой дом/Садовый/Дачный дом)» Привалова И.С. расположенного по адресу: Ростовская обл., р-н. Родионово-Несветайский, х сл. Большекрепинская, ул. Ленина, д. 24 к.н.: 61:33:060101:517 (1 шт.)</t>
  </si>
  <si>
    <t xml:space="preserve"> Установка прибора учета для присоединения жилого дома Погребновой В.Л., расположенного по адресу: Ростовская область, Усть-Донецкий район, р.п. Усть-Донецкий, ул. Виноградная, д. 55, кадастровый номер земельного участка: 61:39:0010104:206</t>
  </si>
  <si>
    <t>Установка прибора учета для присоединения хозпостройки Шкодина Г.И., расположенной по адресу: Ростовская область, Усть-Донецкий район, ст. Верхнекундрюченская, ул. А.Кудрявцева, д. 13а, КН ЗУ: 61:39:0070102:21</t>
  </si>
  <si>
    <t>Установка прибора учета для присоединения хозпостройки Пасхаловой В.П., расположенной по адресу: Ростовская область, Усть-Донецкий район, х. Апаринский, ул. Виноградная, д. 71, КН ЗУ: 61:39:0050101:434</t>
  </si>
  <si>
    <t xml:space="preserve"> Установка прибора учета для присоединения объекта ВРУ-0.23кВ жилого дома Матрипула Н.Б., расположенного по адресу: Ростовская область, Усть-Донецкий район, ст. Раздорская, ул. Набережная, д. 8в</t>
  </si>
  <si>
    <t>Установка прибора учета для присоединения жилого дома Ажогина А.И., расположенного по адресу: Ростовская область, Усть-Донецкий район, р.п. Усть-Донецкий, ул. Виноградная, д. 31, кадастровый номер земельного участка: 61:39:0010104:224</t>
  </si>
  <si>
    <t>Установка прибора учета для присоединения жилого дома Житникова Д.М., расположенного по адресу:, Ростовская область, Усть-Донецкий район, х. Апаринский, ул. Заводская, д. 14, КН ЗУ: 61:39:0050101:563</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</si>
  <si>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ст. Мелиховская, ул. Ленина, д. 137 (Селиванова А.Ю.)</t>
  </si>
  <si>
    <t>Установка прибора учета для присоединения жилого дома Полтаракина С.И., расположенного по адресу: Ростовская область, Усть-Донецкий район, ст. Мелиховская, ул. Советская, д. 167а, КН ЗУ: 61:39:0020101:852</t>
  </si>
  <si>
    <t>Установка прибора учета для дачного домика Бугрим Н.В., расположенного по адресу: Ростовская область, Красносулинский район, х.Платово, ул. Колодезная, д. 34, к.н.з.у.: 61:18:0060102:40</t>
  </si>
  <si>
    <t>Установка прибора учета для присоединения Малоэтажной жилой застройки Соболева М.А., расположенной по адресу: Ростовская область, Октябрьский район, х. Маркин, ул. Новоселов, д. 13А, КН ЗУ: 61:28:0100701:1999</t>
  </si>
  <si>
    <t>Установка прибора учета для присоединения малоэтажной жилой застройки Стольной А.С., расположенной по адресу: Ростовская область, Октябрьский район, сл. Красюковская, ул. Революции, д.112-а, КН ЗУ: 61:28:0070201:8250</t>
  </si>
  <si>
    <t>Установка прибора учета для присоединения малоэтажной жилой застройки Белоусовой Е.А., расположенной по адресу: Ростовская область, Октябрьский район, п. Новоперсиановка, ул. Гвардейская, д. 10, КН ЗУ: 61:28:0070701:42</t>
  </si>
  <si>
    <t xml:space="preserve"> Установка прибора учета для присоединения малоэтажной жилой застройки Бойко В.Д., расположенной по адресу: Ростовская область, Октябрьский район, ст-ца Бессергеневская, ул. Шоссейная, д.13, КН ЗУ: 61:28:0030301:103</t>
  </si>
  <si>
    <t>Установка прибора учета для присоединения малоэтажной жилой застройки Геращенко П.Ю., расположенной по адресу: Ростовская область, Октябрьский район, сл. Красюковская, ул. Советская, д.79, КН ЗУ: 61:28:0070101:1657</t>
  </si>
  <si>
    <t>Установка прибора учета для присоединения жилого дома Грибельникова Г.В., расположенного по адресу: Ростовская область, Октябрьский район, х. Яново-Грушевский, ул. Восточная, д. 60-а, КН ЗУ: 61:28:0070201:2317</t>
  </si>
  <si>
    <t>Установка прибора учета для присоединения жилого дома Бутарева Р.Д. расположенного по адресу: Ростовская область, Красносулинский район, х. Лихой, пер. Школьный, д. 32. (1 шт.)</t>
  </si>
  <si>
    <t>Установка прибора учета для присоединения шкафа телекоммуникационного ПАО «Ростелеком»-Ростовский филиал, расположенного по адресу: Ростовская область, Красносулинский район, х. Лихой, ул. Ленина, д. 65</t>
  </si>
  <si>
    <t>Установка прибора учета для присоединения объекта медицинского учреждения Муниципального бюджетного учреждения здравоохранения Центральная районная больница Октябрьского района Ростовской области, расположенного по адресу: Ростовская область, Октябрьский район, х. Озерки, ул. Школьная, д. 8а</t>
  </si>
  <si>
    <t>Установка прибора учета для присоединения объектов наружного освещения Администрации Раздорского с/п., расположенной по адресу: Ростовская область, Усть-Донецкий район, х. Коныгин, пер. Соборный, КН ЗУ: 61:39:0030202:277</t>
  </si>
  <si>
    <t>Установка прибора учета для присоединения жилого дома Колпаковой Н.А., расположенного по адресу: Ростовская область, Усть-Донецкий район, р.п. Усть-Донецкий, ул. Дачная, д. 65, КН ЗУ: 61:39:0010104:169</t>
  </si>
  <si>
    <t xml:space="preserve"> Установка прибора учета для присоединения объекта ВРУ-0.23кВ жилого дома Кузьмина А.А., расположенного по адресу: Ростовская область, Усть-Донецкий район, р.п. Усть-Донецкий, ул. Шолохова, д. 43</t>
  </si>
  <si>
    <t>Установка прибора учета для присоединения объекта «объект торговли (магазин, торговый центр, прочее)» ИП Перепелица А.И. расположенного по адресу: р-н. Родионово-Несветайский, сл. Родионово-Несветайская, ул. Гвардейцев-Танкистов, д. 24(прилегает к земельному участку по адресу: сл. Родионово-Несветайская, ул.Гвардейцев-Танкистов,24А) (1 шт.)</t>
  </si>
  <si>
    <t>Установка прибора учета для присоединения гаража Пониделко И.Ю., расположенного по адресу: Ростовская область, Родионово-Несветайский район, х. Веселый, ул. Калинина,  д. 3/5, КН ЗУ: 61:33:0040701:1008</t>
  </si>
  <si>
    <t>Установка прибора учета для присоединения объекта «гараж» Пониделко Ю.А. расположенного по адресу: р-н. Родионово-Несветайский, х. Веселый, ул. Калинина, д. 3/6, к.н.з.у. 61:33:0040701:1007</t>
  </si>
  <si>
    <t>Установка прибора учета для присоединения объекта «Малоэтажная жилая застройка (Индивидуальный жилой дом/Садовый/Дачный дом)» Скоробогатова П.А. расположенного по адресу: р-н. Родионово-Несветайский, сл. Аграфеновка, ул. Просвещения, д. 154 (1 шт.)</t>
  </si>
  <si>
    <t>Установка прибора учета для присоединения объекта торговли (магазин, торговый центр, прочее) ИП Цирковой Т.В., расположенного по адресу: Ростовская область, Родионово-Несветайский район, сл. Родионово-Несветайская, ул. Гвардейцев-Танкистов,  д. 24 (в 35 м на юго-запад от земельного участка, расположенного по адресу: сл. Родионово-Несветайская, ул. Гвардейцев-Танкистов, 24А)</t>
  </si>
  <si>
    <t>Установка прибора учета для присоединения Малоэтажной жилой застройки (Индивидуальный жилой дом/Садовый/Дачный дом) Бердникова В.А., расположенного по адресу: Ростовская область, Родионово-Несветайский район, "Электромонтажник" трест "Кавэлетромонтаж", КН ЗУ: 61:33:0500201:410</t>
  </si>
  <si>
    <t>Установка прибора учета для присоединения Малоэтажной жилой застройки (Индивидуальный жилой дом/Садовый/Дачный дом) Мирзоназарова Ш.Э., расположенного по адресу: Ростовская область, Родионово-Несветайский район, х. Атамано-Власовка, ул. Новая, д.6, КН ЗУ: 61:33:0050701:131</t>
  </si>
  <si>
    <t>Установка прибора учета для присоединения Малоэтажной жилой застройки (Индивидуальный жилой дом/Садовый/Дачный дом) Ширинского А.В., расположенного по адресу: Ростовская область, Родионово-Несветайский район, х. Октябрьский, пер. Мирный, д.1, КН ЗУ: 61:33:0030401:14</t>
  </si>
  <si>
    <t>Установка прибора учета для присоединения объекта "Малоэтажная жилая застройка (Индивидуальный жилой дом/Садовый/Дачный дом)" Гуртового А.И. расположенного по адресу: Ростовская обл., р-н Родионово-Несветайский, с. Генеральское, ул. Ворошилова, д.14А КН ЗУ: 61:33:0070601:2457</t>
  </si>
  <si>
    <t>Установка прибора учета для присоединения объекта "Индивидуальный жилой дом/Садовый/Дачный дом)" Кислицкой И.А. расположенного по адресу: Ростовская область, Родионово-Несветайский район, х. Октябрьский, ул. Подгорная, д.6 КН ЗУ: 61:33:0030401:211</t>
  </si>
  <si>
    <t>Установка прибора учета для присоединения жилого дома Горбаченко Николая Николаевича расположенного по адресу: Ростовская область, Красносулинский район, х.Лихой, ул. Советская, д.93, кадастровый номер земельного участка: 61:18:0070101:9. (1шт.)</t>
  </si>
  <si>
    <t xml:space="preserve"> Установка прибора учета для присоединения жилого дома Мартиросян Размик Занаворович расположенного по адресу: Ростовская область, Красносулинский район, х. Володарский, ул. Энгельса, д.12, кадастровый номер земельного участка: (1шт.)</t>
  </si>
  <si>
    <t>Установка прибора учета для присоединения квартиры Утробиной Л.Г., расположенной по адресу: Ростовская область, Октябрьский район, п. Интернациональный, ул. Железнодорожная, д.57, КН ЗУ: 61:28:0080701:839</t>
  </si>
  <si>
    <t>Установка прибора учета для присоединения малоэтажной жилой застройки Лигостаева Д.Н., расположенной по адресу: Ростовская область, Октябрьский район, х. Калинин, ул. Центральная, д.219, КН ЗУ: 61:28:0030201:3937 (1 шт.)</t>
  </si>
  <si>
    <t>Установка прибора учета для присоединения садового дома Серикова Ю.В., расположенного по адресу: Ростовская область, Октябрьский район, х.Яново-Грушевский, сад. Электровозостроитель, д. 85, КН ЗУ: 61:28:0502501:238</t>
  </si>
  <si>
    <t>Установка прибора учета для присоединения малоэтажной жилой застройки Федина П.М., расположенной по адресу: Ростовская область, Октябрьский район, х. Яново-Грушевский, сад. Электровозостроитель, д. 84, КН ЗУ: 61:28:0502501:240</t>
  </si>
  <si>
    <t xml:space="preserve"> Установка прибора учета для присоединения объекта  малоэтажной жилой застройки Горшинева А.Е., расположенного по адресу: Ростовская область, р-н. Усть-Донецкий, ст-ца. Мелиховская, снт. Горняк № 326</t>
  </si>
  <si>
    <t>Установка прибора учета для присоединения объекта малоэтажной жилой застройки Донцова О.В., расположенного по адресу: Ростовская область, р-н. Усть-Донецкий, ст-ца. Раздорская, пер. Колхозный, д. 6</t>
  </si>
  <si>
    <t>Установка прибора учета для присоединения объекта малоэтажной жилой застройки Каменской Н.А., расположенного по адресу: Ростовская область, р-н. Усть-Донецкий, х. Кривая Лука, ул. Первомайская, д. 31</t>
  </si>
  <si>
    <t>Установка прибора учета для присоединения объекта малоэтажной жилой застройки Костина В.Н., расположенного по адресу: Ростовская область, р-н. Усть-Донецкий, ст-ца. Раздорская, ул. Донская, д. 76</t>
  </si>
  <si>
    <t>Установка прибора учета для присоединения малоэтажной жилой застройки Ливинцова В.В., расположенного по адресу: Ростовская область, Октябрьский район, п. Персиановский, ул. Университетская, д.2-в, КН ЗУ: 61:28:0110101:5892</t>
  </si>
  <si>
    <t>Установка прибора учета для присоединения малоэтажной жилой застройки Петренко Г.Ю., расположенной по адресу: Ростовская область, Октябрьский район, х. Новая Бахмутовка, ул. Возрождение, д.20, КН ЗУ: 61:28:0020801:12</t>
  </si>
  <si>
    <t>Установка прибора учета для присоединения жилого дома., Федоренко А.И., расположенного по адресу: Ростовская область, Родионово-Несветайский район, сл. Родионово-Несветайская, ул. Гагарина, д. 20Б, КН ЗУ: 61:33:0040128:657</t>
  </si>
  <si>
    <t>Установка прибора учета для присоединения жилого дома Ивачевой Н.В., расположенного по адресу: Ростовская обл., Родионово-Несветайский, х. Октябрьский, СНТ "Электромонтажник" участок № 310, КН ЗУ: 61:33:0500201:592.</t>
  </si>
  <si>
    <t>Установка прибора учета для присоединения жилого дома Борисенко Л.Н., расположенного по адресу: Ростовская область, Родионово-Несветайский район , сл. Родионово-Несветайская, ул. Комарова, д. 33Б, КН ЗУ: 61:33:0040112:71</t>
  </si>
  <si>
    <t>Установка прибора учета для присоединения Малоэтажной жилой застройки (Индивидуальный жилой дом/Садовый/Дачный дом) Идрисова М.М.., расположенного по адресу: Ростовская область, Родионово-Несветайский район , х. Павленков, ул. Центральная, д. 9В, КН ЗУ: 61:33:0040201:151</t>
  </si>
  <si>
    <t>Установка прибора учета для присоединения Малоэтажной жилой застройки (Индивидуальный жилой дом/Садовый/Дачный дом) Рогозиной Т.В., расположенного по адресу: Ростовская область, Родионово-Несветайский район х. Октябрьский, ул. Заречная, д.19, КН ЗУ: 61:33:0030401:1019</t>
  </si>
  <si>
    <t>Установка прибора учета для присоединения жилого дома., Явруян Е. Х., расположенного по адресу: Ростовская область, Родионово-Несветайский район, с.Чистополье, ул. Октябрьская, д. 48А, КН ЗУ: 61:33:0060201:598</t>
  </si>
  <si>
    <t>Установка прибора учета для присоединения объекта малоэтажной жилой застройки Королёвой Е.В., расположенного по адресу: Ростовская область, р-н. Усть-Донецкий, х. Пухляковский, ул. Школьная, д. 7</t>
  </si>
  <si>
    <t>Установка прибора учета для присоединения объекта  малоэтажной жилой застройки Маргарян А.Л., расположенного по адресу: Ростовская область, р-н. Усть-Донецкий, ст-ца. Верхнекундрюченская, ул. Центральная д. 36, кв. 4, КН ЗУ: 61:39:0070101:599</t>
  </si>
  <si>
    <t>Установка прибора учета для присоединения объекта малоэтажной жилой застройки Ростовской Л.П.., расположенного по адресу: Ростовская область, р-н. Усть-Донецкий, ст-ца. Мелиховская, ул. Розы Люксембург, д. 29Б, КН ЗУ: 61:39:0020104:1562</t>
  </si>
  <si>
    <t>Установка прибора учета для присоединения Малоэтажной жилой застройки (Индивидуальный жилой дом/Садовый/Дачный дом) Балашенко А.В., расположенного по адресу: Ростовская область, Родионово-Несветайский район х. Октябрьский, СНТ "Комбайностроитель" участок №5 сад 6, КН ЗУ: 61:33:0500103:213</t>
  </si>
  <si>
    <t>Установка прибора учета для присоединения Малоэтажной жилой застройки (Индивидуальный жилой дом/Садовый/Дачный дом) Струкина С.В., расположенного по адресу: Ростовская область, Родионово-Несветайский район, ориентир х. Октябрьский. Участок находится примерно в 24,10 по направлению на северо-восток от ориентира, КН ЗУ: 61:33:0500201:21</t>
  </si>
  <si>
    <t>Установка прибора учета для присоединения гаража Щегольковой О.А. расположенного по адресу: Ростовская обл., Родионово-Несветайский район, х. Веселый, ул. Калинина, д. 4/1,КН ЗУ : 61:33:0040701:999</t>
  </si>
  <si>
    <t>Установка прибора учета для присоединения гаража, Шаповаловой Т.В., расположенного по адресу: Ростовская область, Родионово-Несветайский район, х. Веселый, ул. Калинина, д. 4/2, КН ЗУ 61:33:0040701:1011</t>
  </si>
  <si>
    <t>Установка прибора учета для присоединения жилого дома., Цыбенко О.Н., расположенного по адресу: Ростовская область, Родионово-Несветайский район х. Каменный Брод, ул. Курсантов РАУ, д. 1в, КН ЗУ: 61:33:0030501:1761</t>
  </si>
  <si>
    <t>Установка прибора учета для присоединения объекта торговли (магазин, торговый центр, прочее) Безусова А.М.., расположенного по адресу: Ростовская область, Родионово-Несветайский район, сл. Большекрепинская, ул. Ленина, д. 18А, КН ЗУ: 61:33:0060101</t>
  </si>
  <si>
    <t>Установка прибора учета для присоединения Малоэтажной жилой застройки (Индивидуальный жилой дом/Садовый/Дачный дом) Степанова А.А., расположенного по адресу: Ростовская область, Родионово-Несветайский район, сл. Алексеево-Тузловка, ул. Садовая, д.18, КН ЗУ: 61:33:0051001:17</t>
  </si>
  <si>
    <t>Установка прибора учета для присоединения жилого дома, Кацупеева М.В., расположенной по адресу: Ростовская область, Родионово-Несветайский район, сл. Кутейниково,СНТ "Комбайностроитель", участок 4-490, КН ЗУ: 61:33:0500101:2729</t>
  </si>
  <si>
    <t>Установка прибора учета для присоединения жилого дома, расположенного по адресу: Ростовская обл., Родионово-Несветайский р-он, х. Красильников, ул. Первомайская,10 кадастровый номер 61:33:0020901:342</t>
  </si>
  <si>
    <t>Установка прибора учета для присоединения квартиры Алхименко Татьяны Александровны, расположенного по адресу: Ростовская область, Красносулинский район, п. Первомайский, ул. Почтовая, д.7а, кв./оф. 2, кадастровый номер земельного участка: (1шт.)</t>
  </si>
  <si>
    <t>Установка прибора учета для присоединения жилого дома Молодчая Светлана Александровна расположенного по адресу: Ростовская область, Красносулинский район,  х. Петровский, ул. Центральная, д.3, кадастровый номер земельного участка: 61:18:0130401:440 (1 шт.)</t>
  </si>
  <si>
    <t>Установка прибора учета для присоединения объекта малоэтажной жилой застройки Смирновой В.Д., расположенного по адресу: Ростовская область, р-н. Октябрьский, х. Яново-Грушевский, ул. Красноармейская, д. 4</t>
  </si>
  <si>
    <t>Установка прибора учета для присоединения ВРУ 0,22 кВ жилого дома, расположенного по адресу: РО, Октябрьский р-н, с/т "Дон", уч. 71, КН ЗУ:61:28:05004201:28, (1 шт.)</t>
  </si>
  <si>
    <t>Установка прибора учета для присоединения объекта малоэтажной жилой застройки Бученко В.М., расположенного по адресу: Ростовская область, р-н. Октябрьский, с/т "Электровозостроитель", уч. №80</t>
  </si>
  <si>
    <t>Установка прибора учета для присоединения объекта малоэтажной жилой застройки Авдеевой Л.В., расположенного по адресу: Ростовская область, Октябрьский район, с/т "Электровозостроитель", уч. №69</t>
  </si>
  <si>
    <t>Установка прибора учета для присоединения объекта  садовый дом Бульба Г.В., расположенного по адресу: Ростовская область, р-н. Октябрьский, с/т «Электровозостроитель», уч. №86/1</t>
  </si>
  <si>
    <t>Установка прибора учета для присоединения объекта малоэтажной жилой застройки Бургеловой О.И., расположенного по адресу: Ростовская область, р-н. Октябрьский, с/т "Электровозостроитель", уч. №31</t>
  </si>
  <si>
    <t>Установка прибора учета для присоединения объекта  малоэтажной жилой застройки Мирущенко Н.А., расположенного по адресу: Ростовская область, р-н. Октябрьский, сл. Красюковская, ул. Красюкова, д.28а</t>
  </si>
  <si>
    <t>Установка прибора учета для присоединения объекта  малоэтажной жилой застройки Соловьянова Д.Г., расположенного по адресу: Ростовская область, р-н. Октябрьский, п. Каменоломни, ул. Гвардейская, д. 3</t>
  </si>
  <si>
    <t>Установка прибора учета для присоединения объекта  малоэтажной жилой застройки Шпакова Ю.Н., расположенного по адресу: Ростовская область, р-н. Октябрьский, ст. Заплавская, ул. Почтовая, д.47а</t>
  </si>
  <si>
    <t>Установка прибора учета для присоединения объекта  малоэтажной жилой застройки Щербаковой Л.М., расположенного по адресу: Ростовская область, р-н. Октябрьский, с/т «Электровозостроитель», уч. №206</t>
  </si>
  <si>
    <t>Установка прибора учета для присоединения объекта  малоэтажной жилой застройки Быкадоровой А.А., расположенного по адресу: Ростовская область, р-н. Усть-Донецкий, ст-ца. Раздорская, ул. Мичурина, д. 5, КН ЗУ 61:39:0030103:80</t>
  </si>
  <si>
    <t>Установка прибора учета для присоединения объекта малоэтажной жилой застройки Уланова И.В., расположенного по адресу: Ростовская область, р-н. Усть-Донецкий, ст-ца. Нижнекундрюченская, ул. Интернациональная, д. 18, КН ЗУ: 61:39:0060105:168</t>
  </si>
  <si>
    <t>Установка прибора учета для присоединения объекта малоэтажной жилой застройки Проскуриной А.П., расположенного по адресу: Ростовская область, р-н. Усть-Донецкий, ст-ца. Раздорская, ул. Суворова, д. 13, КН ЗУ: 61:39:0030102:131</t>
  </si>
  <si>
    <t>Установка прибора учета для присоединения объекта малоэтажной жилой застройки Абрамовой Е.С.., расположенного по адресу: Ростовская область, р-н. Семикаракорский, ст-ца. Кочетовская, пер. 12-й, д. 38-А, КН ЗУ: 61:35:0080101:4012</t>
  </si>
  <si>
    <t>Установка прибора учета для присоединения объекта малоэтажной жилой застройки Лазарева Р.В., расположенного по адресу: Ростовская область, р-н. Усть-Донецкий, х. Исаевский, ул. Речная, д. 3-А, КН ЗУ: 61:39:0020201:929</t>
  </si>
  <si>
    <t>Установка прибора учета для присоединения объекта малоэтажной жилой застройки Финкельсон А.Ю., расположенного по адресу: Ростовская область, Усть-Донецкий район, ст-ца. Мелиховская, ул. Северная, д. 22а, КН ЗУ: 61:39:0020103:91</t>
  </si>
  <si>
    <t>Установка прибора учета для присоединения жилого дома Клочкова Валерия Александровича расположенного по адресу: Ростовская область, Красносулинский район, х. Пролетарка, ул. Набережная, д.3, кадастровый номер земельного участка: (1шт.)</t>
  </si>
  <si>
    <t>Установка прибора учета для присоединения жилого дома Королевой Натальи Александровна расположенного по адресу: Ростовская область, Красносулинский район, х. Коминтер, ул. Дачная, д.15., кадастровый номер земельного участка: (1шт.)</t>
  </si>
  <si>
    <t>Установка прибора учета для присоединения объекта  садового дома Коломийцевой Т.Н., расположенного по адресу: Ростовская область, р-н. Октябрьский, с/т «Электровозостроитель», уч. № 228</t>
  </si>
  <si>
    <t>Установка прибора учета для присоединения объекта  малоэтажная жилая застройка Титирко А.В., расположенного по адресу: Ростовская область, р-н. Октябрьский, с/т «Электровозостроитель</t>
  </si>
  <si>
    <t>Установка прибора учета для присоединения объекта  садовый дом Хандусенко В.И., расположенного по адресу: Ростовская область, р-н. Октябрьский, с/т «Электровозостроитель», уч. №83-А</t>
  </si>
  <si>
    <t>Установка прибора учета для присоединения объекта  жилой дом Лысенко Н.П., расположенного по адресу: Ростовская область, р-н. Октябрьский, с/т «Электровозостроитель», уч. №92</t>
  </si>
  <si>
    <t>Установка прибора учета для присоединения объекта  малоэтажная жилая застройка Ивановой М.В., расположенного по адресу: Ростовская область, р-н. Октябрьский, с/т «Электровозостроитель», уч. №21</t>
  </si>
  <si>
    <t>Установка прибора учета для присоединения объекта  садовый дом Королева С.В., расположенного по адресу: Ростовская область, р-н. Октябрьский, с/т «Электровозостроитель», уч. №101</t>
  </si>
  <si>
    <t>Установка прибора учета для присоединения объекта  садовый дом Пузановой Н.М., расположенного по адресу: Ростовская область, р-н. Октябрьский, с/т «Электровозостроитель», уч. №97</t>
  </si>
  <si>
    <t>Установка прибора учета для присоединения объекта малоэтажная жилая застройка Грициной Н.В., расположенного по адресу: Ростовская область, р-н. Октябрьский, х. Калинин, ул. Донская, д. 83-г</t>
  </si>
  <si>
    <t>Установка прибора учета для присоединения объекта малоэтажная жилая застройка Мазур Н.П., расположенного по адресу: Ростовская область, р-н. Октябрьский, х. Калинин, ул. Центральная, д. 240-в</t>
  </si>
  <si>
    <t>Установка прибора учета для присоединения объекта  садовый дом Араповой О.Ю., расположенного по адресу: Ростовская область, р-н. Октябрьский, с/т «Электровозостроитель», уч. №59</t>
  </si>
  <si>
    <t>Установка прибора учета для присоединения объекта  малоэтажной жилой застройки Баковеевой О.Н., расположенного по адресу: Ростовская область, р-н. Октябрьский, с/т «Электровозостроитель», уч. №128</t>
  </si>
  <si>
    <t>Установка прибора учета для присоединения объекта  садовый дом Бородиной З.В., расположенного по адресу: Ростовская область, р-н. Октябрьский, с/т «Электровозостроитель», уч. №131</t>
  </si>
  <si>
    <t>Установка прибора учета для присоединения объекта  садовый дом Гаврилюк М.А., расположенного по адресу: Ростовская область, р-н. Октябрьский, с/т «Электровозостроитель», уч. №109</t>
  </si>
  <si>
    <t>Установка прибора учета для присоединения объекта  малоэтажной жилой застройки Колесниковой Е.А., расположенного по адресу: Ростовская область, р-н. Октябрьский, с/т «Электровозостроитель», уч. №146</t>
  </si>
  <si>
    <t>Установка прибора учета для присоединения объекта  садовый дом Мирзоян Л.Б., расположенного по адресу: Ростовская область, р-н. Октябрьский, с/т «Электровозостроитель», уч. №90</t>
  </si>
  <si>
    <t>Установка прибора учета для присоединения объекта  садовый дом Соболева Е.П., расположенного по адресу: Ростовская область, р-н. Октябрьский, с/т «Электровозостроитель», уч. №148</t>
  </si>
  <si>
    <t>Установка прибора учета для присоединения объекта малоэтажная жилая застройка Воробьева Ю.И., расположенного по адресу: Ростовская область, р-н. Октябрьский, рп. Каменоломни, ул. Пролетарская, д. 57</t>
  </si>
  <si>
    <t>Установка прибора учета для присоединения объекта малоэтажная жилая застройка Дзауровой С.Б., расположенного по адресу: Ростовская область, р-н. Октябрьский, ст-ца. Кривянская, ул. Чехова, д. 125</t>
  </si>
  <si>
    <t>Установка прибора учета для присоединения объекта  жилого дома Манакова А.В., расположенного по адресу: Ростовская область, р-н. Октябрьский, х. Красный Кут, ул. Заречная, д.70а</t>
  </si>
  <si>
    <t>Установка прибора учета для присоединения объекта  жилой дом Михайлюк А.Г., расположенного по адресу: Ростовская область, р-н. Октябрьский, ст. Кривянская, ул. Чехова, д. 180</t>
  </si>
  <si>
    <t>Установка прибора учета для присоединения объекта малоэтажная жилая застройка Фетисовой В.Д., расположенного по адресу: Ростовская область, р-н. Октябрьский, рп. Каменоломни, ул. Пролетарская, д. 53</t>
  </si>
  <si>
    <t>Установка прибора учета для присоединения объекта  жилого дома Чубыкиной О.В., расположенного по адресу: Ростовская область, р-н. Октябрьский, сл. Красюковская, пер. Южный, д.2А</t>
  </si>
  <si>
    <t>Установка прибора коммерческого учёта электрической энергии, для присоединения отделения почтовой связи АО «Почта России», расположенного по адресу: Ростовская область, Тарасовский р-н, п. Верхнетарасовский, ул. Майская, д. 10 кв. 2, к.н. 61:37:0040201:560 (прибор учёта электроэнергии - 1шт.)</t>
  </si>
  <si>
    <t>Установка прибора коммерческого учёта электрической энергии, для присоединения отделения почтовой связи АО «Почта России», расположенного по адресу: Ростовская область, Тарасовский р-н, х. Каюковка, ул. Центральная, д 47, к.н.з.у. 61:37:0030501:719 (прибор учёта электроэнергии - 1шт.)</t>
  </si>
  <si>
    <t>Обеспечение коммерческим учетом электрической энергии  в точке поставки, по присоединению жилого дома Гапоновой Л.О., расположенного по адресу: Ростовская область, Белокалитвинский район, х. Дороговский, ул. Крайняя, д. № 12, к.н. 61:04:0150301:187(прибор учета электроэнергии – 1шт).</t>
  </si>
  <si>
    <t>Обеспечение коммерческим учетом электрической энергии  в точке поставки, по присоединению жилого дома Гасинец И.И., расположенного по адресу: Ростовская область, Белокалитвинский район, с. Литвиновка, пер. Песчаный, д. № 6, к.н. 61:04:0060109:177 (прибор учета электроэнергии – 1шт).</t>
  </si>
  <si>
    <t>Обеспечение коммерческим учетом электрической энергии  в точке поставки, по присоединению жилого дома Талалаева И.В., расположенного по адресу: Ростовская область, Белокалитвинский район, х. Крутинский, ул. Набережная, д. № 56, к.н. 61:04:0130103:130 (прибор учета электроэнергии – 1шт).</t>
  </si>
  <si>
    <t>Обеспечение коммерческим учетом электрической энергии  в точке поставки, по присоединению жилого дома Любушкина А.В., расположенного по адресу: Ростовская область, Белокалитвинский район, х. Дубовой, ул. Степная, д. № 75, к.н. 61:04:0110502:106 (прибор учета электроэнергии – 1шт).</t>
  </si>
  <si>
    <t>Установка прибора коммерческого учёта электрической энергии для присоединения жилого дома Чушкина А.А., расположенного по адресу: Ростовская область, Белокалитвинский район, х. Наумов, ул. Лесная, д. № 4, к.н. 61:04:0080401:157 (прибор учета электроэнергии – 1шт)</t>
  </si>
  <si>
    <t>Установка прибора коммерческого учёта электрической энергии, для присоединения строящегося жилого строения Курбановой О.Ю., расположенного по адресу: Ростовская область, Белокалитвинский р-н, х. Богураев, ул. Нижняя, д. 54, к.н. 61:04:0160108:374 (прибор учёта электроэнергии - 1шт)</t>
  </si>
  <si>
    <t>Обеспечение коммерческим учетом электрической энергии  в точке поставки, по присоединению уличного освещения дороги асфальтобетонной, автомобильной Муниципального образования «Ефремово-Степановское сельское поселение», расположенного по адресу: Ростовская область, Тарасовский район,  х. Нижнемакеевский, ул. Молодежная, к.н. 61:37:0080301:557 (прибор учёта электроэнергии - 1шт)</t>
  </si>
  <si>
    <t>Обеспечение коммерческим учетом электрической энергии в точке поставки, по присоединению уличного освещения дороги асфальтобетонной Муниципального образования «Курно-Липовское сельское поселение», расположенного по адресу: Ростовская область, Тарасовский район, х.Мартыновка, ул.Мира, к.н. 61:37:0050101:1875 (прибор учёта электроэнергии - 1шт)</t>
  </si>
  <si>
    <t>Обеспечение коммерческим учетом электрической энергии  в точке поставки, по присоединению жилого дома Федорова А.А., расположенного по адресу: Ростовская область, Белокалитвинский район, х. Западный, ул. Садовая, д. № 39, к.н. 61:04:0000000:5806 (прибор учета электроэнергии – 1шт).</t>
  </si>
  <si>
    <t>Установка прибора коммерческого учёта электрической энергии, для присоединения строящегося жилого дома Толстенева С.Н., расположенного по адресу: Ростовская область, Белокалитвинского р-н, х. Богатов, ул. Сосновая, д.1а, к.н. 61:04:0080201:1143 (прибор учёта электроэнергии - 1шт)</t>
  </si>
  <si>
    <t>Установка прибора коммерческого учёта электрической энергии, для присоединения дачного участка Гаркушиной О.В., расположенного по адресу: Ростовская область, Белокалитвинский р-н, п. Бондарный, к.н. 61:04:0160301:07 (прибор учёта электроэнергии - 1шт)</t>
  </si>
  <si>
    <t>Установка прибора коммерческого учёта электрической энергии, для присоединения ларька Индивидуального предпринимателя Фудалеевой Оксаны Леонидовны., расположенного по адресу: Ростовская область, Белокалитвинский р-н, с. Литвиновка, ул. Центральная, д. 78, к.н. 61:04:0060104:122 (прибор учёта электроэнергии - 1шт)</t>
  </si>
  <si>
    <t>Установка прибора коммерческого учёта электрической энергии, для присоединения ВРУ-0,22 кВ квартиры Ткачёва С.А., расположенной по адресу: Ростовская область, Милютинский р-н, х. Юдин, пер. Космонавтов, д. 10, корп.1, кв.1, к.н. 61:04:0060104:122 (прибор учёта электроэнергии - 1шт)</t>
  </si>
  <si>
    <t>Установка прибора коммерческого учёта электрической энергии, для присоединения освещения обелиска Светочниковского сельского поселения, расположенного по адресу: Ростовская область, Милютинский р-н, п. Светоч, ул. Центральная, д. 5 А, к.н. 61:23:0070101:1032 (прибор учёта электроэнергии - 1шт)</t>
  </si>
  <si>
    <t>Установка прибора коммерческого учёта электрической энергии для присоединения ВРУ- 0,22 кВ сооружения связи-телекоммуникационного шкафа абонентского доступа ПАО «Ростелеком», расположенного по адресу: Ростовская область, Милютинский район, х. Юдин, ул. Заречная, д.2/15 (прибор учёта электроэнергии однофазный - 1шт.)</t>
  </si>
  <si>
    <t>Установка прибора коммерческого учёта электрической энергии для присоединения ВРУ- 0,22 кВ квартиры Бучило М.Н., расположенной по адресу: Ростовская область, Милютинский район, х. Юдин, ул.  Космонавтов, д. 10, корп. 1, кв. 2, к.н.з.у. 61:23:0030101:2171 (прибор учёта электроэнергии однофазный - 1шт.)</t>
  </si>
  <si>
    <t>Установка прибора коммерческого учёта электрической энергиидля присоединения ВРУ- 0,22 кВ объекта наружного освещения Администрации муниципального образования «Светочниковское сельское поселение», расположенного по адресу: Ростовская обл., Милютинский р-н, х. Широко–Оглоблинский, ул. Нижняя (прибор учёта электроэнергии - 1шт.)</t>
  </si>
  <si>
    <t>Установка прибора коммерческого учёта электрической энергии, для присоединения ВРУ-0,22 кВ квартиры Степаняна Э.Р., расположенной по адресу: Ростовская область, Милютинский р-н, х. Юдин, пер. Космонавтов,  д. 10, корп. 1, кв. 3, к.н. 61:23:0030101:2155 (прибор учёта электроэнергии - 1шт)</t>
  </si>
  <si>
    <t>Установка прибора коммерческого учёта электрической энергии, для присоединения уличного освещения (КТП № 19 ф.2) Администрации Широко-Атамановского сельского поселения, расположенного по адресу: Ростовская область, Морозовский р-н, п. Комсомольский, ул. Мира, к.н. 00:00:000000:00 (прибор учёта электроэнергии - 1шт.)</t>
  </si>
  <si>
    <t>Установка прибора коммерческого учёта электрической энергии, для присоединения уличного освещения (КТП № 270 ф.2) Администрации Широко-Атамановского сельского поселения, расположенного по адресу: Ростовская область, Морозовский р-н, п. Комсомольский, ул. Победы, к.н. 00:00:000000:00 (прибор учёта электроэнергии - 1шт.)</t>
  </si>
  <si>
    <t>Установка прибора коммерческого учёта электрической энергии, для присоединения уличного освещения (ул. Кольцевая КТП № 213 ф-1) Администрации Гагаринского сельского поселения, расположенного по адресу: Ростовская область, Морозовский р-н, х. Морозов, ул. Кольцевая, к.н. 00:00:000000:00 (прибор учёта электроэнергии - 1шт.)</t>
  </si>
  <si>
    <t>Установка прибора коммерческого учёта электрической энергии, для присоединения уличного освещения (ул. Кольцевая КТП № 213 ф-2) Администрации Гагаринского сельского поселения, расположенного по адресу: Ростовская область, Морозовский р-н, х. Морозов, ул. Кольцевая, к.н. 00:00:000000:00 (прибор учёта электроэнергии - 1шт.)</t>
  </si>
  <si>
    <t>Установка прибора коммерческого учёта электрической энергии, для присоединения ВРУ-0,22 кВ жилого дома Карасева И.М., расположенного по адресу: Ростовская область, Обливский район, хутор Леонов, улица Продольная, д. 66, к.н. 61:27:0010401:57 (прибор учёта электроэнергии - 1шт.).</t>
  </si>
  <si>
    <t>Установка прибора коммерческого учёта электрической энергии, для присоединения освещения внутрипоселковой грунтовой дороги Муниципального образования «Митякинское сельское поселение», расположенного по адресу: Ростовская область, Тарасовский р-н, ст. Митякинская, ул. Большая Садовая, в пределах ул.Фрунзе, к.н. 61:37:0100101:3976, 61:37:0100101:3981 (прибор учёта</t>
  </si>
  <si>
    <t>Установка прибора коммерческого учёта электрической энергии для присоединения уличного освещения дороги грунтовой МО «Войковского сельского поселения», расположенного по адресу: 346091, Ростовская область, Тарасовский район,  х. Можаевка, ул. Школьная, к.н. 61:37:0110101:2203 (прибор учета электроэнергии- 1шт)</t>
  </si>
  <si>
    <t>Установка прибора коммерческого учёта электрической энергии, для присоединения жилого дома Барышниковой О.И., расположенного по адресу: Ростовская область, Тарасовский р-н, х. Дубы, ул. Речная, д.42, к.н. 61:37:0100201:1599 (прибор учёта электроэнергии - 1шт)</t>
  </si>
  <si>
    <t>Установка прибора коммерческого учёта электрической энергии, для присоединения уличного освещения автомобильной дороги Администрации Зеленовского сельского поселения Тарасовского района, расположенного по адресу: Ростовская область, Тарасовский р-н, х. Зеленовка, ул. Восточная, к.н. 61:37:0000000:1851 (прибор учёта электроэнергии - 1шт)</t>
  </si>
  <si>
    <t>Установка прибора коммерческого учёта электрической энергии, для присоединения уличного освещения автомобильной дороги Администрации Зеленовского сельского поселения Тарасовского района, расположенного по адресу: Ростовская область, Тарасовский р-н, х. Зеленовка, ул. Строительная, к.н. 61:37:0070101:1196 (прибор учёта электроэнергии - 1шт).</t>
  </si>
  <si>
    <t>Установка прибора коммерческого учёта электрической энергии, для присоединения освещение внутрипоселковой автомобильной дороги МО «Митякинское сельское поселение», расположенного по адресу: Ростовская область, Тарасовский р-н, х. Дубы, ул. Дубовская, к.н. 61:37:0100201:1556 (прибор учёта электроэнергии - 1шт.)</t>
  </si>
  <si>
    <t>Установка прибора коммерческого учёта электрической энергии, для присоединения освещения дороги Администрации Войковского сельского поселения, расположенной по адресу: Ростовская область, Тарасовский  р-н,  п.Войково, ул. Элеваторская, к.н. 61:37:0110201:1166 (прибор учёта электроэнергии - 1шт.)</t>
  </si>
  <si>
    <t>Установка прибора коммерческого учёта электрической энергии, для присоединения освещения дороги асфальто-бетонной Администрации Войковского сельского поселения, расположенной по адресу: Ростовская область, Тарасовский р-н,  п. Войково, ул. Вокзальная, к.н. 61:37:0110201:1165 (прибор учёта электроэнергии - 1шт.)</t>
  </si>
  <si>
    <t>Установка прибора коммерческого учёта электрической энергии, для присоединения ВРУ-0,22 кВ жилого дома Скрыльникова А.А., расположенного по адресу: Ростовская область, Тацинский район, х. Верхнеобливский, пер. Пролетарский, д. 7, к.н. 61:38:0070101:199. (прибор учёта электроэнергии - 1шт.)</t>
  </si>
  <si>
    <t>Установка прибора коммерческого учёта электрической энергии, для присоединения ВРУ-0,4 кВ здания бригадного дома Заболотнева В.Н., расположенного по адресу: Ростовская область, Тацинский район, ст. Тацинская, в 9,5 км на юг от ул. Юбилейная, д. 56, к.н.отсутствует .(прибор учёта электроэнергии - 1шт.)</t>
  </si>
  <si>
    <t>Установка прибора коммерческого учёта электрической энергии, для присоединения жилого дома Савина В.А., расположенного по адресу: Ростовская область, Тацинский район, п. Быстрогорский, ул. Щебёночная, д. 27, к.н. 61:38:0040152:9 (прибор учёта электроэнергии - 1шт.)</t>
  </si>
  <si>
    <t>Установка прибора коммерческого учёта электрической энергии, для присоединения ВРУ-0,22 кВ объекта наружного освещения Администрации Суховского сельского поселения, расположенного по адресу: Ростовская область, Тацинский район, х. Крылов, ул. Восточная, к.н.отсутствует .(прибор учёта электроэнергии - 1шт.)</t>
  </si>
  <si>
    <t>Установка прибора коммерческого учёта электрической энергии, для присоединения ВРУ-0,22 кВ объекта наружного освещения Администрации Суховского сельского поселения, расположенного по адресу: Ростовская область, Тацинский район, п. Новосуховый, ул. Молодежная, к.н. отсутствует (прибор учёта электроэнергии - 1шт.)</t>
  </si>
  <si>
    <t>Установка прибора коммерческого учёта электрической энергии, для присоединения ВРУ-0,22 кВ объекта наружного освещения Администрации Суховского сельского поселения, расположенного по адресу: Ростовская область, Тацинский район, х. Крылов, ул. Садовая, к.н. 00:00:0000:00(прибор учёта электроэнергии - 1шт.)</t>
  </si>
  <si>
    <t>Установка прибора коммерческого учёта электрической энергии, для присоединения ВРУ-0,22 кВ объекта наружного освещения Администрации Суховского сельского поселения, расположенного по адресу: Ростовская область, Тацинский район, п. Новосуховый, ул. Черемушки, к.н. отсутствует (прибор учёта электроэнергии - 1шт.)</t>
  </si>
  <si>
    <t>Установка прибора коммерческого учёта электрической энергии, для присоединения жилого дома Лободенко В.С., расположенного по адресу: Ростовская область, Тацинский район, х. Игнатенко, ул. Чапаева, д. 23, к.н. 61:38:0030401:124. (прибор учёта электроэнергии - 1шт.)</t>
  </si>
  <si>
    <t>Установка прибора коммерческого учёта электрической энергии, для присоединения жилого дома Мостового А.В., расположенного по адресу: Ростовская область, Тацинский район, х. Гремучий, ул. А. Швыдкова, д. 85, к.н. 61:38:0030201:39. (прибор учёта электроэнергии - 1шт.)</t>
  </si>
  <si>
    <t>Установка прибора коммерческого учёта электрической энергии, для присоединения летней кухни Еремеевой Е.А., расположенной по адресу: Ростовская область, Тацинский район, х. Михайлов, ул. Ленина, д. 261, к.н. 61:38:0030104:16. (прибор учёта электроэнергии - 1шт.).</t>
  </si>
  <si>
    <t>Установка прибора коммерческого учёта электрической энергии, для присоединения торгового объекта ИП Музыченко О.Д., расположенного по адресу: Ростовская область, Тацинский район, х. Исаев, ул. Свердлова, д. 23, корп а, к.н. 00:00:0000:000 (прибор учёта электроэнергии - 1шт.)</t>
  </si>
  <si>
    <t>Установка прибора коммерческого учёта электрической энергии, для присоединения ВРУ-0,22 кВ строящегося здания Смолы С.П., расположенного по адресу: Ростовская область, Тацинский район, п. Быстрогорский, ул. Дачная, д. 7, к.н. 61:38:0040156:276 (прибор учёта электроэнергии - 1шт.)</t>
  </si>
  <si>
    <t>Установка прибора коммерческого учёта электрической энергии, для присоединения ВРУ-0,22 кВ жилого дома Агеева А.И., расположенного по адресу: Ростовская область, Тацинский район, п. Новосуховый, ул. Садовая, д. 9, к.н. 61:38:100101:0007(прибор учёта электроэнергии - 1шт.)</t>
  </si>
  <si>
    <t>Установка прибора коммерческого учёта электрической энергии, для присоединения ВРУ-0,22 кВ объекта наружного освещения Администрации Скосырского сельского поселения, расположенного по адресу: Ростовская обл., Тацинский р-н, х. Надежевка, ул. Пролетарская, к.н.з.у. 00:00:0000:000 (прибор учёта электроэнергии - 1шт.)</t>
  </si>
  <si>
    <t>Установка прибора коммерческого учёта электрической энергии, для присоединения ВРУ-0,22 кВ жилого дома Криниченко М.Л., расположенного по адресу: Ростовская область, Тацинский район, ст. Тацинская, ул. Полевая, д. 13, к.н. 61:38:0010226:9. (прибор учёта электроэнергии - 1шт.)</t>
  </si>
  <si>
    <t>Установка прибора коммерческого учёта электрической энергии, для присоединения ВРУ - 0,22 кВ жилого дома Рахманкуловаой Л.С., расположенного по адресу: Ростовская область, Тацинский район,  п. Быстрогорский, ул. Набережная, д. 5, кв./оф. 1, к.н. 00:00:0000:000. (прибор учёта электроэнергии - 1шт.)</t>
  </si>
  <si>
    <t>Установка прибора коммерческого учёта электрической энергии, для присоединения ВРУ-0,22 кВ жилого дома Фоминых Д.О., расположенного по адресу: Ростовская область, Тацинский район, ст. Скосырская, ул. Советская, д. 10, к.н. 61:38:0060101:1378 (прибор учёта электроэнергии - 1шт.)</t>
  </si>
  <si>
    <t>Установка прибора коммерческого учёта электрической энергии, для присоединения ВРУ-0,22 кВ объектов наружного освещения Администрации Тацинского района, расположенных по адресу: Ростовская обл., Тацинский р-н, п. Жирнов, Подъезд от а/д ст. Тацинская - х. Исаев к п. Жирнов, к.н.з.у.61:38:0600008:1553 (прибор учёта электроэнергии - 1шт.)</t>
  </si>
  <si>
    <t>Установка прибора коммерческого учёта электрической энергии, для присоединения отделения почтовой связи АО «Почта России», расположенного по адресу: Ростовская область, Каменский район, х. Кочетовка, ул. Победы, д. № 1, к.н.з.у.00:00:000000 (прибор учёта электроэнергии - 1шт.)</t>
  </si>
  <si>
    <t>Установка прибора коммерческого учёта электрической энергии для присоединения ВРУ-0,22 кВ нестационарного участкового пункта полиции Межмуниципального отдела Министерства внутренних дел Российской Федерации «Обливский», расположенного по адресу: Ростовская область, Обливский район, х. Солонецкий, ул. Советская,д. 12а, к.н. 61:27:0060101:823 (прибор учёта электроэнергии - 1шт.)</t>
  </si>
  <si>
    <t>Установка прибора коммерческого учёта электрической энергии, для присоединения жилого дома Дьяковой Г.Н., расположенного по адресу: Ростовская область, Морозовский р-н, х. Николаев, ул. Набережная, д. 4, кадастровый номер земельного участка: 61:24:100202:0044 (прибор учёта электроэнергии - 1шт.)</t>
  </si>
  <si>
    <t>Установка прибора коммерческого учёта электрической энергии, для присоединения жилого жилого дома Лукиных Ю.А., расположенного по адресу: Ростовская область, Белокалитвинский район, х. Дубовой, ул. Степная, д. № 83 А, к.н. 61:04:0110502:224 (прибор учета электроэнергии – 1шт)</t>
  </si>
  <si>
    <t>Установка прибора коммерческого учёта электрической энергии, для присоединения жилого строения Чернобаевой Т.А., расположенного по адресу: Ростовская область, Белокалитвинский р-н, НСТ «Калитва» уч. 164, к.н. 61:04:0600013:114 (прибор учёта электроэнергии - 1шт)</t>
  </si>
  <si>
    <t>Установка прибора коммерческого учёта электрической энергии, для присоединения гаража Добрынина А.А., расположенного по адресу: Ростовская область, Белокалитвинский р-н, ст. Краснодонецкая, ул. Молодежная, д 27. к.н. 61:04:0080101:215 (прибор учёта электроэнергии - 1шт)</t>
  </si>
  <si>
    <t>Установка прибора коммерческого учёта электрической энергии, для присоединения жилого дома Письменской А.В., расположенного по адресу: Ростовская обл., Белокалитвинский р-н, п. Сосны, ул. Севастопольская, д. 4,    кв. 1, к.н. 61:04:0150405:492 (прибор учёта электроэнергии - 1шт)</t>
  </si>
  <si>
    <t>Установка прибора коммерческого учёта электрической энергии, для присоединения ВРУ-0,22 кВ квартиры Белоконя М.Б., расположенной по адресу: Ростовская обл., Милютинский р-н, х.Юдин, ул. Космонавтов, д.8, корп.2, кв.2 (прибор учёта электроэнергии - 1шт)</t>
  </si>
  <si>
    <t>Установка прибора коммерческого учёта электрической энергии, для присоединения уличного освещения (ул. Кольцевая КТП № 213 ф-3) Администрации Гагаринского сельского поселения, расположенного по адресу: Ростовская область, Морозовский р-н, х. Морозов, ул. Кольцевая, к.н. 00:00:000000:00 (прибор учёта электроэнергии - 1шт.)</t>
  </si>
  <si>
    <t>Установка прибора коммерческого учёта электрической энергии, для присоединения нежилой застройки (Садового дома) Мухина В.А., расположенного по адресу: Ростовская область, Морозовский р-н, х. Грузинов, ул. Абрикосовая, д. 1/9, кадастровый номер земельного участка: 61:24:0050312:77 (прибор учёта электроэнергии - 1шт.)</t>
  </si>
  <si>
    <t>Установка прибора коммерческого учёта электрической энергии, для присоединения гаража Косенко В.И., расположенного по адресу: Ростовская область, г. Морозовск, ул. Халтурина, 179, № 11, к.н.з.у. 61:24:0013011:99 (прибор учёта электроэнергии - 1шт.)</t>
  </si>
  <si>
    <t>Установка прибора коммерческого учёта электрической энергии для присоединения торгового павильона некапитального типа ИП Бодрухиной И.П,, расположенного по адресу: Ростовская область, Тарасовский район, х. Дубы, ул. Центральная, д. 44а, к.н. 61:37:0100201:1601 (прибор учёта электроэнергии - 1шт).</t>
  </si>
  <si>
    <t>Установка прибора коммерческого учёта электрической энергии, для присоединения освещения дороги грунтовой Администрации Ефремово-Степановского сельского поселения, расположенного по адресу: Ростовская область, Тарасовский р-н, сл. Александровка, ул. Буденного, к.н. 61:37:0080201:1132 (прибор учёта электроэнергии - 1шт)</t>
  </si>
  <si>
    <t>Установка прибора коммерческого учёта электрической энергии, для присоединения ВРУ-0,22 кВ жилого дома Шишкаловой Ю.А., расположенного по адресу: Ростовская область, Тарасовский район, х. Верхний Митякин, ул. Заречная, д. 156, к.н. 61:37:00600101:488 (прибор учёта электроэнергии - 1шт.)</t>
  </si>
  <si>
    <t>Установка прибора коммерческого учёта электрической энергии, для присоединения строящегося магазина ИП Запарченко И.В., расположенного по адресу: Ростовская область, Тарасовский р-н, Дячкинское сельское поселение, п. Малое Полесье, ул. Центральная, земельный участок 10/1а, к.н. 61:37:0030601:900 (прибор учёта электроэнергии - 1шт.)</t>
  </si>
  <si>
    <t>Установка прибора коммерческого учёта электрической энергии, для присоединения жилого дома Герасименко В.Н., расположенного по адресу: Ростовская область, Тарасовский р-н, сл. Курно-Липовка, ул. Луговая, д. 114, к.н. 61:37:0050601:60 (прибор учёта электроэнергии - 1шт)</t>
  </si>
  <si>
    <t>Установка прибора коммерческого учёта электрической энергии, для присоединения нежилого помещения (магазин) ИП Позднякова Е.Н., расположенного по адресу: Ростовская область, Тарасовский р-н, Войковское сельское поселение, х. Ушаковка, земельный участок 50б, к.н. 61:37:00110701:955 (прибор учёта электроэнергии - 1шт)</t>
  </si>
  <si>
    <t>Установка прибора коммерческого учёта электрической энергии, для присоединения жилого дома СПК «Дружба», расположенного по адресу: Ростовская область, Тацинский район, ст. Скосырская, ул. Советская, д. 71, к.н. 61:38:0060101:1134 (прибор учёта электроэнергии - 1шт.)</t>
  </si>
  <si>
    <t>Установка прибора коммерческого учёта электрической энергии, для присоединени видеонаблюдения Администрации Суховского сельского поселения, расположенного по адресу: Ростовская область, Тацинский район, п. Новосуховый, ул. Центральная (прибор учёта электроэнергии - 1шт.)</t>
  </si>
  <si>
    <t>Установка прибора коммерческого учёта электрической энергии для присоединения ВРУ-0,22 кВ жилого дома Сергеева С.А., расположенного по адресу: Ростовская область, Тацинский район, п. Быстрогорский, ул. Погудина, д. 31, к.н. 61:38:0040137:15 (прибор учёта электроэнергии - 1шт.)</t>
  </si>
  <si>
    <t>Установка прибора коммерческого учёта электрической энергии, для присоединения ВРУ-0,22 кВ жилого дома Харитонова М.Н., расположенного по адресу: Ростовская область, Тацинский район, ст. Скосырская, ул. Советская, д. 2, к.н. 61:38:00600101:80. (прибор учёта электроэнергии - 1шт.)</t>
  </si>
  <si>
    <t>Установка прибора коммерческого учёта электрической энергии, для присоединения ВРУ-0,22 кВ жилого дома Романцова И.П., расположенного по адресу: Ростовская область, Тацинский район, х.Верхнеобливский, пер. Садовый, д. 24, к.н. 61:38:0070101:183 (прибор учёта электроэнергии - 1шт.)</t>
  </si>
  <si>
    <t>Установка прибора коммерческого учёта электрической энергии для присоединения жилого дома Сизякиной Н.Б., расположенного по адресу: Ростовская область, Белокалитвинский район, х. Голубинка, ул. Центральная, д. № 35, к.н. 61:04:0110201:352 (прибор учета электроэнергии – 1шт)</t>
  </si>
  <si>
    <t>Установка прибора коммерческого учёта электрической энергии, для присоединения жилого дома Терехова А.В., расположенного по адресу Ростовская область, Белокалитвинский р-н, х. Нижнепопов, ул. Школьная,  д. 36 а, к.н. 61:04:0150202:304 (прибор учёта электроэнергии - 1шт)</t>
  </si>
  <si>
    <t>Установка прибора коммерческого учёта электрической энергии, для присоединения освещения участка Цыбулевского А.В., расположенного по адресу: Ростовская область, Белокалитвинский р-н, земли бывшего колхоза Чапаева, пастбище контур № 303, к.н. 61:04:0600015:523 (прибор учёта электроэнергии - 1шт)</t>
  </si>
  <si>
    <t>Установка прибора коммерческого учёта электрической энергии для присоединения жилого дома Гусаровой Н.И., расположенного по адресу: Ростовская область, Белокалитвинский р-н, п. Сосны, ул. Севастопольская. 6, кв. 2, к.н.з.у.: 61:04:0150405:496 (прибор учёта электроэнергии - 1шт.)</t>
  </si>
  <si>
    <t>Установка прибора коммерческого учёта электрической энергии, для присоединения жилого дома Бубликовой Е.Д., расположенного по адресу: Ростовская область, Каменский р-н, х. Старая Станица, пер. Почтовый, д. 15, корп. А, к.н. 61:15:0130102:3016 (прибор учёта электроэнергии 5 кВт - 1шт)</t>
  </si>
  <si>
    <t>Установка прибора коммерческого учёта электрической энергии, для присоединения жилого дома Макухина В.М., расположенного по адресу: Ростовская область, Каменский район, х. Красновка, пер. Советский, д. 17, к.н. 61:15:0080108:307 (прибор учёта электроэнергии 5кВт - 1шт)</t>
  </si>
  <si>
    <t>Установка прибора коммерческого учёта электрической энергии, для присоединения жилого дома Болдырева А.И., расположенного по адресу: Ростовская область, Каменский район, ст-ца Калитвенская, ул. Немальцева, д. № 3, к.н.з.у. 61:15:0070101:802 (прибор учёта электроэнергии - 1шт.)</t>
  </si>
  <si>
    <t>Установка прибора коммерческого учёта электрической энергии, для присоединения жилого дома Брянцева Е.О., расположенного по адресу: Ростовская область, Каменский район, х. Старая Станица, ул. Буденного, д. 215, корп. А, к.н. 61:15:0130104:529(прибор учёта электроэнергии - 1шт)</t>
  </si>
  <si>
    <t>Установка прибора коммерческого учёта электрической энергии, для присоединения жилого дома Вишневецкой Л.В., расположенного по адресу: Ростовская область, Каменский район, х. Старая Станица, ул. Парковая, д. № 3, корп. А, к.н.з.у. 61:15:0130103:4623 (прибор учёта электроэнергии - 1шт.)</t>
  </si>
  <si>
    <t>Установка прибора коммерческого учёта электрической энергии, для присоединения жилого дома Цветковой К.М., расположенного по адресу: Ростовская область, Каменский р-н, х. Старая Станица, ул. 50 лет Победы, д. № 1 Б, КНЗУ 61:15:00130103:4718 (прибор учёта электроэнергии - 1шт.)</t>
  </si>
  <si>
    <t>Установка прибора коммерческого учёта электрической энергии, для присоединения уличного освещения (х. Павлов КТП №54) Администрации Широко-Атамановского сельского поселения, расположенного по адресу: Ростовская область, Морозовский р-н, х. Павлов, к.н.з.у.: 00:00:0000000:00 (прибор учёта электроэнергии - 1шт.)</t>
  </si>
  <si>
    <t>Установка прибора коммерческого учёта электрической энергии для присоединения жилого дома Шевелева Ю.П., расположенного по адресу: Ростовская область, Морозовский р-н,  х. Александров, ул. Заречная, д. 16, к.н.з.у.: 61:24:0100102:212 (прибор учёта электроэнергии – 1 шт.)</t>
  </si>
  <si>
    <t>Установка прибора коммерческого учёта электрической энергии, для присоединения жилого помещения Ивлева Н.М., расположенного по адресу: Ростовская область, Советский р-н, п. Низовой, ул. Степная, д. 1, к.н. 61:36:0030501:52 (прибор учёта электроэнергии - 1шт)</t>
  </si>
  <si>
    <t>Установка прибора коммерческого учёта электрической энергии, для присоединения жилого дома Юровой М.Н., расположенного по адресу: Ростовская область, Советский район, х. Русаков, ул. Мартыненко, д. 14, к.н. 61:36:0010201:102 (прибор учёта электроэнергии - 1шт.)</t>
  </si>
  <si>
    <t>Установка прибора коммерческого учёта электрической энергии, для присоединения ВРУ-0,22 кВ нежилого здания Абдусаламова З.Р., расположенного по адресу: Ростовская область, Советский р-н, ст. Советская, ул. 40 лет Октября, д. 73 «а», к.н. 61:36:0010101:4945(прибор учёта электроэнергии - 1шт.)</t>
  </si>
  <si>
    <t>Установка приборов коммерческого учёта электрической энергии, для присоединения освещения автомобильных дорог Администрации Ефремово-Степановского сельского поселения, расположенных по адресу: Ростовская область, Тарасовский р-н, сл. Ефремово-Степановка, ул. Кирова к.н. 61:37:0080101:2091 и ул. Первомайская к.н. 61:37:000000:1863 (прибор учёта электроэнергии - 2шт)</t>
  </si>
  <si>
    <t>Установка прибора коммерческого учёта электрической энергии, для присоединения освещения дороги грунтовой Администрации Ефремово-Степановского сельского поселения, расположенного по адресу: Ростовская область, Тарасовский р-н, сл. Ефремово-Степановка, ул. Октябрьская, к.н. 61:37:0080101:2072 (прибор учёта электроэнергии - 1шт)</t>
  </si>
  <si>
    <t>Обеспечение коммерческим учетом электрической энергии  в точке поставки, по присоединению садового дома Гиль Н.А., расположенного по адресу: Ростовская область, Каменский район, х. Абрамовка, тер. ДНО «Надежда», ул. Яблочная, д. № 112, к.н. 61:15:0501101:473(прибор учета электроэнергии – 1шт).</t>
  </si>
  <si>
    <t>Установка прибора коммерческого учёта электрической энергии для присоединения ВРУ-0,22 кВ строительной площадки Величко Е.И., расположенной по адресу: Ростовская область, Милютинский район,  х. Отрадно-Курносовский, ул. Первомайская, д. № 3, к.н.з.у. 61:23:0020601:8 (прибор учёта электроэнергии - 1 шт.)</t>
  </si>
  <si>
    <t>Установка прибора коммерческого учёта электрической энергии для присоединения ВРУ-0,22 кВ жилого дома Попко О.В., расположенного по адресу: Ростовская область, Милютинский район, ст. Милютинская,   ул. Дружбы, д. 25, к.н.з.у. 61:23:0030344:87 (прибор учёта электроэнергии -  1 шт.)</t>
  </si>
  <si>
    <t>Установка прибора коммерческого учёта электрической энергии для присоединения освещения автомобильных дорог Администрации Дячкинского сельского поселения, расположенных по адресу: Ростовская область, Тарасовский район, сл. Дячкино,  ул. Заречная (к.н.з.у № 61:37:0030101:1987), ул. Береговая (к.н.з.у № 61:37:0030101:1846), ул. Приозерная (к.н.з.у № 61:37:0030101:1998) (прибор учёта электроэнергии - 1шт.)</t>
  </si>
  <si>
    <t>Установка прибора коммерческого учёта электрической энергии для присоединения жилого дома Потаповой О.А., расположенного по адресу: Ростовская область, Белокалитвинского р-н,   х. Ленина, ул. Крупской, д. 18 а, к.н.з.у.: 61:04:0100112:402 (прибор учёта электроэнергии – 1 шт.)</t>
  </si>
  <si>
    <t>Установка прибора коммерческого учёта электрической энергии, для присоединения жилого дома Степанова Я.А., расположенной по адресу: Ростовская область, Каменский район, х. Красновка, ул. Октябрьская, д. № 24, к.н.з.у. 61:15:0080108:1810 (прибор учёта электроэнергии - 1 шт.)</t>
  </si>
  <si>
    <t>Установка прибора коммерческого учёта электрической энергии для присоединения жилого дома Рудаковой М.И., расположенного по адресу: Ростовская область, Каменский район, х. Груцинов, ул. Студенческая, д. № 20, кв./оф. № 1, к.н.з.у. 61:15:0050101:668 (прибор учёта электроэнергии - 1 шт.)</t>
  </si>
  <si>
    <t>Установка прибора коммерческого учёта электрической энергии, для присоединения садового дома Кучаевой Т.В., хозяйственной постройки Кононова Д.В., расположенных по адресу: Ростовская область, Каменский район, х. Абрамовка, тер. СНТ Восток, пер. Весенний, дом № 204, к.н.з.у.: 61:15:0500101:471; пер. Зеленый, дом № 303, к.н.з.у.: 61:15:0500101:426 (прибор учёта электроэнергии - 2 шт.)</t>
  </si>
  <si>
    <t>Установка прибора коммерческого учёта электрической энергии, для присоединения уличного освещения (ул. Мира КТП № 172 ф.1, ул. Полевая и ул. Школьная КТП № 172 ф.2) Администрации Широко-Атамановского сельского поселения, расположенного по адресу: Ростовская область, Морозовский р-н, х. Чекалов, ул. Мира, ул. Полевая, ул. Школьная кадастровые номера земельных участков: 00:00:0000000:00 (прибор учёта электроэнергии - 2шт.)</t>
  </si>
  <si>
    <t>Установка прибора коммерческого учета, электрической энергии для присоединения ВРУ-0,22кВ «водяная скважина» Багамаева М.А., расположенного по адресу: Ростовская область, Обливский район, хутор Дубовой, улица Овражная, к.н.з.у. 61:27:0070901:382 (прибор учета электроэнергии - 1 шт.)</t>
  </si>
  <si>
    <t>Установка прибора коммерческого учета электрической энергии, для присоединения ВРУ- 0,22 кВ объекта наружного освещения, расположенного по адресу: Ростовская область, Советский р-н, х. Наумов, ул. Молодежная, напротив дома № 7, К.Н 61:36:0600003:316 (прибор учёта электроэнергии - 1шт)</t>
  </si>
  <si>
    <t>Установка прибора коммерческого учёта электрической энергии, для присоединения ВРУ-0,22 кВ жилого дома Штоколовой С.А., расположенного по адресу: Ростовская область, Тацинский район, п. Быстрогорский, ул. Санаторная, д. 1-ж, к.н. 61:38:0040102:15. (прибор учёта электроэнергии - 1шт.)</t>
  </si>
  <si>
    <t>Установка прибора коммерческого учёта электрической энергии для присоединения ВРУ-0,22кВ уличного освещения Администрации Скосырского сельского поселения, расположенного по адресу: Ростовская область, Тацинский р-н, х. Алифанов, ул. Степная, к.н. 00:00:0000:000 (прибор учёта электроэнергии – 1 шт.)</t>
  </si>
  <si>
    <t>Установка прибора коммерческого учёта электрической энергии, для присоединения ВРУ-0,22 кВ уличного освещения Администрации Суховского сельского поселения, расположенного по адресу: Ростовская область, Тацинский район, п. Новосуховый, ул. Степная, к.н. 00:00:0000:000. (прибор учёта электроэнергии - 1шт.)</t>
  </si>
  <si>
    <t>Установка прибора коммерческого учёта электрической энергии, для присоединения ВРУ-0,22 кВ Артезианской скважины МУП ЖКХ «Станица», расположенного по адресу: Ростовская область, Тацинский район, х. Зазерский, примерно в 200 м на восток от ул. Новая, д. 12, к.н. 61:38:0600016:1054. (прибор учёта электроэнергии - 1шт.)</t>
  </si>
  <si>
    <t>Установка прибора коммерческого учёта электрической энергии, для присоединения ВРУ-0,22 кВ жилого дома Сидоренко А.С., расположенного по адресу: Ростовская область, Тацинский район, х. Надежевка, ул. Пролетарская, д. 8, корп. д, к.н. 61:15:0060901:1 (прибор учёта электроэнергии - 1шт.)</t>
  </si>
  <si>
    <t>Установка  прибора  коммерческого учёта  электрической энергии,   для    присоединения  ВРУ-0,22  кВ  строящегося  здания   Прилипко А.Н.,   расположенного   по  адресу:  Ростовская   область,   Тацинский   район,п. Быстрогорский, ул. Санаторная, д. 1, корп. д,  к.н. 61:38:0040103:26  (прибор учёта электроэнергии - 1шт.)</t>
  </si>
  <si>
    <t>Установка прибора коммерческого учёта электрической энергии для присоединения ВРУ-0,22 кВ строящегося здания СПК «Дружба», расположенного по адресу: Ростовская область, Тацинский район,   ст. Скосырская, ул. Советская, д. 12, к.н. 61:38:0060101:1135  (прибор учёта электроэнергии - 1шт.)</t>
  </si>
  <si>
    <t>Установка прибора коммерческого учёта электрической энергии для присоединения ВРУ-0,22кВ уличного освещения Администрации Скосырского сельского поселения, расположенного по адресу: Ростовская область, Тацинский р-н, х. Крюков, ул. Лесная, к.н. 00:00:0000:000 (прибор учёта электроэнергии – 1 шт.)</t>
  </si>
  <si>
    <t>Установка прибора коммерческого учёта электрической энергии для присоединения ВРУ-0,22кВ уличного освещения Администрации Скосырского сельского поселения, расположенного по адресу: Ростовская область, Тацинский р-н, х. Захаро-Обливский, ул. Набережная, к.н. 00:00:0000:000 (прибор учёта электроэнергии – 1 шт.)</t>
  </si>
  <si>
    <t>Установка прибора коммерческого учёта электрической энергии для присоединения ВРУ-0,22кВ уличного освещения Администрации Скосырского сельского поселения, расположенного по адресу: Ростовская область, Тацинский р-н, х. Захаро-Обливский, ул. Мира, к.н. 00:00:0000:000 (прибор учёта электроэнергии – 1 шт.)</t>
  </si>
  <si>
    <t>Установка прибора коммерческого учёта электрической энергии для присоединения ВРУ-0,22кВ уличного освещения Администрации Скосырского сельского поселения, расположенного по адресу: Ростовская область, Тацинский р-н, х. Крюков, ул. Школьная, к.н. 00:00:0000:000 (прибор учёта электроэнергии – 1 шт.)</t>
  </si>
  <si>
    <t>Установка прибора коммерческого учёта электрической энергии, для присоединения ВРУ-0,22 кВ уличного освещения Администрации Суховского сельского поселения, расположенного по адресу: Ростовская область, Тацинский район, х. Крылов, ул. Молодежная, к.н. 00:00:0000:000. (прибор учёта электроэнергии - 1шт.)</t>
  </si>
  <si>
    <t>Установка прибора коммерческого учёта электрической энергии, для присоединения ВРУ-0,22 кВ квартиры Кратенко М.М., расположенного по адресу: Ростовская область, Тацинский район, х. Крюков, ул. Ленина, д. 21, кв. 3, к.н. 61:38:0060701:1247 (прибор учёта электроэнергии - 1шт.)</t>
  </si>
  <si>
    <t>Установка прибора коммерческого учёта электрической энергии, для присоединения ВРУ-0,4кВ дачного дома Ивакиной Е.В., расположенного по адресу: Ростовская область, Каменский район, х. Абрамовка, с/т Черемушки, ул. Абрикосовая, дом № 18, К.Н 61:15:0501301:393 (прибор учета электроэнергии - 1 шт.)</t>
  </si>
  <si>
    <t>Установка прибора коммерческого учёта электрической энергии, для присоединения ВРУ-0,4кВ дачного дома, Шестопаловой Л.М., расположенного по адресу: Ростовская область, Каменский район, х. Абрамовка, снт. Восток, пер. Садовая, д. 226, к.н. 61:15:0500101:624, (прибор учёта электроэнергии –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</si>
  <si>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Музафаровой С.С., Мироненко А.В., Буложенко К.В., Кагальницкий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</si>
  <si>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№68-33 ВЛ-0,4 №6 КТП-68 ВЛ-10 603 ПС 35 кВ ЗР6 для технологического присоединения энергопринимающих устройств ЛПХ заявителя Воробьевой Е.В. , Ростовская область, р-н. Зерноградский, п. Лободин, ул. Майская,  д. 4 (1 шт.)</t>
  </si>
  <si>
    <t>Установка прибора коммерческого учета электрической энергии (мощности) на границе земельного участка, подключенного от опоры №121-106 ВЛ-0,4 №3 КТП-121 ВЛ-10 313 ПС 35 кВ КГ3 для технологического присоединения энергопринимающих устройств садового дома Заявителя Литовченко А. Е., Ростовская область, р-н. Кагальницкий, п. Березовая Роща, СНТ "Железнодорожник" уч.1396 (1 шт.)</t>
  </si>
  <si>
    <t>Установка прибора коммерческого учета электрической энергии (мощности) на границе земельного участка, подключенного от опоры №15-51 ВЛ-0,4 №3 КТП-15 ВЛ-10 605 ПС 35 кВ КГ6 для технологического присоединения энергопринимающих устройств жилого дома Заявителя Беляева А.М., Ростовская область, Кагальницкий р-н, с. Новобатайск, ул. Мичурина д.30 (1 шт.)</t>
  </si>
  <si>
    <t>Установка прибора коммерческого учета электрической энергии (мощности) на границе земельного участка, подключенного от опоры №15-51 ВЛ-0,4 №3 КТП-15 ВЛ-10 605 ПС 35 кВ КГ6 для технологического присоединения энергопринимающих устройств жилого дома Заявителя Бурлученко И.Н., Ростовская область, Кагальницкий р-н, с. Новобатайск, ул. Мичурина д.28 (1 шт.)</t>
  </si>
  <si>
    <t>Установка прибора коммерческого учета электрической энергии (мощности) на границе земельного участка, подключенного от опоры №53-5 ВЛ-0,4 №2 КТП-53 ВЛ-10 1606 ПС 35 кВ ЗР6 для технологического присоединения энергопринимающих устройств ЛПХ Заявителя Брайцара Т.М., Ростовская область, Зерноградский р-н, х. 2-й Россошинский, ул. Мира д.5 (1 шт.)</t>
  </si>
  <si>
    <t>Установка прибора коммерческого учета электрической энергии (мощности) на границе земельного участка, подключенного от опоры №83-184 ВЛ-0,4 №2 КТП-83 ВЛ-10 415 ПС 35 кВ КГ4 для технологического присоединения энергопринимающих устройств жилого дома Заявителя Серебренниковой А.В., Ростовская область, Кагальницкий р-н, с. Васильево-Шамшево, ул. Набережная д.19 (1 шт.)</t>
  </si>
  <si>
    <t>Установка прибора коммерческого учета электрической энергии (мощности) на границе земельного участка, подключенного от опоры №69-19 ВЛ-0,4 №1 от КТП-69 по ВЛ-10 413 ПС 35 кВ КГ4, для электроснабжения ЛПХ заявителя Галдина А.В., Ростовская область, Кагальницкий р-н, х. Тимошенко, ул. Дачная д.13А (1 шт.)</t>
  </si>
  <si>
    <t>Установка коммерческого учета электрической энергии (мощности) на границе земельного участка, подключенного от опоры №14-22 ВЛ-0,4 кВ №1 КТП 10/0,4кВ №14 ВЛ-10кВ №1515 ПС 35/10 кВ «А-15», для электроснабжения жилого дома заявителя Белан В.И., х. Полтава 2-я, Азовский р-он Ростовская область</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</si>
  <si>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Генераловой О.А., Рыбка А.К., Рыбка А.К., Рыбка О.К., Гринченко А.П., Финенко С.А., Азовский р-он Ростовская область (6 шт.)</t>
  </si>
  <si>
    <t>Установка прибора коммерческого учета электрической энергии (мощности) на границе земельного участка, подключенного от оп. №32-69 ВЛ 0,4 кВ №3 КТП 10/0,4кВ №32 ВЛ 10кВ №2907 РП-29 ПС 35/10 кВ А-18 для технологического присоединения энергопринимающих устройств жилого дома Заявителя Соболева Д.В. х. Коса,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</si>
  <si>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Кочетова С.Е., Прозорова С.В., Жарикова С.М., Ключникова Е.А., Азовский район Ростовская область (4 шт.)</t>
  </si>
  <si>
    <t>Установка прибора коммерческого учета электрической энергии (мощности) на границе земельного участка, подключенного от опоры №153-57 ВЛ-0,4 кВ №1 КТП 10/0,4кВ №153 ВЛ-10кВ №915 ПС 35/10 кВ «А-9» для технологического присоединения энергопринимающих устройств жилого дома Заявителя Моисеенко Е.А. с. Платоно-Петровка,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</si>
  <si>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№381-54 ВЛ-0,4кВ №1 КТП-10/0,4 кВ №381 ВЛ-10кВ №106Н ПС 110/6/10 кВ «НС-1» для технологического присоединения энергопринимающих устройств жилого дома Заявителя Чухова Н.А. ДНТ СН Кулешовка-2,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</si>
  <si>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№166-9 ВЛ 0,4 кВ №1 КТП 10/0,4кВ №166 ВЛ 10кВ №1701 ПС 35/10 кВ А-17 для технологического присоединения энергопринимающих устройств жилого дома Заявителя Токаревой В.Л.,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</si>
  <si>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№153-58 ВЛ 0,4 кВ №1 КТП 10/0,4кВ №153 ВЛ 10кВ 915 ПС 35/10 кВ А-9 для технологического присоединения энергопринимающих устройств жилого дома Заявителя Ким Р.М., с.Платоно-Петровка,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</si>
  <si>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№156-69 ВЛ 0,4 кВ №2 КТП 10/0,4кВ №156 ВЛ 10кВ №1701 ПС 35/10 кВ А-17 для технологического присоединения энергопринимающих устройств жилого дома Заявителя Василевской С.А.,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</si>
  <si>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№187-2 ВЛ 0,4 кВ №1 КТП 10/0,4кВ №187 ВЛ 10кВ №106Н ПС 110/6/10 кВ НС-1 для технологического присоединения энергопринимающих устройств жилого дома Заявителя Эпова Е.Г., Кулешовское сельское поселение, территория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</si>
  <si>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№102-30 ВЛ-0,4 кВ №1 КТП 10/0,4кВ №102 ВЛ-10кВ №2907 РП-29 ПС 35/10 кВ А-18 для технологического присоединения энергопринимающих устройств жилого дома Заявителя Саинчук Е.А.,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</si>
  <si>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№196-6 ВЛ 0,4 кВ №1 КТП 10/0,4кВ №196 ВЛ 10кВ №3125 ПС 110/35/10 кВ А-31 для технологического присоединения энергопринимающих устройств жилого дома Заявителя Левченко А.В., с. Головатовка,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</si>
  <si>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№222-32 ВЛ-0,4 кВ №1 КТП 10/0,4кВ №222 ВЛ-10кВ №901 ПС 35/10 кВ А-9 для технологического присоединения энергопринимающих устройств жилого дома Заявителя Гудимова Л.В., с. Высочино,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</si>
  <si>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№8-26 ВЛ 0,4 кВ №2 КТП 10/0,4кВ №8 ВЛ 10кВ №3125 ПС 110/35/10 кВ А-31 для технологического присоединения энергопринимающих устройств жилого дома Заявителя Горовенко Д. Ф.,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</si>
  <si>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0,4кВ КТП 10/0,4 кВ №279 (балансовая принадлежность ИП Усачев В.И. (п. Беловодье) по ВЛ 10кВ №1815 ПС 35/10 кВ А-18 для технологического присоединения энергопринимающих устройств жилого дома Заявителя Белоглазовой Т.В.,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</si>
  <si>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0,4кВ КТП-10/0,4 кВ №279 (балансовая принадлежность ИП Усачев В.И. (п. Беловодье) по ВЛ 10кВ №1815 ПС 35/10 кВ «А-18» для технологического присоединения энергопринимающих устройств жилого дома Заявителя Пузикова М. В.,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</si>
  <si>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ВЛ-0,4кВ КТП-10/0,4 кВ №279 (балансовая принадлежность КТП №279, ВЛ-0,4 кВ ИП Усачев В.И. (п. Беловодье) по ВЛ-10кВ №1815 ПС 35/10 кВ «А-18» для технологического присоединения энергопринимающих устройств жилого дома Заявителя Шавелевой Е.С., х. Обуховка, Азовский район Ростовская область (1 шт.)</t>
  </si>
  <si>
    <t>Установка приборов коммерческого учета электрической энергии (мощности) на границе земельного участка, подключенного от опоры №121-38 ВЛ-0,4 кВ №2 КТП 10/0,4кВ №121 ВЛ-10кВ №1904 РП-19 ПС 110/35/10 кВ «Самарская» для технологического присоединения энергопринимающих устройств жилого дома Заявителя Кашириной М.В., Азовский район Ростовская область (1шт.)</t>
  </si>
  <si>
    <t>Установка прибора коммерческого учета электрической энергии (мощности) на границе земельного участка, подключенного от опоры №112-23 ВЛ-0,4 кВ №1 КТП 10/0,4кВ №112 ВЛ-10кВ №3113 ПС 110/35/10 кВ «А-31» для технологического присоединения энергопринимающих устройств жилого дома Заявителя Василиади Т.Г.,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</si>
  <si>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№14-68 ВЛ 0,4 кВ №3 КТП 10/0,4кВ №14 ВЛ 10кВ №106Н ПС 110/6/10 кВ НС-1 для технологического присоединения энергопринимающих устройств жилого дома Заявителя Цой Н.Ч.,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</si>
  <si>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№156-104 ВЛ-0,4 кВ №3 КТП 10/0,4кВ №156 ВЛ-10кВ №1701 ПС 35/10 кВ А-17 для технологического присоединения энергопринимающих устройств жилого дома Заявителя Блок Е.А.,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</si>
  <si>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№49-15 ВЛ 0,4 кВ №1 КТП 10/0,4кВ №49 ВЛ 10кВ №1411 РП-14 ПС 110/35/10 кВ А-32 для технологического присоединения энергопринимающих устройств жилого дома Заявителя Верещагиной В.Н., п. Чепрасовский,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</si>
  <si>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№70-61 ВЛ 0,4 кВ №2 КТП 10/0,4кВ №70 ВЛ 10кВ №2608 ПС 110/10 кВ А-26 для технологического присоединения энергопринимающих устройств жилого дома Заявителя Волкова А.А.,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</si>
  <si>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№8-110 ВЛ 0,4 кВ №3 КТП 10/0,4кВ №8 ВЛ 10кВ №3125 ПС 110/35/10 кВ А-31 для технологического присоединения энергопринимающих устройств религиозного центра Заявителя МРОП Приход храма апостола Иоанна Богослова с. Пешково Азовского р-на,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</si>
  <si>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№88-77 ВЛ-0,4 кВ №3 КТП 10/0,4кВ №88 ВЛ 10кВ №3127 ПС 110/35/10 кВ А-31 для технологического присоединения энергопринимающих устройств жилого дома Заявителя Шибинской А.Б., с. 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</si>
  <si>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№38 (балансовая принадлежность Администрация Елизаветинского сельского поселения) ВЛ 10кВ №1802 ПС 35/10 кВ А-18 для технологического присоединения энергопринимающих устройств жилого дома Заявителя Попырко В.В., х. Дугино,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</si>
  <si>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 кВ КТП 10/0,4кВ №94 ВЛ-10кВ №2907 РП-29 ПС 35/10 кВ «А-18» для технологического присоединения энергопринимающих устройств гаража Мижерицкого Р.А. х. Казачий Ерик,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</si>
  <si>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 кВ КТП 10/0,4кВ №94 (на балансе Администрации Елизаветинского сельского поселения) ВЛ-10кВ №2907 РП-29 ПС 35/10 кВ «А-18» для технологического присоединения энергопринимающих устройств жилого дома Заявителя Белова И.В. х. Казачий Ерик, Азовский район Ростовская область (1 шт.)</t>
  </si>
  <si>
    <t>Строительство участка ВЛИ 0,4кВ от опоры №83-1 ВЛ-0,4 кВ №1 КТП 10/0,4 кВ №83 ВЛ-10кВ №1802 ПС 35/10 кВ А-18 и системы учета электрической энергии (мощности) на границе земельного участка для электроснабжения жилого дома заявителя Щёголева П.Ю., х. Дугино, Азовский район, Ростовская область (ориентировочная протяженность ЛЭП – 0,285 км)</t>
  </si>
  <si>
    <t>Установка прибора коммерческого учета электрической энергии (мощности) на границе земельного участка, подключенного от опоры № 50-25 ВЛ-0,4 №3 КТП-50 ВЛ-10 1004 ПС 110 кВ Полячки для технологического присоединения энергопринимающих устройств жилого дома заявителя Липчанского В. Н. , Ростовская область, р-н. Кагальницкий, х. Жуково-Татарский ул. Ленина д.44/2 (1 шт.)</t>
  </si>
  <si>
    <t>Установка прибора коммерческого учета электрической энергии (мощности) на границе земельного участка, подключенного от опоры №108-31 ВЛ-0,4 №1 КТП-108 ВЛ-10 304 ПС 35 кВ КГ3 для технологического присоединения энергопринимающих устройств ЛПХ Заявителя Смирнова И.М., Ростовская область, Кагальницкий р-н, ст. Кировская, ул. Ленина д.176 (1 шт.)</t>
  </si>
  <si>
    <t>Установка прибора коммерческого учета электрической энергии (мощности) на границе земельного участка, подключенного от опоры №121-40 ВЛ-0,4 №1 КТП-121 ВЛ-10 313 ПС 35 кВ КГ3 для технологического присоединения энергопринимающих устройств садового дома Заявителя Кузнецовой Т.В., Ростовская область, Аксайский р-н, СНТ «Садко», 16 линия уч. 799 (1 шт.)</t>
  </si>
  <si>
    <t>Установка прибора коммерческого учета электрической энергии (мощности) на границе земельного участка, подключенного от опоры №28-31 ВЛ-0,4 №1 ЗТП-28 ВЛ-10 313 ПС 35 кВ КГ3 для технологического присоединения энергопринимающих устройств ЛПХ Заявителя Ким Л.Л., Ростовская область, Кагальницкий р-н, ст. Кировская, ул. Космонавтов д.28 (1 шт.)</t>
  </si>
  <si>
    <t>Установка прибора коммерческого учета электрической энергии (мощности) на границе земельного участка, подключенного от опоры №67-82 ВЛ-0,4 №5 КТП-67 ВЛ-10 1210 ПС 110 кВ Манычская для технологического присоединения энергопринимающих устройств жилого дома Заявителя Кулишова А.А., Ростовская область, Зерноградский р-н, п. Сорговый, ул. Манычская д.6 (1 шт.)</t>
  </si>
  <si>
    <t>Установка прибора коммерческого учета электрической энергии (мощности) на границе земельного участка, подключенного от опоры №75-67 ВЛ-0,4 №3 КТП-75 ВЛ-10 1501 ПС 110 кВ ЗР15 для технологического присоединения энергопринимающих устройств магазина Заявителя Устиновой О.А., Ростовская область, Зерноградский р-н, п. Экспериментальный, ул. Шоссейная вблизи д.7 (1 шт.)</t>
  </si>
  <si>
    <t>Установка прибора коммерческого учета электрической энергии (мощности) на границе земельного участка, подключенного от опоры №98-23 ВЛ-0,4 №3 КТП-98 ВЛ-10 603 ПС 35 кВ ЗР6 для технологического присоединения энергопринимающих устройств квартиры заявителя Дехтярёвой В. В. , Ростовская область, р-н. Зерноградский х. Чернышёвка ул. Школьная д.42 кв.1 (1 шт.)</t>
  </si>
  <si>
    <t>Установка прибора коммерческого учета электрической энергии (мощности) на границе земельного участка, подключенного от оп. №39-23 ВЛ 0,4 кВ №1 КТП 10/0,4кВ №39 ВЛ 10кВ №802 ПС 35/10 кВ «А-8» для технологического присоединения энергопринимающих устройств дачного дома Заявителя Вовк Н.Г. х. Павло-Очаково,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</si>
  <si>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№105-10 ВЛ 0,4 кВ №1 КТП 10/0,4кВ №105 ВЛ 10кВ №2608 ПС 110/10 кВ А-26 для технологического присоединения энергопринимающих устройств жилого дома Заявителя Новиковой Е.О.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</si>
  <si>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№350-62/27 ВЛ-0,4 кВ №2 КТП 6/0,4кВ №350 ВЛ-6кВ №207Н ПС 110/6/10 кВ «НС-2» для технологического присоединения энергопринимающих устройств дачного дома Заявителя Донец Т.Н., СТ «Квант»,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</si>
  <si>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№100-78 ВЛ 0,4 кВ №2 КТП 10/0,4кВ №100 ВЛ 10кВ №2412 ПС 35/10 кВ А-24 для технологического присоединения энергопринимающих устройств жилого дома Заявителя Широкова С.А., х. Лагутник,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</si>
  <si>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№21-17 ВЛ 0,4 кВ №1 КТП 10/0,4кВ №21 ВЛ 10кВ №1702 ПС 35/10 кВ А-17 для технологического присоединения энергопринимающих устройств жилого дома Заявителя Скорятина С.В., с. Стефанидинодар,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</si>
  <si>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№48-24 ВЛ 0,4 кВ №2 КТП 10/0,4кВ №48 ВЛ 10кВ №1815 ПС 35/10 кВ А-18 для технологического присоединения энергопринимающих устройств жилого дома Заявителя Амирагян Н.А., Рыболовецкий колхоз им.Ленина в границах квартала 61:01:0600002 на территории Елизаветинского сельского поселения от ПТ "Пять братьев",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</si>
  <si>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№240-144 ВЛ 0,4 кВ №3 КТП 10/0,4кВ №240 ВЛ 10кВ №106Н ПС 110/6/10 кВ НС-1 для технологического присоединения энергопринимающих устройств жилого дома Заявителя Карпун Ю.И.,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</si>
  <si>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№311-12 ВЛ 0,4 кВ №1 КТП 10/0,4кВ №311 ВЛ 10кВ №106Н ПС 110/6/10 кВ НС-1 для технологического присоединения энергопринимающих устройств жилого дома Заявителя Сурма И.М., СХА "Кулешовское" поле III 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</si>
  <si>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№381-39 ВЛ 0,4 кВ №1 КТП 10/0,4кВ №381 ВЛ 10кВ №106Н ПС 110/6/10 кВ НС-1 для технологического присоединения энергопринимающих устройств жилого дома Заявителя Мищенко Е.А., ДНТ СН Кулешовка-2,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</si>
  <si>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№381-93 ВЛ 0,4 кВ №2 КТП 10/0,4кВ №381 ВЛ 10кВ №106Н ПС 110/6/10 кВ НС-1 для технологического присоединения энергопринимающих устройств жилого дома Заявителя Морозова Р.А.,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</si>
  <si>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№113-4 ВЛ 0,4 кВ №1 КТП 10/0,4кВ №113 ВЛ 10кВ №3125 ПС 110/35/10 кВ А-31 для технологического присоединения энергопринимающих устройств жилого дома Заявителя Исоченко Е.Н., с. Головатовка,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</si>
  <si>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№115-124 ВЛ 0,4 кВ №3 КТП 10/0,4кВ №115 ВЛ 10кВ №3125 ПС 110/35/10 кВ А-31 для технологического присоединения энергопринимающих устройств жилого дома Заявителя Ивановой Л.И.,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</si>
  <si>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ВЛ-0,4кВ (бесхозная) КТП 6/0,4 кВ №101 по ВЛ 6кВ №10701 ПС 110/35/6 кВ А-1 для технологического присоединения энергопринимающих устройств жилого дома Заявителя Марченко М.И., г. Азов, Ростовская область (1 шт.)</t>
  </si>
  <si>
    <t>Строительство участка ВЛИ 0,4кВ от опоры №9-1 ВЛ-0,4 кВ №1 КТП 10/0,4 кВ №9 ВЛ-10 кВ 3125 ПС 110/35/10 кВ А-31 и системы учета электрической энергии (мощности) на границе земельного участка для электроснабжения жилого дома заявителя Резниченко М.В., с. Пешково, Азовский район, Ростовская область (ориентировочная протяженность ЛЭП – 0,220 км)</t>
  </si>
  <si>
    <t>Установка прибора коммерческого учета электрической энергии (мощности) на границе земельного участка, подключенного от опоры №б/н ВЛ-0,4 кВ КТП 10/0,4кВ №38 (балансовая принадлежность Администрация Елизаветинского сельского поселения) ВЛ-10кВ №1802 ПС 35/10 кВ «А-18» для технологического присоединения энергопринимающих устройств гаража Заявителя Зинченко А.И., х. Дугино,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</si>
  <si>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№194-7 ВЛ-0,4 №2 КТП-194 ВЛ-10 313 ПС 35 кВ КГ3 для технологического присоединения энергопринимающих устройств административного здания Заявителя Беджанян С.К., Ростовская область, Кагальницкий р-н, ст. Кировская, ул. Кирова д.8В (1 шт.)</t>
  </si>
  <si>
    <t>Установка приборов коммерческого учета электрической энергии (мощности) для технологического присоединения энергопринимающих устройств жилого дома Заявителя Стельмашова С.Б., ст-ца Елизаветинская,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</si>
  <si>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№16-151 ВЛ 0,4 кВ №3 КТП 10/0,4кВ №16 ВЛ 10кВ №2608 ПС 110/10 кВ А-26 для технологического присоединения энергопринимающих устройств жилого дома Заявителя Моховой Л.Н. с. Кулешовка,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</si>
  <si>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Булгаковой О.Т., Минко О.Ю., Гиносян М.Б.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</si>
  <si>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 №182-12 ВЛ-0,4кВ №1 КТП-10/0,4 кВ №182 ВЛ-10кВ №3127 ПС 110/35/10 кВ «А-31» для технологического присоединения энергопринимающих устройств жилого дома Заявителя Баталовой Е.В., с.Круглое,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</si>
  <si>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№66-77 ВЛ-0,4 кВ №2 КТП 10/0,4кВ №66 ВЛ-10кВ №2608 ПС 110/10 кВ А-26 для технологического присоединения энергопринимающих устройств жилого дома Заявителя Мухонько Ю.Н., с. 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</si>
  <si>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№143-29 ВЛ-0,4 кВ №2 КТП-10/0,4 кВ №143 по ВЛ-10 кВ № 802 ПС 35/10 кВ «А-8» для технологического присоединения энергопринимающих устройств жилого дома Заявителя Поповченковой Л.И., х. Павло-Очаково,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</si>
  <si>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№27-100 ВЛ-0,4 кВ №4 КТП-10/0,4 кВ №27 по ВЛ-10 кВ № 1701 ПС 35/10 кВ «А-17» для технологического присоединения энергопринимающих устройств жилого дома Заявителя Талпа Ж.В.,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</si>
  <si>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№212-29 ВЛ 0,4 кВ №2 КТП 10/0,4кВ №212 ВЛ 10кВ №910 ПС 35/10 кВ А-9 для технологического присоединения энергопринимающих устройств жилого дома Заявителя Тиверкаева В.В., г. Азов, СНТ Южное, Азовский район Ростовская область (1 шт.)</t>
  </si>
  <si>
    <t>Строительство участка ВЛИ 0,4кВ от проектируемой ВЛ 0,4 кВ (по договору ТП № 61-1-20-00549235 от 01.02.2021 г.)  КТП 10/0,4 кВ №192 ВЛ-10 кВ №1020 ПС 110/35/10 кВ Самарская и системы учета электрической энергии (мощности) на границе земельного участка для электроснабжения жилого дома заявителя Павловской Н.А., с. Самарское, Азовский район, Ростовская область (ориентировочная протяженность ЛЭП – 0,190 км)</t>
  </si>
  <si>
    <t>Строительство участка ВЛИ 0,4 кВ от оп. №28-40 ВЛ-0,4 №1 от ЗТП-28 по ВЛ-10 313 ПС 35 кВ КГ3 и системы учета электрической энергии (мощности) на границе земельного участка для электроснабжения жилого дома заявителя Радченко А.А., Ростовская область, Кагальницкий р-н, ст. Кировская, ул. Северная д.11 (ориентировочная протяженность ВЛИ-0,4  – 0,03 км)</t>
  </si>
  <si>
    <t>Установка прибора коммерческого учета электрической энергии (мощности) на границе земельного участка, подключенного от опоры №28-17 ВЛ 0,4 №2 КТП-28 ВЛ-10 1006 ПС 110 кВ Полячки для технологического присоединения энергопринимающих устройств жилого дома Заявителя Мартыновского Ю.В., Ростовская область, Кагальницкий р-н, х. Родники, к.н: 61:14:0000000:00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</si>
  <si>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Митьковой В.И., Ильченко Н.В., Азовский район Ростовская область (2 шт.)</t>
  </si>
  <si>
    <t>Установка прибора коммерческого учета электрической энергии (мощности) на границе земельного участка, подключенного от опоры №31-150 ВЛ 0,4 кВ №2 КТП 10/0,4кВ №31 ВЛ 10кВ №2907 РП-29 ПС 35/10 кВ А-18 для технологического присоединения энергопринимающих устройств жилого дома Заявителя Дегтяренко А.В., ст-ца. Елизаветинская,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</si>
  <si>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№352-44 ВЛ-0,4 кВ №3 КТП 6/0,4кВ №352 ВЛ-6кВ №207Н ПС 110/6/10 кВ «НС-2» для технологического присоединения энергопринимающих устройств жилого дома Заявителя Дережинцева А.С., СТ «Квант»,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</si>
  <si>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№42-57 ВЛ 0,4 кВ №2 КТП 10/0,4кВ №42 ВЛ 10кВ №1802 ПС 35/10 кВ А-18 для технологического присоединения энергопринимающих устройств жилого дома Заявителя Владимирова В.Н., х. Рогожкино, Азовский район Ростовская область (1 шт.)</t>
  </si>
  <si>
    <t>Установка приборов коммерческого учета электрической энергии (мощности) на границе земельного участка, подключенного от оп. №381-47 ВЛ-0,4 кВ №1 КТП 10/0,4кВ №381 ВЛ-10кВ №106Н ПС 110/6/10 кВ «НС-1» для технологического присоединения энергопринимающих устройств жилого дома Заявителя Степанян С.Ш., Азовский район Ростовская область (1шт.)</t>
  </si>
  <si>
    <t>Установка приборов коммерческого учета электрической энергии (мощности) на границе земельного участка, подключенного от опоры оп. №56-19 ВЛ-0,4 кВ №2 КТП 10/0,4кВ №56 ВЛ-10кВ №2907 РП-29 ПС 35/10 кВ «А-18» для технологического присоединения энергопринимающих устройств жилого дома Заявителя Кондрашовой Л.Л., Азовский район Ростовская область (1 шт.)</t>
  </si>
  <si>
    <t>Строительство участка ВЛИ 0,4кВ от опоры №100-34 ВЛ 0,4 кВ №1 КТП 10/0,4 кВ №100 ВЛ 10 кВ №2412 от ПС 35/10 кВ А-24 и системы учета электрической энергии (мощности) на границе земельного участка для электроснабжения жилого дома заявителя Ромазанова А.М., х. Лагутник, Азовский район, Ростовская область (ориентировочная протяженность ЛЭП – 0,075 км)</t>
  </si>
  <si>
    <t>Установка прибора коммерческого учета электрической энергии (мощности) на границе земельного участка, подключенного от опоры №115-73 ВЛ-0,4 кВ №4 КТП 10/0,4кВ №115 ВЛ-10кВ №3125 ПС 110/35/10 кВ «А-31» для технологического присоединения энергопринимающих устройств жилого дома Заявителя Дилановой С.С.,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</si>
  <si>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№29-51 ВЛ 0,4 кВ №1 ЗТП 10/0,4кВ №29 КЛ 10кВ №1205 ПС 110/10 кВ А-12 для технологического присоединения энергопринимающих устройств жилого дома Заявителя Дзыс Ю.П.,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</si>
  <si>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№45-15 ВЛ 0,4 кВ №2 КТП 10/0,4кВ №45 ВЛ 10кВ №2907 РП-29 ПС 35/10 кВ А-18 для технологического присоединения энергопринимающих устройств жилого дома Заявителя Беляндинова А.Ф., х. Курган,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</si>
  <si>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№89-27 ВЛ 0,4 кВ №1 КТП 10/0,4кВ №89 ВЛ 10кВ №803 ПС 35/10 кВ А-8 для технологического присоединения энергопринимающих устройств жилого дома Заявителя Грачевой Т.И., с. Семибалки,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</si>
  <si>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№37 (балансовая принадлежность Администрация Елизаветинского с/п) ВЛ 10кВ №1802 ПС 35/10 кВ А-18 для технологического присоединения энергопринимающих устройств жилого дома Заявителя Старовой А.А. х. Дугино, Азовский район Ростовская область (1 шт.)</t>
  </si>
  <si>
    <t>Установка коммерческого учета электрической энергии (мощности) на границе земельного участка, подключенного от опоры №187-54 ВЛ 0,4кВ №2 КТП 10/0,4кВ №187 по ВЛ 10кВ №106Н ПС 110/6/10кВ "НС-1" для электроснабжения жилого дома заявителя Бязровой А.Г., ДНТ "Кулешовка", Ростовская область</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</si>
  <si>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Собакина В.А., Живой Л.А., Козаченко Т.П., Азовский р-он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</si>
  <si>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Моисеенко Н.А., Ефимова В.В., Досова С.В., Деевой О.Л., Пронина А.Г., Прудько Н.М., Азовский р-он Ростовская область (6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</si>
  <si>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Бондаренко А.И., Кваша Д.Р., Джуммиевой М.Д., ООО «Азовская Рыбная компания», Масловой Е.М., Дрюкова Ю.В., Самохвалова И.Г., Ецинер А.П., Азовский р-он Ростовская область (8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</si>
  <si>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Мелиховой Т.О., Хоткина А.А., Зайцева К.С., Федорцова В.В., Кылосовой Л.Г., Жукова В.В., Азовский р-он Ростовская область (6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</si>
  <si>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Авдеевой И.В., Шкиль Д.Е., Азовский район Ростовская область (2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</si>
  <si>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Карпенко А.А., Савельевой Е.Н., Костюченко А.А.,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</si>
  <si>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№107-47 ВЛ-0,4 №2 КТП-107 ВЛ-10 122 ПС 220 кВ Зерновая для технологического присоединения энергопринимающих устройств ЛПХ Заявителя Гаркушиной Т.П., Ростовская область, Зерноградский р-н, х. Ракитный, ул. Заречная д.31Б (1 шт.)</t>
  </si>
  <si>
    <t>Установка прибора коммерческого учета электрической энергии (мощности) на границе земельного участка, подключенного от опоры №109-94 ВЛ-0,4 №3 КТП-109 ВЛ-10 805 ПС 110 кВ БОС для технологического присоединения энергопринимающих устройств жилого дома Заявителя Гужвы Е.А., Ростовская область, Кагальницкий р-н, п. Мокрый Батай, ул. Солнечная д.39А (1 шт.)</t>
  </si>
  <si>
    <t>Установка прибора коммерческого учета электрической энергии (мощности) на границе земельного участка, подключенного от опоры №44-4 ВЛ-0,4 №2 КТП-44 ВЛ-10 806 ПС 35 кВ ЗР8 для технологического присоединения энергопринимающих устройств жилого дома Заявителя Гурина С.В., Ростовская область, Зерноградский р-н, х. Донской, ул. Черемушки д.3 кв.1 (1 шт.)</t>
  </si>
  <si>
    <t>Установка прибора коммерческого учета электрической энергии (мощности) на границе земельного участка, подключенного от опоры №135-14 ВЛ-0,4 №1 КТП-135 ВЛ-10 805 от ПС 110 кВ БОС для технологического присоединения энергопринимающих устройств ЛПХ Заявителя Зайло Р.М., Ростовская область, р-н. Кагальницкий, п. Мокрый Батай , ул. Мира (1 шт.)</t>
  </si>
  <si>
    <t>Установка прибора коммерческого учета электрической энергии (мощности) на границе земельного участка, подключенного от опоры №54-32 ВЛ 0,4 №1 КТП-54 ВЛ-10 318 ПС 35 кВ КГ3 для технологического присоединения энергопринимающих устройств жилой дом Заявителя Нестеренко А.В., Ростовская область, Кагальницкий р-н, ст. Кировская, ул. Гагарина д.40 (1 шт.)</t>
  </si>
  <si>
    <t>Установка прибора коммерческого учета электрической энергии (мощности) на границе земельного участка, подключенного от опоры №2-80 ВЛ-10 313 ПС 35 кВ КГ3 для технологического присоединения энергопринимающих устройств КТП Заявителя ОАО" Российские железные дороги" , Ростовская область, р-н. Кагальницкий, п. Мокрый Батай, перегон Конармейская-Мокрый Батай, железнодорожный переезд 22км (1 шт.)</t>
  </si>
  <si>
    <t>Установка прибора коммерческого учета электрической энергии (мощности) на границе земельного участка, подключенного от опоры №89-45 ВЛ 0,4 №2 КТП-89 ВЛ-10 1207 ПС 110 кВ Манычская для технологического присоединения энергопринимающих устройств квартиры Заявителя Пономарева В.В., Ростовская область, Зерноградский р-н, п. Сорговый, ул. Заполосная д.15 кв.3 (1 шт.)</t>
  </si>
  <si>
    <t>Установка прибора коммерческого учета электрической энергии (мощности) на границе земельного участка, подключенного от опоры №55-43 ВЛ-0,4 №1 КТП-55 ВЛ-10 1107 ПС 35 кВ ЗР11 для технологического присоединения энергопринимающих устройств жилого дома Заявителя Суханова А.А., Ростовская область, Зерноградский р-н, с. Новоивановка, ул. Школьная д.16 (1 шт.)</t>
  </si>
  <si>
    <t>Установка прибора коммерческого учета электрической энергии (мощности) на границе земельного участка, подключенного от опоры №130-46 ВЛ 0,4 №2 КТП-130 ВЛ-10 407 ПС 35 кВ КГ4 для технологического присоединения энергопринимающих устройств жилой дом Заявителя Тимошенко Т.А., Ростовская область, Кагальницкий р-н, п. Двуречье, ул. Советская д.18Б (1 шт.)</t>
  </si>
  <si>
    <t>Установка прибора коммерческого учета электрической энергии (мощности) на границе земельного участка, подключенного от опоры №1-3 ВЛ-0,4 №1 КТП-1 ВЛ-10 114 ПС 220 кВ Зерновая для технологического присоединения энергопринимающих устройств квартиры Заявителя Шаповаловой Е.А., Ростовская область, Зерноградский р-н, п. Кленовый, ул. Сидоренко д.5 кв.2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</si>
  <si>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Твердохлебовой Л.В., Карапетян В.С., Шматко А.А., Яковенко А.Н., Петрунько Л.В., Ильченко М.П., Чемоданова В.И., Азовский р-он Ростовская область (7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</si>
  <si>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Кравченко Ю.А., Кирсанова В.В., Цепиловой А.П., ООО «Мелиоратор», Жуковой Т.Г., Постоялко В.Т., Кравцовой Е.И., Кириллова Ю.А., Азовский р-он Ростовская область (8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</si>
  <si>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Бакуменко Р.В., Артемова Г.К., Евшиной И.А., Медведева А.В., Кизельской О.Ф., Демидченко С.Н., Сакевич О.И., Сытник В.Н., Зозуля О.С., Ординцова С.В., Азовский р-он Ростовская область (10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</si>
  <si>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Александровой Н.Ф., Гуровой Е.А., Локтюхова М.Ю., Шумейко Н.В., Белкания Н.В., Непейвода Н.Г., Гринченко И.И. Азовский р-он Ростовская область (7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</si>
  <si>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Назаренко А.В., Шпаковой О.Н., Лысенко С.М., Потапенко В.А., Батехиной И.В., Юрченко А.Н., Попова И.Ю., Красюченко Г.В., Барыкиной С.А., Процевской А.Н., Азовский р-он Ростовская область (10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</si>
  <si>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Стецурина Н.П., Арентова В.В., Воробьева К.В., Гридиной М.Ф., Божко Л.Л., Лобаченко Е.С., Пушкаренко Д.С., Жовницкого И.Е., Коноваловой О.В., Конопля С.А., Азовский р-он Ростовская область (11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</si>
  <si>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Плахотнюк Е.О., ООО «Константин Инвест Капитал», Азовский р-он Ростовская область (6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</si>
  <si>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Черняковой О.А., Хлынина С.П., Колобовой Н.А., Симухина Е.Н., Копылова С.В., Жатько Л.А., Киркина В.А., Демченко Е.В., ИП Романцова М.М., Хорольского Д.В., Хачик А.Г., Азовский район Ростовская область (11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</si>
  <si>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Липовец И.И., Дворникова В.В., Поник Т.В., Куриловой Т.И., Азовский район Ростовская область (4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</si>
  <si>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Новиковой Г.В., Еровченко А.Н., Щепина И.В., Азовский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</si>
  <si>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Савва С.В., Валентиенко А.И., Азовский район Ростовская область (2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</si>
  <si>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Авдеева Ю.Н., Белозеровой В.В., Сорокиной А.А.,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</si>
  <si>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 163-47 ВЛ-0,4 № 2 МТП-163  ВЛ-10 909 ПС 110кВ Балко-Грузская для технологического присоединения энергопринимающих устройств жилого дома Заявителя Рыбкина Д.А., х.Тавричанка, Егорлыкский район, Ростовская область, к.н. 61:10:0020501:1220 (1 шт.)</t>
  </si>
  <si>
    <t>Строительство системы учета для технологического присоединения энергопринимающих устройств Заявителей: Кондратьевой Н.А., Чернышовой О.Ю., Галаганенко Т.А., Карначёвой А.П., Зурначян М.Г., Колоскова О.Г., Михай Б.Д., Милорадовой Н.Р., Азовский р-он Ростовская область</t>
  </si>
  <si>
    <t>Строительство системы учета для технологического присоединения энергопринимающих устройств Заявителей: Хорошун В.Л., Картамышевой И.Е., Ярового В.В., Аветисяна М.В., Павлова С.С., Ким И.А., Кузьменко В.Ю., Коршик В.Г., Лиханова В.А., Азовский р-он Ростовская область</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</si>
  <si>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Шабалина Е.Г., Токарева В.А., Потий В.И., Топилина Д.А., Богомазова К.И., ООО «Югтехмаш», Колодкина Д.С., Шершень А.А., Козловой Т.А., Заргарян А.Г., Чорба Т.К., Азовский р-он Ростовская область (11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</si>
  <si>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Гринченко И.В., Геворгян Р.М., Горов В.А., Борисовой А.Ю., Манченко А.В., Стриженок А.П., Плохенко Г.И., Азовский р-он Ростовская область (7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</si>
  <si>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Марчук С.В., Воронко Н.А., Хаустовой А.А., Казанской Е.А., Сиваковой Л.С., Лукашовой Л.Л., Заргарян Г.Г., Кисляковой Т.Н., Пешкова А.В., Карпенко А.И., Королева А.К., Марковой И.Г., Сорокиной Д.А., Кутир П.А., Степанянц В.Д., Медянник О.Е., Кояева Л.Ш., Юрченко А.К., Тагаева А.Н., Азовский р-он Ростовская область (19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</si>
  <si>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Бруйко Д.Б., Еремина М.Н., Самсонова В.В., Чернышовой Ю.Б., Дудкина И.В., Суперт О.О., Сирота Е.Н., Шестеркина А.И., Юрченко Н.А., Сониной О.Г., Казарян Р.Л., Хильчевской М.В. Азовский р-он Ростовская область (13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</si>
  <si>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Басаранович И.И., Кацуба О.В., Финаевой Е.И., Хмуренко К.О., Соломатиной И.В., Азовский р-он Ростовская область (5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</si>
  <si>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Скиба Л.Н., Папикян Г.Г., Зотовой Т.Г., Утесова Н.А., Бойченко С.В.,Кобцева В.В., Прищеповой М.М., Воробьева К.В., Михетко Т.А.,Актишан Я.И., Азовский р-он Ростовская область (10шт.)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</si>
  <si>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Сизовой Т.Г., Березовской Л.Д., Омарова А.М., Полуботко А.Н., Хомяковой Т.Т., Рындя Н.В., Болтенкова Ю.А., Азовский р-он Ростовская область (7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</si>
  <si>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Мальгина Ю.А., Кушнерик Ю.А., Хегай Б., Мартынова В.А., Поцыбенко С.И., Лупанова В.О., Азовский р-он Ростовская область (6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</si>
  <si>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Юсуповой А.С., Башкова Р.В., Дегтяревой Ю.И., Лашина А.Ю., Азовский р-он Ростовская область (4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</si>
  <si>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Садчикова В.В., ИП Шингаревой Л.Е., Ковалевой Л.И., Бобыревой А.А., Мухамедова И.И., Алексеенко В.А., Журовой Л.П., Ольшанского С.В., Рябыкина Д.А., Скрипникова Б.А., Азовский район Ростовская область (15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</si>
  <si>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Мошонкина С.В., Лоскутова И.В., Мамасуева В.Т., Бойко М.Н., Джурко А.В., Дубовик Е.Б., Крючкова А.А., Ефанова А.В., Рыкалова Д.В., Галушкина А.В., Алиева В.Ф., Тугушева Р.Ш., Аксенюк К.А., Азовский район Ростовская область (13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</si>
  <si>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Курбацкой Е.И., Ващенко С.В., Азовский район Ростовская область (2 шт.)</t>
  </si>
  <si>
    <t>Установка прибора коммерческого учета электрической энергии (мощности) на границе земельного участка, подключенного от опоры №34-19 ВЛ 0,4 кВ №1 КТП 10/0,4кВ №34 ВЛ 10кВ №1101 ПС 35/10 кВ А-11 для технологического присоединения энергопринимающих устройств жилого дома Захарченко Д.А. с.Кагальник,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</si>
  <si>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0,4кВ (бесхозная) КТП 6/0,4 кВ №101 по ВЛ 6кВ №10701 ПС 110/35/6 кВ «А-1» для технологического присоединения энергопринимающих устройств жилого дома Заявителя Марченко М.И. г. Азов,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</si>
  <si>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No211-97 ВЛ-0,4кВ No5 КТП10/0,4кВ No211 ВЛ-10кВ No910 ПС 35/10 кВ «А-9» для технологического присоединения энергопринимающих устройств жилого дома Заявителя Горового И.О., ДНТ «Южное»,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</si>
  <si>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№189-13 ВЛ 0,4 кВ №1 КТП 10/0,4кВ №189 ВЛ 10кВ №1802 ПС 35/10 кВ А-18 для технологического присоединения энергопринимающих устройств жилого дома Заявителя Мелащенко Н.И., х. Донской,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</si>
  <si>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№200-16 ВЛ 0,4 кВ №2 КТП 10/0,4кВ №200 ВЛ 10кВ №1019 ПС 110/35/10 кВ Самарская для технологического присоединения энергопринимающих устройств жилого дома Заявителя Коваленко И.А., х. Победа,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</si>
  <si>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№351-1 ВЛ 0,4 кВ №2 КТП 6/0,4кВ №351 ВЛ 6кВ №207Н ПС 110/6/10 кВ НС-2 для технологического присоединения энергопринимающих устройств дачного дома Заявителя Волиной С.В., СТ «Квант»,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</si>
  <si>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№40-55 ВЛ 0,4 кВ №2 КТП 10/0,4кВ №40 ВЛ 10кВ №1802 ПС 35/10 кВ А-18 для технологического присоединения энергопринимающих устройств жилого дома Заявителя Ерёменко Н.С., х. Рогожкино,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</si>
  <si>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№119-53 ВЛ 0,4 кВ №2 КТП 10/0,4кВ №119 ВЛ 10кВ №1101 ПС 35/10 кВ А-11 для технологического присоединения энергопринимающих устройств жилого дома Заявителя Карзакова Д.Ю.,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</si>
  <si>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№181-35 ВЛ 0,4 кВ №2 КТП 10/0,4кВ №181 ВЛ 10кВ №3113 ПС 110/35/10 кВ А-31 для технологического присоединения энергопринимающих устройств жилого дома Заявителя Гайдаровой С.Р.,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</si>
  <si>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№212-11 ВЛ 0,4 кВ №1 КТП 10/0,4кВ №212 ВЛ 10кВ №910 ПС 35/10 кВ А-9 для технологического присоединения энергопринимающих устройств жилого дома Заявителя Курилова В.Н., г. Азов, СНТ «Звездное»,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</si>
  <si>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№34-4 ВЛ 0,4 кВ №1 КТП 10/0,4кВ №34 ВЛ 10кВ №1904 РП-19 ПС 110/35/10 кВ Самарская для технологического присоединения энергопринимающих устройств жилого дома Заявителя Губиева А.З., с. Новотроицкое,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</si>
  <si>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№40-23 ВЛ-0,4 кВ №1 КТП 10/0,4кВ №40 ВЛ-10кВ №1802 ПС 35/10 кВ А-18 для технологического присоединения энергопринимающих устройств жилого дома Заявителя Солдатова А.А., х. Рогожкино,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</si>
  <si>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№44-28 ВЛ 0,4 кВ №1 КТП 10/0,4кВ №44 ВЛ 10кВ №3125 ПС 110/35/10 кВ А-31 для технологического присоединения энергопринимающих устройств жилого дома Заявителя Гавришевой С.Г.,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</si>
  <si>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№58-80 ВЛ 0,4 кВ №2 КТП 10/0,4кВ №58 ВЛ 10кВ №2204 РП-22 ПС 110/35/10 кВ Самарская для технологического присоединения энергопринимающих устройств жилого дома Заявителя Селина А.В., х. Левобережный,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</si>
  <si>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№69-56 ВЛ 0,4 кВ №2 КТП 10/0,4кВ №69 ВЛ 10кВ №307Н ПС 110/35/6/10 кВ НС-3 для технологического присоединения энергопринимающих устройств жилого дома Заявителя Кириченко Н.И., с. Васильево-Петровское,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</si>
  <si>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№68 (балансовая принадлежность Администрация Кагальницкого сельского поселения) ВЛ 10кВ №1107 ПС 35/10 кВ А-11 для технологического присоединения энергопринимающих устройств жилого дома Заявителя Бец Э.В.,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</si>
  <si>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№336 (балансовая принадлежность ВЛ 0,4, КТП 10/0,4 кВ №336 Котиева Т.М.) ВЛ 10кВ №211 ПС 35/10 кВ А-2 для технологического присоединения энергопринимающих устройств жилого дома Заявителя Аксеновой Н.А.,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</si>
  <si>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№79-21 ВЛ 0,4 кВ №4 КТП 10/0,4кВ №79 ВЛ 10кВ №1901 РП-19 ПС 110/35/10 кВ Самарская для технологического присоединения энергопринимающих устройств жилого помещения Заявителя Гудзь Г.Ф., п. Каяльский,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</si>
  <si>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№35 ВЛ 10кВ №1814 ПС 35/10 кВ А-18 для технологического присоединения энергопринимающих устройств жилого дома Заявителя Емельяновой К.А., х. Дугино, Азовский район Ростовская область (1 шт.)</t>
  </si>
  <si>
    <t xml:space="preserve">Установка прибора коммерческого учета электрической энергии (мощности) на границе земельного участка, подключенного от опоры №201-35 ВЛ-0,4 кВ №2 КТП 10/0,4кВ №201 ВЛ-10кВ №1019 ПС 110/35/10 кВ Самарская для технологического присоединения энергопринимающих устройств хозяйственного строения Заявителя Лохового А.А., х.Победа, Азовский район Ростовская область (1 шт.)
</t>
  </si>
  <si>
    <t>Установка прибора коммерческого учета электрической энергии (мощности) на границе земельного участка, подключенного от опоры №5-74 ВЛ-0,4 кВ №1 КТП 10/0,4кВ №5 ВЛ 10кВ №1702 ПС 35/10 кВ А-17 для технологического присоединения энергопринимающих устройств жилого дома Заявителя Меджидовой Е.А., с. Стефанидинодар,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</si>
  <si>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№37 (балансовая принадлежность Администрация Елизаветинского сельского поселения) ВЛ-10кВ №1802 ПС 35/10 кВ А-18 для технологического присоединения энергопринимающих устройств жилого дома Заявителя Михеевой Е.Ф., х. Дугино,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</si>
  <si>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№336 (балансовая принадлежность Котиева Т.М.) ВЛ 10кВ №211 ПС 35/10 кВ А-2 для технологического присоединения энергопринимающих устройств жилого дома Заявителя Шамраевой В.В.,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</si>
  <si>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№84-36 ВЛ-0,4 №2 КТП-84 ВЛ-10 415 ПС 35 кВ КГ4 для технологического присоединения энергопринимающих устройств жилого дома Заявителя Реук И.Ю., Ростовская область, Кагальницкий р-н, х. Черниговский, пер. Донской д.25 (1 шт.)</t>
  </si>
  <si>
    <t>Установка прибора коммерческого учета электрической энергии (мощности) на границе земельного участка, подключенного от опоры №17-22 ВЛ-0,4 №2 КТП-17 ВЛ-10 605 ПС 35 кВ КГ6 для технологического присоединения энергопринимающих устройств ЛПХ Заявителя Спицына В.А., Ростовская область, Кагальницкий р-н, п. Новобатайск, ул. Крым-Гиреевская д.26В (1 шт.)</t>
  </si>
  <si>
    <t>Установка прибора коммерческого учета электрической энергии (мощности) на границе земельного участка, подключенного от опоры №29-14 ВЛ 0,4 кВ №1 КТП 10/0,4кВ №29 ВЛ 10кВ №1411 РП-14 ПС 110/35/10 кВ А-32 для технологического присоединения энергопринимающих устройств жилого дома Заявителя Доценко А.А., х. Полтава 1-я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</si>
  <si>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№29-5 ВЛ-0,4кВ №1 КТП-10/0,4 кВ №29 ВЛ-10кВ №3113 ПС 110/35/10 кВ А-31 для технологического присоединения энергопринимающих устройств жилого дома Заявителя Луговенко Н.А., с.Головатовка,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</si>
  <si>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ВЛ-0,4кВ КТП-10/0,4 кВ №35 (балансовая принадлежность Администрация Елизаветинского сельского поселения) ВЛ-10кВ №1814 ПС 35/10 кВ А-18 для технологического присоединения энергопринимающих устройств жилого дома Заявителя Яковлевой Е.В., х.Обуховка,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</si>
  <si>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№43-17 ВЛ-0,4 кВ №1 КТП 10/0,4 кВ №43 по ВЛ 10 кВ №1802 ПС 35/10 кВ А-18 для технологического присоединения энергопринимающих устройств жилого дома Заявителя Кушнарева И.С., х.Рогожкино,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</si>
  <si>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№206-5 ВЛ-0,4кВ №1 КТП-10/0,4 кВ №206 ВЛ-10кВ №3113 ПС 110/35/10 кВ А-31 для технологического присоединения энергопринимающих устройств жилого дома Заявителя Мещеряковой Н.Э., с. Пешково, Азовский район, Ростовская область, к.н. 61:01:0140101:8126 (1 шт.)</t>
  </si>
  <si>
    <t>Установка прибора коммерческого учета электрической энергии  (мощности) на границе земельного участка, подключенного от опоры №101-29 ВЛ-0,4 кВ №2 КТП 10/0,4кВ №101 ВЛ-10кВ №1904 РП-19 ПС 110/35/10 кВ Самарская для технологического присоединения энергопринимающих устройств жилого дома Заявителя Мигас Н.С., с. Новотроицкое, Азовский район, Ростовская область, к.н. 61:01:0040801:1808 (1 шт.)</t>
  </si>
  <si>
    <t>Установка прибора коммерческого учета электрической энергии (мощности) на границе земельного участка, подключенного от опоры №34-4 ВЛ 0,4 кВ №1 КТП 10/0,4кВ №34 ВЛ 10кВ №1101 ПС 35/10 кВ А-11 для технологического присоединения энергопринимающих устройств нежилого помещения Заявителя Олефиренко Ю.Е., с. Кагальник, Азовский район, Ростовская область, к.н. 61:01:0060101:12573 (1 шт.)</t>
  </si>
  <si>
    <t xml:space="preserve">Установка прибора коммерческого учета электрической энергии (мощности) на границе земельного участка, подключенного от опоры №189-14 ВЛ-0,4кВ №1 КТП-10/0,4 кВ №189 ВЛ-10кВ №1802 ПС 35/10 кВ А-18 для технологического присоединения энергопринимающих устройств жилого дома Заявителя Пухкало Е.И., х. Донской, Азовский район, Ростовская область, к.н. 61:01:0060201:155(1 шт.)
</t>
  </si>
  <si>
    <t>Установка прибора коммерческого учета электрической энергии (мощности) на границе земельного участка, подключенного от опоры №121-55 ВЛ-0,4 кВ №3 КТП 10/0,4 кВ №121 по ВЛ 10 кВ №1904 РП 19 ПС 110/35/10 кВ  для технологического присоединения энергопринимающих устройств жилого дома Заявителя Скорняковой А.В., с.Новотроицкое,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</si>
  <si>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№60-66 ВЛ-0,4 №3 КТП-60 ВЛ-10 318 ПС 35 кВ КГ3 для технологического присоединения энергопринимающих устройств ЛПХ Заявителя Куфиловой Л.С., Ростовская область,   Кагальницкий р-н, х. Николаевский, к.н.:61:14:0050701:626 (1 шт)</t>
  </si>
  <si>
    <t>Установка прибора коммерческого учета электрической энергии (мощности) на границе земельного участка, подключенного от опоры №54-30 ВЛ-0,4 №1 КТП-54 ВЛ-10 318 ПС 35 кВ КГ3 для технологического присоединения энергопринимающих устройств жилого дома Заявителя Логвиновой И.В., Ростовская обл. Кагальницкий р-н, ст. Кировская, ул. Гагарина д.8 к.н. 61:14:0050119:106 (1 шт.)</t>
  </si>
  <si>
    <t>Установка прибора коммерческого учета электрической энергии (мощности) на границе земельного участка, подключенного от опоры №122-76 ВЛ-0,4 №3 КТП-122 ВЛ-10 313 ПС 35 кВ КГ3 для технологического присоединения энергопринимающих устройств садового дома Заявителя Полетаев А.И., Ростовская обл., Аксайский р-н, СТ «Железнодорожник» уч.1864 к.н. 61:02:0504801:973 (1 шт.)</t>
  </si>
  <si>
    <t>Установка прибора коммерческого учета электрической энергии (мощности) на границе земельного участка, подключенного от опоры №122-21 ВЛ-0,4 №2 КТП-122 ВЛ-10 313 ПС 35 кВ КГ3 для технологического присоединения энергопринимающих устройств садового дома Заявителя Рыхловой Н.К., Ростовская обл., Аксайский р-н, СТ «Железнодорожник» уч.2554 к.н. 61:02:0504801:900 (1 шт.)</t>
  </si>
  <si>
    <t>Установка прибора коммерческого учета электрической энергии (мощности) на границе земельного участка, подключенного от опоры №4-13 ВЛ-0,4 №4 КТП-4 ВЛ-10 305 от ПС 35 кВ КГ3 для технологического присоединения энергопринимающих устройств ЛПХ Заявителя Сеногноева Д.В., Ростовская обл., Кагальницкий р-н, ст. Кировская к.н. 61:14:0050150:52 (1 шт</t>
  </si>
  <si>
    <t>Установка прибора коммерческого учета электрической энергии (мощности) на границе земельного участка, подключенного от опоры №123-48 ВЛ-0,4 №1 КТП-123 ВЛ-10 313 ПС 35 кВ КГ3 для технологического присоединения энергопринимающих устройств садового дома Заявителя Слабодчиков А.И., Ростовская обл. Аксайский р-н, СТ «Лазурный» уч.250 к.н. 61:02:0504901:3598 (1 шт.)</t>
  </si>
  <si>
    <t>Установка прибора коммерческого учета электрической энергии (мощности) на границе земельного участка, подключенного от опоры №4-93 ВЛ-0,4 №4 КТП-4 ВЛ-10 305 от ПС 35 кВ КГ3 для технологического присоединения энергопринимающих устройств ЛПХ Заявителя Федосовой Е.И., Ростовская обл., Кагальницкий р-н, ст. Кировская, к.н. 61:14:0050150:111 (1шт)</t>
  </si>
  <si>
    <t>Установка прибора коммерческого учета электрической энергии (мощности) на границе земельного участка, подключенного от опоры №128-115 ВЛ-0,4 №5 КТП-128 ВЛ-10 313 ПС 35 кВ КГ3 для технологического присоединения энергопринимающих устройств ЛПХ Заявителя Щербаков А.И., Ростовская обл. Кагальницкий р-н, ст. Кировская, ул. Королева д.29 к.н. 61:14:0050104:76 (1 шт.)</t>
  </si>
  <si>
    <t>Установка коммерческого учета электрической энергии (мощности) на границе земельного участка, подключенного от опоры №187-33 ВЛ- 0,4 кВ №2 КТП-10/0,4 кВ №187 по ВЛ-10 кВ №106Н ПС110/6/10 кВ "НС-1", для электроснабжения жилого дома заявителя Шевченко Т.Д., ДНТ "Кулешовка", Ростовская область</t>
  </si>
  <si>
    <t>Установка коммерческого учета электрической энергии (мощности) на границе земельного участка, подключенного от опоры №167-3 ВЛ- 0,4 кВ №3 КТП-10/0,4 кВ №167 по ВЛ-10 кВ №106Н ПС 110/6/10 кВ "НС-1", для электроснабжения жилого дома заявителя Пецикян К.А., ДНТ "Кулешовка", Ростовская область</t>
  </si>
  <si>
    <t>Установка коммерческого учета электрической энергии (мощности) на границе земельного участка, подключенного от опоры №187-19 ВЛ- 0,4 кВ №2 КТП-10/0,4 кВ №187 по ВЛ-10 кВ №106Н ПС 110/6/10 кВ "НС-1"для электроснабжения жилого дома заявителя Игнатовой Т.Л., ДНТ "Кулешовка", Ростовская область</t>
  </si>
  <si>
    <t>Установка прибора коммерческого учета электрической энергии (мощности) на границе земельного участка, подключенного от оп. №239-138 ВЛ-0,4 кВ №3 КТП 10/0,4кВ №239 ВЛ-10кВ №106Н ПС 110/6/10 кВ «НС-1» для технологического присоединения энергопринимающих устройств жилого дома Заявителя Смирновой Н.А., п.Овощной, Азовский район Ростовская область (1 шт.)</t>
  </si>
  <si>
    <t>Установка коммерческого учета электрической энергии (мощности) на границе земельного участка, подключенного от опоры №187-15 ВЛ- 0,4 кВ №2 КТП-10/0,4 кВ №187 по ВЛ-10 кВ №106Н ПС 110/6/10 кВ "НС-1", для электроснабжения жилого дома заявителя Нерсисян С.А., ДНТ "Кулешовка", Ростовская область</t>
  </si>
  <si>
    <t>Установка приборов коммерческого учета электрической энергии (мощности) на границе земельного участка, подключенного от опоры №239-46 ВЛ-0,4 кВ №2 КТП 10/0,4кВ №239 ВЛ-10кВ №106Н ПС 110/6/10 кВ «НС-1» для технологического присоединения энергопринимающих устройств жилого дома Заявителя Осипенко О.В.,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</si>
  <si>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№167-5 ВЛ 0,4 кВ №3 КТП 10/0,4кВ №167 ВЛ 10кВ №106Н ПС 110/6/10 кВ НС-1 для технологического присоединения энергопринимающих устройств жилого дома Гаспарян В.В.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</si>
  <si>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№228-31 ВЛ 0,4кВ №1 КТП 10/0,4 кВ №228 ВЛ 10кВ №106Н ПС 110/6/10 кВ «НС-1» для технологического присоединения энергопринимающих устройств нежилого помещения Заявителя Серикова П.П.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</si>
  <si>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 №228-92 ВЛ-0,4 кВ №3 КТП 10/0,4кВ №228 ВЛ-10кВ №106Н ПС 110/6/10 кВ «НС-1» для технологического присоединения энергопринимающих устройств жилого дома Заявителя Хачатрян Д.А.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</si>
  <si>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№38-17 ВЛ-0,4 кВ №1 КТП 10/0,4кВ №38 ВЛ-10кВ №3209 ПС 110/35/10 кВ «А-32» для технологического присоединения энергопринимающих устройств жилого дома Заявителя Довгаль Е.Н., х. Цыганки,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</si>
  <si>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№228-6 ВЛ-0,4 кВ №1 КТП 10/0,4кВ №228 ВЛ-10кВ №106Н ПС 110/6/10 кВ «НС-1» для технологического присоединения энергопринимающих устройств жилого дома Заявителя Манаенко С.Р.,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</si>
  <si>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№381-19 ВЛ-0,4 кВ №2 КТП 10/0,4кВ №381 ВЛ-10кВ №106Н ПС 110/6/10 кВ «НС-1» для технологического присоединения энергопринимающих устройств жилого дома Заявителя Мартынович В.Ю.,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</si>
  <si>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№381-16 ВЛ 0,4 кВ №2 КТП 10/0,4кВ №381 ВЛ 10кВ №106Н ПС 110/6/10 кВ НС-1 для технологического присоединения энергопринимающих устройств жилого дома Заявителя Мирошниченко Ф.А.,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</si>
  <si>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№187-15 ВЛ-0,4 кВ №3 КТП 10/0,4кВ №187 ВЛ 10кВ №106Н ПС 110/6/10 кВ «НС-1» для технологического присоединения энергопринимающих устройств жилого дома Заявителя Торосян А.Г.,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</si>
  <si>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№187-35 ВЛ 0,4 кВ №2 КТП 10/0,4кВ №187 ВЛ 10кВ №106Н ПС 110/6/10 кВ НС-1 для технологического присоединения энергопринимающих устройств жилого дома Заявителя Щелкуновой М.И., Кулешовское с/п, территория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</si>
  <si>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№100-97 ВЛ-0,4 кВ №3 КТП 10/0,4кВ №100 ВЛ-10кВ №2412 ПС 35/10 кВ А-24 для технологического присоединения энергопринимающих устройств жилого дома Заявителя Горбачева И.Л., х. Лагутник,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</si>
  <si>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Ромащенко Е.Н., Устименко В.В., Азовский район Ростовская область (2 шт.)</t>
  </si>
  <si>
    <t>Установка приборов коммерческого учета электрической энергии (мощности) на границе земельного участка, подключенного от опоры №167-12 ВЛ-0,4 кВ №1 КТП 10/0,4кВ №167 ВЛ-10кВ №106Н ПС 110/6/10 кВ «НС-1» для технологического присоединения энергопринимающих устройств жилого Заявителя Шаховой О.А., Азовский район Ростовская область (1 шт.)</t>
  </si>
  <si>
    <t>Установка приборов коммерческого учета электрической энергии (мощности) на границе земельного участка, подключенного от №72-9 ВЛ-0,4 кВ №1 КТП-10/0,4 кВ №72 по ВЛ-10 кВ №3127 ПС 110/35/10 кВ «А-31» для технологического присоединения энергопринимающих устройств жилого дома Заявителя Куляко С.А., Азовский район Ростовская область (1шт.)</t>
  </si>
  <si>
    <t>Установка прибора коммерческого учета электрической энергии (мощности) на границе земельного участка, подключенного от опоры №228-91 ВЛ 0,4 кВ №3 КТП 10/0,4кВ №228 ВЛ 10кВ №106Н ПС 110/6/10 кВ НС-1 для технологического присоединения энергопринимающих устройств жилого дома Заявителя Мухоян Р.М.,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</si>
  <si>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№239-90 ВЛ 0,4 кВ №2 КТП 10/0,4кВ №239 ВЛ 10кВ №106Н ПС 110/6/10 кВ НС-1 для технологического присоединения энергопринимающих устройств жилого дома Заявителя Крутин Р.В.,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</si>
  <si>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проектируемой ВЛИ-0,4 кВ (по договору ТП №61-1-20-00510403 от 20.05.2020г.) МТП 10/0,4 кВ №205 ВЛ-10кВ №3127 ПС 110/35/10 кВ «А-31» для технологического присоединения энергопринимающих устройств жилого дома Заявителя Воробьева Р.А., с. Кагальник, Азовский р-он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</si>
  <si>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№25-77 ВЛ 0,4 кВ №3 КТП 10/0,4кВ №25 ВЛ 10кВ №1815 ПС 35/10 кВ А-18 для технологического присоединения энергопринимающих устройств жилого дома Заявителя Вахромеевой А.В., х. Колузаево,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</si>
  <si>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№34-37 ВЛ-0,4 №2 КТП-34 ВЛ-10 313 ПС 35 кВ КГ3 для технологического присоединения энергопринимающих устройств жилого дома Заявителя Никитенко А.В., Ростовская область, Кагальницкий р-н, ст. Кировская, к.н.: 61:14:0050109:379 (1 шт.)</t>
  </si>
  <si>
    <t>Установка прибора коммерческого учета электрической энергии (мощности) на границе земельного участка, подключенного от опоры №59-1 ВЛ-0,4 №1 КТП-59 ВЛ-10 204 ПС 110 кВ Краснолучинская для технологического присоединения энергопринимающих устройств станции катодной защиты Заявителя ПАО «Газпром газораспределение Ростов-на-Дону», Ростовская обл., р-н. Зерноградский, х. Попов, х. Большая Таловая. Начало объекта: т.1- врезка в существующий подземный газопровод высокого давления, расположенная в 1500,00 метрах на юго-восток от жилого дома №124 по ул. 40 лет Победы в х. Попов. Зерноградского района Ростовской области. Конец объекта: т. 15 — выход из земли. Расположенная в 580.00 метрах на юго-запад от жилого дома №2 по ул. Островского в х. Большая Таловая, Зерноградского района Ростовской области (1 шт.)</t>
  </si>
  <si>
    <t>Установка прибора коммерческого учета электрической энергии (мощности) на границе земельного участка, подключенного от РУ-0,4 КТП-150 по ВЛ-10 307 ПС 110 кВ ЗР3 (принадлежностью филиала ПАО «Россети Юг»-«Ростовэнерго»); ВЛ-0,4 (принадлежность Любчанского А.В.) для технологического присоединения энергопринимающих устройств наружного освещения Заявителя Любчанского А.В., ст. Мечетинская, Зерноградский район, Ростовская область к.н. 61:12:0601501:2235 (1 шт.)</t>
  </si>
  <si>
    <t>Установка прибора коммерческого учета электрической энергии (мощности) на границе земельного участка, подключенного от опоры №28-133 ВЛ-0,4 №4 ЗТП-28 ВЛ-10 313 ПС 35кВ КГ3 для технологического присоединения энергопринимающих устройств магазин Заявителя Голованов Е.М., Ростовская обл. Кагальницкий р-н, ст. Кировская, ул. Черняховского д.68 к.н.:61:14:0000000:00 (1 шт.)</t>
  </si>
  <si>
    <t>Установка прибора коммерческого учета электрической энергии (мощности) на границе земельного участка, подключенного от опоры №121-123 ВЛ-0,4 № 3 КТП-121 ВЛ-10 313 ПС 35 кВ КГ3 для технологического присоединения энергопринимающих устройств садового дома Заявителя Мартышенко А.М., Ростовская обл. Аксайский р-н, СТ «Железнодорожник» уч.1690 к.н. 61:02:0504801:995 (1 шт.)</t>
  </si>
  <si>
    <t>Установка прибора коммерческого учета электрической энергии (мощности) на границе земельного участка, подключенного от опоры №121-26 ВЛ-0,4 №1 КТП-121 ВЛ-10 313 ПС 35 кВ КГ3 для технологического присоединения энергопринимающих устройств садового дома Заявителя Казимирова Е.М., Ростовская обл. Аксайский р-н, СНТ «Садко» уч.896 к.н. 61:02:0504701:4 (1 шт.)</t>
  </si>
  <si>
    <t>Установка прибора коммерческого учета электрической энергии (мощности) на границе земельного участка, подключенного от опоры №124-113 ВЛ-0,4 №3 КТП-124 ВЛ-10 313 ПС 35 кВ КГ3 для технологического присоединения энергопринимающих устройств садового дома Заявителя Изюмцевой И.В., Ростовская обл., Аксайский р-н, СНТ «Садко» уч.3791 к.н. 61:02:0504701:591 (1 шт.)</t>
  </si>
  <si>
    <t>Установка прибора коммерческого учета электрической энергии (мощности) на границе земельного участка, подключенного от опоры №182-28 ВЛ-0,4 №3 КТП-182 ВЛ-10 805 ПС 110 кВ БОС для технологического присоединения энергопринимающих устройств жилого дома Заявителя Игнатьев Н.А., Ростовская обл. Кагальницкий р-н. п. Мокрый Батай, ул. Майская д.9 к.н. 61:14:0000000:00 (1 шт.)</t>
  </si>
  <si>
    <t>Установка прибора коммерческого учета электрической энергии (мощности) на границе земельного участка, подключенного от опоры №66-11 ВЛ-0,4 №1 КТП-66 ВЛ-10 413 ПС 35 кВ КГ4 для технологического присоединения энергопринимающих устройств ЛПХ Заявителя Колодько И.В., Ростовская обл. Кагальницкий р-н. х. Песчаный Брод, ул. Заречная д.2В к.н. 61:14:0030701:68 (1 шт.)</t>
  </si>
  <si>
    <t>Установка прибора коммерческого учета электрической энергии (мощности) на границе земельного участка, подключенного от опоры №141-42 ВЛ-0,4 №2 КТП-141 ВЛ-10 215 ПС 35 кВ КГ2 для технологического присоединения энергопринимающих устройств жилого дома Заявителя Мигловец Н.А., Ростовская обл. Кагальницкий р-н, п. Малиновка, ул. Садовая д.44 к.н. 61:14:0010302:36 (1 шт.)</t>
  </si>
  <si>
    <t>Установка прибора коммерческого учета электрической энергии (мощности) на границе земельного участка, подключенного от опоры №34-32 ВЛ-0,4 №1 КТП-34 ВЛ-10 313 ПС 35 кВ КГ3 для технологического присоединения энергопринимающих устройств общежития Заявителя ООО «Вильямс», Ростовская обл. Кагальницкий р-н, ст. Кировская, ул. Победы д.2 кв.2 к.н. 61:14:18011209:66 (1 шт.)</t>
  </si>
  <si>
    <t>Установка прибора коммерческого учета электрической энергии (мощности) на границе земельного участка, подключенного от опоры №16-91 ВЛ-0,4 № 3 КТП-16 ВЛ-10 605 ПС 35кВ КГ6 для технологического присоединения энергопринимающих устройств ЛПХ Заявителя Полуян В.В., Ростовская обл. Кагальницкий р-н. с. Новобатайск ул. Красная д.55, к.н. 61:14:040153:5 (1 шт.)</t>
  </si>
  <si>
    <t>Установка прибора коммерческого учета электрической энергии (мощности) на границе земельного участка, подключенного от опоры №23-37 ВЛ-0,4 №2 КТП-23 ВЛ-10 1507 ПС 35 кВ ЗР15 для технологического присоединения энергопринимающих устройств базовой станции Заявителя ПАО «Ростелеком», Ростовская обл., Зерноградский р-н, г.Зерноград, ул. Самохвалова, напротив земельного участка №1 к.н. 61:12:0040102:0 (1 шт.)</t>
  </si>
  <si>
    <t>Установка прибора коммерческого учета электрической энергии (мощности) на границе земельного участка, подключенного от проектируемой опоры (в рамках договора 61-1-22-00612095 Аристакесян С.А.) ВЛ-0,4 №1 КТП-28 ВЛ-10 313 ПС 35 кВ КГ3 для технологического присоединения энергопринимающих устройств ЛПХ Заявителя Саносян В.Н., Ростовская обл. Кагальницкий р-н, ст. Кировская, ул. Космонавтов д.38 к.н. 61:14:0050126:495 (1 шт.)</t>
  </si>
  <si>
    <t>Установка прибора коммерческого учета электрической энергии (мощности) на границе земельного участка, подключенного от проектируемой опоры (в рамках договора 61-1-22-00612095 Аристакесян С.А.) ВЛ-0,4 №1 КТП-28 ВЛ-10 313 ПС 35 кВ КГ3 для технологического присоединения энергопринимающих устройств ЛПХ Заявителя Хедоян Ш.Ф., Ростовская обл. Кагальницкий р-н, ст. Кировская, ул. Космонавтов д.36 к.н. 61:14:0050126:496 (1 шт.)</t>
  </si>
  <si>
    <t>Установка прибора коммерческого учета электрической энергии (мощности) на границе земельного участка, подключенного от опоры №26-52 ВЛ-0,4 №2 КТП-26 ВЛ-10 318 ПС 35кВ КГ3 для технологического присоединения энергопринимающих устройств ЛПХ Заявителя Сенниковой Т.С., Ростовская обл. Кагальницкий р-н. х. Николаевский ул. Луговая д.125, к.н. 61:14:180012005:371(1 шт.)</t>
  </si>
  <si>
    <t>Установка прибора коммерческого учета электрической энергии (мощности) на границе земельного участка, подключенного от опоры №28-67 ВЛ 0,4 кВ №1 КТП 10/0,4кВ №28 ВЛ 10кВ №1815 ПС 35/10 кВ А-18 для технологического присоединения энергопринимающих устройств жилого дома Заявителя Архинина С.Г., х. Курган,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</si>
  <si>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№36-50 ВЛ-0,4 кВ №3 КТП 10/0,4кВ №36 ВЛ 10кВ №1702 ПС 35/10 кВ А-17 для технологического присоединения энергопринимающих устройств жилого дома Заявителя Худина Ю.А., с. Стефанидинодар,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</si>
  <si>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№70-13 ВЛ 0,4 кВ №1 КТП 10/0,4кВ №70 ВЛ 10кВ №2608 ПС 110/10 кВ А-26 для технологического присоединения энергопринимающих устройств жилого дома Заявителя Сухомлиновой О.А.,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</si>
  <si>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№70-15/2 ВЛ 0,4кВ №1 КТП 10/0,4 кВ №70 ВЛ 10кВ №2608 ПС 110/10 кВ А-26 для технологического присоединения энергопринимающих устройств жилого дома Заявителя Ольшанского С.В.,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</si>
  <si>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№88-46 ВЛ-0,4 кВ №2 КТП 10/0,4кВ №88 ВЛ 10кВ №3127 ПС 110/35/10 кВ А-31 для технологического присоединения энергопринимающих устройств жилого дома Заявителя Гринёвой Н.В., с. 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</si>
  <si>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№29 ВЛ 10кВ №2907 РП-29 ПС 35/10 кВ А-18 для технологического присоединения энергопринимающих устройств жилого дома Заявителя Быкова В.О., х. Казачий Ерик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</si>
  <si>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№16-5 ВЛ 0,4 кВ №1 КТП 10/0,4кВ №16 ВЛ 10кВ №2608 ПС 110/10 кВ А-26 для технологического присоединения энергопринимающих устройств жилого дома Заявителя Икряновой Н.В.,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</si>
  <si>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№239-112 ВЛ-0,4 кВ №4 КТП 10/0,4кВ №239 ВЛ-10кВ №106Н ПС 110/6/10 кВ НС-1 для технологического присоединения энергопринимающих устройств жилого дома Заявителя Козачок К.Я., п. Овощной, Азовский район Ростовская область (1 шт.) (по дог. ТП 61-1-21-00620377 от 22.12.2021)</t>
  </si>
  <si>
    <t>Установка прибора коммерческого учета электрической энергии (мощности) на границе земельного участка, подключенного от опоры №239-112 ВЛ-0,4 кВ №4 КТП 10/0,4кВ №239 ВЛ-10кВ №106Н ПС 110/6/10 кВ НС-1 для технологического присоединения энергопринимающих устройств жилого дома Заявителя Козачок Я.А., п. Овощной, Азовский район Ростовская область (1 шт.) (по дог. ТП 61-1-21-00620339 от 22.12.2021)</t>
  </si>
  <si>
    <t>Установка прибора коммерческого учета электрической энергии (мощности) на границе земельного участка, подключенного от опоры №265-56 ВЛ-0,4 кВ №2 КТП 10/0,4кВ №265 ВЛ 10кВ №2608 ПС 110/10 кВ А-26 для технологического присоединения энергопринимающих устройств жилого дома Заявителя Самарич Р.Н.,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</si>
  <si>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№1 КТП 10/0,4кВ №277 (балансовая принадлежность Администрация Елизаветинского сельского поселения) ВЛ 10кВ №1815 ПС 35/10 кВ А-18 для технологического присоединения энергопринимающих устройств жилого дома Заявителя Шутова С.О.,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</si>
  <si>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№365-13 ВЛ-0,4 кВ №1 КТП 10/0,4 кВ №365 по ВЛ 10 кВ №107Н ПС 110/6/10 кВ НС-1 для технологического присоединения энергопринимающих устройств жилого дома Заявителя Авдеевой И.В., п.Овощной,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</si>
  <si>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№4-23 ВЛ-0,4 кВ №1 КТП 10/0,4 кВ №4 по ВЛ 10 кВ №1702 ПС 35/10 кВ А-17 для технологического присоединения энергопринимающих устройств жилого дома Заявителя Звездилина А.Я., с. Стефанидинодар,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</si>
  <si>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№187-34 ВЛ 0,4кВ №2 КТП 10/0,4 кВ №187 ВЛ 10кВ №106Н ПС 110/6/10 кВ НС-1 для технологического присоединения энергопринимающих устройств жилого дома Заявителя Савенко Н.Н.,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</si>
  <si>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№82-55 ВЛ 0,4 кВ №3 КТП 10/0,4кВ №82 ВЛ 10кВ №3127 ПС 110/35/10 кВ А-31 для технологического присоединения энергопринимающих устройств жилого дома Заявителя Бебех С.В., с.Займо-Обрыв, Азовский район, Ростовская область, к.н. 61:01:0140401:3352 (1 шт.)</t>
  </si>
  <si>
    <t>Установка прибора коммерческого учета электрической энергии (мощности) на границе земельного участка, подключенного от опоры №152-15 ВЛ 0,4 кВ №1 КТП 10/0,4кВ №152 ВЛ 10кВ №1107 ПС 35/10 кВ А-11 для технологического присоединения энергопринимающих устройств жилого дома Заявителя Вершанской Л.И., с. Кагальник, Азовский район, Ростовская область, к.н. 61:01:0060101:12745 (1 шт.)</t>
  </si>
  <si>
    <t xml:space="preserve">Установка прибора коммерческого учета электрической энергии (мощности) на границе земельного участка, подключенного от опоры №84-8 ВЛ 0,4 кВ №1 КТП 10/0,4кВ №84 ВЛ 10кВ №2608 ПС 110/10 кВ А-26 для технологического присоединения энергопринимающих устройств жилого дома Заявителя Закалюжного И.Д., с. Кулешовка, Азовский район, Ростовская область, к.н. 61:01:0090102:2187 (1 шт.)
</t>
  </si>
  <si>
    <t>Установка прибора коммерческого учета электрической энергии (мощности) на границе земельного участка, подключенного от опоры №185-62/8 ВЛ 0,4 кВ №4 КТП 10/0,4кВ №185 ВЛ 10кВ №106Н ПС 110/6/10 кВ НС-1 для технологического присоединения энергопринимающих устройств нежилой застройки Заявителя Кобец Н.В., ДНТ «Эдем», Азовский район, Ростовская область, к.н. 61:01:0600006:2999 (1 шт.)</t>
  </si>
  <si>
    <t>Установка прибора коммерческого учета электрической энергии (мощности) на границе земельного участка, подключенного от опоры №44-139 ВЛ-0,4кВ № 3 КТП-10/0,4 кВ №44 ВЛ-10кВ №803 ПС 35/10 кВ А-8 для технологического присоединения энергопринимающих устройств жилого дома Мордышева А.И., с.Семибалки,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</si>
  <si>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№58-25 ВЛ 0,4 кВ №1 КТП 10/0,4кВ №58 ВЛ 10кВ №2204 РП-22 ПС 110/35/10 кВ Самарская для технологического присоединения энергопринимающих устройств жилого дома Заявителя Осеян С.А., х.Левобережный, Азовский район, Ростовская область, к.н. 61:01:0040701:80 (1 шт.)</t>
  </si>
  <si>
    <t xml:space="preserve">Установка прибора коммерческого учета электрической энергии (мощности) на границе земельного участка, подключенного от опоры №187-12 ВЛ 0,4 кВ №4 КТП 10/0,4кВ №187 ВЛ 10кВ №106Н ПС 110/6/10 кВ НС-1 для технологического присоединения энергопринимающих устройств жилого дома Заявителя Терещенко И.О., ДНТ «Кулешовка», Азовский район, Ростовская область, к.н. 61:01:0600006:1276 (1 шт.)
</t>
  </si>
  <si>
    <t xml:space="preserve">Установка прибора коммерческого учета электрической энергии (мощности) на границе земельного участка, подключенного от опоры №59-51 ВЛ-0,4 №2 КТП-59 ВЛ-10 1205 от ПС 110 кВ Манычская для технологического присоединения энергопринимающих устройств объекта торговли Заявителя ИП Зенковой А.В., Ростовская обл., Зерноградский р-н, х. Верхние Хороли, к.н. 61:12:0060201:114 (1 шт.)
</t>
  </si>
  <si>
    <t>Установка прибора коммерческого учета электрической энергии (мощности) на границе земельного участка, подключенного от опоры №80-17 ВЛ-0,4 №3 КТП-80 ВЛ-10 602 ПС 35 кВ ЗР6 для технологического присоединения энергопринимающих устройств жилого дома Заявителя Корниенко Е.Е., х. Чернышевка, Зерноградский район, Ростовская область к.н. 61:12:0090114:498 (1 шт.)</t>
  </si>
  <si>
    <t>Установка прибора коммерческого учета электрической энергии (мощности) на границе земельного участка, подключенного от опоры №104-86 ВЛ-0,4 №1 КТП-104 ВЛ-10 122 ПС 220 кВ Зерновая для технологического присоединения энергопринимающих устройств жилого дома Заявителя Гиголян А.А., Ростовская обл. Зерноградский р-н, х. Ракитный, ул. Заречная д.46А к.н. 61:12:0051001:649 (1 шт.)</t>
  </si>
  <si>
    <t>Установка прибора коммерческого учета электрической энергии (мощности) на границе земельного участка, подключенного от опоры №199-4 ВЛ-0,4 №1 КТП-199 ВЛ-10 805 ПС 110 кВ БОС для технологического присоединения энергопринимающих устройств ЛПХ Заявителя Гужва И.П., Ростовская обл. Кагальницкий р-н, п. Мокрый Батай, ул. Вишневая д.33-А к.н. 61:14:0060104:976 (1 шт.)</t>
  </si>
  <si>
    <t>Установка прибора коммерческого учета электрической энергии (мощности) на границе земельного участка, подключенного от опоры №175-31 ВЛ-0,4 №1 КТП-175 ВЛ-10 313 ПС 35кВ КГ3 для технологического присоединения энергопринимающих устройств ЛПХ Заявителя Ибрагимова Р.Ф., Ростовская обл. Аксайский р-н., сНТ Природа 21линия уч. 1368 к.н. 61:02:0000000:00 (1 шт.)</t>
  </si>
  <si>
    <t>Установка прибора коммерческого учета электрической энергии (мощности) на границе земельного участка, подключенного от опоры №166-5 ВЛ-0,4 №4 КТП-166 ВЛ-10 313 ПС 35 кВ КГ3 для технологического присоединения энергопринимающих устройств садового дома Заявителя Лазура Д.Д., Ростовская обл., Аксайский р-н, СНТ «Природа» уч.2182 к.н. 61:02:0504601:406 (1 шт.)</t>
  </si>
  <si>
    <t>Установка прибора коммерческого учета электрической энергии (мощности) на границе земельного участка, подключенного от опоры №121-48 ВЛ-0,4 №1 КТП-121 ВЛ-10 313 ПС 35 кВ КГ3 для технологического присоединения энергопринимающих устройств садового дома Заявителя Магомедов М.С., Ростовская обл., Аксайский р-н, СНТ Садко 15 линия уч.722 к.н. 61:02:0504701:195(1 шт.)</t>
  </si>
  <si>
    <t>Установка прибора коммерческого учета электрической энергии (мощности) на границе земельного участка, подключенного от опоры №109-37 ВЛ-0,4 №1 КТП-119 ВЛ-10 1608 ПС 35кВ ЗР16 для технологического присоединения энергопринимающих устройств жилого дома Заявителя  , Ростовская обл. Зерноградский р-н. х. 1-й Россошинский от ГРП до ГРП  к.н. 61:12:0000000:16947(1 шт.)</t>
  </si>
  <si>
    <t>Установка прибора коммерческого учета электрической энергии (мощности) на границе земельного участка, подключенного от опоры №122-98 ВЛ-0,4 №3 КТП-122 ВЛ-10 313 ПС 35 кВ КГ3 для технологического присоединения энергопринимающих устройств садового дома Заявителя Смотрякова О.Н., Ростовская обл., Аксайский р-н, СНТ «Лазурный» уч.1436 к.н.:61:02:0549901:3033 (1 шт.)</t>
  </si>
  <si>
    <t>Установка прибора коммерческого учета электрической энергии (мощности) на границе земельного участка, подключенного от опоры №112-29 ВЛ-0,4 №3 КТП-112 ВЛ-10 122 ПС 220 кВ Зерновая для технологического присоединения энергопринимающих устройств жилого дома Заявителя Толстопятенко В.А., х. Ракитный, Зерноградский район, Ростовская область, к.н. 61:12:0051001:728 (1 шт.)</t>
  </si>
  <si>
    <t>Установка прибора коммерческого учета электрической энергии (мощности) на границе земельного участка, подключенного от опоры №35-19 ВЛ-0,4 №1 КТП-35 ВЛ-10 1501 от ПС 35 кВ ЗР15 для технологического присоединения энергопринимающих устройств ЛПХ Заявителя Шевцова В.Е., п. Экспериментальный, Зерноградский р-н, Ростовская область, к.н.61:12:0050401:1755 (1 шт.)</t>
  </si>
  <si>
    <t>Установка прибора коммерческого учета электрической энергии (мощности) на границе земельного участка, подключенного от опоры № 418-28   ВЛ-0,4 № 1 КТП-418 ВЛ-10  612  ПС 35 кВ Е-6 для технологического присоединения энергопринимающих устройств жилого дома Заявителя Вартанян С.А., х.х.Шаумяновский, Егорлыкский район, Ростовская область, к.н. 61:10:0090101:207 (1 шт.)</t>
  </si>
  <si>
    <t>Установка прибора коммерческого учета электрической энергии (мощности) на границе земельного участка, подключенного от опоры №226-39 ВЛ-0,4кВ №5 КТП-10/0,4 кВ №226 ВЛ-10кВ №2608 ПС 110/10 кВ А-26 для технологического присоединения энергопринимающих устройств шкафа с оборудованием видеонаблюдения Заявителя ООО «Группа компаний «Вега»., с.Кулешовка, Азовский район, Ростовская область(1 шт.)</t>
  </si>
  <si>
    <t>Установка прибора коммерческого учета электрической энергии (мощности) на границе земельного участка, подключенного от опоры №б/н ВЛ-0,4кВ КТП-10/0,4 кВ №279 (балансовая принадлежность ИП Усачев В.И. (п.Беловодье) ВЛ-10кВ №1815 ПС 35/10 кВ А-18 для технологического присоединения энергопринимающих устройств жилого дома Заявителя Чувилина А.В., х.Обуховка, Азовский район, Ростовская область, к.н. 61:01:0600002:852 (1 шт.)</t>
  </si>
  <si>
    <t>Установка прибора коммерческого учета электрической энергии (мощности) на границе земельного участка, подключенного от опоры №48-4 ВЛ-0,4кВ № 1 КТП-10/0,4 кВ №48 ВЛ-10кВ №1815 ПС 35/10 кВ А-18 для технологического присоединения энергопринимающих устройств объекта жилого дома Заявителя Севостьянова Ю.А., Азовский район, Ростовская область, к.н. 61:01:0600002:2644(1 шт.)</t>
  </si>
  <si>
    <t>Установка прибора коммерческого учета электрической энергии (мощности) на границе земельного участка, подключенного от опоры №б/н ВЛ-0,4кВ КТП-10/0,4 кВ №279 (балансовая принадлежность ИП Усачев В.И. (п. Беловодье) ВЛ-10кВ №1815 ПС 35/10 кВ А-18 для технологического присоединения энергопринимающих устройств объекта жилого дома Заявителя Дяур Н.Д., х. Обуховка, Азовский район, Ростовская область, к.н. 61:01:0600002:1614(1 шт.)</t>
  </si>
  <si>
    <t>Установка прибора коммерческого учета электрической энергии (мощности) на границе земельного участка, подключенного от опоры №240-4 ВЛ-0,4кВ №1 КТП-10/0,4 кВ №240 ВЛ-10кВ №106Н ПС 110/6/10 кВ НС-1 для технологического присоединения энергопринимающих устройств объекта жилого дома Заявителя Авдеева Ю.Н., п. Овощной, Азовский район, Ростовская область, к.н. 61:01:0130101:5133 (1 шт.)</t>
  </si>
  <si>
    <t>Установка прибора коммерческого учета электрической энергии (мощности) на границе земельного участка, подключенного от опоры №56-1/3 ВЛ-0,4кВ №1 КТП-10/0,4 кВ №56 ВЛ-10кВ №3127 ПС 110/35/10 кВ А-31 для технологического присоединения энергопринимающих устройств объекта жилого дома Заявителя Стаценко А.Н., х. Береговой, Азовский район, Ростовская область,к.н. 61:01:0140201:1107 (1 шт.)</t>
  </si>
  <si>
    <t xml:space="preserve"> Установка прибора коммерческого учета электрической энергии (мощности) на границе земельного участка, подключенного от опоры №21-20 ВЛ-0,4кВ №3 КТП-10/0,4 кВ №21 ВЛ-10кВ №1815 ПС 35/10 кВ А-18 для технологического присоединения энергопринимающих устройств объекта жилого дома Заявителя Хорошенького А.А., х. Городище, Азовский район, Ростовская область, к.н. 61:01:0030201:3 28 (1 шт.)</t>
  </si>
  <si>
    <t>Установка прибора коммерческого учета электрической энергии (мощности) на границе земельного участка, подключенного от опоры №58-88 ВЛ-0,4кВ №3 КТП-10/0,4 кВ №58 ВЛ-10кВ №609 ПС 35/10 кВ А-6 для технологического присоединения энергопринимающих устройств объекта хозяйственной постройки Заявителя Гребнева А.Ю., с. Маргаритово, Азовский район, Ростовская область,к.н. 61:01:0100101:691 (1 шт.)</t>
  </si>
  <si>
    <t>Установка прибора коммерческого учета электрической энергии (мощности) на границе земельного участка, подключенного от опоры №240-76 ВЛ-0,4кВ №3 КТП-10/0,4 кВ №240 ВЛ-10кВ №106Н ПС 110/6/10 кВ НС-1 для технологического присоединения энергопринимающих устройств объекта жилого дома Заявителя Новиковой О.А., п. Овощной, Азовский район, Ростовская область,к.н. 61:01:0130101:5000 (1 шт.)</t>
  </si>
  <si>
    <t>Установка прибора коммерческого учета электрической энергии (мощности) на границе земельного участка, подключенного от опоры №106-93 ВЛ 0,4 кВ № 2 КТП 10/0,4кВ №106 ВЛ 10кВ №806 ПС 35/10 кВ А-8 для технологического присоединения энергопринимающих устройств жилого дома Заявителя Соломатиной С.Л., с. Семибалки, Азовский район Ростовская область, к.н. 61:01:0180101:5016 (1 шт.)</t>
  </si>
  <si>
    <t xml:space="preserve"> Установка прибора коммерческого учета электрической энергии (мощности) на границе земельного участка, подключенного от опоры №48-79 ВЛ-0,4кВ №3 КТП-10/0,4 кВ №48 ВЛ-10кВ №1815 ПС 35/10 кВ А-18 для технологического присоединения энергопринимающих устройств объекта жилого дома Заявителя Чупинина И.В., Рыболовецкий колхоз им.Ленина, Азовский район, Ростовская область, к.н. 61:01:0600002:3268 (1 шт.)</t>
  </si>
  <si>
    <t>Установка прибора коммерческого учета электрической энергии (мощности) на границе земельного участка, подключенного от опоры №185-14 ВЛ-0,4кВ №1 КТП-10/0,4 кВ №185 ВЛ-10кВ №106Н ПС 110/6/10 кВ НС-1 для технологического присоединения энергопринимающих устройств объекта жилого дома Заявителя Боровиченко Н.П., с. Кулешовка, Азовский район, Ростовская область, к.н. 61:01:0090101:1766 (1 шт.)</t>
  </si>
  <si>
    <t>Установка прибора коммерческого учета электрической энергии (мощности) на границе земельного участка, подключенного от опоры №219-46 ВЛ 0,4 кВ №2 КТП 10/0,4кВ №219 ВЛ 10кВ №901 ПС 35/10 кВ А-9 для технологического присоединения энергопринимающих устройств жилого дома Заявителя Павленко А.В., с. Высочино, Азовский район, Ростовская область, к.н. 61:01:0110201:2100 (1 шт.)</t>
  </si>
  <si>
    <t>Установка прибора коммерческого учета электрической энергии (мощности) на границе земельного участка, подключенного от опоры №48-17 ВЛ-0,4кВ №1 КТП-10/0,4 кВ №48 ВЛ-10кВ №1815 ПС 35/10 кВ А-18 для технологического присоединения энергопринимающих устройств объекта жилого дома Заявителя Шахбазян Ж.М., Азовский район, Ростовская область, к.н. 61:01:0600002:2541 (1 шт.)</t>
  </si>
  <si>
    <t>Установка прибора коммерческого учета электрической энергии (мощности) на границе земельного участка, подключенного от опоры №89-28 ВЛ-0,4кВ №1 КТП-10/0,4 кВ №89 ВЛ-10кВ №803 ПС 35/10 кВ А-8 для технологического присоединения энергопринимающих устройств объекта жилого дома Заявителя Осиповой Н.Б., с. Семибалки, Азовский район, Ростовская область, к.н. 61:01:0180101:1456 (1 шт.)</t>
  </si>
  <si>
    <t>Установка прибора коммерческого учета электрической энергии (мощности) на границе земельного участка, подключенного от опоры №228-92 ВЛ-0,4кВ №2 КТП-10/0,4 кВ №228 ВЛ-10кВ №106Н ПС 110/6/10 кВ НС-1 для технологического присоединения энергопринимающих устройств объекта жилого дома Заявителя Мухоян Р.М., п. Овощной, Азовский район, Ростовская область, к.н. 61:01:0130101:5108 (1 шт.)</t>
  </si>
  <si>
    <t>Установка прибора коммерческого учета электрической энергии (мощности) на границе земельного участка, подключенного от опоры №45-116 ВЛ-0,4кВ № 2 КТП-10/0,4 кВ №45 ВЛ-10кВ №1613 ПС 35/10 кВ А-16 для технологического присоединения энергопринимающих устройств объекта жилого дома Заявителя Самойленко Д.Г., х. Калиновка, Азовский район, Ростовская область, к.н. 61:01:0050501:682(1 шт.)</t>
  </si>
  <si>
    <t>Установка прибора коммерческого учета электрической энергии (мощности) на границе земельного участка, подключенного от опоры №156-8 ВЛ-0,4кВ № 1 КТП-10/0,4 кВ №156 ВЛ-10кВ №1701 ПС 35/10 кВ А-17 для технологического присоединения энергопринимающих устройств объекта жилого дома Заявителя Ивченко А.В., с. Круглое, Азовский район, Ростовская область, к.н. 61:01:0070101:2413(1 шт.)</t>
  </si>
  <si>
    <t>Установка прибора коммерческого учета электрической энергии (мощности) на границе земельного участка, подключенного от опоры №31-87 ВЛ-0,4кВ № 1 КТП-10/0,4 кВ №31 ВЛ-10кВ №2907 РП-29 ПС 35/10 кВ А-18 для технологического присоединения энергопринимающих устройств объекта жилого дома Заявителя Резников И.А., ст-ца Елизаветинская, Азовский район, Ростовская область, к.н. 61:01:0030101:1455(1 шт.)</t>
  </si>
  <si>
    <t>Установка прибора коммерческого учета электрической энергии (мощности) на границе земельного участка, подключенного от опоры №389-97 ВЛ-0,4кВ №1 КТП-10/0,4 кВ №389 ВЛ-10кВ №2008 ПС 220/110/10 кВ А-20 для технологического присоединения энергопринимающих устройств объекта жилого дома Заявителя Попёхина А.Е., ДНТ «Донские зори», Азовский район, Ростовская область, к.н. 61:01:0501901:595(1 шт.)</t>
  </si>
  <si>
    <t>Установка прибора коммерческого учета электрической энергии (мощности) на границе земельного участка, подключенного от опоры №44-40 ВЛ-0,4кВ №2 КТП-10/0,4 кВ №44 ВЛ-10кВ №1005 ПС 110/35/10 кВ «Самарская» для технологического присоединения энергопринимающих устройств объекта жилого дома Заявителя Полякова Н.Е., х. Бирючий, Азовский район, Ростовская область, к.н. 61:01:0050201:69 (1 шт.)</t>
  </si>
  <si>
    <t>Установка прибора коммерческого учета электрической энергии (мощности) на границе земельного участка, подключенного от опоры №1-32 ВЛ-0,4кВ №3 КТП-10/0,4 кВ №1 ВЛ-10кВ №302Н ПС 110/35/6/10 кВ НС-3 для технологического присоединения энергопринимающих устройств объекта жилого дома Заявителя Ковпак О.А., х. Еремеевка, Азовский район, Ростовская область (1 шт.)</t>
  </si>
  <si>
    <t xml:space="preserve">Установка прибора коммерческого учета электрической энергии (мощности) на границе земельного участка, подключенного от опоры №157-37 ВЛ-0,4кВ №2 КТП-10/0,4 кВ №157 ВЛ-10кВ №1101 ПС 35/10 кВ А-11 для технологического присоединения энергопринимающих устройств объекта жилого дома Заявителя Старинского С.С., с. Кагальник, Азовский район, Ростовская область, к.н. 61:01:0060101:5310 (1 шт.) </t>
  </si>
  <si>
    <t>Установка прибора коммерческого учета электрической энергии (мощности) на границе земельного участка, подключенного от опоры №111-35 ВЛ-0,4кВ №1 КТП-10/0,4 кВ №111 ВЛ-10кВ №1908 РП-19 ПС 110/35/10 кВ Самарская для технологического присоединения энергопринимающих устройств объекта жилого дома Заявителя Чупринина В.А., х. Галагановка, Азовский район, Ростовская область, к.н. 61:01:0040401:47 (1 шт.)</t>
  </si>
  <si>
    <t>Установка прибора коммерческого учета электрической энергии (мощности) на границе земельного участка, подключенного от опоры №196-22 ВЛ-0,4кВ №1 КТП-10/0,4 кВ №196 ВЛ-10кВ №3113 ПС 110/35/10 кВ А-31 для технологического присоединения энергопринимающих устройств объекта жилого дома Заявителя Семененко Г.Ф., с. Головатовка, Азовский район, Ростовская область, к.н. 61:01:0140301:2119 (1 шт.)</t>
  </si>
  <si>
    <t>Установка прибора коммерческого учета электрической энергии (мощности) на границе земельного участка, подключенного от опоры №389-58 ВЛ-0,4кВ №1 КТП-10/0,4 кВ №389 ВЛ-10кВ №2008 ПС 220/110/10 кВ А-20 для технологического присоединения энергопринимающих устройств объекта жилого дома Заявителя Николенко О.Н., ДНТ «Донские зори», Азовский район, Ростовская область, к.н. 61:01:0501901:182 (1 шт.)</t>
  </si>
  <si>
    <t>Установка прибора коммерческого учета электрической энергии (мощности) на границе земельного участка, подключенного от опоры №144-24 ВЛ-0,4кВ №1 КТП-10/0,4 кВ №144 ВЛ-10кВ №1107 ПС 35/10 кВ А-11 для технологического присоединения энергопринимающих устройств объекта жилого дома Заявителя Радченко С.И., с. Кагальник, Азовский район, Ростовская область, к.н. 61:01:0060101:2892 (1 шт.)</t>
  </si>
  <si>
    <t>Установка прибора коммерческого учета электрической энергии (мощности) на границе земельного участка, подключенного от опоры №17-19 ВЛ-0,4кВ №2 КТП-10/0,4 кВ №17 ВЛ-10кВ №107Н ПС 110/6/10 кВ НС-1 для технологического присоединения энергопринимающих устройств объекта жилого дома Заявителя Грушевенко О.В., п. Овощной, Азовский район, Ростовская область, к.н. 61:01:0130101:5152 (1 шт.)</t>
  </si>
  <si>
    <t>Установка прибора коммерческого учета электрической энергии (мощности) на границе земельного участка, подключенного от опоры №29-51 ВЛ-0,4кВ №2 КТП-10/0,4 кВ №29 ВЛ-10кВ №3113 ПС 110/35/10 кВ А-31 для технологического присоединения энергопринимающих устройств объекта жилого дома Заявителя Череповской Е.А., с. Головатовка, Азовский район, Ростовская область, к.н. 61:01:0140301:2824 (1 шт.)</t>
  </si>
  <si>
    <t>Установка прибора коммерческого учета электрической энергии (мощности) на границе земельного участка, подключенного от опоры №156-105 ВЛ-0,4кВ №3 КТП-10/0,4 кВ №156 ВЛ-10кВ №1701 ПС 35/10 кВ А-17 для технологического присоединения энергопринимающих устройств объекта жилого дома Заявителя Блок Е.А., с. Круглое, Азовский район, Ростовская область, к.н. 61:01:0070101:8043 (1 шт.)</t>
  </si>
  <si>
    <t>Установка прибора коммерческого учета электрической энергии (мощности) на границе земельного участка, подключенного от опоры №156-106 ВЛ-0,4кВ №3 КТП-10/0,4 кВ №156 ВЛ-10кВ №1701 ПС 35/10 кВ А-17 для технологического присоединения энергопринимающих устройств объекта жилого дома Заявителя Блок Е.А., с. Круглое, Азовский район, Ростовская область, к.н. 61:01:0070101:8042 (1 шт.)</t>
  </si>
  <si>
    <t>Установка прибора коммерческого учета электрической энергии (мощности) на границе земельного участка, подключенного от опоры №213-90 ВЛ-0,4кВ №3 КТП-10/0,4 кВ №213 ВЛ-10кВ №910 ПС 35/10 кВ А-9 для технологического присоединения энергопринимающих устройств объекта жилого дома Заявителя Козлова А.В., СНТ Звездное, Азовский район, Ростовская область, к.н. 61:45:0000380:482 (1 шт.)</t>
  </si>
  <si>
    <t>Установка прибора коммерческого учета электрической энергии (мощности) на границе земельного участка, подключенного от опоры №75-5 ВЛ 0,4 кВ № 1 КТП 10/0,4кВ №75 ВЛ 10кВ №3125 ПС 110/35/10 кВ А-31 для технологического присоединения энергопринимающих устройств жилого дома Заявителя Сафроновой Л.А., с. Пешково, Азовский район Ростовская область, к.н. 61:01:0140101:7479 (1 шт.)</t>
  </si>
  <si>
    <t>Установка прибора коммерческого учета электрической энергии (мощности) на границе земельного участка, подключенного от опоры №351-2 ВЛ-0,4кВ №2 КТП-6/0,4 кВ №351 ВЛ-6кВ №207Н ПС 110/6/10 кВ НС-2 для технологического присоединения энергопринимающих устройств объекта жилого дома Заявителя Рахматуллина Г.Ф., СТ «Квант», Азовский район, Ростовская область, к.н. 61:01:0502901:1087 (1 шт.)</t>
  </si>
  <si>
    <t>Установка прибора коммерческого учета электрической энергии (мощности) на границе земельного участка, подключенного от опоры №157-65 ВЛ-0,4кВ №2 КТП-10/0,4 кВ №157 ВЛ-10кВ №1101 ПС 35/10 кВ А-11 для технологического присоединения энергопринимающих устройств объекта жилого дома Заявителя Жамкочян С.Р., с. Кагальник, Азовский район, Ростовская область,к.н. 61:01:0060101:12797 (1 шт.)</t>
  </si>
  <si>
    <t>Установка прибора коммерческого учета электрической энергии (мощности) на границе земельного участка, подключенного от опоры №31-146 ВЛ 0,4 кВ № 2 КТП 10/0,4кВ №31 ВЛ 10кВ №2907 РП-29 ПС 35/10 кВ А-18 для технологического присоединения энергопринимающих устройств жилого дома Заявителя Стрельченко А.И., ст-ца. Елизаветинская, Азовский район Ростовская область, 61:01:0030101:1429 (1 шт.)</t>
  </si>
  <si>
    <t>Установка прибора коммерческого учета электрической энергии (мощности) на границе земельного участка, подключенного от опоры №172-2 ВЛ 0,4 кВ № 1 КТП 10/0,4кВ №172 ВЛ 10кВ №1702 ПС 35/10 кВ А-17 для технологического присоединения энергопринимающих устройств вагончика Заявителя Евдокимовой В.М., с. Стефанидинодар, Азовский район Ростовская область, к.н. 61:01:0070201:4426 (1 шт.)</t>
  </si>
  <si>
    <t>Установка прибора коммерческого учета электрической энергии (мощности) на границе земельного участка, подключенного от опоры №89-14 ВЛ 0,4 кВ № 1 КТП 10/0,4кВ №89 ВЛ 10кВ №803 ПС 35/10 кВ А-8 для технологического присоединения энергопринимающих устройств жилого дома Заявителя Саранча М.В., с. Семибалки, Азовский район Ростовская область, 61:01:0180101:4728 (1 шт.)</t>
  </si>
  <si>
    <t>Установка прибора коммерческого учета электрической энергии (мощности) на границе земельного участка, подключенного от опоры №35-8 ВЛ 0,4 кВ № 1 КТП 10/0,4кВ №35 ВЛ 10кВ №1904 РП-19 ПС 110/35/10 кВ Самарская для технологического присоединения энергопринимающих устройств жилого дома Заявителя Олейникова Н.Д., с. Новотроицкое, Азовский район Ростовская область, 61:01:0040801:2173 (1 шт.)</t>
  </si>
  <si>
    <t xml:space="preserve">Установка прибора коммерческого учета электрической энергии (мощности) на границе земельного участка, подключенного от опоры №27-112 ВЛ-0,4кВ №4 КТП-10/0,4 кВ №27 ВЛ-10кВ №1701 ПС 35/10 кВ А-17 для технологического присоединения энергопринимающих устройств объекта жилого дома Заявителя Грачевского В.В., с. Кругое, Азовский район, Ростовская область, к.н. 61:01:0070101:198 (1 шт.) </t>
  </si>
  <si>
    <t>Установка прибора коммерческого учета электрической энергии (мощности) на границе земельного участка, подключенного от опоры №9-2 ВЛ-0,4 кВ №1 КТП 10/0,4кВ №9 ВЛ-10кВ №3125 ПС 110/35/10 кВ А-31 для технологического присоединения энергопринимающих устройств жилого дома Заявителя Прядкиной Д.С., с. Пешково, Азовский район, Ростовская область, к.н. 61:01:0140101:8690 (1 шт.)</t>
  </si>
  <si>
    <t>Установка прибора коммерческого учета электрической энергии (мощности) на границе земельного участка, подключенного от опоры №б/н ВЛ 0,4 кВ КТП 10/0,4 кВ №38 (на балансе Администрации Елизаветинского сельского поселения) ВЛ 10кВ №1802 ПС 35/10 кВ А-18 для технологического присоединения энергопринимающих устройств жилого дома Заявителя Солимчук Л.И., х. Дугино, Азовский район, Ростовская область, к.н. 61:01:0030301:1942 (1 шт.)</t>
  </si>
  <si>
    <t>Установка прибора коммерческого учета электрической энергии (мощности) на границе земельного участка, подключенного от опоры №29-45 ВЛ-0,4кВ №1 ЗТП-10/0,4 кВ №29 КЛ-10кВ №1205 ПС 110/10 кВ А-12 для технологического присоединения энергопринимающих устройств объекта жилого дома Заявителя Козыренко Л.А., Азовский район, Ростовская область, к.н. 61:01:0090102:2564 (1 шт.)</t>
  </si>
  <si>
    <t>Установка прибора коммерческого учета электрической энергии (мощности) на границе земельного участка, подключенного от опоры №127-5 ВЛ-0,4кВ №1 КТП-10/0,4 кВ №127 ВЛ-10кВ №1708 ПС 35/10 кВ А-17 для технологического присоединения энергопринимающих устройств объекта жилого дома Заявителя Лыскиной В.В., с. Круглое, Азовский район, Ростовская область, к.н. 61:01:0070101:232 (1 шт.)</t>
  </si>
  <si>
    <t>Установка прибора коммерческого учета электрической энергии (мощности) на границе земельного участка, подключенного от опоры №126-57 ВЛ-0,4 №1 КТП-126 ВЛ-10 313 от ПС 35 кВ КГ3 для технологического присоединения энергопринимающих устройств садового дома Заявителя Бондаревой Е.А., Ростовская обл., Аксайский р-н, СНТ «Железнодорожник» к.н. 61:02:0504801:404 (1 шт.)</t>
  </si>
  <si>
    <t>Установка прибора коммерческого учета электрической энергии (мощности) на границе земельного участка, подключенного от опоры №123-38 ВЛ-0,4 №1 КТП-123 ВЛ-10 114 ПС 220 кВ Зерновая для технологического присоединения энергопринимающих устройств жилого дома Заявителя Коваленко А.А., г. Зерноград, Зерноградский район, Ростовская область,  к.н. 61:12:0040803:5 (1 шт.)</t>
  </si>
  <si>
    <t>Установка прибора коммерческого учета электрической энергии (мощности) на границе земельного участка, подключенного от проектируемой опоры (в рамках договора 61-1-22-00612349 Забей-Ворота И.Г.) ВЛ-0,4 №1 КТП-123 ВЛ-10 114 ПС 220 кВ Зерновая для технологического присоединения энергопринимающих устройств жилого дома Заявителя Кошуба М.С., Ростовская обл. Зерноградский р-н, г. Зерноград, пер. Волжский д.6 к.н. 61:12:0600801:610 (1 шт.)</t>
  </si>
  <si>
    <t>Установка прибора коммерческого учета электрической энергии (мощности) на границе земельного участка, подключенного от опоры         №107-10 ВЛ-0,4 №2 КТП-107 ВЛ-10 122 ПС 220кВ Зерновая для технологического присоединения энергопринимающих устройств жилого дома Заявителя  Кранокутского А.Ю. , Ростовская обл. Зерноградский р-н. х. Ракитный ул. Заречная д.54б  к.н. 61:12:0051001:1110(1 шт.)</t>
  </si>
  <si>
    <t>Установка прибора коммерческого учета электрической энергии (мощности) на границе земельного участка, подключенного от опоры №126-134 ВЛ-0,4 №1 КТП-126 ВЛ-10 313 ПС 35 кВ КГ3 для технологического присоединения энергопринимающих устройств малоэтажной жилой застройки Заявителя, Ростовская обл., Аксайский р-н, СНТ «Природа» 35 линия уч.3631 к.н. 61:02:0504601:4427(1 шт.)</t>
  </si>
  <si>
    <t>Установка прибора коммерческого учета электрической энергии (мощности) на границе земельного участка, подключенного от опоры №202-6 ВЛ-0,4 №1 КТП-202 ВЛ-10 319 ПС 35 кВ КГ3 для технологического присоединения энергопринимающих устройств малоэтажной жилой застройки Заявителя Марченко А.А., Ростовская обл. Кагальницкий р-н. п. Мокрый Батай, ул. Строителей д.78 к.н. 61:14:0060109:769 (1 шт.)</t>
  </si>
  <si>
    <t>Установка прибора коммерческого учета электрической энергии (мощности) на границе земельного участка, подключенного от опоры    №105-32 ВЛ-0,4 №1 КТП-105 ВЛ-10 716 ПС 110 кВ Юбилейная для технологического присоединения энергопринимающих устройств малоэтажной жилой застройки Заявителя Массольд А.В., Ростовская обл., Кагальницкий р-н, п. Воронцовка, ул. Садовая д.19 к.н. 61:14:0060202:349 (1 шт.)</t>
  </si>
  <si>
    <t>Установка прибора коммерческого учета электрической энергии (мощности) на границе земельного участка, подключенного от опоры №128-112 ВЛ-0,4 №1 КТП-128 ВЛ-10 313 ПС 35 кВ КГ3 для технологического присоединения энергопринимающих устройств малоэтажной жилой застройки Заявителя Поверенная Е.В., Ростовская обл., Кагальницкий р-н, ст. Кировская, ул. Королева д.20 к.н. 61:14:0050103:64(1 шт.)</t>
  </si>
  <si>
    <t>Установка прибора коммерческого учета электрической энергии (мощности) на границе земельного участка, подключенного от опоры №169-161 ВЛ-0,4 №3 КТП-169 ВЛ-10 313 ПС 35 кВ КГ3 для технологического присоединения энергопринимающих устройств малоэтажной жилой застройки Заявителя Помазанова А.Н., Ростовская обл., Аксайский р-н, х. Истомино, СНТ «Природа» уч.IV-23-3680 к.н. 61:02:0504601:762 (1 шт.)</t>
  </si>
  <si>
    <t>Установка прибора коммерческого учета электрической энергии (мощности) на границе земельного участка, подключенного от опоры №25-52 ВЛ-0,4 №2 КТП-25 ВЛ-10 1006 ПС 110 кВ Полячки для технологического присоединения энергопринимающих устройств малоэтажной жилой застройки Заявителя Струковой Л.В., Ростовская обл., Кагальницкий р-н, х. Родники, ул. Гагарина д.31Б к.н. 61:14:0080502:245(1 шт.)</t>
  </si>
  <si>
    <t>Установка прибора коммерческого учета электрической энергии (мощности) на границе земельного участка, подключенного от опоры №108-88 ВЛ-0,4 №4 КТП-108 ВЛ-10 1507 ПС 110 кВ ЗР15 для технологического присоединения энергопринимающих устройств жилого дома Заявителя Третьяковой С.А., п. Зерновой, Зерноградский район, Ростовская область, к.н.:61:12:0050501:811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</si>
  <si>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Цокаевой Р.М., расположенной по адресу: Ростовская область,Кашарский  район, х. Ленинский, ул. Заветная, д.10, кв.1, к.н.з.у. 61:16:0170401:79 (1шт.)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</si>
  <si>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Бушуева М.В., расположенного по адресу: Ростовская область, Боковский  район,х.Белавин,ул.Степная д.41»</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</si>
  <si>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Копкилец Р.А., расположенного по адресу: Ростовская область, Боковский  район, х. Коньков, ул. Комунная, д. 40, кв. 3, к.н.з.у. 61:05:0040501:47»</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</si>
  <si>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Литвиновой Е.И., расположенного по адресу: Ростовская область, Боковский район, ст. Боковская, ул. Совхозная, д. 11а, к.н.з.у. 61:05:0010104:385»</t>
  </si>
  <si>
    <t>Установка прибора учета электрической энергии (мощности) в точке поставки и установка шкафа 0,22 кВ с коммутационным аппаратом для электроснабжения линии освещения мостового перехода на км 95+139 автомобильной дороги общего пользования регионального значения ст. Обливская - ст. Советская - ст. Боковская - ст. Каргинская, Заявителя, Министерство транспорта Ростовской области, расположенной по адресу: Ростовская область, Боковский район, х. Земцов, к.н.з.у. 61:05:0000000:85</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</si>
  <si>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ВРУ-0,22 кВ УКЗТ-3 Заявителя, ПАО "Газпром газараспределение Ростов-на-Дону", расположенного по адресу: Ростовская область, Боковский район, х. Земцов, к.н.з.у. 61:05:0600011:128</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</si>
  <si>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Гладкова Н.В., расположенного по адресу: Ростовская область, Кашарский район, п. Красный Колос, ул. Сосновая, д.10, к.н.з.у. 61:16:0080101:139»</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</si>
  <si>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Чалая С.А., расположенного по адресу: Ростовская область, Кашарский район, п. Красный Колос ул. Центральная д.2, кв. 4, к.н.з.у. 61:16:0080101:512»</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</si>
  <si>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Тимошенко А.О., расположенного по адресу: Ростовская область, Кашарский район, с. Усть-Мечетка, ул. Набережная, д. 47, к.н.з.у. 61:16:0160401:254»</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</si>
  <si>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Ерунова А.С., расположенного по адресу: Ростовская область, Кашарский район, с. Усть-Мечетка, ул. Набережная, д. 14, к.н.з.у. 61:16:0160401:259»</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</si>
  <si>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Бездорожней Т.Ф., расположенного по адресу: Ростовская область, Кашарский район, х. Вишневка, ул. Дружбы, 18 к.н.з.у. 61:16:0140202:470»</t>
  </si>
  <si>
    <t>«Установка прибора учета электрической энергии (мощности) в точке поставки и установка шкафа 0,22 кВ с коммутационным аппаратом для электроснабжения объектов здравоохранения заявителя, МБУЗ ЦРБ Кашарского района, расположенных по адресу: Ростовская область, Кашарский  район, х. Пономарев, ул. Центральная, д.35 а, к.н.з.у. 61:16:0120101:1238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</si>
  <si>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Козырева Д.Э., расположенного по адресу: Ростовская область, Кашарский район, с. Поповка, ул. Большая Садовая, д. 73, к.н.з.у. 61:16:0130101:436»</t>
  </si>
  <si>
    <t>«Установка прибора учета электрической энергии (мощности) в точке поставки и установка шкафа 0,22 кВ с коммутационным аппаратом (1 шт.) для электроснабжения светофора Заявителя, Администрация Чертковского района, расположенного по адресу: Ростовская область, Чертковский район, сл. Анно-Ребриковская, ул. Советская, в районе дома №58»</t>
  </si>
  <si>
    <t>«Установка прибора учета электрической энергии (мощности) в точке поставки и установка шкафа 0,22 кВ с коммутационным аппаратом (1 шт.) для электроснабжения светофора Заявителя, Администрация МО Маньковское сельское поселение, расположенного по адресу: Ростовская область, Чертковский район, с. Маньково-Калитвенское, ул. Советская, в районе дома №40»</t>
  </si>
  <si>
    <t>«Установка прибора учета электрической энергии (мощности) в точке поставки и установка шкафа 0,22 кВ с коммутационным аппаратом (1 шт.) для электроснабжения светофора Заявителя, Администрация Чертковского района, расположенного по адресу: Ростовская область, Чертковский район, с. Михайлово-Александровка, ул. Ленина к.н.з.у. 61:42:0090101:2884»</t>
  </si>
  <si>
    <t>«Установка прибора учета электрической энергии (мощности) в точке поставки и установка шкафа 0,22 кВ с коммутационным аппаратом (1 шт.) для электроснабжения светофора Заявителя, Администрация Чертковского района, расположенного по адресу: Ростовская область, Чертковский район, с. Сохрановка, ул. Школьная, в районе дома №8 к.н.з.у. 61:42:0000000:2561»</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</si>
  <si>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Грезиной Н.Л., расположенного по адресу: Ростовская область, Чертковский район, х. Полтава, ул. Комарова, д. 29, к.н.з.у. 61:42:0210201:163»</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</si>
  <si>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Капля Н.И., расположенной по адресу: Ростовская область, Чертковский район, х. Полтава, ул. Катаева, д. 6, кв. 1, к.н.з.у. 61:42:0000000:1947»</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</si>
  <si>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Нешта Л.Н., расположенной по адресу: Ростовская область, Чертковский район, с. Михайлово-Александровка, ул. Свердлова, д. 4, кв. 1, к.н.з.у. 61:42:0090101:625»</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</si>
  <si>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Скляренко С.В., расположенной по адресу: Ростовская область, Чертковский район, с. Алексеево-Лозовское, ул. Рабочая, д. 44, кв. 3, к.н.з.у. 61:42:0010101:834»</t>
  </si>
  <si>
    <t>«Установка прибора учета электрической энергии (мощности) в точке поставки и установка шкафа 0,22 кВ с коммутационным аппаратом для электроснабжения магазина Заявителя ИП Соболева В.В., расположенного по адресу: Ростовская область, Чертковский район, с. Маньково-Калитвенское, ул. Кирова, д. 106а, к.н.з.у. 61:42:0080102:312»</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</si>
  <si>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ФАП Заявителя МБУЗ "ЦРБ Миллеровского района", расположенной по адресу: Ростовская область, Миллеровский район, х. Венделеевка, ул. Центральная, д. 70, к.н.з.у 61:42:0050201:196»</t>
  </si>
  <si>
    <t>«Установка прибора учета электрической энергии (мощности)в точке поставки и установка шкафа 0,22 кВ с коммутационным аппаратом для электроснабжения пропускного пункта Заявителя ФГКУ «Пограничное управление ФСБ РФ по Ростовской области», расположенного по адресу: Ростовская область, Миллеровский район, Титовское сельское поселение, к.н.з.у. 61:22:0150101:1071»</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</si>
  <si>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Приходько Е.С., расположенного по адресу: Ростовская область, Кашарский район, п. Теплые Ключи ул. Прудная д. 13 кв. 1, к.н.з.у. 61:16:0090101:297</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</si>
  <si>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Морозова Е.И., расположенного по адресу: Ростовская область, Кашарский район, х. Пономарев ул. Садовая д. 11, к.н.з.у. 61:16:0120101:1251</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</si>
  <si>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Кучеровой Е.В., расположенной по адресу: Ростовская область,Кашарский  район, х. Пономарев, ул. Центральная, д.16, кв. 2,  к.н.з.у. 61:16:0120101:1234</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</si>
  <si>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Яценко Н.А., расположенного по адресу: Ростовская область, Кашарский район, сл. Кашары, ул. Строительная, д. 2, к.н.з.у. 61:16:0010112:88</t>
  </si>
  <si>
    <t>Установка прибора учета для технологического присоединения здания библиотеки заявителя, МБУК «Вёшенская межпоселковая центральная библиотека», расположенного по адресу: Ростовская область, Шолоховский район, х. Гороховский ул. Асфальтная, д. 23б, к.н.з.у. 61:43:0060401:573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</si>
  <si>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жилого дома Заявителя, Гапоненко Л.Н.., расположенного по адресу: Ростовская область, Кашарский район, х. Вишневка, ул. Центральная, д. 19, к.н.з.у. 61:16:0170101:143</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</si>
  <si>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Пасикова А.И., расположенного по адресу: Ростовская область,Кашарский  район, х. Новопокровский, ул. Озерная, д.4, к.н.з.у. 61:16:0010401:266</t>
  </si>
  <si>
    <t>Установка прибора учета электрической энергии (мощности) в точке поставки и установка шкафа 0,22 кВ с коммутационным аппаратом для электроснабжения объектов оптовой и розничной торговли заявителя, ИП Филевой Е.Г., расположенного по адресу: Ростовская область,Кашарский  район, с. Верхнегреково, ул. Школьная, д. 16А, к.н.з.у. 61:16:0020101:85</t>
  </si>
  <si>
    <t>Установка прибора учета электрической энергии (мощности) в точке поставки и установка шкафа 0,22 кВ с коммутационным аппаратом для электроснабжения объектов  розничной торговли заявителя СлабченкоВ.А., расположенного по адресу: Ростовская область,Кашарский  район, с. Верхнегреково, ул. Заречная, д. 10А, к.н.з.у. 61:16:0020102:504</t>
  </si>
  <si>
    <t>Установка прибора учета электрической энергии (мощности) в точке поставки и установка шкафа 0,22 кВ с коммутационным аппаратом для электроснабжения объектов  розничной торговли заявителя Слабченко В.А., расположенных по адресу: Ростовская область,Кашарский  район, х. Нижний Астахов, пер. Школьный, д. 10А, к.н.з.у. 61:16:0020201:223</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</si>
  <si>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Бацкина А.Н., расположенного по адресу: Ростовская область, Шолоховский  район, х. Зубковский, ул. Решетовская, д. 9, к.н.з.у. 61:43:0030301:108</t>
  </si>
  <si>
    <t>«Установка прибора учета электрической энергии (мощности) в точке поставки и установка шкафа 0,22 кВ с коммутационным аппаратом для электроснабжения здания столовой Заявителя, Администрация Боковского района, расположенной по адресу: Ростовская область, Боковский район, ст. Каргинская, ул. Ленина, д. 31/2, к.н.з.у. 61:05:0040103:169»</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</si>
  <si>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помещения Заявителя Тырнова В.М., расположенного по адресу: Ростовская область, Кашарский район, п. Индустриальный, ул. Школьная, д. 18,  к.н.з.у. 61:16:0060102:142</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</si>
  <si>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Прудниковой И.С., расположенного по адресу: Ростовская область, Шолоховский район, х. Пигаревский, ул. Красноселовская, д. 3А, к.н.з.у. 61:43:0020602:404</t>
  </si>
  <si>
    <t>Установка прибора учета электрической энергии (мощности)в точке поставки и установка шкафа 0,22 кВ с коммутационным аппаратом для электроснабжения ВРУ 0,22 кВ для ведения садоводства и огородничества, Заявителя Артеменко В.И., расположенного по адресу: Ростовская область, Миллеровский район, юго-восточная часть г. Миллерово, ООО «Железнодорожник», к.н.з.у. 61:54:050401:11</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</si>
  <si>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Лазарева А.Н., расположенной по адресу: Ростовская область, Кашарский район, с. Первомайское, ул. Лермонтова, д. 34, к.н.з.у. 61:16:0110102:467</t>
  </si>
  <si>
    <t>Установка прибора учета для технологического присоединения жилого дома заявителя, Корниенко С.Ю., расположенного по адресу: Ростовская область, Боковский район, х. Вислогузов, ул. Вислогузовская, д. 26-б, к.н.з.у. 61:05:0040202:29</t>
  </si>
  <si>
    <t>Установка прибора учета для технологического присоединения квартиры заявителя, Алимова Л.А., расположенной по адресу: Ростовская область, Боковский район, х. Горбатов, ул. Луговая, д. 14, кв. 2, к.н.з.у. 61:05:0010402:94</t>
  </si>
  <si>
    <t>Установка прибора учета для технологического присоединения ВРУ 0,4 кВ заявителя, Багдасарян К.С., расположенного по адресу: Ростовская область, Чертковский район, с. Маньково-Калитвенское, пер. Почтовый, д. 62, к.н.з.у. 61:42:0080113:2</t>
  </si>
  <si>
    <t>Установка прибора учета для технологического присоединения личного подсобного хозяйства заявителя, Стецков В.В., расположенного по адресу: Ростовская область, Миллеровский район, х. Маринченский, ул. Меловая, д. 1, к.н.з.у. 61:22:0020501:1</t>
  </si>
  <si>
    <t>Установка прибора учета для технологического присоединения уличного освещения заявителя, Администрация Первомайского СП, расположенного по адресу: Ростовская область, Миллеровский район, х. Редкодуб, ул. Созвучная, к.н.з.у. 00:00:000000:00</t>
  </si>
  <si>
    <t>Установка прибора учета для технологического присоединения нежилого помещения заявителя, ГБУ РО «Боковская межрайонная СББЖ», расположенного по адресу: Ростовская область, Боковский район, ст. Боковская, ул. Совхозная, д. 3-б, к.н.з.у. 61:05:0010104:1060</t>
  </si>
  <si>
    <t>Установка прибора учета для технологического присоединения жилого дома заявителя, Кузнецов В.И., расположенного по адресу: Ростовская область, Боковский район, х. Большенаполовский, ул. Лесная, д. 48, к.н.з.у. 61:05:0020201:27</t>
  </si>
  <si>
    <t>Установка прибора учета для технологического присоединения жилого дома заявителя, Заварыкин А.М., расположенного по адресу: Ростовская область, Чертковский район, сл. Анно-Ребриковская, ул. Лесная, д. 12, к.н.з.у. 61:42:0080113:2</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</si>
  <si>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Мутилина А. И., расположенной по адресу: 346175 Российская Федерация, Ростовская обл., р-н. Верхнедонской, х. Пузановский, ул. Пузановская,  д. 16, кадастровый номер земельного участка: 61:07:0060301:8</t>
  </si>
  <si>
    <t>Установка прибора учета для технологического присоединения жилого дома заявителя, Лубяная Е.М., расположенного по адресу: Ростовская область, Чертковский район, с. Сохрановка, ул. Первомайская, д. 7, к.н.з.у. 61:42:0150101:62</t>
  </si>
  <si>
    <t>Установка прибора учета электрической энергии (мощности) в точке поставки и установка шкафа 0,22 кВ с коммутационным аппаратом для электроснабжения земельного участка заявителя, Абрамов М.С., расположенного по адресу: Ростовская область, Кашарский район, с. Нижнекалиновка, ул. Береговая, д. 23, к.н.з.у. 61:16:0100501:66</t>
  </si>
  <si>
    <t>Установка прибора учета для технологического присоединения земельного участка заявителя Быкадоров В.П., расположенного по адресу: Ростовская область, Верхнедонской район, х. Казанская Лопатина, ул. Лопатинская, д. 132, к.н.з.у. 61:07:0020101:129</t>
  </si>
  <si>
    <t>Установка прибора учета (1 шт.) для технологического присоединения уличного освещения заявителя, Администрация Криворожского сельского поселения, расположенного по адресу: Ростовская область, Миллеровский район, сл. Позднеевка, ул. Садовая, к.н.з.у. 00:00:000000:00</t>
  </si>
  <si>
    <t>Установка прибора учета (1 шт.) для технологического присоединения уличного освещения заявителя, Администрация Криворожского сельского поселения, расположенного по адресу: Ростовская область, Миллеровский район, сл. Криворожье, ул. Лесная, ул. Овчинникова, ул. Ленина, ул. Первомайская, к.н.з.у. 00:00:000000:00</t>
  </si>
  <si>
    <t>Установка прибора учета (1 шт.) для технологического присоединения уличного освещения заявителя, Администрация Криворожского сельского поселения, расположенного по адресу: Ростовская область, Миллеровский район, сл. Позднеевка, ул. Специалистов, ул. Зеленая, ул. Садовая, ул. Комсомольская, ул. Советская, ул. Ольховая, к.н.з.у. 00:00:000000:00</t>
  </si>
  <si>
    <t>Установка прибора учета для технологического присоединения квартиры заявителя Лекаревой М.В., расположенной по адресу: Ростовская область, Верхнедонской район, х. Заикинский, ул. Заикинская, д. 64, кв. 2, к.н.з.у. 61:07:0060101:23/1</t>
  </si>
  <si>
    <t>«Установка прибора учета для технологического присоединения жилого дома заявителя Прудников А.А., расположенного по адресу: Ростовская область, Кашарский район, с. Шалаевка, ул. Князева, д. 4, к.н.з.у. 61:16:0020302:109»</t>
  </si>
  <si>
    <t>Установка прибора учета электрической энергии (мощности) в точке поставки и установка шкафа 0,22 кВ с коммутационным аппаратом для электроснабжения нежилого дома заявителя Чапцевой Р.И., расположенного по адресу: Ростовская область, Верхнедонской  район х. Четвертинская,ул.Четвертинская д.38. 61:07:0030701:67</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</si>
  <si>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Хибученко Л.А., расположенной по адресу: Ростовская область,Кашарский  район, сл. Кашары, ул. Комсомольская, д. 120, кв. 13, к.н.з.у. 00:00:000000</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</si>
  <si>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Пономаревой М.А., расположенной по адресу: Ростовская область,Кашарский  район, с. Первомайское, ул. Лермонтова, д.32, кв. 7, к.н.з.у. 00:00:0000</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</si>
  <si>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Богомоловой Т.И., расположенного по адресу: Ростовская область, Кашарский район, сл. Поповка, ул. Центральная, д. 14  к.н.з.у. 61:16:0130102:144</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</si>
  <si>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Уткиной Н.Н., расположенной по адресу: Ростовская область, Шолоховский район, х. Антиповский, ул. Асфальтная, д. 8, кв. 2, к.н.з.у. 61:43:0600009:1090</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</si>
  <si>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Кравцова С.К., расположенного по адресу: Ростовская область, Кашарский район, с. Каменка, ул. Центральная, д. 48,  к.н.з.у. 61:16:0130401:131</t>
  </si>
  <si>
    <t>Установка прибора учета для технологического присоединения личного подсобного хозяйства заявителя, Бородаенко Д.И., расположенного по адресу: Ростовская область, Кашарский район, п. Комсомольский, ул. Заречная, д. 3, к.н.з.у. 61:16:0170301:366</t>
  </si>
  <si>
    <t>Установка прибора учета для технологического присоединения личного подсобного хозяйства заявителя, Шевцов А.М., расположенного по адресу: Ростовская область, Кашарский район, х. Нижнекалиновка, ул. Береговая, д. 17 А, к.н.з.у. 61:16:0100501:64</t>
  </si>
  <si>
    <t>Установка прибора учета для технологического присоединения жилого дома заявителя, Фоменко С.В., расположенного по адресу: Ростовская область, Шолоховский район, х. Громковский, ул. Почтовая, д. 265а, к.н.з.у. 61:43:0010501:1476</t>
  </si>
  <si>
    <t>Установка прибора учета для технологического присоединения жилого дома заявителя, Данцев Н.А., расположенного по адресу: Ростовская область, Чертковский район, с. Осиково, ул. Садовая, д. 31, к.н.з.у. 61:42:0190101:1257</t>
  </si>
  <si>
    <t>Установка прибора учета для технологического присоединения жилого дома заявителя, Василенко А.А., расположенного по адресу: Ростовская область, Чертковский район, х. Бакай, ул. Песчанная, д. 47, к.н.з.у. 61:42:0180201:4</t>
  </si>
  <si>
    <t>Установка прибора учета для технологического присоединения жилого дома заявителя, Кусраева Ю.В., расположенного по адресу: Ростовская область, Шолоховский район, х. Калининский, ул. Центральная, д.51, к.н.з.у. 61:43:0050101:1706</t>
  </si>
  <si>
    <t>«Установка прибора учета для технологического присоединения жилого дома заявителя Мутикова Х.Г., расположенного по адресу: Ростовская область, Чертковский район, с. Маньково-Калитвенское, ул. Социалистическая, д. 30, к.н.з.у. 61:42:0080135:93»</t>
  </si>
  <si>
    <t>Установка прибора учета электрической энергии (мощности) в точке поставки и установка шкафа 0,22 кВ с коммутационным аппаратом для электроснабжения личного подсобного хозяйства заявителя Плахотиной А.В., расположенного по адресу: Ростовская область,Кашарский  район, х. Новодонецкий, ул. Ольховая, д.38, к.н.з.у. 61:16:0010201:261</t>
  </si>
  <si>
    <t>Установка прибора учета электрической энергии (мощности) в точке поставки и установка шкафа 0,22 кВ с коммутационным аппаратом для электроснабжения объектов оптовой и розничной торговли заявителя, ИП Тимошенко Н.Н., расположенной по адресу: Ростовская область,Кашарский  район, п. Индустриальный, ул. Школьная, д. 33А, к.н.з.у. 61:16:0060102:181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</si>
  <si>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Ситниковой В.С., расположенного по адресу: Ростовская область,Кашарский  район, х. Второй Киевский, ул. Свободы, д.12, к.н.з.у. 61:16:0070101:229</t>
  </si>
  <si>
    <t>Установка прибора учета электрической энергии (мощности) в точке поставки и установка шкафа 0,22 кВ с коммутационным аппаратом для электроснабжения объекта индивидуального жилищного строительства Заявителя Гончаровой Т.Н., расположенного по адресу: Ростовская область, Кашарский район, с. Каменка, ул. Песчаная, д. 15, к.н.з.у. 61:16:0130402:151</t>
  </si>
  <si>
    <t>Установка прибора учета электрической энергии (мощности) в точке поставки и установка шкафа 0,22 кВ с коммутационным аппаратом для электроснабжения личного подсобного хозяйства Заявителя Резник А.Н., расположенного по адресу: Ростовская область, Кашарский район, х. Усиковка, ул. Береговая, к.н.з.у. 61:16:0010501:292</t>
  </si>
  <si>
    <t>«Установка прибора учета электрической энергии (мощности) в точке поставки и установка шкафа 0,22 кВ с коммутационным аппаратом для электроснабжения личного подсобного хозяйства Заявителя Шавкуновой Е.А., расположенного по адресу: Ростовская область, Кашарский район, с. Каменка, ул. Песчаная, д. 39  к.н.з.у. 61:16:0130401:208 (1 шт.)».</t>
  </si>
  <si>
    <t>«Установка прибора учета (1 шт.) для технологического присоединения малоэтажной жилой застройки заявителя, Бегматов У.Р., расположенного по адресу: Ростовская область, Боковский район, х. Грачев, ул. Рожнова, д. 80, к.н.з.у. 61:05:0030102:406»,</t>
  </si>
  <si>
    <t>«Установка прибора учета (1 шт.) для технологического присоединения малоэтажной жилой застройки заявителя, Бегматов У.Р., расположенного по адресу: Ростовская область, Боковский район, х. Грачев, ул. Рожнова, д. 82, к.н.з.у. 61:05:0030102:407»</t>
  </si>
  <si>
    <t>«Установка прибора учета (1 шт.) для технологического присоединения малоэтажной жилой застройки заявителя, Бегматов У.Р., расположенного по адресу: Ростовская область, Боковский район, х. Грачев, ул. Рожнова, д. 84, к.н.з.у. 61:05:0030102:408»</t>
  </si>
  <si>
    <t>Установка прибора учета для технологического присоединения жилого помещения заявителя Менжулиной Л.П., расположенного по адресу: Ростовская область, Чертковский район, х. Гусев, ул. Центральная, д. 2/2, к.н.з.у. 61:42:0080701:138</t>
  </si>
  <si>
    <t>Установка прибора учета для технологического присоединения жилого дома заявителя Беспалова С.С., расположенного по адресу: Ростовская область, Чертковский район, х. Виноградовский, пер. Виноградовский, д. 33, к.н.з.у. 61:42:0070401:411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</si>
  <si>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Рябова А.В., расположенного по адресу: Ростовская область, Чертковский  район, х. Бакай, ул. Полетаева, д. 118, к.н.з.у. 61:42:0180201:53</t>
  </si>
  <si>
    <t>Установка прибора учета электрической энергии (мощности) в точке поставки и установка шкафа 0,22 кВ с коммутационным аппаратом для электроснабжения уличного освещения Заявителя, Администрация МО Маньковское СП, расположенного по адресу: Ростовская область, Чертковский район, х. Гусев, ул. Центральная</t>
  </si>
  <si>
    <t>Установка приборов учета для присоединения ВРУ 0,22 кВ жилых домов, расположенных по адресу: Р.О., г. Ростов-на-Дону, г. Аксай, Аксайский р-н, Азовский р-н КН: 61:01:0130201:4564; 61:01:0130201:4563; 61:01:0600007:1872; 61:01:0600007:1862; 61:01:0600007:1863;  61:01:0600007:1777;  61:01:0600007:1816; 61:44:0082613:296 (24 шт.)</t>
  </si>
  <si>
    <t>Установка приборов учета для присоединения ВРУ 0,22 кВ жилых домов, расположенных по адресу: Р.О., Азовский р-н)» (2 шт.)</t>
  </si>
  <si>
    <t>Установка прибора учета для присоединения жилого дома Кудрина Н.А., расположенного по адресу: РО, Багаевский район, х. Елкин, ул. Григорьева, д. 99, к.н. 61:03:0030109:47 (1 шт)</t>
  </si>
  <si>
    <t>Установка приборов учета для присоединения магазина Голбан А.А. и квартиры Оганнисян М.А., расположенных по адресу: РО, Багаевский район, х. Ажинов, ул. Буденовская, д. 24-а, к.н., д. 31, кв. 3(2шт)</t>
  </si>
  <si>
    <t>Установка прибора учета для присоединения жилого дома Чернышевой Л.А., расположенного по адресу: РО, Багаевский район, х. Федулов, ул. Пролетарская, д. 4Б, к.н. 61:03:0010203:350 (1шт)</t>
  </si>
  <si>
    <t>Установка приборов учета для присоединения ВРУ 0,22 кВ жилого дома Агаглуян Х.В., расположенного по адресу: Р.О., Аксайский р-н, п. Янтарный, ул. Рябиновая, д. 149 к.н. 61:02:0010138:19 (1 шт).</t>
  </si>
  <si>
    <t>Установка прибора учета для присоединения жилого дома Арабаджи И. расположенного по адресу: РО, Веселовский район, х. Верхнесоленый, ул. Заречная, 79-а к.н. 61:06:0020107:194</t>
  </si>
  <si>
    <t>Установка прибора учета для присоединения жилого дома Калюжной И.А., расположенного по адресу: Ростовская область, Багаевский район, ст. Манычская, ул. Донская, д. 46, к.н. 61:03:0040120:15</t>
  </si>
  <si>
    <t>Установка прибора учета для присоединения личного подсобного хозяйства Нумановой Ш.Я., расположенного по адресу: Ростовская область, Багаевский район, х. Усьман, ул. Луговая д. 40А, к.н. 61:03:0060401:523</t>
  </si>
  <si>
    <t>Установка прибора учета для присоединения теплицы Абдуллаевой Д.А., расположенного по адресу: Ростовская область, Багаевский район, Елкинское сельское поселение, к.н. 61:03:0600002:684</t>
  </si>
  <si>
    <t>Установка прибора учета для присоединения жилого дома Рубан А.Н., расположенного по адресу: Р.О., Багаевский район, ст. Манычская, ул. Октябрьская, д. 7-б</t>
  </si>
  <si>
    <t>Установка прибора учета для присоединения нежилого помещения Пляшко Л.В., расположенного по адресу: Ростовская область, Багаевский район, п. Первомайский, ул. Молодежная, д. 14 Б</t>
  </si>
  <si>
    <t>Установка прибора учета для присоединения жилого дома Столповского О. Ю. расположенного по адресу: РО, Веселовский район, х. Красный Маныч, АО «Красный Маныч», в 5,6 км к северо-западу от х. Красный Маныч к.н. 61:06:0600014:632</t>
  </si>
  <si>
    <t>Установка прибора учета для присоединения объекта жилой дом Романчук И.А., объекта сельхоз. производства Нуриева Ф.К., жилого дома Исаевой З. П., жилого дома Чавыкалова А.Н., жилого дома Орловой Т.Г, жилого дома Антохиной Л.И., жилого дома Намазовой Д.Л., жилого дома Немченко Н.А., расположенных по адресу: г. Семикаракорск, ул. Серегина, 2-а., х. Жуков, к.н. земельного участка: 61:35:0600007:546., х. Большемечетный, в 90,70 м на север от ул. Советская, 4, к.н.: 61:35:0020101:1493., х. Слободской, ул. Сальская, д. 5., ст-ца. Задоно-Кагальницкая, ул. Набережная, д. 19а., х. Золотаревка, ул. Садовая, д. 13., х. Большемечетный, к.н.: 61:35:0020101:1708., г. Семикаракорск, ул. Заводская, д. 1-а (8 шт)</t>
  </si>
  <si>
    <t xml:space="preserve">Установка приборов учета для присоед. объектов, Ростовская обл., р-н. Аксайский, р-н. Азовский (219шт) </t>
  </si>
  <si>
    <t>Установка прибора учета для присоединения индивидуального жилого дома Кузьмичевой Т. В. расположенного по адресу: Ростовская область, Веселовский район, п. Веселый, ул. Октябрьская, 23-а к.н. 61:06:001010134:605</t>
  </si>
  <si>
    <t>Установка прибора учета для присоединения жилого дома Филипенко Т. П. расположенного по адресу: Ростовская область, Веселовский район, п. Веселый, ул. Луговая, 10 к.н. 61:06:001010138:96</t>
  </si>
  <si>
    <t>Установка прибора учета для присоединения жилого дома Митченко Е. Н. расположенного по адресу: Ростовская область, Веселовский район, п. Веселый, ул. Луговая, 14 к.н. 61:06:001010138:101</t>
  </si>
  <si>
    <t>Установка прибора учета для присоединения жилого дома Володиной И. М. расположенного по адресу: Р.О., Веселовский район, п. Веселый, ул. Строителей, 2</t>
  </si>
  <si>
    <t>Установка прибора учета для присоединения станции катодной защиты ПАО "Газпром газораспределение Ростов-на-Дону" расположенной по адресу: Ростовская область, Веселовский район, х. Верхнесоленый, х. Чаканиха, от ГРП в х. Чаканиха до газовой задвижки в х. Верхне-Соленый</t>
  </si>
  <si>
    <t>Установка прибора учета для присоединения жилых домов Зюзгинова А.Ю. расположенных по адресу: Ростовская обл., р-н Багаевский, ст. Манычская, ул. Октябрьская, д. 12А, к.н. 61:03:0040117:285, Лякиной Н.И. расположенного по адресу: х. Красный, ул. Набережная, д. 87А, к.н. 61:03:0060110:324 (2шт.)</t>
  </si>
  <si>
    <t>Установка прибора учета для присоединения ВРУ 0,4 кВ жилых домов заявителей Евлаховой Г. Ю., по адресу:, ст-ца. Задоно-Кагальницкая, к.н.: 61:35:0030101:4551, Сарвантова Р.Д., по адресу: х. Кузнецовка, к.н.: 61:35:0070101:2005</t>
  </si>
  <si>
    <t>Установка приборов учета для присоединения ВРУ 0,22 кВ магазина и жилого дома, расположенных по адресу: РО., г. Аксай, ст-ца Ольгинская, КН: 61:02:0600010:21606, 61:02:0090101:3925, (2шт.)</t>
  </si>
  <si>
    <t>Установка приборов учета для присоединения ВРУ 0,22 кВ жилых домов, расположенных по адресу: РО, р-н. Аксайский, х. Островского, р-н. Азовский, п. Красный Сад (21 шт.)</t>
  </si>
  <si>
    <t>Установка прибора учета для присоединения жилого дома заявителя Алавердян А. Ж., расположенного по адресу: Ростовская обл., Веселовский р-н, п. Веселый, ул. Думенко, 40-а к.н.:61:06:0010131:510 (1шт)</t>
  </si>
  <si>
    <t>Установка прибора учета для присоединения ВРУ 0,4 кВ жилого дома заявителя Бодровой Н.А., расположенного по адресу: Ростовская обл., Семикаракорский р-н, х. Чебачий, ул. Гагарина, 44/1, к.н.:61:35:0060201:639» (1 шт.)</t>
  </si>
  <si>
    <t>Установка приборов учета для присоединения ВРУ 0,22 кВ жилых домов, расположенных по адресу: РО., х. Большой Лог, п. Красный Сад, КН: 61:02:0600011:2689, 61:02:0600011:2690, 61:02:0600011:1064, 61:02:0600011:1063, 61:02:0600011:2687, 61:01:0130201:5499, (6шт.)</t>
  </si>
  <si>
    <t>Установка приборов учета для присоединения ВРУ 0,22 кВ жилых домов, расположенных по адресу: РО., х. Нижнетемерницкий, п. Российский, п. Темерницкий, х. Большой Лог, п. Красный Сад (5шт.)</t>
  </si>
  <si>
    <t>Установка приборов учета для присоединения ВРУ 0,22 кВ жилых домов, расположенных по адресу: РО, р-н. х. Красный Сад, ст. Ольгинская, ст. Грушевская, (4 шт.)</t>
  </si>
  <si>
    <t>Установка приборов учета для присоединения ВРУ 0,22 кВ жилых домов, расположенных по адресу: РО., г. Аксай, КН 61:02:0600010:4155, ст-ца. Грушевская, КН 61:02:0030111:10, ст-ца. Ольгинская, КН 61:02:0090103:2852 (3 шт.)</t>
  </si>
  <si>
    <t>Установка приборов учета для присоединения ВРУ 0,22 кВ малоэтажной жилой застройки и жилого дома, расположенных по адресу: РО., ст-ца Мишкинская, х. Большой Лог, КН:61:02:0600009:2828, 61:02:0600011:1082 (2шт.)</t>
  </si>
  <si>
    <t>Установка прибора учета для присоединения ВРУ 0,22 кВ жилого дома, расположенного по адресу: РО., р-н Аксайский,  КН 61:02:0600005:11409 (1 шт.)</t>
  </si>
  <si>
    <t>Установка приборов учета для присоединения ВРУ 0,22 кВ малоэтажных жилых застроек и жилого дома, расположенных по адресу: РО., п. Российский, п. Красный Сад, КН:61:02:0600010:12466, 61:02:0600010:17440, 61:02:0600010:12766, 61:02:0600010:17442, 61:02:0600010:17443, 61:01:0130201:5358, (6шт.)</t>
  </si>
  <si>
    <t>Установка прибора учета для присоединения жилого дома заявителя Лебедевой Н. В., расположенного по адресу: Ростовская обл., Веселовский район, п. Веселый, ул. Береговая, 16-а к.н.:61:06:0010108:406</t>
  </si>
  <si>
    <t>Установка приборов учета для присоединения ВРУ 0,22 кВ малоэтажных жилых застроек, расположенных по адресу: РО., п. Щепкин, п. Красный Сад, ст-ца Грушевская, п. Российский, х. Большой Лог, (8шт.)</t>
  </si>
  <si>
    <t>Установка прибора учета для присоединения  ВРУ 0,22 кВ  жилых домов, расположенных по адресу: РО., п. Красный Сад, п. Щепкин, п. Российский (12 шт.)</t>
  </si>
  <si>
    <t>Установка приборов учета для присоединения ВРУ 0,22 кВ жилых домов, расположенных по адресу: РО., р-н Аксайский, п. Опытный, КН 61:02:0507901:132, р-н. Азовский, п. Красный Сад, КН 61:01:0130201:5541 (2 шт.)</t>
  </si>
  <si>
    <t>Установка приборов учета для присоединения ВРУ 0,22 кВ малоэтажных жилых застроек, расположенных по адресу: РО., х. Алитуб, п. Октябрьский, х. Ленина, КН:61:02:0020101:697, 61:02:0600004:2795, 61:02:0600016:4461, (3шт.)</t>
  </si>
  <si>
    <t>Установка приборов учета для присоединения ВРУ 0,22 кВ жилых домов, расположенных по адресу: Аксайский, п. Российский, ул. Заповедная, д. 3-Г, п. Щепкин, ул. Крестьянская, д. 17-Б (3 шт.)</t>
  </si>
  <si>
    <t>Установка приборов учета для присоединения жилого дома заявителя Коваленко А.А. расположенного по адресу: ростовская обл. Веселовский муниципальный район, сельское поселение Верхнесоленовское, х. Маныч-Балабинка, ул. Озерная,  25в, к.н. 61:06:0040201:81 (1шт)</t>
  </si>
  <si>
    <t>«Установка системы учета для технологического присоединения «жилой дом», расположенного по адресу: 347760, РФ, Ростовская область, Целинский район, п. Новая Целина, ул. Мира, д. 2, кв. 3, к.н.з.у.:61:40:0010138:72, заявитель Нестеренко О.Н.»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</si>
  <si>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х. Бровки, СНТ «Приток», ул. садовая 8, участок 30, кадастровый номер земельного участка: 61:34:0500401:206, заявитель Толмачева Р.П.» (1 шт.)</t>
  </si>
  <si>
    <t>«Установка системы учета для технологического присоединения объекта «дачный дом», расположенного по адресу:347636 Российская Федерация, Ростовская обл., г. Сальск, снт Железнодорожник, бригада №9, участок №13, кадастровый номер земельного участка: 61:57:010977:680, заявитель Скосарева С.А.» (1 шт.)</t>
  </si>
  <si>
    <t xml:space="preserve"> «Установка системы учета для технологического присоединения объекта «Жилой лом», расположенного по адресу: 347500, РФ, Ростовская область, Орловский район, п. Красноармейский, пер. Садовый, д. 34, к.н.з.у.: 61:29:0060111:106, заявитель Столярова Н.И.  (1 шт.)» </t>
  </si>
  <si>
    <t>«Установка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х. Бровки, Сальский район, х. Бровки, тер. СНТ «Приток», ул. 24-я Садовая, земельный участок №21, кадастровый номер земельного участка: 61:34:0500401:933, заявитель Сиволапова А.А.» (1 шт.)</t>
  </si>
  <si>
    <t>«Установка системы учета для технологического присоединения объекта «жилой дом», расположенного по адресу: Российская Федерация, Ростовская обл., г. Сальск, ул. снт Железнодорожник, 1 Бригада, д. 40А, кадастровый номер земельного участка: 61:57:010977:1420, заявитель Морозко Д.В.»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</si>
  <si>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Сальский, х. Бровки, ул. Полевая, 52, кадастровый номер земельного участка: 61:34:0500801:20, заявитель Максименко М.Н.» (1 шт.)</t>
  </si>
  <si>
    <t>«Установка системы учета для технологического присоединения объекта «дачный дом», расположенного по адресу: Российская Федерация, Ростовская обл., Сальский район, СНТ № 2 «Бровки», ул. Речная, 39, кадастровый номер земельного участка: 61:34:0500801:261, заявитель Колесникова Т.Н.»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</si>
  <si>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Сальский, х. Бровки, Сальский район, СНТ №2 «Бровки», ул. Степная, 19, кадастровый номер земельного участка: 61:34:0500801:57, заявитель Капустян Д.Б.» (1 шт.)</t>
  </si>
  <si>
    <t>«Установка системы учета для технологического присоединения объекта «жилой дом», расположенного по адресу: Ростовская область, Целинский район, х. Образцовый, ул. Кирпичная, д. 3, к.н.з.у.:61:40:0030501:1, заявитель Крутьев Э.И» (1 шт.)</t>
  </si>
  <si>
    <t>«Установка системы учета для технологического присоединения объекта «жилой дом», расположенного по адресу: Ростовская область, Целинский район, х. Карла Либкнехта, ул. Прудовая, д. 1, к.н.з.у.:61:40:0091101:83, заявитель Тамаева О.М.» (1 шт.)</t>
  </si>
  <si>
    <t>«Установка системы учета для технологического присоединения объекта «квартира», расположенного по адресу: Ростовская область, Целинский район, х. Карла Либкнехта, ул. Зеленая, д. 14, кв. 4, к.н.з.у.:61:40:0091101:176, заявитель Коростий А.В.» (1 шт.)</t>
  </si>
  <si>
    <t>«Установка системы учета для технологического присоединения объекта «наружное освещение (памятник)», расположенного по адресу: Ростовская область, Целинский район, х. Новая Жизнь, ул. Степная, д. 18, к.н.з.у.:61:40:0100401:246, заявитель Администрация Хлеборобного сельского поселения Целинского района Ростовской области» (1 шт.)</t>
  </si>
  <si>
    <t xml:space="preserve">«Установка системы учета для технологического присоединения объекта «общественная территория прилегающая к амбулатории», расположенного по адресу: 347776, РФ, Ростовская область, Целинский район, с. Хлеборобное, ул. Советская, д.16, кв.3, к.н.з.у.:61:40:0100101:2566, заявитель Администрация Хлеборобного сельского поселения Целинского района Ростовской области» </t>
  </si>
  <si>
    <t>«Установка системы учета для технологического присоединения объекта «квартира», расположенного по адресу: РФ, Ростовская область, Целинский район, п. Новая Целина, ул. Ворошилова, д. 21, кв. 2, к.н.з.у.: 61:40:0000000:2405, заявитель Гришин А.А.» (1 шт.)</t>
  </si>
  <si>
    <t xml:space="preserve">«Установка системы учета для технологического присоединения объекта «квартира», расположенного по адресу: Ростовская область, Целинский район, п. Малая Роща, ул. Лазурная, д. 3, кв.1, к.н.з.у.: 61:40:0010401:46, заявитель Маркина И.Н.» </t>
  </si>
  <si>
    <t xml:space="preserve">«Установка системы учета для технологического присоединения объекта «жилой дом», расположенного по адресу: РФ, Ростовская область, Целинский район, х. Партизан, ул. Заречная, д. 1, к.н.з.у.: 61:40:0030601:13, заявитель Чибисова В.Г.» </t>
  </si>
  <si>
    <t xml:space="preserve">«Установка системы учета для технологического присоединения объекта «жилой дом», расположенного по адресу: Ростовская область, Целинский район, х. Васильевка, ул. Солнечная, д. 23, к.н.з.у.:61:40:0100201:174, заявитель Черненко С.П.» </t>
  </si>
  <si>
    <t>«Установка системы учета для технологического присоединения «жилой дом», расположенного по адресу: РФ, Ростовская область, Целинский район, с. Михайловка, ул. Молодежная, д. 8, к.н.з.у.:61:40:0050101:541, заявитель Шабанова Ф.Ю.» (1 шт.)</t>
  </si>
  <si>
    <t xml:space="preserve"> «Установка системы учета для технологического присоединения объекта «нестационарный торговый объект», расположенного по адресу: 347616, Российская Федерация, Ростовская обл., р-н., Сальский, с. Новый Егорлык, ул. Советская, д. 17 д, кадастровый номер земельного участка: 61:34:0110101:2430, заявитель Аджоян Н. Ю.» (1 шт.)</t>
  </si>
  <si>
    <t xml:space="preserve"> «Установка системы учета для технологического присоединения объекта «дом», расположенного по адресу: Российская Федерация, Ростовская обл., х. Новоселый 1-й, тер. СНТ. Колос, СНТ «Колос», линия 4, участок 6, кадастровый номер земельного участка: 61:34:0500501:448, заявитель Борисенко А.И.» (1 шт.)</t>
  </si>
  <si>
    <t xml:space="preserve"> «Установка системы учета для технологического присоединения объекта «дачный дом», расположенного по адресу: Российская Федерация, Ростовская обл., Г. Сальск, СНТ «Приток», ул. Садовая, д. 6, участок 35, кадастровый номер земельного участка: 61:34:0500401:152, заявитель Зведрис Г.В.» (1 шт.)</t>
  </si>
  <si>
    <t>«Установка системы учета для технологического присоединения объекта «жилой дом», расположенного по адресу: 347630 Российская Федерация, Ростовская обл., р-н. Сальский, х. Бровки, ул. Бодрая, д. 4, кадастровый номер земельного участка: 61:34:0500801:580, заявитель Лукинова Л.М.» (1 шт.)</t>
  </si>
  <si>
    <t>«Установка системы учета для технологического присоединения объекта «жилой дом», расположенного по адресу: Российская Федерация, Ростовская обл., Г. Сальск, СНТ Железнодорожник, 3 Бригада, д. 45, кадастровый номер земельного участка: 61:57:0010977:648, заявитель Комаров Ю.Л.» (1 шт.)</t>
  </si>
  <si>
    <t xml:space="preserve"> «Установка системы учета для технологического присоединения объекта «жилой дом», расположенного по адресу: 347628 Российская Федерация, Ростовская обл., р-н. Сальский, п. Клены, ул. Северная, д. 74, кадастровый номер земельного участка: 61:34:0010401:361, заявитель Устинова Т.В.» (1 шт.)</t>
  </si>
  <si>
    <t>«Установка системы учета для технологического присоединения объекта «жилой дом», расположенного по адресу: 347521, РФ, Ростовская область, Орловский район, х. Кундрюченский, ул. Набережная, д. 5, к.н.з.у.: 61:29:0010301:1525, заявитель Копытин И.А.  (1 шт.)»</t>
  </si>
  <si>
    <t>«Установка системы учета для технологического присоединения объекта «жилой дом», расположенного по адресу: 347521, РФ, Ростовская область, Орловский район, х. Быстрянский, пер. Майский, д. 4а, к.н. з. у.: 61:29:0010201:609, заявитель Кратковская Е.В. (1 шт.)»</t>
  </si>
  <si>
    <t>«Установка системы учета для технологического присоединения объекта «дачный дом», расположенного по адресу: 347630 Российская Федерация, Ростовская обл., г. Сальск, нп СНТ Приток, ул. Садовая 26, д. 22, кадастровый номер земельного участка: 61:34:0500401:624, заявитель Мединцов Г.А.» (1 шт.)</t>
  </si>
  <si>
    <t>«Установка системы учета для технологического присоединения «жилого дома», расположенного по адресу: 347619, Российская Федерация, Ростовская обл., р-н. Сальский, с. Сысоево-Александровское, ул. Молодежная, д. 15, кв./оф. 1 кадастровый номер земельного участка: 61:34:0090201:138, заявитель Жавдатова Х.И.» (1 шт.)</t>
  </si>
  <si>
    <t>Установка системы учета для технологического присоединения объекта «нежилое здание», расположенного по адресу: 347500, РФ, Ростовская область, Орловский район, п. Красноармейский, ул. Горького, д. 21, к.н. з.у.: 61:29:0060123:119, заявитель Администрация Красноармейского сельского поселения» (1 шт.)</t>
  </si>
  <si>
    <t xml:space="preserve"> «Установка системы учета для технологического присоединения объекта «жилой дом», расположенного по адресу: 347603, Российская Федерация, Ростовская обл., р-н., Сальский, п. Конезавод имени Будённого, ул. Восточная, д. 27, корп. б, кадастровый номер земельного участка: 61:34:0040101:4143, заявитель Чахаева С.И.» (1 шт.)</t>
  </si>
  <si>
    <t>«Установка системы учета для технологического присоединения объекта «жилой дом», расположенного по адресу: Российская Федерация, Ростовская обл., Г. Сальск, СНТ «Железнодорожник», бригада 6, участок 26, кадастровый номер земельного участка: 61:57:0010977:1159, заявитель Юрченко М.И.» (1 шт.)</t>
  </si>
  <si>
    <t xml:space="preserve"> «Установка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х. Новоселый 1-й, тер. СНТ. Колос, СНТ «Колос», 7 линия, участок 14, кадастровый номер земельного участка: 61:34:0500501:508, заявитель Есауленко С.И.»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</si>
  <si>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х. Новоселый 1-й, тер. СНТ. Колос, СНТ «Колос», 7 линия, участок 13, кадастровый номер земельного участка: 61:34:0500501:507, заявитель Есауленко Л.В.» (1 шт.)</t>
  </si>
  <si>
    <t xml:space="preserve"> «Установка системы учета для технологического присоединения объекта «жилой дом», расположенного по адресу: Российская Федерация, Ростовская обл., Г. Сальск, СНТ «Железнодорожник», Бригада 5, участок 16, кадастровый номер земельного участка: 61:57:0010977:187, заявитель Чехов В.А.» (1 шт.)</t>
  </si>
  <si>
    <t xml:space="preserve">«Установка системы учета для технологического присоединения «жилого дома», расположенного по адресу: Российская Федерация, Ростовская обл., р-н Сальский, х. Бровки, ул. Шоссейная, 39, кадастровый номер земельного участка: 61:34:0500801:132, заявитель Крюкова Т.А. (1 шт.)» </t>
  </si>
  <si>
    <t xml:space="preserve">«Установка системы учета для технологического присоединения «жилого дома», расположенного по адресу: 347613 Российская Федерация, Ростовская обл., р-н. Сальский, с. Ивановка, ул. Буденного, д. 131, кадастровый номер земельного участка: 61:34:0060101:671, заявитель Алейникова Ю.В.» (1 шт.) </t>
  </si>
  <si>
    <t>«Установка системы учета для технологического присоединения объекта «дачный дом», расположенного по адресу: Российская Федерация, Ростовская обл., р-н Сальский, СНТ №2 «Бровки», ул. Пролетарская, д. 21а, кадастровый номер земельного участка: 61:34:0500801:339, заявитель Момот Таиса Михайловна» (1 шт.)</t>
  </si>
  <si>
    <t>«Установка системы учета для технологического присоединения объекта «ангар», расположенного по адресу: 347612 Российская Федерация, Ростовская обл, р-н Сальский, х. Крупский, ул. Горького, д. 8, кадастровый номер земельного участка 61:34:0170201:100, заявитель ИП Елисеев А.Г.» (1 шт.)</t>
  </si>
  <si>
    <t>«Установка системы учета для технологического присоединения «жилого дома», расположенного по адресу: Российская Федерация, Ростовская обл., р-н. Сальский, СНТ Победа, Линия 6, участок 47, кадастровый номер земельного участка: 61:34:0500301:334, заявитель Резник С.А.» (1 шт.)</t>
  </si>
  <si>
    <t>«Установка системы учета для технологического присоединения «квартира», расположенного по адресу: РФ, Ростовская область, Целинский район, п. Лиманный, ул. Урожайная, д. 8, кв. 2, к.н.з.у.:61:40:0010801:31, заявитель Кузьминов В.И.» (1 шт.)</t>
  </si>
  <si>
    <t>«Установка системы учета для технологического присоединения «квартира», расположенного по адресу: РФ, Ростовская область, Целинский район, п. Коренной, ул. Абрикосовая, д. 17, кв. 3, к.н.з.у.:61:40:0010201:110, заявитель Емельянов В.П.» (1 шт.)</t>
  </si>
  <si>
    <t>«Установка системы учета для технологического присоединения «жилой дом», расположенного по адресу: РФ, Ростовская область, Целинский район, х. Северный, ул. Молодежная, д. 38, к.н.з.у.:61:40:0031101:668, заявитель Бекиров А.Х.»  (1 шт.)</t>
  </si>
  <si>
    <t>Установка системы учета для технологического присоединения объекта «жилой дом», расположенного по адресу: 347521, РФ, Ростовская область, Орловский район, х. Быстрянский, ул. Прудовая,6, к.н. з.у.: 61:29:0010201:132, заявитель Довгополая С.А. (1 шт.)</t>
  </si>
  <si>
    <t>"Установка системы учета для технологического присоединения «нестационарного торгового объекта», расположенного по адресу: Российская Федерация, Ростовская обл., р-н. Сальский, п. Манычстрой, рядом с земельным участком: 61:34:0040301:352, заявитель Сушко И.Ю. (1 шт.)"</t>
  </si>
  <si>
    <t>«Установка системы учета для технологического присоединения объекта «хоз. постройки», расположенного по адресу: 347505, РФ, Ростовская область, Орловский район, х. Каменная Балка, ул. Молодежная, д. 87, к.н. з.у.: 61:29:0040101:578, заявитель Нечепуренко Е.Н.  (1 шт.)»</t>
  </si>
  <si>
    <t>«Установка системы учета для технологического присоединения «дачного дома», расположенного по адресу: Российская Федерация, Ростовская обл., г. Сальск, СНТ «Железнодорожник», бригада 11, участок 17, кадастровый номер земельного участка: 61:57:0010977:669, заявитель Костенко Р.В. (1 шт.)»</t>
  </si>
  <si>
    <t>«Установка системы учета для технологического присоединения «нестационарного торгового объекта», расположенного по адресу: 347612 Российская Федерация, Ростовская обл., р-н. Сальский, с. Сандата, ул. Калинина, напротив земельного участка с кадастровым номером 61:34:0170101:7172, заявитель Божинский Н.Н. (1 шт.)»</t>
  </si>
  <si>
    <t>«Установка системы учета для технологического присоединения «дачного дома», расположенного по адресу: Российская Федерация, Ростовская обл., г. Сальск, СНТ «Железнодорожник», 10 бригада, участок 28, кадастровый номер земельного участка: 61:57:0010977:1130, заявитель Кирьянов С.А. (1 шт.)»</t>
  </si>
  <si>
    <t>«Установка системы учета для технологического присоединения объекта «тёлочник», расположенного по адресу: 347512, РФ, Ростовская область, Орловский район, Орловское сельское поселение, примерно в 6 км от восточной окраины п. Орловский по направлению на северо-восток, к.н. з.у.: 61:29:0600007:1920, заявитель ИП Гаджиев М.Р. глава К(Ф)Х (1шт.)»</t>
  </si>
  <si>
    <t>"Установка системы учета для технологического присоединения «жилого дома», расположенного по адресу: 347619 Российская Федерация, Ростовская обл., р-н Сальский, с. Сысоево-Александровское, ул. Восточная, д. 43, кадастровый номер земельного участка:61:34:0090201:56, заявитель Шахриев И.Р. (1 шт.)"</t>
  </si>
  <si>
    <t xml:space="preserve">"Установка системы учета для технологического присоединения объекта «Зерносклад», расположенного по адресу: 347505, РФ, Ростовская область, Орловский район, х. Греков, примерно в 300 м по направлению на восток от ориентира х. Греков, к.н. з.у.: 61:29:0600003:1435, заявитель ИП Задорожняя Н.В. глава К(Ф)Х  (1 шт.)» </t>
  </si>
  <si>
    <t xml:space="preserve">«Установка системы учета для технологического присоединения «жилого дома», расположенного по адресу: 347565, РФ, Ростовская область, Песчанокопский район, с. Красная Поляна, ул. Советская, 44-а к.н.з.у.:61:30:0050101:5404, заявитель Серов А.В.» </t>
  </si>
  <si>
    <t>«Установка системы учета для технологического присоединения «жилого дома», расположенного по адресу: 347612 Российская Федерация, Ростовская обл.,   р-н Сальский, с. Сандата, ул. Пушкина, д. 72, кадастровый номер земельного участка: 61:34:0170101:1325, заявитель Степанько А.Я.» (1 шт.)</t>
  </si>
  <si>
    <t xml:space="preserve">"Установка системы учета для технологического присоединения «жилой дом», расположенного по адресу: 347760, РФ, Ростовская область, Целинский район, п. Малая Роща, ул. Береговая, д. 10, к.н.з.у.:61:40:0010401:107, заявитель Решетняков Е.А." (1 шт.) </t>
  </si>
  <si>
    <t>«Установка системы учета для технологического присоединения «квартира», расположенного по адресу: 347770, РФ, Ростовская область, Целинский район, х. Карла Либкнехта, ул. Зеленая, д.14, кв.3, к.н.з.у.:61:40:0091101:238, заявитель Иванченко Н.В.» (1 шт.)</t>
  </si>
  <si>
    <t>«Установка системы учета для технологического присоединения «жилой дом», расположенного по адресу: 347772, РФ, Ростовская область, Целинский район, с. Михайловка, ул. Молодежная, д. 27, к.н.з.у.:61:40:0050101:946, заявитель Кушнир И.В.» (1 шт.)</t>
  </si>
  <si>
    <t>«Установка системы учета для технологического присоединения «жилого строения», расположенного по адресу: Российская Федерация, Ростовская обл., г. Сальск, СНТ Победа, линия 7, участок 3, кадастровый номер земельного участка: 61:34:0500301:341, заявитель Углова Е.Ф.» (1 шт.)</t>
  </si>
  <si>
    <t xml:space="preserve">«Установка системы учета для технологического присоединения «жилого дома», расположенного по адресу: Российская Федерация, Ростовская обл.,   р-н. Сальский, СНТ №2 «Бровки», ул. Швейная, 12, кадастровый номер земельного участка: 61:34:0500801:374, заявитель Богдан Н.Н. (1 шт.)» </t>
  </si>
  <si>
    <t>«Установка системы учета для технологического присоединения «жилого дома», расположенного по адресу: Российская Федерация, Ростовская обл., р-н Сальский, СНТ «Колос», Линия 5, участок 16, кадастровый номер земельного участка: 61:34:0500501:476, заявитель Зверев Р.А.» (1 шт.)</t>
  </si>
  <si>
    <t>«Установка системы учета для технологического присоединения «уличное освещение х. Веселый, ул. Веселая, д. 38-87», расположенного по адресу: 347763, РФ, Ростовская область, Целинский район, х. Веселый, ул. Веселая, д.38-87, к.н.з.у.:61:40:0030301, заявитель Администрация Кировского сельского поселения» (1 шт.)</t>
  </si>
  <si>
    <t>«Установка системы учета для технологического присоединения «уличное освещение х. Веселый, ул. Веселая, д.1-37», расположенного по адресу: 347763, РФ, Ростовская область, Целинский район, х. Веселый, ул. Веселая, д.1-37, к.н.з.у.:61:40:0030301, заявитель Администрация Кировского сельского поселения» (1 шт.)</t>
  </si>
  <si>
    <t>"Строительство ВЛ 0,4 кВ от опоры №2-00/9 ВЛ 0,4 кВ Л-2 КТП 10/0,4 кВ № 416 по ВЛ 10 кВ Л-1 Южная, установка системы учета для технологического присоединения – «БС №61-03028», расположенной по адресу: РФ, Ростовская область, Песчанокопский район, п. Дальнее Поле, южнее земельного участка ул. Садовая, 2/1 к.н.: 61:30:0040101:93, заявитель ПАО «МТС» (Ориентировочная протяженность ЛЭП – 0,080 км)"</t>
  </si>
  <si>
    <t>Строительство ВЛ 0,4 кВ от опоры №2-00/10 ВЛ-0,4 кВ Л-2 КТП 10/0,4 кВ № 130 по ВЛ-10 кВ Л-4 Уютная, для электроснабжения объекта – «дачный дом», расположенного по адресу: РФ, Ростовская область, Пролетарский район, ДНТ "Заречное", ул. Южная, д.273, к.н.з.у.: 61:31:0500401:27, заявитель Кириченко В.К.» (Ориентировочная протяженность ЛЭП – 0,62 км)</t>
  </si>
  <si>
    <t>Установка системы учета для технологического присоединения энергопринимающих устройств Заявителя (ИП Сыроватский Ю.В.) по адресу: Ростовская область, г. Таганрог, ул. Чехова, д. 120, к.н. 61-61-42/118/2009-180 (1 шт.)</t>
  </si>
  <si>
    <t>Установка системы учета для технологического присоединения энергопринимающих устройств Заявителя (ИП Жиляков И.В.) адресу: Ростовская область, г. Таганрог, пер. 10-й, д.125 (1 шт.)</t>
  </si>
  <si>
    <t>Установка системы учета для технологического присоединения энергопринимающих устройств Заявителя (ИП Посохов С.В.) по адресу: Ростовская область, г. Таганрог, ул. Ломоносова, д. 55, к.н. 61:58:0005138:265 (1 шт.)</t>
  </si>
  <si>
    <t>Установка системы учета для технологического присоединения энергопринимающих устройств Заявителя (Агодисян С.Х.) по адресу: Ростовская область, г. Таганрог, ул. Литейная, д. 152, к.н. 61:58:0004464:53:2 (1 шт.)</t>
  </si>
  <si>
    <t>Установка системы учета для технологического присоединения энергопринимающих устройств Заявителя (ИП Штода С.В.) по адресу: Ростовская область, г. Таганрог, ул. Лизы Чайкиной, д. 328, к.н. 61:58:00 43 81:0001:4-346-7/А:1/62027 (1 шт.)</t>
  </si>
  <si>
    <t>Установка системы учета для технологического присоединения энергопринимающих устройств Заявителя (ИП Маркосян А.А.) по адресу: Ростовская область, г. Таганрог, ул. Александровская, д. 128, к.н. 61:58:0002051:446 (1 шт.)</t>
  </si>
  <si>
    <t>Установка системы учета для технологического присоединения энергопринимающих устройств Заявителя (Карасев Д.А.)  по адресу: Ростовская область, г. Таганрог, ул. Петровская, д.76, к.н. 61:58:0001114:143 (1 шт.)</t>
  </si>
  <si>
    <t>Установка системы учета для технологического присоединения энергопринимающих устройств Заявителя (МАУ «Инфо-Радио»)  по адресу: Ростовская область, г. Таганрог, пер. 8-й Новый, 70а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</si>
  <si>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 61-1-21-00611495 от 30.03.2022), Ростовской области (1 шт)</t>
  </si>
  <si>
    <t>Установка системы учета для технологического присоединения энергопринимающих устройств Заявителя (Дохнов А.В.) адресу: Ростовская область, г. Таганрог, пер. 1-й Мариупольский, 7 (1 шт.)</t>
  </si>
  <si>
    <t>Установка системы учета для технологического присоединения энергопринимающих устройств Заявителя (Шаповалова Г.Н.) адресу: Ростовская область, г. Таганрог, ул. Петлякова/ пер. 4-й Мариупольский, д. 29/25, к.н. 61:58:0005231:19 ( 1 шт.)</t>
  </si>
  <si>
    <t>Установка системы учета для технологического присоединения энергопринимающих устройств Заявителя (Лабурцев Р.В.) по адресу: Ростовская область, г. Таганрог, проезд Бакинский, д. 7, к.н. 61:58:04485:0022 (1 шт.)</t>
  </si>
  <si>
    <t>Установка системы учета для технологического присоединения энергопринимающих устройств Заявителя (Диденко Ф.В.) по адресу: Ростовская область, г. Таганрог, ул. Приморская, д. 27, к.н. 61:58:0002001:359 (1 шт.)</t>
  </si>
  <si>
    <t>Установка системы учета для технологического присоединения энергопринимающих устройств Заявителя (Хачунц Э.М) по адресу: Ростовская область, г. Таганрог, с/т «Рыбник», уч. 5, к.н 61:58:0006175:143</t>
  </si>
  <si>
    <t>Установка системы учета для технологического присоединения энергопринимающих устройств Заявителя (Шматова Л.А.) по адресу: Ростовская область, г. Таганрог, Николаевское Шоссе, д.7, ТСН «Радуга», аллея 9, участок 72, к.н. 61:58:0006054:2833 (1 шт.)</t>
  </si>
  <si>
    <t>Установка системы учета для технологического присоединения энергопринимающих устройств Заявителя (ООО «ТрейдСервис») по адресу: Ростовская область, г. Таганрог, ул. Чехова, д. 98, к.н. 61:58:0001124:587 (1 шт.)</t>
  </si>
  <si>
    <t>Установка системы учета для технологического присоединения энергопринимающих устройств Заявителя (Лазарева Г.А.) по адресу: Ростовская область, г. Таганрог, ул. Бакинская, к.н. 61:58:0004523:1005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</si>
  <si>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г. Таганрог, пер. Смирновский,  в 30 метрах от дома №43 (1 шт.)</t>
  </si>
  <si>
    <t>Установка системы учета для технологического присоединения Заявителя: ООО «Суглинки» в Мясниковском районе Ростовской области (1 шт.)</t>
  </si>
  <si>
    <t>Строительство ВЛ 0,4кВ от ВЛ 0,4кВ №4 ТП 6/0,4кВ №76 для технологического присоединения малоэтажной многоквартирной жилой застройки Заявителя (ИП Хруленко А.А.) по адресу: Ростовская обл., г. Таганрог, ул. Калинина, 4-а, к.н.:61:58:0005013:21 (ориентировочная протяженность ЛЭП 0,02 км)</t>
  </si>
  <si>
    <t>Строительство ВЛ 0,4кВ от ВЛ 0,4кВ №4 ТП 6/0,4кВ №76 для технологического присоединения малоэтажной многоквартирной жилой застройки Заявителя (ИП Хруленко А.А.) по адресу: Ростовская обл., г. Таганрог, ул. Калинина, 6-а, к.н.:61:58:0005013:22 (ориентировочная протяженность ЛЭП 0,02 км)</t>
  </si>
  <si>
    <t>Установка системы учета для технологического присоединения энергопринимающих устройств Заявителя (АО «Почта России») по адресу: Ростовская область, М-Курганский район, с. Латоново, ул. Ленина, д. 65, корп. Б, к.н. 61:21:0070101:3168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</si>
  <si>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М-Курганский район, с. Анастасиевка, ул. Ленина, д. 82, к.н. 61:21:0040101:2606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</si>
  <si>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М-Курганский район, с. Малокирсановка, ул. Кутахова, д. 18, корп. Б, к.н. 61:21:0080101:2019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</si>
  <si>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М-Курганский район, с. Алексеевка, ул. Ворошилова, д. 51, к.н. 61:21:0030101:1968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</si>
  <si>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М-Курганский район, х. Большая Кирсановка, ул. Хайло, д. 78, к.н. 61:21:0110101:2165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</si>
  <si>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М-Курганский район, с. Ряженое, ул. Ленина, д. 2, корп. а, к.н. 61:21:0020101:4874 (1 шт.)</t>
  </si>
  <si>
    <t>Установка системы учета для технологического присоединения энергопринимающих устройств Заявителя (Администрация Малокирсановского сельского поселения) по адресу: Ростовская область, М-Курганский район, с. Латоново, 1м на юг от ул. Ленина, д. 44, к.н. 61:21:0070101:3587 (1 шт.)</t>
  </si>
  <si>
    <t>Установка системы учета для технологического присоединения энергопринимающих устройств Заявителя (Кудинов А.К.) по адресу: Ростовская область, М-Курганский район, п. Матвеев Курган, ул. Юго-Восточная, д. 11 к.н. 61:21:0010138:80 (1 шт.)</t>
  </si>
  <si>
    <t>Установка системы учета для технологического присоединения энергопринимающих устройств Заявителя (Федеральное государственное казенное учреждение Росгранстрой Ростовский филиал) по адресу: Ростовская область, М-Курганский район, в 18 м на восток от ориентира ул. Пограничная 20, х. Шрамко, к.н. 61:21:0060601:79 (1 шт.)</t>
  </si>
  <si>
    <t>Установка системы учета для технологического присоединения энергопринимающих устройств Заявителя (Жуков В.В.) по адресу: Ростовская область, Неклиновский район, с. Весело-Вознесенка, ул. Приреченская, д. 1Б, к.н. 61:26:0100101:499 (1 шт.)</t>
  </si>
  <si>
    <t>Установка системы учета для технологического присоединения энергопринимающих устройств Заявителя (Колиев С.В.) по адресу: Ростовская область, Неклиновский район, с. Троицкое, ул. Мельничная, д. 14, к.н. 61:26:0010101:1311 (1 шт.)</t>
  </si>
  <si>
    <t>Установка системы учета для технологического присоединения энергопринимающих устройств Заявителя (Мялкин М.А.) по адресу: Ростовская область, Неклиновский район, с. Кошкино, ул. Береговая, д. 69, к.н. 61:26:0010501:158 (1 шт.)</t>
  </si>
  <si>
    <t>Установка системы учета для технологического присоединения энергопринимающих устройств Заявителя (Тараканова А.В.) по адресу: Ростовская область, Неклиновский район, с. Русская Слободка, ул. Пушкина, д. 14, к.н. 61:26:0070201:165 (1 шт.)</t>
  </si>
  <si>
    <t xml:space="preserve">Установка системы учета для технологического присоединения энергопринимающих устройств Заявителя (Чеканенко А.И.) по адресу: Ростовская область, Неклиновский район, с. Весело-Вознесенка, ул. Социалистическая, д. 30, к.н. 61:26:0100101:5079 (1 шт.) </t>
  </si>
  <si>
    <t>Установка системы учета для технологического присоединения энергопринимающих устройств Заявителя (Даниелян Р.М.) по адресу: Ростовская область, Неклиновский район, с. Троицкое, ул. Новая, д. 2-а, к.н. 61:26:0010101:645 (1 шт.)</t>
  </si>
  <si>
    <t xml:space="preserve">Установка системы учета для технологического присоединения энергопринимающих устройств Заявителя (Егошина Л.В.) по адресу: Ростовская область, Неклиновский район, с. Николаевка, ул. Октябрьская, д. 21, к.н. 61:26:0110101:2386 (1 шт.) </t>
  </si>
  <si>
    <t>Установка системы учета для технологического присоединения энергопринимающих устройств Заявителя (Скубарев Г.Г.) по адресу: Ростовская область, Неклиновский район, с. Новобессергеневка, ул. Космонавтов, д. 20, к.н. 61:26:0180301:1002 (1 шт.)</t>
  </si>
  <si>
    <t>Установка системы учета для технологического присоединения энергопринимающих устройств Заявителя (Миначева Н.Н.) по адресу: Ростовская область, Неклиновский район, с. Бессергеновка, ул. Луговая, д. 78-А, к.н. 61:26:0040201:679 (1 шт.)</t>
  </si>
  <si>
    <t>Установка системы учета для технологического присоединения энергопринимающих устройств Заявителя (Трегубов И.Л.) по адресу: Ростовская область, Неклиновский район, с. Лотошники, пер. Веселый, д. 14, к.н. 61:26:0090401:33 (1 шт.)</t>
  </si>
  <si>
    <t>Установка системы учета для технологического присоединения энергопринимающих устройств Заявителя (Андриенко Ю.В.) по адресу: Ростовская область, Неклиновский район, с. Николаевка, ул. Советская, д. 25-А, к.н. 61:26:0110101:9265 (1 шт.)</t>
  </si>
  <si>
    <t>Установка системы учета для технологического присоединения энергопринимающих устройств Заявителя (ИП Саркисян Г.Г.) по адресу: Ростовская область, Неклиновский район, с. Николаевка, СНТ Альбатрос, д. 279, к.н. 61:26:0514201:42 (1 шт.)</t>
  </si>
  <si>
    <t>Установка системы учета для технологического присоединения энергопринимающих устройств Заявителя (Сабитов О.Н.) по адресу: Ростовская область, Неклиновский район, х. Седых, ул. Центральная, д. 9, к.н. 61:26:0181101:5 (1 шт.)</t>
  </si>
  <si>
    <t>Установка системы учета для технологического присоединения энергопринимающих устройств Заявителя (Саргсян М.С.) по адресу: Ростовская область, Неклиновский район, с. Вареновка, ул. Партизанская, д. 87-А, к.н. 61:26:0040101:5571 (1 шт.)</t>
  </si>
  <si>
    <t>Установка системы учета для технологического присоединения энергопринимающих устройств Заявителя (ООО «Автодор») по адресу: Ростовская область, Неклиновский район, с. Натальевка, пост ГИБДД, 98 км а/д Ростов-на-Дону – Таганрог – граница Украины, к.н. 61:26:0600011:146 (1 шт.)</t>
  </si>
  <si>
    <t>Установка системы учета для технологического присоединения энергопринимающих устройств Заявителя (Мищенко Д.Г.) по адресу: Ростовская область, Неклиновский район, с. Николаевка, ул. Сигма, д. 22, к.н. 61:26:0512801:5 (1 шт.)</t>
  </si>
  <si>
    <t>Установка системы учета для технологического присоединения энергопринимающих устройств Заявителя (Уразгильдеева Н.И.) по адресу: Ростовская область, Неклиновский район, с. Гаевка, ул. Набережная, д. 34-а, к.н. 61:26:0160301:2473 (1 шт.)</t>
  </si>
  <si>
    <t>Установка системы учета для технологического присоединения энергопринимающих устройств Заявителя (Заруба Н.В.) по адресу: Ростовская область, Неклиновский район, с. Христофоровка, ул. Пушкина, д. 44, к.н. 61:26:0070301:10 (1 шт.)</t>
  </si>
  <si>
    <t>Установка системы учета для технологического присоединения энергопринимающих устройств Заявителя (Ладыгин А.Л.) по адресу: Ростовская область, Неклиновский район, п. Золотая Коса, ул. Новаторов, д. 10, к.н. 61:26:0071001:786 (1 шт.)</t>
  </si>
  <si>
    <t>Установка системы учета для технологического присоединения энергопринимающих устройств Заявителя (Сиваев А.А.) по адресу: Ростовская область, Неклиновский район, с. Носово, ул. Мира, д. 46, 
к.н. 61:26:0150101:1803 (1 шт.)</t>
  </si>
  <si>
    <t>Установка системы учета для технологического присоединения энергопринимающих устройств Заявителя (ИП Геворгян П.В.) по адресу: Ростовская область, Неклиновский район, 47км+50м а/д Ростов н/д –Таганрог, к.н. 61:26:0600015:719 (1 шт.)</t>
  </si>
  <si>
    <t>Установка системы учета для технологического присоединения энергопринимающих устройств Заявителей (Дереберя А.А) по адресу: Ростовская область, Неклиновский район с. Новобессергеневка, ул. Лескова д.3 (1 шт.)</t>
  </si>
  <si>
    <t>Установка системы учета для технологического присоединения энергопринимающих устройств Заявителя (ИП Ефремова А.И.) по адресу: Ростовская область, Неклиновский район с. Николаевка, ул. Ленина, д.160 к.н. 61:26:0110101:10038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</si>
  <si>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с. Федоровка, ул. Ленина, д. 42, к.н. 61:26:0140101:89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</si>
  <si>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х. Красный Десант, ул. Октябрьская, д. 13, пом. 8-11,16, к.н. 61:26:0070101:2225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</si>
  <si>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с. Лакедемоновка, ул. Ленина, д. 50, к.н. 61:26:0160101:2258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</si>
  <si>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 Договор № 61-1-21-00611067 от 30.03.2022),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</si>
  <si>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 61-1-21-00611035 от 30.03.2022г.),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</si>
  <si>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(Договор № 61-1-21-00612145 от 05.04.2022),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</si>
  <si>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 61-1-21-00611065 от 05.04.2022), Ростовской области (1 шт)</t>
  </si>
  <si>
    <t>Установка системы учета для технологического присоединения энергопринимающих устройств Заявителя (Общество с ограниченной ответственностью Специализированный Застройщик Перспектива) адресу: Ростовская область, г. Таганрог, ул. С. Шило, 265 (1 шт.)</t>
  </si>
  <si>
    <t>Установка системы учета для технологического присоединения энергопринимающих устройств Заявителя (ИП Ткачева С.В.) адресу: Ростовская область, г. Таганрог, ул. Греческая, д.58-а, к.н. 61:58:0001115:382 ( 1 шт.)</t>
  </si>
  <si>
    <t>Установка системы учета для технологического присоединения энергопринимающих устройств Заявителя (Мадатов Э.М.о.) адресу: Ростовская область, г. Таганрог, ул. Рассветная, 16/пер. 9-й Мариупольский, д. 19, к.н. 61:58:0005228:287 ( 1 шт.)</t>
  </si>
  <si>
    <t>Установка системы учета для технологического присоединения энергопринимающих устройств Заявителя (Ильина С.А.) по адресу: Ростовская область, г. Таганрог, ул. Надежды Сигиды, 1-1, ДНТ «Орешек», уч. № 91, к.н. 61:58:0007037:91 (1 шт.)</t>
  </si>
  <si>
    <t>Установка системы учета для технологического присоединения энергопринимающих устройств Заявителя (Лифарев С.В.) по адресу: Ростовская область, г. Таганрог,  ул. Надежды Сигиды, 1-1, ДНТ «Орешек», уч. № 182, к.н. 61:58:0007446:84 (1 шт.)</t>
  </si>
  <si>
    <t>Установка системы учета для технологического присоединения энергопринимающих устройств Заявителя (Меер И.В) по адресу: Ростовская область, г. Таганрог, пер. 4-й Мариупольский, д. 16, к.н. 61:58:0005216:35 (1 шт.)</t>
  </si>
  <si>
    <t>Установка системы учета для технологического присоединения энергопринимающих устройств Заявителя (ООО Лечебно-диагностический центр «Нейрон») по адресу: Ростовская область, г. Таганрог, ул. Свободы, д. 19а, к.н. 61:58:0000000:5645 (1 шт.)</t>
  </si>
  <si>
    <t>Установка системы учета для технологического присоединения энергопринимающих устройств Заявителя (Белых Л.Н.) по адресу: Ростовская область, г. Таганрог, Северо-западное Шоссе, д. 1-в,  СНТ «Дачное-3», уч. №27, к.н. 61:58:0006051:109 (1 шт.</t>
  </si>
  <si>
    <t>Установка системы учета для технологического присоединения энергопринимающих устройств Заявителя (Лядова Ю.Н.) по адресу: Ростовская область, г. Таганрог, 18-й Переулок, д. 34, к.н. 61:58:0002189:193 (1 шт.)</t>
  </si>
  <si>
    <t>Установка системы учета для технологического присоединения энергопринимающих устройств Заявителя (ИП Хруленко А.А.) по адресу: Ростовская область, г. Таганрог, ул. Энгельса, д. 134, к.н. 61:58:0001135:6 (1 шт.)</t>
  </si>
  <si>
    <t>Установка системы учета для технологического присоединения энергопринимающих устройств Заявителя (ИП Хруленко А.А.) по адресу: Ростовская область, г. Таганрог, ул. Энгельса, 10/пер. Добролюбовский, д. 40, к.н. 61:58:0001059:20 (1 шт.)</t>
  </si>
  <si>
    <t>Установка системы учета для технологического присоединения энергопринимающих устройств Заявителя (Мисюра Д.А.) по адресу: Ростовская область, г. Таганрог, около пер. 21-й Мариупольский, д. 2 (95), к.н. 61:58:0005257:95 (1 шт.)</t>
  </si>
  <si>
    <t>Установка системы учета для технологического присоединения энергопринимающих устройств Заявителя (Щусь А.В.) по адресу: Ростовская область, г. Таганрог, ул. Дачная, к.н. 61:58:0004217:302 (1 шт.)</t>
  </si>
  <si>
    <t>Установка системы учета для технологического присоединения энергопринимающих устройств Заявителя (ИП Штода С.В.) по адресу: Ростовская область, г. Таганрог, ул. Свободы, д. 20, к.н. 61:58:0002248:233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</si>
  <si>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Дзержинского (между ул. Фрунзе и Привокзальная Площадь), около ул. Дзержинского, д. 140, к.н. 61:58:0003277:1587 (1 шт.)</t>
  </si>
  <si>
    <t>«Установка системы учета для технологического присоединения энергопринимающих устройств Заявителя (ООО «ПраймТелеком Юг») по адресу: Ростовская область, г. Таганрог, около ул. Ленина, д.222а, (1 шт.)</t>
  </si>
  <si>
    <t>Установка системы учета для технологического присоединения энергопринимающих устройств Заявителя (Гришачкина М.В.) по адресу: Ростовская область, г. Таганрог, ул. Капитана Кравцова, д. 8, к.н. 61:58:0003240:34 (1 шт.)</t>
  </si>
  <si>
    <t>Установка системы учета для технологического присоединения энергопринимающих устройств Заявителя (Калюжный А.В.) по адресу: Ростовская область, г. Таганрог, ул. Ломакина, д. 35, к.н. 61:58:0001116:500, 61:58:0001116:76 (1 шт.)</t>
  </si>
  <si>
    <t>Установка системы учета для технологического присоединения энергопринимающих устройств Заявителя (ИП Егиазарян Л.Г.) по адресу: Ростовская область, г. Таганрог, ул. Осипенко, д. 66-а, к.н. 61-61-42/015/2005-645 (1 шт.)</t>
  </si>
  <si>
    <t>Установка системы учета для технологического присоединения энергопринимающих устройств Заявителя (ООО «Атлант») по адресу: Ростовская область, г. Таганрог, ул. Сызранова, д. 25 (к.н. 61:58:0005267:818)</t>
  </si>
  <si>
    <t>Установка системы учета для технологического присоединения энергопринимающих устройств Заявителя (Еременко Б.П.) по адресу: Ростовская область, г. Таганрог, ул. Дачная, к.н. 61:58:0004217:308 (1 шт.)</t>
  </si>
  <si>
    <t>Установка системы учета для технологического присоединения энергопринимающих устройств Заявителя (ГСК «Таганрогстрой») по адресу: Ростовская область, г. Таганрог, ул. Ленина, 226-2, к.н. 61:58:0003233:11 (1 шт.)</t>
  </si>
  <si>
    <t>Установка системы учета для технологического присоединения энергопринимающих устройств Заявителя (ИП Иванкович Э.В.) по адресу: Ростовская область, г. Таганрог, пер. Гоголевский, д. 29а, (к.н. 61:58:0000000:44440, 61:58:0001165:35)</t>
  </si>
  <si>
    <t>Установка системы учета для технологического присоединения энергопринимающих устройств Заявителя (Ширяева Л.И.) по адресу: Ростовская область, г. Таганрог, пер. Антона Глушко, д.27, к.н. 61:58:0001108:319 (1 шт.)</t>
  </si>
  <si>
    <t>Установка системы учета для технологического присоединения энергопринимающих устройств Заявителя (ИП Самохвалов Д.В.) по адресу: Ростовская область, г. Таганрог, ул. Антона Глушко, 32, (к.н. 61:58:0001124:469)</t>
  </si>
  <si>
    <t>Установка системы учета для технологического присоединения энергопринимающих устройств Заявителя (ИП Халилов Турал Видади Оглы) по адресу: Ростовская область, г. Таганрог, ул. Щаденко, д. 60, к.н. 61:58:0003391:35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</si>
  <si>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Морозова (между ул. Дзержинского и ул. Шаумяна), к.н. 61:58:0000000:47542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</si>
  <si>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Турубаровых, на участке от д. 95 по ул. Турубаровых до ул. Москатова, около ул. Щаденко, д. 80 (к.н. 61:58:0000000:47567)</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</si>
  <si>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участок трамвайной линии от д. 37 по ул. Морозова до д. 26 по ул. Зои Космодемьянской, около ул. Морозова, д.3 7-2, (к.н. 61:58:0000000:47533)</t>
  </si>
  <si>
    <t>Установка системы учета для технологического присоединения энергопринимающих устройств Заявителя (Свинобаев Н.Н.) по адресу: Ростовская область, г. Таганрог, территория ДНТ «Мир», участок №166, к.н. 61:58:0005189:1021, (1 шт.)</t>
  </si>
  <si>
    <t>Установка системы учета для технологического присоединения энергопринимающих устройств Заявителя (ИП Динчари З.В. ) по адресу: Ростовская область, г. Таганрог, ул. Кузнечная, 239, к.н. объекта: 61:58:0000000:43759 (1шт.)</t>
  </si>
  <si>
    <t>Установка системы учета для технологического присоединения энергопринимающих устройств Заявителя (Сидоренко Ю.В. ) по адресу: Ростовская область, г. Таганрог, пер. Донской, д. 49, к.н. земельного участка: 61:58:0001099:85 (1шт.)</t>
  </si>
  <si>
    <t>Установка системы учета для технологического присоединения энергопринимающих устройств Заявителя (Бадасян Р.Г.) по адресу: Ростовская область, Мясниковский район, х. Ленинаван, ул. Ленина, д. 3/б, к.н. 61:25:0030202:3214 (1 шт.)</t>
  </si>
  <si>
    <t>Установка системы учета для технологического присоединения энергопринимающих устройств Заявителя (Курбатов А.Л.) по адресу: Ростовская область, Мясниковский район, х. Ленинаван, ул. Октябрьская, д. 5/1, к.н. 61:25:0600401:16253 (1 шт.)</t>
  </si>
  <si>
    <t>Установка системы учета для технологического присоединения энергопринимающих устройств Заявителя (Паламарчук П.А.) по адресу: Ростовская область, Мясниковский район, с. Большие Салы, ул. Согласия, д. 12, к.н. 61:25:0600501:1749 (1 шт.)</t>
  </si>
  <si>
    <t>Установка системы учета для технологического присоединения энергопринимающих устройств Заявителя (Казакевич Е.А.) по адресу: Ростовская область, Мясниковский район, с. Крым, ул. Ленина, д. 62, к.н. 61:25:0201024:528 (1 шт.)</t>
  </si>
  <si>
    <t>Установка системы учета для технологического присоединения энергопринимающих устройств Заявителя (Хатламаджиян Т.Т.) по адресу: Ростовская область, Мясниковский район, с. Чалтырь, ул. Крестьянская, д. 24, к.н. 61:25:0600601:1328 (1 шт.)</t>
  </si>
  <si>
    <t>Установка системы учета для технологического присоединения энергопринимающих устройств Заявителя (Шишкин С.С.) по адресу: Ростовская область, Мясниковский район, х. Ленинаван, ул. Кавказская, д. 16/в, к.н. 61:25:0030202:3253 (1 шт.)</t>
  </si>
  <si>
    <t>Установка системы учета для технологического присоединения энергопринимающих устройств Заявителя (Закинян Ю.Д.) по адресу: Ростовская область, Мясниковский район, с. Чалтырь, ул. 6-я линия, д. 62/б к.н. 61:25:0101317:197 (1 шт.)</t>
  </si>
  <si>
    <t>Установка системы учета для технологического присоединения энергопринимающих устройств Заявителя (Булгурян В.Л.) по адресу: Ростовская область, Мясниковский район, с. Чалтырь, ул. Красноармейская, д. 150, к.н. 61:25:0600601:1135 (1 шт.)</t>
  </si>
  <si>
    <t xml:space="preserve">Установка системы учета для технологического присоединения энергопринимающих устройств Заявителя (Гилязов Е.Л.) по адресу: Ростовская область, Мясниковский район, х. Хапры, ул. Свободы, д. 20, к.н. 61:25:0600601:1654 (1 шт.) </t>
  </si>
  <si>
    <t>Установка системы учета для технологического присоединения энергопринимающих устройств Заявителя (Дурасанян Т.Р.) по адресу: Ростовская область, Мясниковский район, с. Большие Салы, ул. Конституции, д. 1/е, к.н. 61:25:0040101:4886 (1 шт.)</t>
  </si>
  <si>
    <t>Установка системы учета для технологического присоединения энергопринимающих устройств Заявителя (ИП Бабахов В.А.) по адресу: Ростовская область, Мясниковский район, с. Чалтырь, ул. 7-я линия, д. 27/б, к.н. 61:25:0101106:148 (1 шт.)</t>
  </si>
  <si>
    <t>Установка системы учета для технологического присоединения энергопринимающих устройств Заявителя (Алексанян С.М.) по адресу: Ростовская область, Мясниковский район, с. Крым, ул. 3-я линия, д. 5, к.н. 61:25:0201016:710 (1 шт.)</t>
  </si>
  <si>
    <t>Установка системы учета для технологического присоединения энергопринимающих устройств Заявителя (Дымкевич М.С.) по адресу: Ростовская область, Мясниковский район, с. Чалтырь, ул. Плодородная, д. 18,  к.н. 61:25:0600601:1210 (1 шт.)</t>
  </si>
  <si>
    <t>Установка системы учета для технологического присоединения энергопринимающих устройств Заявителя (Кочергина К.В.) по адресу: Ростовская область, Мясниковский район, х. Красный Крым, ул. Братьев Баян, д. 72,  к.н. 61:25:0600401:14880 (1 шт.)</t>
  </si>
  <si>
    <t>Установка системы учета для технологического присоединения энергопринимающих устройств Заявителя (Лещенко И.Ю.) по адресу: Ростовская область, Мясниковский район, с. Чалтырь, ул. Плодородная, д. 20,  к.н. 61:25:0600601:1211 (1 шт.)</t>
  </si>
  <si>
    <t>Установка системы учета для технологического присоединения энергопринимающих устройств Заявителя (Малевин В.Н.) по адресу: Ростовская область, Мясниковский район, с. Большие Салы, ул. 26 Бакинских Комиссаров, д. 11/в,  к.н. 61:25:0040101:6101 (1 шт.)</t>
  </si>
  <si>
    <t>Установка системы учета для технологического присоединения энергопринимающих устройств Заявителя (МБУЗ «ЦРБ») по адресу: Ростовская область, Мясниковский район, х. Веселый, ул. Новая, д. 5/д,  к.н. 61:25:0060101:2923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</si>
  <si>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Мясниковский район, с. Александровка 2-я, ул. Комсомольская, д. 1/а, к.н. 61:25:0080201:594 (1 шт.)</t>
  </si>
  <si>
    <t>Установка системы учета для технологического присоединения энергопринимающих устройств Заявителя (Погосян О.С.) по адресу: Ростовская область, Мясниковский район, с. Крым, ул. Октябрьская, д. 65/а,  к.н. 61:25:0201008:253 (1 шт.)</t>
  </si>
  <si>
    <t>Установка системы учета для технологического присоединения энергопринимающих устройств Заявителя (Попенко М.В.) по адресу: Ростовская область, Мясниковский район, х. Красный Крым, ул. Пушкинская, д. 63, к.н. 61:25:0600401:16370 (1 шт.)</t>
  </si>
  <si>
    <t>Установка системы учета для технологического присоединения энергопринимающих устройств Заявителя (Сайченко И.В.) по адресу: Ростовская область, Мясниковский район, с. Чалтырь, ул. Налбандяна, д. 36/б, к.н. 61:25:0101517:42 (1 шт.)</t>
  </si>
  <si>
    <t xml:space="preserve">Установка системы учета для технологического присоединения энергопринимающих устройств Заявителя (Сафарян Э.Ф.) по адресу: Ростовская область, Мясниковский район, с. Чалтырь, ул. Красноармейская, д. 80, к.н. 61:25:0101602:112 (1 шт.) </t>
  </si>
  <si>
    <t>Установка системы учета для технологического присоединения энергопринимающих устройств Заявителя (Хатламаджиян Р.С.) по адресу: Ростовская область, Мясниковский район, с. Чалтырь, ул. Мец-Чорвах, д. 116/б, к.н. 61:25:00101206:417 (1 шт.)</t>
  </si>
  <si>
    <t>Установка системы учета для технологического присоединения энергопринимающих устройств Заявителя (Хохлачёва Е.А.) по адресу: Ростовская область, Мясниковский район, х. Красный Крым, ул. Пшеничная, д. 10/а, к.н. 61:25:0600401:18632 (1 шт.)</t>
  </si>
  <si>
    <t>Установка системы учета для технологического присоединения энергопринимающих устройств Заявителя (Шаповалова Е.В.) по адресу: Ростовская область, Мясниковский район, х. Красный Крым, ул. Юбилейная, д. 26/а,  к.н. 61:25:0600401:17613 (1 шт.)</t>
  </si>
  <si>
    <t>Установка системы учета для технологического присоединения энергопринимающих устройств Заявителя (Шония Т.В.) по адресу: Ростовская область, Мясниковский район, х. Красный Крым, ул. Молодежная, д. 28/а,  к.н. 61:25:0030101:2102 (1 шт.)</t>
  </si>
  <si>
    <t xml:space="preserve">Установка системы учета для технологического присоединения энергопринимающих устройств Заявителя (Гайбарян С.Г.) по адресу: Ростовская область, Мясниковский район, с. Чалтырь, ул. Салых-Су, д. 6,  к.н. 61:25:0101509:3 (1 шт.) </t>
  </si>
  <si>
    <t>Установка системы учета для технологического присоединения энергопринимающих устройств Заявителя (Гайбарян М.Л.) по адресу: Ростовская область, Мясниковский район, с. Чалтырь, ул. Ленина, д. 46,  к.н. 61:25:0101121:49 (1 шт.)</t>
  </si>
  <si>
    <t>Установка системы учета для технологического присоединения энергопринимающих устройств Заявителя (Калугян О.А.) по адресу: Ростовская область, Мясниковский район, с. Чалтырь, ул. Тащияна, д. 138,  к.н. 61:25:0600601:1277 (1 шт.)</t>
  </si>
  <si>
    <t>Установка системы учета для технологического присоединения энергопринимающих устройств Заявителя (Пиджикян Д.С.) по адресу: Ростовская область, Мясниковский район, с. Чалтырь, ул. Тащияна, д. 48/и,  к.н. 61:25:0101602:862 (1 шт.)</t>
  </si>
  <si>
    <t>Установка системы учета для технологического присоединения энергопринимающих устройств Заявителя (Письменная Т.Б.) по адресу: Ростовская область, Мясниковский район, х. Красный Крым, ул. Юбилейная, д. 26/в, к.н. 61:25:0600401:17611 (1 шт.)</t>
  </si>
  <si>
    <t xml:space="preserve">Установка системы учета для технологического присоединения энергопринимающих устройств Заявителя (Ерохина А.А.) по адресу: Ростовская область, Мясниковский район, х. Красный Крым, ул. Звездная, д. 40,  к.н. 61:25:0600401:9353 (1 шт.) </t>
  </si>
  <si>
    <t>Установка системы учета для технологического присоединения энергопринимающих устройств Заявителя (Назаретян А.Х.) по адресу: Ростовская область, Мясниковский район, с. Крым, ул. 12-я линия, д. 5/б,  к.н. 61:25:0201012:285 (1 шт.)</t>
  </si>
  <si>
    <t xml:space="preserve">Установка системы учета для технологического присоединения энергопринимающих устройств Заявителя (Налбандян Г.Н.) по адресу: Ростовская область, Мясниковский район, х. Красный Крым, ул. 2-я Молодежная, д. 21,  к.н. 61:25:0030101:156 (1 шт.) </t>
  </si>
  <si>
    <t>Установка системы учета для технологического присоединения энергопринимающих устройств Заявителя (Пащенко Е.В.) по адресу: Ростовская область, Мясниковский район, х. Ленинаван, ул. Шаумяна, д. 25/б,  к.н. 61:25:0030202:3502 (1 шт.)</t>
  </si>
  <si>
    <t>Установка системы учета для технологического присоединения энергопринимающих устройств Заявителя (Будагян С.Р.) по адресу: Ростовская область, Мясниковский район, с. Чалтырь, ул. Западная, д. 92,  к.н. 61:25:0101602:254 (1 шт.)</t>
  </si>
  <si>
    <t>Установка системы учета для технологического присоединения энергопринимающих устройств Заявителя (Глобенко Д.Н.) по адресу: Ростовская область, Мясниковский район, х. Красный Крым,  к.н. 61:25:0600401:13201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</si>
  <si>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Мясниковский район, х. Недвиговка, ул. Ченцова, д. 7, к.н. 61:25:0070101:4203 (1 шт.)</t>
  </si>
  <si>
    <t>Установка системы учета для технологического присоединения заявителя ИП Сарибекян Аветик Володяевич по адресу: Ростовская область, Неклиновский район, с. Самбек, ул. Береговая, д. 2-г, к.н. 61:26:0020101:1181 (1шт.)</t>
  </si>
  <si>
    <t>Установка системы учета для технологического присоединения Заявителя (ИП Касьянов А.В.) по адресу: Ростовская область, Мясниковский район, х. Ленинакан, ул. Торговый проспект, д. 15, к.н. 61:25:0600401:14709. (1шт.)</t>
  </si>
  <si>
    <t>Установка системы учета для технологического присоединения Заявителя (ИП Сахаджиян Н.Г.) по адресу: Ростовская область, Мясниковский район, с. Чалтырь</t>
  </si>
  <si>
    <t>Установка системы учета для технологического присоединения Заявителя (Парфинюк Н.П.) по адресу: Ростовская область, Мясниковский район, х. Ленинакан, ул. Торговый проспект, д. 1/а, к.н. 61:25:0600401:16518. (1шт.)</t>
  </si>
  <si>
    <t>Установка системы учета для технологического присоединения энергопринимающих устройств Заявителя (ИП Мовсесян А.Б.) по адресу: Ростовская область, Мясниковский район, с. Чалтырь, ул. Гагарина, д. 40, к.н. 61:25:0101222:134 (1 шт.)</t>
  </si>
  <si>
    <t>Строительство системы учета для технологического присоединения энергопринимающих устройств Заявителей: ИП Годагарян А.Ф., Михалко И.В., ИП Малаян Р.Г.,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</si>
  <si>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Назаров Н.В., Цуркану М.В.,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</si>
  <si>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Администрация Малокирсановского сельского поселения, ИП Темирханова Е.С, Лаврухин С.Н.,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</si>
  <si>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Иващенко В.С.,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</si>
  <si>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Местная религиозная организация православный приход храма великомученика Георгия Победоносца с. Ряженое М-Курганского района Ростовской области религиозной организации "Ростовская на Дону Епархия Русской православной церкви Московский патриархат., в Матвеево Курганском районе Ростовской области</t>
  </si>
  <si>
    <t>Установка системы учета для технологического присоединения энергопринимающих устройств Заявителя: Полякова О.А., в Матвеево Курганском районе Ростовской области (1 шт)</t>
  </si>
  <si>
    <t>Установка системы учета для технологического присоединения энергопринимающих устройств Заявителей: Новацкий Н.А., Лебедь Н.С., Ничипко Д.Н., Васина Г.П. в Матвеево Курганском районе Ростовской области (4 шт)</t>
  </si>
  <si>
    <t>Установка системы учета для технологического присоединения энергопринимающих устройств Заявителей: Администрация Матвеево-Курганского района, Беджанян Л.Г.,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</si>
  <si>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Чередников С.А., в Матвеево Курганском районе Ростовской области – 1 шт.</t>
  </si>
  <si>
    <t>Строительство системы учета для технологического присоединения энергопринимающих устройств Заявителей: «Бурделя В.В., Костенко М.М.,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</si>
  <si>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Зайцев Р.С.,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</si>
  <si>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ИП Богомаз Ю.Ю., Сарычев Д.Ю.</t>
  </si>
  <si>
    <t>Строительство системы учета для технологического присоединения энергопринимающих устройств Заявителей: МУК «Большекирсановский сельский дом культуры» Большекирсановского сельского поселения Матвеево Курганского района, Моисеев С.Ю.,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</si>
  <si>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ООО «Дружба», Мукиенко В.А., ИП Юн М.Ю.,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</si>
  <si>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«Ступников Г.М., Горохова О.А., ИП Ворошнина Л.И.,в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</si>
  <si>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ИП Кондрашов И.Л., Муниципальное бюджетное учреждение М-Курганского р-на «Центр социального обслуживания граждан пожилого возраста и инвалидов», Чуйков М.В., в Матвеево Курганском районе Ростовской области</t>
  </si>
  <si>
    <t>Установка системы учета для технологического присоединения энергопринимающих устройств Заявителей: Администрация Екатериновского сельского поселения, в Матвеево Курганском районе Ростовской области (2 шт.)</t>
  </si>
  <si>
    <t>Установка системы учета для технологического присоединения энергопринимающих устройств Заявителя: Беззубяк А.И., ИП Шиленко Е.К.,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</si>
  <si>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Бурделя В.Н.,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</si>
  <si>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Симко А.П.,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</si>
  <si>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Бугаев С.Н., в Матвеево Курганском районе Ростовской области – 1 шт.</t>
  </si>
  <si>
    <t>Строительство системы учета для технологического присоединения энергопринимающих устройств Заявителей:Головенко А.Ю., Дмитриев Ю.П., Рубан Е.Д., Чепель А.А., Близнюк Р.В., Сливина И.Г., Гежа И.В., Головнев В.Г., Земцова Е.В., Иванцов Д.Н., Ковалев В.А. в Неклиновском районе Ростовской области</t>
  </si>
  <si>
    <t>Строительство системы учета для технологического присоединения энергопринимающих устройств Заявителя Никитин Н.Н. по адресу Куйбышевский р-н, с. Куйбышево, ул. Театральная, д. 110 к. н. 61:19:0010152:25</t>
  </si>
  <si>
    <t>Строительство системы учета для технологического присоединения энергопринимающих устройств Заявителей: Сергиенко А.Ю., МБУЗ «ЦРБ» Неклиновского района, Агеенко К.Е., Кузнецов И.П., Железняк А.М., Мирошникова А.М., Клись Ю.Ю., Федорова М.К.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</si>
  <si>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Гончарова О.В., Морозов В.Н., Волченко Г.Б., Морозов Н.А., Ганжа Т.С., Пудышева А.Ю.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</si>
  <si>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Еговцова Л.М., Мирошникова О.И., Шевнина Е.Г., Рогачев А.В., Арутюнян А.В., Васильева И.С., Пермяков Д.А. в Мясниковском районе Ростовской области»</t>
  </si>
  <si>
    <t>«Строительство системы учета для технологического присоединения энергопринимающих устройств Заявителей: Аблиганец Э.Я., Гурин Н.А., Кашевская Д.А., Иванова Н.Г., ИП Супрунова Е.Е., Котельников Г.А.  в Неклиновском районе Ростовской области»</t>
  </si>
  <si>
    <t>Строительство системы учета для технологического присоединения энергопринимающих устройств Заявителя: Лысинский В.В. в г. Таганроге, Ростовской области</t>
  </si>
  <si>
    <t>Строительство системы учета для технологического присоединения энергопринимающих устройств Заявителя: ООО «ПраймТелеком Юг» в г.Таганроге, Ростовской области</t>
  </si>
  <si>
    <t>Строительство системы учета для технологического присоединения энергопринимающих устройств Заявителей: Долгошеева Е.Ю., Уздемиров И.В., ИП Капуста А.Д., Лаптева Т.М., Едуш А.Н., Дергачев А.Е., Галицкий С.И., Бойко А.С., Бабкина И.А., Закарая Д.Т., Соболев А.В., Сердюкова И.Н., Бадаев В.В.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</si>
  <si>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ООО «ГЕРМЕС-ТЕЛЕКОМ», Гасанов А.А.О. в г.Таганроге, Ростовской области</t>
  </si>
  <si>
    <t>Строительство системы учета для технологического присоединения энергопринимающих устройств Заявителей: Ташлыкова М.В., Нелепова З.В., Ливашова О.С., Грушко Я.Г., Сементин В.И., Тарасюк Р.А.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</si>
  <si>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Стуканев А.Н., Соколов Г.Ю., Конутенко К.С., Литманский С.В., Донченко Ю.Н., в г.Таганроге, Ростовской области</t>
  </si>
  <si>
    <t>Строительство системы учета для технологического присоединения энергопринимающих устройств Заявителей: Волосковец Д.С., Леухин В.П., Джамалов М.С.О., Лозован В.Н., Дедух М.А., Савченко А.С.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</si>
  <si>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Кружков Т.А., Цой В.Н., Речицкий В.Д., Юрченко Г.И., Муртузалиев К.С. в Неклиновском районе Ростовской области</t>
  </si>
  <si>
    <t>Установка системы учета для технологического присоединения энергопринимающих устройств Заявителей: Мажаров С.В., Гасанов А.И., Матвеева Е.В., Гирагосян Г.К., Елатонцева Е.Н., Хошафян С.Н., Нифонтов А.В., Жмырко С.А., Федоренко В.А., Таран Д.А.  в Мясниковском районе Ростовской области (10 шт)</t>
  </si>
  <si>
    <t>Установка системы учета для технологического присоединения энергопринимающих устройств Заявителей: Назаренко И.В., Кибкало М.А., Штайнмец Р.А., Брунер В.Ю., Зиновьева М.Б., Кочарян В.А., Чебыкина Е.В. в Неклиновском районе Ростовской области (7 шт)</t>
  </si>
  <si>
    <t>Установка системы учета для технологического присоединения энергопринимающих устройств Заявителя: ИП Лыкова В.Н. в г.Таганроге, Ростовской области (1 шт)</t>
  </si>
  <si>
    <t>Строительство системы учета для технологического присоединения энергопринимающих устройств Заявителей: Итенберг Е.В., Зуев И.М., Березина Т.В., в г.Таганроге, Ростовской области</t>
  </si>
  <si>
    <t>Установка системы учета для технологического присоединения энергопринимающих устройств Заявителей: Хруленко А.А., ИП Самойлова Н.В., Олефиренко С.А., Снаговская О.Н., Петров И.А., Волошеин И.В., Гребельный А.Н., Глебов В.Е., Кистанов Е.В, Рябенко О.А., Шимаров А.Ю., Коптев А.А., Усаева Л.И., Гринжевский В.В., Усаева Л.И., Борцова И.Г., Завизион Л.А. в Неклиновском районе Ростовской области (17 шт)</t>
  </si>
  <si>
    <t>Строительство системы учета для технологического присоединения энергопринимающих устройств Заявителей: Овчарова Е.С., Гребенников А.Н., Пашкина Г.А., Чеботарева Г.А., Савчук Е.А., Зеленская Н.Я., Шмыкова Л.А. в г. Таганроге, Ростовской области</t>
  </si>
  <si>
    <t>Строительство системы учета для технологического присоединения энергопринимающих устройств Заявителя: ИП Романенко М.Б., в г. Таганроге, Ростовской области</t>
  </si>
  <si>
    <t>Установка системы учета для технологического присоединения энергопринимающих устройств Заявителей: Петраковская А.К., Хавранян А.О., Степикин В.В., Хатламаджиян Г.А., Рыжков Н.Н., Беляков В.В., Келешян К.Х., Стрельникова Т.А., Копосова Л.А., Горюнов А.А., Коновалова Ю.А., Седых С.А., Дорошенко Н.И., Кулаков А.А., Козориз Р.А., Берекчиян Х.В., Теснозуб А.А. в Мясниковском районе Ростовской области (17 шт.)</t>
  </si>
  <si>
    <t>Строительство системы учета для технологического присоединения энергопринимающих устройств Заявителей: Яновская Г.В., Малинская Н.Н., Тороп М.А., Акинина Н.А., Грищенко Т.М., в г.Таганроге, Ростовской области</t>
  </si>
  <si>
    <t>Установка системы учета для технологического присоединения энергопринимающих устройств Заявителей: Карапетян Э.С., Колянчук Т.Н., Бакаева Р.Р., Макаренко В.В., Мирзоян А.В., Крохмаленко Е.А., Немичев Н.В., Нагдалян М.О., Тикунова Е.В., Мащенко С.А., Петинская А.В., Бабиян Г.С., Сафарян А.А., Шаникова О.С., Пучков О.А., Дубинин О.П., Исраелян Э.К., Асланян Д.А., Подольский Д.О., Бабаков С. А., Солодовникова С.В., Тютюнник С.Ю., Мануйлов И.И., Арсененков С.Ю., ИП Беньяминов А.В., Песцова Г.Б., ИП Манучарян Г.А., Алексанян З.А. в Мясниковском районе Ростовской области (28 шт.)</t>
  </si>
  <si>
    <t>Установка системы учета для технологического присоединения энергопринимающих устройств Заявителя: ИП Баранников Ю.Г. в г. Таганроге, Ростовской области (1 шт)</t>
  </si>
  <si>
    <t>Установка системы учета для технологического присоединения энергопринимающих устройств Заявителя Баранов М.С. в Куйбышевском районе Ростовской области (1 шт)</t>
  </si>
  <si>
    <t>Установка системы учета для технологического присоединения энергопринимающих устройств Заявителя: Турбина Н.А. в Мясниковском районе Ростовской области (1 шт.)</t>
  </si>
  <si>
    <t>Установка системы учета для технологического присоединения энергопринимающих устройств Заявителей: ИП Кравченко С.Н. в г. Таганроге, Ростовской области (1 шт)</t>
  </si>
  <si>
    <t>Установка системы учета для технологического присоединения энергопринимающих устройств Заявителей: Пеков С.А., Атоян Р.С., Ерохина Э.В., Костюк Л.Ю., Чекрыгина М.В., Далалян Г.Э. в Мясниковском районе Ростовской области (7 шт.)</t>
  </si>
  <si>
    <t>Установка системы учета для технологического присоединения энергопринимающих устройств Заявителей: Овчаров А.В., Дивнич А.А., Едуш П.П., Потик Н.Н.  в Неклиновском районе Ростовской области (4 шт.).</t>
  </si>
  <si>
    <t>Установка системы учета для технологического присоединения энергопринимающих устройств Заявителя: ИП Абалян Д.С.  в Неклиновском районе Ростовской области (1 шт.).</t>
  </si>
  <si>
    <t>Установка системы учета для технологического присоединения энергопринимающих устройств Заявителя: ИП Диченко А.Г. в г. Таганроге, Ростовской области (1 шт)</t>
  </si>
  <si>
    <t>Установка системы учета для технологического присоединения энергопринимающих устройств Заявителей Хижняк В.С., Павлюкова С.А. в Куйбышевском районе Ростовской области (2 шт)</t>
  </si>
  <si>
    <t>Установка системы учета для технологического присоединения энергопринимающих устройств Заявителей: Ковалев В.С., Горобец В.Л., Мартиросова Ф.Л., Ткачев А.И., Русанов Д.С., Яппаров Р.И., Черняева Е.Б., Галуза А.Ю.  в Неклиновском районе Ростовской области (8 шт.).</t>
  </si>
  <si>
    <t>Установка системы учета для технологического присоединения энергопринимающих устройств Заявителей: Стулин А.Н., Айдинян А.Э., Демерджиев А.Б., Бобоев Б.Х. в Мясниковском районе Ростовской области (4 шт.)</t>
  </si>
  <si>
    <t>Установка системы учета для технологического присоединения энергопринимающих устройств Заявителей: Кошелев Р.С., Дядюра Н.А.,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</si>
  <si>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Заявителей: Таганрогский Торговый Потребительский Кооператив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</si>
  <si>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Овсянникова Т.Д., Рудаков А.И.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</si>
  <si>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ИП Волченко А.А., Хачатрян Н.Р., Бокарев Д.С.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</si>
  <si>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Дзиваян М.В., Дзиваян А.А., Акопян М.А., Бурлуцкий А.А., Крохмаленко А.М., Немцова И.Ю., Панжиев А.В., Цатурян В.А., Карапетян А.С., Павлов А.С., Губанов А.Н., Налбандян С.С., Назаретян Т.А. в Мясниковском районе Ростовской области (13 шт.)</t>
  </si>
  <si>
    <t>Установка системы учета для технологического присоединения энергопринимающих устройств Заявителя: ООО «Автограф» в Мясниковском районе Ростовской области (1 шт.)</t>
  </si>
  <si>
    <t>Установка системы учета для технологического присоединения энергопринимающих устройств Заявителя Гамова Ю.В.  в г.Таганроге, Ростовской области (1 шт)</t>
  </si>
  <si>
    <t>Установка системы учета для технологического присоединения энергопринимающих устройств Заявителя: Коваленко В.С. в г. Таганроге, Ростовской области (1 шт)</t>
  </si>
  <si>
    <t>Установка системы учета для технологического присоединения энергопринимающих устройств Заявителей: Костин Н.В., Заика Л.В., Шевчук Н.П., в Матвеево Курганском районе Ростовской области – 3 шт.</t>
  </si>
  <si>
    <t>Установка системы учета для технологического присоединения энергопринимающих устройств Заявителя: Колесник Г.В. в г. Таганроге, Ростовской области (1 шт)</t>
  </si>
  <si>
    <t>Установка системы учета для технологического присоединения энергопринимающих устройств Заявителя: ИП Черватюк В.В. в г. Таганроге, Ростовской области (1 шт)</t>
  </si>
  <si>
    <t>Установка системы учета для технологического присоединения энергопринимающих устройств Заявителя: Игитян Г.П.,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</si>
  <si>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ИП Казимиров И.В.,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</si>
  <si>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Духанин В.М. в г. Таганроге, Ростовской области (1 шт)</t>
  </si>
  <si>
    <t>Установка системы учета для технологического присоединения энергопринимающих устройств Заявителя: ООО «Проммонтаж» в Неклиновском районе Ростовской области (1 шт.).</t>
  </si>
  <si>
    <t>Установка системы учета для технологического присоединения энергопринимающих устройств Заявителя: ИП Антипов А.А. в г. Таганроге, Ростовской области (1 шт)</t>
  </si>
  <si>
    <t>Установка системы учета для технологического присоединения энергопринимающих устройств Заявителя: Червякова Л.В., Гросс Б.Л.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</si>
  <si>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ООО «Раздолье»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</si>
  <si>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ИП Панкова Е.В. в г. Таганроге, Ростовской области (1 шт)</t>
  </si>
  <si>
    <t>Установка системы учета для технологического присоединения энергопринимающих устройств Заявителей: Осадчий А.Н., Захарченко А.П.,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</si>
  <si>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Весенин А.В. в г. Таганроге, Ростовской области (1 шт)</t>
  </si>
  <si>
    <t>Установка системы учета для технологического присоединения энергопринимающих устройств Заявителя: Прокопенко И.И. в г. Таганроге, Ростовской области (1 шт)</t>
  </si>
  <si>
    <t>Установка системы учета для технологического присоединения энергопринимающих устройств Заявителей: Анцифиров В.Н., Горшков С.Ю.,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</si>
  <si>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ООО «Простая кухня» в г. Таганроге, Ростовской области (1 шт)</t>
  </si>
  <si>
    <t>Установка системы учета для технологического присоединения энергопринимающих устройств Заявителя: Камнев Сергей Владимирович в г. Таганроге,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</si>
  <si>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-(61-1-21-00591123)</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</si>
  <si>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-(61-1-21-00591621)</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</si>
  <si>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-(61-1-21-00592213)</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</si>
  <si>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-(61-1-21-00592537)</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</si>
  <si>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-(61-1-21-00592843)</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</si>
  <si>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-(61-1-21-00592845)</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</si>
  <si>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-(61-1-21-00593013)</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</si>
  <si>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-(61-1-21-00593379)</t>
  </si>
  <si>
    <t>Установка системы учета для технологического присоединения энергопринимающих устройств Заявителей: Лялькина В.А., Урецкий О.Ю., Гречишников В.В., Маноле О.П., Асцатрян Л.С., Берекчиян М.А., Щаева Д.Д., Килафян А.А., Моисеенко Э.С., Скорикова Е.С. в Мясниковском районе Ростовской области (10 шт.)</t>
  </si>
  <si>
    <t>Строительство системы учета для технологического присоединения энергопринимающих устройств Заявителей: ООО «Авиатор», Литвинова З.Г., Думич А.А. в Неклиновском районе Ростовской области</t>
  </si>
  <si>
    <t>Строительство системы учета для технологического присоединения энергопринимающих устройств Заявителя Долгополов А.М., расположенных Ростовская обл., р-н. Куйбышевский, с. Куйбышево, ул. Калинина, д. 26</t>
  </si>
  <si>
    <t>Строительство системы учета для технологического присоединения энергопринимающих устройств Заявителей: Берекчиян В.К., Скоба С.В., Солянкин А.Н., Шахмурадян Г.В., Чубаров А.М., Черанев А.С., Вавилов А.А., Лебедев С.С., Ковалев А.В., Белый А.Ю., Прокофьева Н.Э., Ушакова Ю.А. в Мясниковском районе Ростовской области</t>
  </si>
  <si>
    <t>Строительство системы учета для технологического присоединения энергопринимающих устройств Заявителей: Галицкая Л.П., Булгакова В.П, Михалев С.Г., Пучков Д.Д., Шелист И.А., Хрипунов В.В., Грачев А.И.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</si>
  <si>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Кудашева Е.А., ИП Свиридов В.П., ИП Ващенко И.А., в г.Таганроге, Ростовской области</t>
  </si>
  <si>
    <t>Строительство системы учета для технологического присоединения энергопринимающих устройств Заявителей: Семак С.В., Аветисян Г.Р., Яковлев А.В., Коробков А.А., Лисоченко О.М., Мелихова М.Е., Тороп Д.В., Маштак Р.А., Крымов О.А., Беньяминов Д.С.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</si>
  <si>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Барыкин Е.М., Путулян Л.Л., Меликян С.К., Безменов А.А., Ковтунова В.А., Новиков С.С., Ишангалиев Ф.А., Дорошенко Н.И., Габриелян А.Г., Дзиваян М.А., Мариненков А.В., Хачатрян А.М., Парибек В.В., Пусенков А.В., Изосимова А.А., Какорина А.В., Сердюк Д.С., Микоян А.А., Крупина А.В., Кукса А.А., Арзуманян Б.М., Хантимерян К.Р., Алексанян А.А., Голубева Е.А., Хараян А.Э., Максименко Е.Е., Таран Е.И., Богданова Е.А., Серов А.В., Понимаш С.А., Абовян Г.А., Секизян С.Е., Бабиев Г.К., Магирина Л.К., Колесникова М.А.  в Мясниковском районе Ростовской области» (35 шт)</t>
  </si>
  <si>
    <t>Установка системы учета для технологического присоединения энергопринимающих устройств Заявителей: Администрация Неклиновского района, Кушнаренко Г.С. в Неклиновском районе Ростовской области (4 шт.)</t>
  </si>
  <si>
    <t>Установка системы учета для технологического присоединения энергопринимающих устройств Заявителей: Баранов В.Л., Цындра Д.А., Рожков А.В.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</si>
  <si>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Гладунова Т.В., Сорокина А.С., Братухин Д.А.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</si>
  <si>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Коржов А.Н., Пантелеева М.А.,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</si>
  <si>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Лабурцев Р.В., Татаренков А.А., ИП Черепанов О.А. в г.Таганроге, Ростовской области (3 шт)</t>
  </si>
  <si>
    <t>Установка системы учета для технологического присоединения энергопринимающих устройств Заявителей: Лещенко С.С., Глазунов А.Г., Деркачева В.В.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</si>
  <si>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ПраймТелеком ЮГ, Стеблов А.А.  в г. Таганроге, Ростовской области (2 шт)</t>
  </si>
  <si>
    <t>Установка системы учета для технологического присоединения энергопринимающих устройств Заявителей: Сыроватский В.М., Скляренко И.П., Кузнецова Т.О. в г.Таганроге, Ростовской области (3 шт)</t>
  </si>
  <si>
    <t>Установка системы учета для технологического присоединения энергопринимающих устройств Заявителей: Анохина Н.В., Кудряшов В.А. в г. Таганроге, Ростовской области (2 шт)</t>
  </si>
  <si>
    <t>Установка системы учета для технологического присоединения энергопринимающих устройств Заявителя Каркалев Н.И. в Куйбышевском районе Ростовской области (1 шт)</t>
  </si>
  <si>
    <t>Установка системы учета для технологического присоединения энергопринимающих устройств Заявителя Трушникова Н.Е. в Неклиновском районе Ростовской области (1 шт.)</t>
  </si>
  <si>
    <t>Установка системы учета для технологического присоединения энергопринимающих устройств Заявителя: ИП Бабенко Ю.И. в г. Таганроге, Ростовской области (1 шт)</t>
  </si>
  <si>
    <t>Установка системы учета для технологического присоединения энергопринимающих устройств Заявителей: Шатова И.Л., Однороб С.В., Кедыч А.В., Корбут Н.А., Латиш А., Латиш Д. Багаджиян С.В., Медведева Т.Н., Миличенко А.В., Исаков В.В., Демьянов А.О., Коновалова Т.Г., Берданова В.Н., Кузьмина Е.Ю., Арзуманян С.Г., Бадальянц С.М., Ваць М.В.  в Мясниковском районе Ростовской области (17 шт.)</t>
  </si>
  <si>
    <t>Установка системы учета для технологического присоединения энергопринимающих устройств Заявителей: Агаджанова Э.В., Биатова Е.В., ИП Коннов А.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</si>
  <si>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Алексанян Т.А., Кочарян Г.А., Ковылин Г.Н., Бочко В.В., Семенченко С.А., Адамян М.С., Соковая К.С., Дюргерян М.К., Беленков А.П., Балабанян О.В., Васильченко Ю.О.  в Мясниковском районе Ростовской области (13 шт.)</t>
  </si>
  <si>
    <t>Установка системы учета для технологического присоединения энергопринимающих устройств Заявителей: Анненко А.И., Кивик А.А., Худолеев В.В., Прудникова О.Н., Рякина А.С., Хечоян Г.А., Харахашян И.А., Скоков А.А., Авакян Г.С., Князькова Т.В., ИП Бабахов В.А., Лапотанова Л.Ю., Клименкова О.Х., Ованесов Д.К., Насибян А.А., Садовничья З.А., Климович С.Г., Кутилина А.С., Командина Е.А., Багринцев Д.А., Бардачев А.С., ТСЖ «КП Приозерье», Хачатрян С.С., Хантимерян О.А., Грекова И.А., Хочхарян О.Х., Прокопенко А.Р., Кротова А.П., Семенченко О.В., Бахарь Е.В. в Мясниковском районе Ростовской области (30 шт.)</t>
  </si>
  <si>
    <t>Установка системы учета для технологического присоединения энергопринимающих устройств Заявителей: Волкова Н.Н., Ткаченко Е.Б., Болдякова М.Н., Киракосян А.С., Кузьменко И.Ю. в Неклиновском районе Ростовской области (5 шт.)</t>
  </si>
  <si>
    <t>Установка системы учета для технологического присоединения энергопринимающих устройств Заявителей: ИП Гукасян Х.Ф., Тугушев М.Р., Шевченко Л.А., Шевченко М.А., Багдасарян Р.Ц., Акопян А.А., Козаченко В.А., ИП Закинян Ю.Д., Микоян А.А., Мардян Н.А., Оланян С.О., Чориян Х.А., Сущенко Е.В., Пудова Ю.И., Хатламаджиян Г.А., Шклярская Я.В. в Мясниковском районе Ростовской области (17 шт.)</t>
  </si>
  <si>
    <t>Установка системы учета для технологического присоединения энергопринимающих устройств Заявителей: ИП Колупаев Г.А., Нимовец А.В., Смирнова Т.Г., Смирнова Т.Г., Федотова М.В., Ткачук Д.О., Миняйлов А.Г., Исаджанян А.З., Шарганов Н.Ю., Захаров М.Б., Минько В.В., Сухомлинов Н.Н., Филипенко Э.Г., Сулина Е.Г, Разинкова А.В., Короткова Ю.Н., Саркисян Н.Г. в Неклиновском районе Ростовской области (17 шт)</t>
  </si>
  <si>
    <t>Установка системы учета для технологического присоединения энергопринимающих устройств Заявителей: Кабалян А.К, Лаптев А.В., Харламенков А.С., Темирханова Н.К., Колотев Г.М.,  ООО «Аметис»,  Васильченко Н.А. в Неклиновском районе Ростовской области (7 шт)</t>
  </si>
  <si>
    <t>Установка системы учета для ТП энергопринимающих устройств: Кривова М.В., Шапошникова Е.В., Малородная В.И., Сычев В.Н.,Римский Е.П.</t>
  </si>
  <si>
    <t>Установка системы учета для технологического присоединения энергопринимающих устройств Заявителей: Панюхина Н.М, Помазанова Е.В., Колесников Г.Д., Данькина И.В., Кузьменко Е.Т., Хырмызы Н.Н. в Неклиновском районе Ростовской области (6 шт)</t>
  </si>
  <si>
    <t>Установка системы учета для технологического присоединения энергопринимающих устройств Заявителей: Петракова Н.Н., Козловский С.А., Лопаткин А.В., Швалева Н.А., Карауш Е.Ю., Лопатюк Г.В., ИП Архипенко В.В. в Неклиновском районе Ростовской области (7 шт)</t>
  </si>
  <si>
    <t>Установка системы учета для технологического присоединения энергопринимающих устройств Заявителей: Печерская И.С., Бабицкий О.В., ИП Порядин А.М., Мазуренко М.К., Бутина А.Я., Магомедова А.Т., Коротков П.А., Бондаренко Ю.С., Богатова О.Г.  в Неклиновском районе Ростовской области (9 шт)</t>
  </si>
  <si>
    <t>Установка системы учета для технологического присоединения энергопринимающих устройств Заявителей: Снисаренко Л.Н., ИП Ключко А.В., Петров А.О., Поважный А.А., Ефименко Д.П. в Неклиновском районе Ростовской области (5 шт)</t>
  </si>
  <si>
    <t>Установка системы учета для технологического присоединения энергопринимающих устройств Заявителей: Экизян З.Д., Мирзаян К.А., Исаков В.В., Тур О.Г., Беликов М.В., Пузина О.А., Париева Е.О., Пикуль Е.Н., Зубков А.А. в Мясниковском районе Ростовской области (9 шт.)</t>
  </si>
  <si>
    <t>Строительство системы учета для технологического присоединения энергопринимающих устройств Заявителей Забродний А.В., Диденко Л.А расположенных в Куйбышевском районе Ростовской области</t>
  </si>
  <si>
    <t>Строительство системы учета для технологического присоединения энергопринимающих устройств Заявителей Скилевая Т.Ю, Мелкумян В.З. в Куйбышевском районе Ростовской области</t>
  </si>
  <si>
    <t>Установка системы учета для технологического присоединения энергопринимающих устройств Заявителя Ульмасов Р.Е. в Куйбышевском районе Ростовской области (1 шт)</t>
  </si>
  <si>
    <t>Установка системы учета для технологического присоединения энергопринимающих устройств Заявителя Министерство транспорта Ростовской области в Куйбышевском районе Ростовской области (1 шт)</t>
  </si>
  <si>
    <t>Установка системы учета для технологического присоединения энергопринимающих устройств Заявителя Горохова Е.П. в Куйбышевском районе Ростовской области (1 шт)</t>
  </si>
  <si>
    <t>Установка системы учета для технологического присоединения энергопринимающих устройств Заявителей Матвиенко А.Н., Борцов П.В. в Куйбышевском районе Ростовской области (2 шт)</t>
  </si>
  <si>
    <t>Установка системы учета для технологического присоединения энергопринимающих устройств Заявителя Гречко Н.М. по адресу Ростовская обл., р-н. Куйбышевский, с. Куйбышево, ул. Театральная, д. 87 (1 шт)</t>
  </si>
  <si>
    <t>Установка системы учета для технологического присоединения энергопринимающих устройств Заявителя Литовченко Р.В. по адресу Ростовская обл., Куйбышевский район, х. Новая Надежда, ул. Новая, д. 29 (1шт)</t>
  </si>
  <si>
    <t>Установка системы учета для технологического присоединения энергопринимающих устройств Заявителя МУЗ «ЦРБ Куйбышевского района» по адресу Ростовская обл., Куйбышевский район, с. Куйбышево, ул. Миусская, д. 3 (1 шт)</t>
  </si>
  <si>
    <t>Установка системы учета для технологического присоединения энергопринимающих устройств Заявителя ИП Пикалов С.А. по адресу Ростовская обл., Куйбышевский район, с. Куйбышево, ул. Крутоярская, 13/1 (1 шт)</t>
  </si>
  <si>
    <t>Установка системы учета для технологического присоединения энергопринимающих устройств Заявителя Зинченко Н.В. по адресу Ростовская обл., Куйбышевский район, с. Куйбышево, ул. Пушкинская, д.17 (1шт)</t>
  </si>
  <si>
    <t>на выполнение проектной и рабочей документации
Установка системы учета для технологического присоединения энергопринимающих устройств Заявителя (Яковенко И.Л.) по адресу: Ростовская область, Куйбышевский район, с. Куйбышево, ул. Дьяковская, д. 2, к.н. 61:19:0010126:14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</si>
  <si>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Куйбышевский район, с. Новиковка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</si>
  <si>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Куйбышевский район, с. Русское (1 шт.)</t>
  </si>
  <si>
    <t>Установка системы учета для технологического присоединения энергопринимающих устройств Заявителя Ключиков В.В. по адресу Ростовская обл., Куйбышевский район, с. Новиковка, ул. Победы, д. 28б, к.н. 61:19:0050401:683 (1шт).</t>
  </si>
  <si>
    <t>Установка системы учета для технологического присоединения энергопринимающих устройств Заявителя (Еременко А.В.) по адресу Ростовская обл., р-н. Куйбышевский, х. Новоольховский, севернее х. Новоольховский к.н: 61:19:0600005:1555 (1шт)</t>
  </si>
  <si>
    <t>Установка системы учета для технологического присоединения энергопринимающих устройств Заявителя (Еременко О.В.) по адресу Ростовская обл., р-н. Куйбышевский, с. Куйбышево, ул. Пролетарская, д.180, к.н: 61:19:0010192:10 (1шт).</t>
  </si>
  <si>
    <t>Установка системы учета для технологического присоединения энергопринимающих устройств Заявителя (Литвинов П.В.) по адресу Ростовская обл., р-н. Куйбышевский, с. Куйбышево, ул. Театральная, д. 77-в, к.н: 61:19:0010138:282 (1шт)</t>
  </si>
  <si>
    <t>Установка системы учета для технологического присоединения энергопринимающих устройств Заявителя (Пруглова В.Д.) по адресу Ростовская обл., р-н. Куйбышевский, с. Куйбышево, ул. Мало-Садовая, д. 31, к.н: 61:19:0010147:7 (1шт)</t>
  </si>
  <si>
    <t>Установка системы учета для технологического присоединения энергопринимающих устройств Заявителя (ООО «Лека») по адресу Ростовская обл., Куйбышевский р-н, х. Ясиновский, к.н: 61:19:0600002:1148 (1шт)</t>
  </si>
  <si>
    <t>Установка системы учета для технологического присоединения энергопринимающих устройств Заявителя (Орлов В.С.) по адресу Ростовская обл., Куйбышевский р-н, с. Куйбышево, ул. Свободы, д. 7, к.н: 61:19:0010153:3 (1шт)</t>
  </si>
  <si>
    <t>на выполнение проектной и рабочей документации
Установка системы учета для технологического присоединения энергопринимающих устройств Заявителя (Чернобай Г.Д.) по адресу Ростовская обл., р-н. Куйбышевский, с. Новоспасовка, ул. Северная, д. 12, к.н: 61:19:0030401:91 (1шт)</t>
  </si>
  <si>
    <t>Установка системы учета для технологического присоединения энергопринимающих устройств Заявителя (КХ «Деметра») по адресу: Ростовская область, Куйбышевский район х. Новоивановский, к.н: 61:19:0600001:112 (1 шт.)</t>
  </si>
  <si>
    <t>Установка системы учета для технологического присоединения энергопринимающих устройств Заявителя (Семенцов С.А.) по адресу: Ростовская область, Куйбышевский район, с. Куйбышево, ул. Кузьменко, д. 38, к.н. 61:19:0010137:23 (1 шт.)</t>
  </si>
  <si>
    <t>Установка системы учета для технологического присоединения энергопринимающих устройств Заявителя (Власова И.А.) по адресу: Ростовская обл., Куйбышевский р-н., с. Куйбышево, ул. Дмитриевская, д. 93, к.н: 61:19:0010109:3 (1 шт.)</t>
  </si>
  <si>
    <t>Установка системы учета для технологического присоединения энергопринимающих устройств Заявителя (Маслова Г.В.) по адресу: Ростовская обл., Куйбышевский р-н., с. Куйбышево, ул. Дмитриевская, д. 53а, к.н: 61:19:0010109:338 (1 шт.)</t>
  </si>
  <si>
    <t>Установка системы учета для технологического присоединения энергопринимающих устройств Заявителя (АО "Почта России") по адресу: Ростовская обл., Куйбышевский р-н., с. Лысогорка, ул. Кооперативная, д. 12, к.н: 61:19:0030101:810 (1 шт.)</t>
  </si>
  <si>
    <t>Установка системы учета для технологического присоединения энергопринимающих устройств Заявителя (АО "Почта России") по адресу: Ростовская обл., Куйбышевский р-н., х. Новая Надежда, ул. Советская, д. 3 (1 шт.)</t>
  </si>
  <si>
    <t>Установка системы учета для технологического присоединения энергопринимающих устройств Заявителя (АО "Почта России") по адресу: Ростовская обл., Куйбышевский р-н., х. Кринично-Лугский, ул. Молодежная, д. 28, к.н: 61:19:0000000:556 (1 шт.)</t>
  </si>
  <si>
    <t>Установка системы учета для технологического присоединения энергопринимающих устройств Заявителя: Высоцкая Н.С., Чередникова Е.Н.,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</si>
  <si>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Ивлев И.И.,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</si>
  <si>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Заявителей: Михайленко А.А.,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</si>
  <si>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Заявителей: Русина М.В.,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</si>
  <si>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Заявителей: Потеенок Н.А., в Матвеево Курганском районе Ростовской области – 1 шт.</t>
  </si>
  <si>
    <t xml:space="preserve">Установка системы учета для технологического присоединения энергопринимающих устройств Заявителей: Гриценко Н.А, Ткаченко А.В., в Матвеево Курганском районе Ростовской области – 2 шт. </t>
  </si>
  <si>
    <t>Установка системы учета для технологического присоединения энергопринимающих устройств Заявителя: Новичихина О.В.,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</si>
  <si>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Васильева Е.А.,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</si>
  <si>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ИП Григорян Р.С.,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</si>
  <si>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Шленчак И.В., в Матвеево Курганском районе Ростовской области – 1 шт.</t>
  </si>
  <si>
    <t xml:space="preserve">Установка системы учета для технологического присоединения энергопринимающих устройств Заявителя: Годагарян А.Ф., в Матвеево Курганском районе Ростовской области – 1 шт. </t>
  </si>
  <si>
    <t>Установка системы учета для технологического присоединения энергопринимающих устройств Заявителя: Пащенко А.В.,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</si>
  <si>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Бужинский А.И., в Матвеево Курганском районе Ростовской области – 1 шт.</t>
  </si>
  <si>
    <t xml:space="preserve">Установка системы учета для технологического присоединения энергопринимающих устройств Заявителя: Мкртчян С.К., в Матвеево Курганском районе Ростовской области – 1 шт. </t>
  </si>
  <si>
    <t xml:space="preserve">Установка системы учета для технологического присоединения энергопринимающих устройств Заявителя: Наумчук А.В., Гапоненко С.П., в Матвеево Курганском районе Ростовской области – 2 шт. </t>
  </si>
  <si>
    <t>Установка системы учета для технологического присоединения энергопринимающих устройств Заявителя: Высоцкий В.А, в Матвеево Курганском районе Ростовской области – 1 шт</t>
  </si>
  <si>
    <t xml:space="preserve">Установка системы учета для технологического присоединения энергопринимающих устройств Заявителя: Ломтева Л.В, в Матвеево Курганском районе Ростовской области – 1 шт. </t>
  </si>
  <si>
    <t>Установка системы учета для технологического присоединения энергопринимающих устройств Заявителей: Шаповалов В.А., Засоба И.И.,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</si>
  <si>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Заявителей: Габеев Н.В.,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</si>
  <si>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ИП Беджанян Л.Г.,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</si>
  <si>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Заявителей: ИП Кривобокова Е.В.,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</si>
  <si>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МУК «Центральная клубная система» Матвеево-Курганского сельского поселения., в Матвеево Курганском районе Ростовской области – 1 шт.</t>
  </si>
  <si>
    <t xml:space="preserve">Установка системы учета для технологического присоединения энергопринимающих устройств Заявителя: Антонова Е.Л., в Матвеево Курганском районе Ростовской области – 1 шт. </t>
  </si>
  <si>
    <t xml:space="preserve">Установка системы учета для технологического присоединения энергопринимающих устройств Заявителя: Иванченко К.П., в Матвеево Курганском районе Ростовской области – 1 шт. </t>
  </si>
  <si>
    <t xml:space="preserve">Установка системы учета для технологического присоединения энергопринимающих устройств Заявителей: Миненко А.Н., в Матвеево Курганском районе Ростовской области – 1 шт. </t>
  </si>
  <si>
    <t xml:space="preserve">Установка системы учета для технологического присоединения энергопринимающих устройств Заявителя: ООО «ДонСвязьКонструкция», в Матвеево Курганском районе Ростовской области – 1 шт. </t>
  </si>
  <si>
    <t xml:space="preserve">Установка системы учета для технологического присоединения энергопринимающих устройств Заявителя (Лебедь Е.А.) по адресу: Ростовская область, Матвеево-Курганский район, х. Криничный, ул. Садовая, д. 12, к.н. 61:21:011301:7 (1 шт.) </t>
  </si>
  <si>
    <t xml:space="preserve">Установка системы учета для технологического присоединения энергопринимающих устройств Заявителя (ООО «Миус-торг».) по адресу: Ростовская область, Матвеево-Курганский район, п. Подлесный, пер. Кувшинный, д. 4, к.н. 61:21:0030901:602 (1 шт.) </t>
  </si>
  <si>
    <t xml:space="preserve">Установка системы учета для технологического присоединения энергопринимающих устройств Заявителя (ИП Литвинова Я.А.) по адресу: Ростовская область, Матвеево-Курганский район, п. М-Курган, ул. Советская, д. 10, к.н. 61:21:0010152:57 (1 шт.) </t>
  </si>
  <si>
    <t>Установка системы учета для технологического присоединения энергопринимающих устройств Заявителя (Гогуев С.З.) по адресу: Ростовская область, Матвеево-Курганский район, х. Дараганов, ул. Подгорная, д. 41, к.н. 61:21:0010201:213 (1 шт.)</t>
  </si>
  <si>
    <t>Установка системы учета для технологического присоединения энергопринимающих устройств Заявителя (ИП Нарожний Г.П.) по адресу: Ростовская область, Матвеево-Курганский район, 330 м в восточном направлении от жилого дома №15 ул. Первомайская, с. Греково-Тимофеевка, к.н. 61:21:0600014:1305 (1 шт.)</t>
  </si>
  <si>
    <t>Установка системы учета для технологического присоединения энергопринимающих устройств Заявителя (ИП Мкрдумян Л.Ш.) по адресу: Ростовская область, Матвеево-Курганский район, п. Матвеев Курган, ул. Таганрогская, д. 33, к.н. 61:21:0019125:491 (1 шт.)</t>
  </si>
  <si>
    <t>Установка системы учета для технологического присоединения энергопринимающих устройств Заявителя (Пучка Н.И.) по адресу: Ростовская область, Матвеево-Курганский район, с. Новониколаевка,
 ул. Ленина, д. 92, к.н. 61:21:0050101:409 (1 шт.)</t>
  </si>
  <si>
    <t>Установка системы учета для технологического присоединения энергопринимающих устройств Заявителя (Турицын А.Д.) по адресу: Ростовская область, Матвеево-Курганский район, с. Марфинка, ул. Производственная, д. 24, к.н. 61:21:0040301:857 (1 шт.)</t>
  </si>
  <si>
    <t>Установка системы учета для технологического присоединения энергопринимающих устройств Заявителя (Сергеев А. А.) по адресу: Ростовская область, Матвеево-Курганский район, примерно в 6100м по направлению на юго-восток от ориентира п. Крынка, ул. Ветеранов,  д. 9, к.н. 61:21:0600021:450 (1 шт.)</t>
  </si>
  <si>
    <t xml:space="preserve">Установка системы учета для технологического присоединения энергопринимающих устройств Заявителя (ИП Игитян Г.П.) по адресу: Ростовская область, М-Курганский район, п. Матвеев Курган, ул. 1 Мая, д. 13, к.н.ЗУ: 61:21:0010145:65 (1 шт.)
 </t>
  </si>
  <si>
    <t>Установка системы учета для технологического присоединения энергопринимающих устройств Заявителя (ИП Нагерняк С.А.) по адресу: Ростовская область, Матвеево-Курганский район, 600м по направлению на север от ул. Степная, д. 36, х. Степанов, к.н. 61:21:0600003:3376 (1 шт.)</t>
  </si>
  <si>
    <t>Установка системы учета для технологического присоединения энергопринимающих устройств Заявителя (Шаповалова Е.А.) по адресу: Ростовская область, М-Курганский район, с. Анастасиевка, пер. Степной д. 14, к.н.: 61:21:040101:1260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</si>
  <si>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М-Курганский район, х. Малоекатериновка, 47.501200.38.344100.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</si>
  <si>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М-Курганский район, п. Крынка, к.н 47.611423.38.793795. (1 шт.)</t>
  </si>
  <si>
    <t xml:space="preserve">Установка системы учета для технологического присоединения энергопринимающих устройств Заявителя (ПАО «Ростелеком») по адресу: Ростовская область, М-Курганский район, с. Марьевка, 47.592081.39.136356. (1 шт.) </t>
  </si>
  <si>
    <t xml:space="preserve">Установка системы учета для технологического присоединения энергопринимающих устройств Заявителя (Карташев С.А.) по адресу: Ростовская область, М-Курганский район, х. Большая Кирсановка, ул. Советская, д. 78, к.н.ЗУ: 61:21:0110101:2468 (1 шт.) </t>
  </si>
  <si>
    <t>Установка системы учета для технологического присоединения энергопринимающих устройств Заявителя (Казимиров А.П.) по адресу: Ростовская область, М-Курганский район, п. Матвеев Курган, ул. Украинская, д. 7, к.н. 61:21:0010119:125 (1 шт.)</t>
  </si>
  <si>
    <t>Установка системы учета для технологического присоединения энергопринимающих устройств Заявителя (Кудряшов Н.В.) по адресу: Ростовская область, М-Курганский район, х. Большая Кирсановка, ул. Садовая, д. 2, к.н. 61:21:0110101:412 (1 шт.)</t>
  </si>
  <si>
    <t>Установка системы учета для технологического присоединения энергопринимающих устройств Заявителя (Димитров А.В.) по адресу: Ростовская область, М-Курганский район, с. Григорьевка, ул. Советская, д. 7, к.н. 61:21:0080401:410 (1 шт.)</t>
  </si>
  <si>
    <t xml:space="preserve">Установка системы учета для технологического присоединения энергопринимающих устройств Заявителя (Иванов В.В.) по адресу: Ростовская область, М-Курганский район, х. Петрополье, ул. Пудовкина, д. 33, к.н.: 61:21:0110701:326 (1 шт.) </t>
  </si>
  <si>
    <t>Установка системы учета для технологического присоединения энергопринимающих устройств Заявителя (Пак В.Б.) по адресу: Ростовская область, М-Курганский район, п. М-Курган, ул. Интернациональная, д. 27, к.н.: 61:21:0010117:70 (1 шт.)</t>
  </si>
  <si>
    <t>Установка системы учета для технологического присоединения энергопринимающих устройств Заявителя (Воронцов В.А.) по адресу: Ростовская область, М-Курганский район, х. Демидовка, ул. Подгорная, д. 35, к.н. 61:21:0030601:83 (1 шт.)</t>
  </si>
  <si>
    <t>Установка системы учета для технологического присоединения энергопринимающих устройств Заявителя (ИП Галиченко И.И.) по адресу: Ростовская область, М-Курганский район, примерно в 30 м по направлению на восток от х. Большая Кирсановка, к.н. 61:21:0600005:982 (1 шт.)</t>
  </si>
  <si>
    <t>Установка системы учета для технологического присоединения энергопринимающих устройств Заявителя (Шереверов П.В.) по адресу: Ростовская область, М-Курганский район, п. Матвеев Курган, ул. Кирова, 
д. 66, к.н. 61:21:0010110:122 (1 шт.)</t>
  </si>
  <si>
    <t>Установка системы учета для технологического присоединения энергопринимающих устройств Заявителя (Бержанский А.А.) по адресу: Ростовская область, М-Курганский район, п. Матвеев Курган, ул. Русская,
д. 43, к.н.: 61:21:0010161:187 (1 шт.)</t>
  </si>
  <si>
    <t>Установка системы учета для технологического присоединения энергопринимающих устройств Заявителя (Михайлова И.В.) по адресу: Ростовская область, М-Курганский район, п.Матвеев Курган, ул. Полевого,
д. 19, к.н. 61:21:0010103:119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</si>
  <si>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М-Курганский район, х. Лесной, примерно 10 м по направлению на юг от границы уч. 61:21:0070901:80, ул. Юбилейная 24, к.н.: 00:00:0000000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</si>
  <si>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М-Курганский район, х. Иваново-Ясиновка, примерно 21 м по направлению на юго-запад от границы участка пер. Ясиновский 2, к.н.: 00:00:0000000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</si>
  <si>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М-Курганский район, х. Красная Горка, примерно 20 м по направлению на восток от границы участка ул. Школьная 2А, к.н.: 00:00:0000000 (1 шт.)</t>
  </si>
  <si>
    <t>Установка системы учета для технологического присоединения энергопринимающих устройств Заявителя (Безгласный Г.В.) по адресу: Ростовская область, М-Курганский район, с. Екатериновка, ул. Пролетарская,
д. 21а, к.н.: 61:21:0060101:1543 (1 шт.)</t>
  </si>
  <si>
    <t>Установка системы учета для технологического присоединения энергопринимающих устройств Заявителя (ИП Геворгян А.Я.) по адресу: Ростовская область, М-Курганский район, п. Матвеев Курган, 
ул. Таганрогская, д. 151, к.н.: 61:21:0010142:98 (1 шт.)</t>
  </si>
  <si>
    <t>Установка системы учета для технологического присоединения энергопринимающих устройств Заявителя (ИП Ульянов В.А.) по адресу: Ростовская область, М-Курганский район, п. Матвеев Курган, 
ул. Октябрьская, д. 42, к.н.: 61:21:0010113:477 (1 шт.)</t>
  </si>
  <si>
    <t>Установка системы учета для технологического присоединения энергопринимающих устройств Заявителя (Роменская З.В.) по адресу: Ростовская область, М-Курганский район, с. Малокирсановка,
 ул. Пролетарская, д. 31, к.н.: 61:21:0080101:2068 (1 шт.)</t>
  </si>
  <si>
    <t>Установка системы учета для технологического присоединения энергопринимающих устройств Заявителя (Ткаченко В.П.) по адресу: Ростовская область, М-Курганский район, п. Матвеев Курган, ул. Советская,
д. 27, к.н.: 61:21:0010301:713 (1 шт.)</t>
  </si>
  <si>
    <t>Установка системы учета для технологического присоединения энергопринимающих устройств Заявителя (Назаров А.В.) по адресу: Ростовская область, М-Курганский район, п. М-Курган, ул. Гагарина, д. 3, к.н. 61:21:0010146:29 (1 шт.)</t>
  </si>
  <si>
    <t>Установка системы учета для технологического присоединения энергопринимающих устройств Заявителя (Лукашова А.М.) по адресу: Ростовская область, М-Курганский район, с. Авило-Успенка, 
пер. Успенский, д. 24, к.н.: 61:21:0050201:993 (1 шт.)</t>
  </si>
  <si>
    <t>Установка системы учета для технологического присоединения энергопринимающих устройств Заявителя (Мартыненко В.Д.) по адресу: Ростовская область, М-Курганский район, с. Анастасиевка, 
пер. Степной, д. 21, к.н.: 61:21:0040101:2790 (1 шт.)</t>
  </si>
  <si>
    <t>Установка системы учета для технологического присоединения энергопринимающих устройств Заявителя (Лукашова О.А.) по адресу: Ростовская область, М-Курганский район, х. Староротовка, ул. Интернациональная, д. 26, к.н.: 61:21:0010401:467 (1 шт.)</t>
  </si>
  <si>
    <t>Установка системы учета для технологического присоединения энергопринимающих устройств Заявителя (ИП Артюхова Э.В.) по адресу: Ростовская область, М-Курганский район, с. Новониколаевка, ул. Ленина, д. 54, к.н.:61:21:0050101:422 (1 шт.)</t>
  </si>
  <si>
    <t>Установка системы учета для технологического присоединения энергопринимающих устройств Заявителя (Нефедова Н.Г.) по адресу: Ростовская область, М-Курганский район, с. Анастасиевка, ул. Ленина, д. 75, к.н.: 61:21:0040101:2577 (1шт.)»</t>
  </si>
  <si>
    <t>Установка системы учета для технологического присоединения энергопринимающих устройств Заявителя (ИП Бойченко О.Н.) по адресу: Ростовская область, М-Курганский район примыкает с южной стороны к земельному участку, по адресу: п. М-Курган, ул. Донецкая д. 49, к.н. 61:21:0600001:3555 (1 шт.)</t>
  </si>
  <si>
    <t>Установка системы учета для технологического присоединения энергопринимающих устройств Заявителя (ИП Полушкин С.А.) по адресу: Ростовская область, М-Курганский район с. Авило-Успенка, ул. Кооперативная, д.47 корп. а, к.н. 61:21:0050201:479 (1 шт.)</t>
  </si>
  <si>
    <t>Установка системы учета для технологического присоединения энергопринимающих устройств Заявителя (Хараин А.Е.) по адресу: Ростовская область, М-Курганский район, п. Гвардейский, ул. Миусская, д. 17, к.н.: 61:21:0031001:125 (1шт.)</t>
  </si>
  <si>
    <t>Установка системы учета для технологического присоединения энергопринимающих устройств Заявителя (Юров А.А.) по адресу: Ростовская область, М-Курганский район п. М-Курган, ул. 1 Мая, д. 43, к.н. 61:21:0010143:115 (1 шт.)</t>
  </si>
  <si>
    <t>Установка системы учета для технологического присоединения энергопринимающих устройств Заявителя (Кошман К.А.) по адресу: Ростовская область, М-Курганский район х. Староротовка, ул. Молодежная, д. 8, кв.2 к.н. 61:21:0010401:662 (1 шт.)</t>
  </si>
  <si>
    <t>Установка системы учета для технологического присоединения энергопринимающих устройств Заявителя (Беликова Г.М.) по адресу: Ростовская область, М-Курганский район, п. Матвеев Курган, ул. Фрунзе, д. 65, к.н. 61:21:0010110:27 (1 шт.)</t>
  </si>
  <si>
    <t>Установка системы учета для технологического присоединения энергопринимающих устройств Заявителей: Ткачева Т.А., Инасаридзе В.Ш., Конивец Д.В., Новоселова Н.В., Бомбина Т.Н. в Неклиновском районе Ростовской области (5 шт.).</t>
  </si>
  <si>
    <t>Установка системы учета для технологического присоединения энергопринимающих устройств Заявителей: Трелис Е.А., Трелис Н.А.  в Неклиновском районе Ростовской области (2 шт.).</t>
  </si>
  <si>
    <t xml:space="preserve">Установка системы учета для технологического присоединения энергопринимающих устройств Заявителей: Мостовой Я.Ю., Мамченко Е.В., Зудилова Л.Ю., Руссу Л.Н. в Неклиновском районе Ростовской области 
(4 шт.). </t>
  </si>
  <si>
    <t xml:space="preserve">Установка системы учета для технологического присоединения энергопринимающих устройств Заявителей: Тарасенко И.В., Беседин Ю.П. в Неклиновском районе Ростовской области (2 шт.). </t>
  </si>
  <si>
    <t>Установка системы учета для технологического присоединения энергопринимающих устройств Заявителя: Чарыков А.В.   в Неклиновском районе Ростовской области (1 шт.).</t>
  </si>
  <si>
    <t>Установка системы учета для технологического присоединения энергопринимающих устройств Заявителя: Рудь П.С.   в Неклиновском районе Ростовской области (1 шт.).</t>
  </si>
  <si>
    <t>Установка системы учета для технологического присоединения энергопринимающих устройств Заявителя: Кравченко А.Г. в Неклиновском районе Ростовской области (1 шт.).</t>
  </si>
  <si>
    <t>Установка системы учета для технологического присоединения энергопринимающих устройств Заявителя: Николаев М.Е.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</si>
  <si>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Чучиян О.Т., Забежайло И.А. в Неклиновском районе Ростовской области (2 шт.).</t>
  </si>
  <si>
    <t xml:space="preserve">Установка системы учета для технологического присоединения энергопринимающих устройств Заявителя: Изотов В.В.   в Неклиновском районе Ростовской области (1 шт.). </t>
  </si>
  <si>
    <t>Установка системы учета для технологического присоединения энергопринимающих устройств Заявителей: Середин И.А., Агафонова Л.А. в Неклиновском районе Ростовской области (2 шт.).</t>
  </si>
  <si>
    <t xml:space="preserve">Установка системы учета для технологического присоединения энергопринимающих устройств Заявителей: Головань Е.Н., Боцман Д.Ф.   в Неклиновском районе Ростовской области (2 шт.). </t>
  </si>
  <si>
    <t>Установка системы учета для технологического присоединения энергопринимающих устройств Заявителей: Азизов Э.Т., Белик Л.П., Баумбах С.Р.   в Неклиновском районе Ростовской области (3 шт.).</t>
  </si>
  <si>
    <t xml:space="preserve">Установка системы учета для технологического присоединения энергопринимающих устройств Заявителя: Морозов Н.А.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</si>
  <si>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Заявителей: Пономарев Н.Д., Щербаков В.А., Гоголадзе Е.А.   в Неклиновском районе Ростовской области (3 шт.). </t>
  </si>
  <si>
    <t xml:space="preserve">Установка системы учета для технологического присоединения энергопринимающих устройств Заявителей: Кондакова Н.С., Мелехов Е.В., Харповицкий В.Г., Помысов Е.Н. в Неклиновском районе Ростовской области (4 шт.). </t>
  </si>
  <si>
    <t xml:space="preserve">Установка системы учета для технологического присоединения энергопринимающих устройств Заявителей: Конюхова Э.С., Иванов Р.В., Коник А.В., Кружков Т.А.   в Неклиновском районе Ростовской области (4 шт.). </t>
  </si>
  <si>
    <t>Установка системы учета для технологического присоединения энергопринимающих устройств Заявителя: Гахраманов Н.Г. Оглы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</si>
  <si>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Дедуль И.А., Бош И.А.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</si>
  <si>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Тихоненко Д.В., Белоусова И.А.   в Неклиновском районе Ростовской области (2 шт.)</t>
  </si>
  <si>
    <t xml:space="preserve">Установка системы учета для технологического присоединения энергопринимающих устройств Заявителей: Кузьменко О.В., Саргсян Ж.С., Филиппова Е.Ю., Мамаева И.А., Самойлова И.В., Любомищенко А.Н., Кузьменко О.В.  в Неклиновском районе Ростовской области (7 шт.). </t>
  </si>
  <si>
    <t>Установка системы учета для технологического присоединения энергопринимающих устройств Заявителей: Демченко С.А., Красса С.А.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</si>
  <si>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Крючкова Н.И., Виноградов К.А., Ильина А.Ю., Тищенко В.В.  в Неклиновском районе Ростовской области (4 шт.).</t>
  </si>
  <si>
    <t xml:space="preserve">Установка системы учета для технологического присоединения энергопринимающих устройств Заявителей: Кульпека Н.Е., Левин А.В., Фоменко С.В., Касаткина Т.И.  в Неклиновском районе Ростовской области (4 шт.). </t>
  </si>
  <si>
    <t>Установка системы учета для технологического присоединения энергопринимающих устройств Заявителей: Низов А.В., Антюхин А.Г., Гелдаш А.Г.  в Неклиновском районе Ростовской области (3 шт.).</t>
  </si>
  <si>
    <t>Установка системы учета для технологического присоединения энергопринимающих устройств Заявителя: Дерюга Е.В.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</si>
  <si>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ИП Терзян А.Е., Соловьев ИА.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</si>
  <si>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Синицина Е.А., Судариков С.В., Бенидзе М.А., Тороп А.В.  в Неклиновском районе Ростовской области (4шт.).</t>
  </si>
  <si>
    <t>Установка системы учета для технологического присоединения энергопринимающих устройств Заявителей: Кульпина Н.Н., Савенко О.Г., Кузнецов И.П., Демченко А.С. в Неклиновском районе Ростовской области (4 шт.)</t>
  </si>
  <si>
    <t xml:space="preserve">Установка системы учета для технологического присоединения энергопринимающих устройств Заявителей: ИП Вилонина Е.С., Муравченко А.Ю. в Неклиновском районе Ростовской области (2 шт.) </t>
  </si>
  <si>
    <t xml:space="preserve">Установка системы учета для технологического присоединения энергопринимающих устройств Заявителя: Гребенюк В.Д.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</si>
  <si>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Заявителей: Моисеенко Е.А., Жукова О.М.   в Неклиновском районе Ростовской области (2 шт.). </t>
  </si>
  <si>
    <t xml:space="preserve">Установка системы учета для технологического присоединения энергопринимающих устройств Заявителя: ООО «Базовые Минерал Технологии» в Неклиновском районе Ростовской области (1 шт.). </t>
  </si>
  <si>
    <t>Установка системы учета для технологического присоединения энергопринимающих устройств Заявителя: Бровкин А.Н.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</si>
  <si>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ООО «ВЕСТА-А», Воскун Р.Ю.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</si>
  <si>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Воробьева Л.А., Воропай И.Г., Манташян Н.А., Мищенко С.Л.  в Неклиновском районе Ростовской области (4 шт.).</t>
  </si>
  <si>
    <t>Установка системы учета для технологического присоединения энергопринимающих устройств Заявителей: Дидика Е.В., Раюшкина Е.В., Савицкая Н.В., Амирханян В.С., ИП Ляшова Е.А.  в Неклиновском районе Ростовской области (5 шт.).</t>
  </si>
  <si>
    <t>Установка системы учета для технологического присоединения энергопринимающих устройств Заявителей: Клюкин М.Н., Захаров М.Б., Волженин А.Ю., Жукова И.М., Бушуева Л.М.  в Неклиновском районе Ростовской области (5 шт.).</t>
  </si>
  <si>
    <t>Установка системы учета для технологического присоединения энергопринимающих устройств Заявителя: Назарян К.М.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</si>
  <si>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Пушенко А.В., Скрипникова Е.О., Белиба Е.А., ООО «Связь-Информ-Сервис», Алимова И.В., Михайлов В.А., Власенко Д.В.  в Неклиновском районе Ростовской области (7 шт.).</t>
  </si>
  <si>
    <t xml:space="preserve">Установка системы учета для технологического присоединения энергопринимающих устройств Заявителя (Администрация Покровского сельского поселения)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</si>
  <si>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(Администрация Синявского с.п.)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</si>
  <si>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(Бирюкова С.В.)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</si>
  <si>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(Глушко О.Ю.)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</si>
  <si>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(Голотина Л.Н.) в г. Таганрог Ростовской области (1 шт.) </t>
  </si>
  <si>
    <t xml:space="preserve">Установка системы учета для технологического присоединения энергопринимающих устройств Заявителя (Демина О.С.)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</si>
  <si>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(ИП Саркисян Г.Г.)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</si>
  <si>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Заявителей: Костарева Т.А., Фоменко Н.С., Миротин В.В.  в Неклиновском районе Ростовской области (3 шт.). </t>
  </si>
  <si>
    <t xml:space="preserve">Установка системы учета для технологического присоединения энергопринимающих устройств Заявителя (Кочергин Г.Б.)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</si>
  <si>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(Курбанов Н.Т.)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</si>
  <si>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(Лысенко А.Б.)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</si>
  <si>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Заявителей: Мамонова Ю.Г.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</si>
  <si>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(Муха А.П.)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</si>
  <si>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(Надолинская И.В.)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</si>
  <si>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(Нарбеков А.А.)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</si>
  <si>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Заявителей: Руденков С.Б.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</si>
  <si>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(Семин Е.Г.)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</si>
  <si>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(Сербин В.Ю.)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</si>
  <si>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(Силюкова К.В.)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</si>
  <si>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(Соснов А.А.)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</si>
  <si>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(Федянина А.Г.)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</si>
  <si>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(Фомин Н.И.)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</si>
  <si>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(Мхоян С.Г.)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</si>
  <si>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(Шишкина С.Е.)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</si>
  <si>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(Шпорт Ю.А.)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</si>
  <si>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(Жилин Е.Е.)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</si>
  <si>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(Конопий С.Ю.) в Неклиновском районе Ростовской области (1 шт.) </t>
  </si>
  <si>
    <t>Установка системы учета для технологического присоединения энергопринимающих устройств Заявителя (Растегаева Е.П.)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</si>
  <si>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Заявителя (Авакян Н.А.) по адресу: Ростовская область, Неклиновский район,с. Николаевка, ул. Юности, д. 14, к.н. 61:26:0110101:10012 (1 шт.) </t>
  </si>
  <si>
    <t xml:space="preserve">Установка системы учета для технологического присоединения энергопринимающих устройств Заявителя (Алленов В.Ю.) по адресу: Ростовская область, Неклиновский район, с. Новобессергеневка, ул. Морозова, д. 6-А, к.н. 61:26:0600024:2884 (1 шт.) </t>
  </si>
  <si>
    <t xml:space="preserve">Установка системы учета для технологического присоединения энергопринимающих устройств Заявителя (Архипенко А.А.)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</si>
  <si>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(Верещак А.А.) по адресу: Ростовская область, Неклиновский район, с. Боцманово, ул. Седова, д. 23, к.н. 61:26:0070801:189 (1 шт.) </t>
  </si>
  <si>
    <t xml:space="preserve">Установка системы учета для технологического присоединения энергопринимающих устройств Заявителя (Гармаш А.Б.)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</si>
  <si>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(Голощапова Е.С.)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</si>
  <si>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(Жосан В.И.) по адресу: Ростовская область, г. Таганрог, ул. Варданяна, д. 67/пер. Лавровский, д. 6, к.н. 61:58:0006027:811 (1 шт.) </t>
  </si>
  <si>
    <t xml:space="preserve">Установка системы учета для технологического присоединения энергопринимающих устройств Заявителя (ИП Батюльев С.Н.) в городе Таганрог Ростовской области (1 шт.) </t>
  </si>
  <si>
    <t xml:space="preserve">Установка системы учета для технологического присоединения энергопринимающих устройств Заявителя (Казанина И.Ф.) по адресу: Ростовская область, неклиновский район, х. Красный Десант, ул. Чкалова, д. 16, к.н. 61:26:0070101:669 (1 шт.) </t>
  </si>
  <si>
    <t xml:space="preserve">Установка системы учета для технологического присоединения энергопринимающих устройств Заявителя (Кондрашова Д.Н.) по адресу: Ростовская область, неклиновский район, с. Николаевка, ул. Гоголя, д. 34-А, к.н. 61:26:0110101:301 (1 шт.) </t>
  </si>
  <si>
    <t xml:space="preserve">Установка системы учета для технологического присоединения энергопринимающих устройств Заявителя (Кружкова Т.В.) по адресу: Ростовская область, г. Таганрог, ул. Шишкина, д. 16-б, к.н. 61:58:0006027:660 (1 шт.) </t>
  </si>
  <si>
    <t xml:space="preserve">Установка системы учета для технологического присоединения энергопринимающих устройств Заявителя (Лысенко С.А.)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</si>
  <si>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(Лысогорский В.И.) по адресу: Ростовская область, Неклиновский район, х. Русский Колодец, ул. Дзержинского, 63, к.н. 61:26:0070701:335 (1 шт.) </t>
  </si>
  <si>
    <t xml:space="preserve">Установка системы учета для технологического присоединения энергопринимающих устройств Заявителя (Макаров А.Р.) по адресу: Ростовская область, Неклиновский район,с. Николаевка, ул. Юности, д. 22, к.н. 61:26:0110101:2325 (1 шт.) </t>
  </si>
  <si>
    <t xml:space="preserve">Установка системы учета для технологического присоединения энергопринимающих устройств Заявителя (Чуприн В.В.) по адресу: Ростовская область, Неклиновский район, х. Атамановка, ул. Свободы, д. 22, к.н. 61:26:0170201:99 (1 шт.) </t>
  </si>
  <si>
    <t xml:space="preserve">Установка системы учета для технологического присоединения энергопринимающих устройств Заявителя (Антоненко С.Н.) по адресу: Ростовская область, Неклиновский район, с. Боцманово, ул. Седова, д. 24, к.н. 61:26:0070801:188 (1 шт.) </t>
  </si>
  <si>
    <t xml:space="preserve">Установка системы учета для технологического присоединения энергопринимающих устройств Заявителя (Данильченко С.А.) по адресу: Ростовская область, Неклиновский район, с. Большая Неклиновка, ул. Школьная, д. 105, к.н. 61:26:0130101:229 (1 шт.) </t>
  </si>
  <si>
    <t xml:space="preserve">Установка системы учета для технологического присоединения энергопринимающих устройств Заявителя (Казанцев Ю.С.) по адресу: Ростовская область, Неклиновский район, с. Боцманово, ул. Красного Десанта, д. 52-А, к.н. 61:26:0070801:2314 (1 шт.) </t>
  </si>
  <si>
    <t>Установка системы учета для технологического присоединения энергопринимающих устройств Заявителя (Бендеберя А.А.) по адресу: Ростовская область, Неклиновский район, с. Николаевка, ул. Юности, д. 3, к.н. 61:26:0110101:446 (1 шт.)</t>
  </si>
  <si>
    <t>Установка системы учета для технологического присоединения энергопринимающих устройств Заявителя (Бибич Л.М.) по адресу: Ростовская область, Неклиновский район, с. Петрушино, ул. Заводская, д. 1-д, к.н. 61:26:0180201:3952 (1 шт.)</t>
  </si>
  <si>
    <t>Установка системы учета для технологического присоединения энергопринимающих устройств Заявителя (Бородин С.В.) по адресу: Ростовская область, Неклиновский район, с. Николаевка, ул. Парковая, д. 91, к.н. 61:26:0110101:1105 (1 шт.)</t>
  </si>
  <si>
    <t>Установка системы учета для технологического присоединения энергопринимающих устройств Заявителя (Калинина Д.Г.) по адресу: Ростовская область, Неклиновский район, с. Покровское, ул. Маяковского, д. 20, к.н. 61:26:0050112:6 (1 шт.)</t>
  </si>
  <si>
    <t>Установка системы учета для технологического присоединения энергопринимающих устройств Заявителя (Сергеева Л.А.) по адресу: Ростовская область, Неклиновский район, х. Красный Десант, ул. Степная, д. 27, к.н. 61:26:0070101:268 (1 шт.)</t>
  </si>
  <si>
    <t>Установка системы учета для технологического присоединения энергопринимающих устройств Заявителя (Лахман Л.В.) по адресу: Ростовская область, Неклиновский р-н, х. Красный Десант, ул. Чкалова, д. 17, к.н. 61:26:0070101:684 (1 шт.)</t>
  </si>
  <si>
    <t>Установка системы учета для технологического присоединения энергопринимающих устройств Заявителя (ИП Атоян Л.С.) по адресу: Ростовская область, Неклиновский район, с. Покровское, ул. Ленина, д. 280, этаж №1, к.н. 61:26:0050124:182 (1 шт.)</t>
  </si>
  <si>
    <t>Установка системы учета для технологического присоединения энергопринимающих устройств Заявителя (ИП Дергачева Н.И.) по адресу: Ростовская область, Неклиновский район, с. Покровское, ул. Привокзальная, д. 108-Д, к.н. 61:26:0050139:226 (1 шт.)</t>
  </si>
  <si>
    <t>Установка системы учета для технологического присоединения энергопринимающих устройств Заявителя (Покашкина Л.О.) по адресу: Ростовская область, Неклиновский район, с. Новобессергеневка, ул. Горького, д. 1-е, к.н. 61:26:0180101:4715 (1 шт.)</t>
  </si>
  <si>
    <t>Установка системы учета для технологического присоединения энергопринимающих устройств Заявителя (Коваленко Н.А.) по адресу: Ростовская область, Неклиновский район, с. Покровское, пер. Горный, д. 45, к.н. 61:26:0050137:269 (1 шт.)</t>
  </si>
  <si>
    <t>Установка системы учета для технологического присоединения энергопринимающих устройств Заявителя (Кострик В.В.) по адресу: Ростовская область, Неклиновский район, с. Кошкино, ул. Береговая, д. 68-а, к.н. 61:26:0010301:15 (1 шт.)</t>
  </si>
  <si>
    <t>Установка системы учета для технологического присоединения энергопринимающих устройств Заявителя (Литвиненко Г.М.) по адресу: Ростовская область, Неклиновский район, с. Николаевка, ул. Ленина, д. 384, к.н. 61:26:0110101:6875 (1 шт.)</t>
  </si>
  <si>
    <t>Установка системы учета для технологического присоединения энергопринимающих устройств Заявителя (Меркульева Т.А.) по адресу: Ростовская область, Неклиновский район, с. Александрова Коса, ул. Набережная, д. 4-А, к.н. 61:26:0180601:1223 (1 шт.)</t>
  </si>
  <si>
    <t>Установка системы учета для технологического присоединения энергопринимающих устройств Заявителя (Лопатин А.Н.) по адресу: Ростовская область, Неклиновский район, х. Дарагановка, ул. Спортивная, д. 38, к.н. 61:26:0180701:438 (1 шт.)</t>
  </si>
  <si>
    <t>Установка системы учета для технологического присоединения энергопринимающих устройств Заявителя (Татаров М.Б.) по адресу: Ростовская область, Неклиновский район, с. Новобессергеневка, ул. Лескова, д. 30, к.н. 61:26:0600024:821 (1 шт.)</t>
  </si>
  <si>
    <t>Установка системы учета для технологического присоединения энергопринимающих устройств Заявителя (Зайцева В.А.) по адресу: Ростовская область, Неклиновский район, с. Русская Слободка, ул. Октябрьская, д. 103, к.н. 61:26:0070201:995 (1 шт.)</t>
  </si>
  <si>
    <t>Установка системы учета для технологического присоединения энергопринимающих устройств Заявителя (Савченко С.А.) по адресу: Ростовская область, Неклиновский район, с. Троицкое, ул. Новая, д. 53-А, к.н. 61:26:0010101:1380 (1 шт.)</t>
  </si>
  <si>
    <t>Установка системы учета для технологического присоединения энергопринимающих устройств Заявителя (Ерохин А.А.) по адресу: Ростовская область, Неклиновский район, с. Покровское, ул. О.Кошевого, д. 22/2, к.н. 61:26:0050137:1943 (1 шт.)</t>
  </si>
  <si>
    <t xml:space="preserve">Установка системы учета для технологического присоединения энергопринимающих устройств Заявителя (Клименко О.С.) по адресу: Ростовская область, Неклиновский район, с. Новобессергеневка, ул. Садовая, д. 71, к.н. 61:26:0180101:2120 (1 шт.) </t>
  </si>
  <si>
    <t>Установка системы учета для технологического присоединения энергопринимающих устройств Заявителя (Харитонов А.Ю.) по адресу: Ростовская область, Неклиновский район, х. Рожок, ул. Южная, д. 8, к.н. 61:26:0100401:151 (1 шт.)</t>
  </si>
  <si>
    <t>Установка системы учета для технологического присоединения энергопринимающих устройств Заявителя (ИП Григорян А.Л.) по адресу: Ростовская область, Неклиновский район, с. Николаевка, ул. Ленина, д. 309-ш, к.н. 61:26:0513501:58 (1 шт.)</t>
  </si>
  <si>
    <t>Установка системы учета для технологического присоединения энергопринимающих устройств Заявителя (Серенко П.Г.) по адресу: Ростовская область, Неклиновский район, п. Комаровка, ул. Советская, д. 1-Б, к.н. 61:26:0180301:902 (1 шт.)</t>
  </si>
  <si>
    <t>Установка системы учета для технологического присоединения энергопринимающих устройств Заявителя (Еворенко Е.Г.) по адресу: Ростовская область, Неклиновский район, с. Троицкое, ул. Кавказкая, д. 76, к.н. 61:26:0010101:1061 (1 шт.)</t>
  </si>
  <si>
    <t>Установка системы учета для технологического присоединения энергопринимающих устройств Заявителя (Лебедев Ю.И.) по адресу: Ростовская область, Неклиновский район, х. Мержаново, пер. 7-й Комсомольский, д. 8, к.н. 61:26:0060301:329 (1 шт.)</t>
  </si>
  <si>
    <t>Установка системы учета для технологического присоединения энергопринимающих устройств Заявителя (Старенко О.Ф.) по адресу: Ростовская область, Неклиновский район, с. Александрова Коса, ул. Набережная, д. 53-А, к.н. 61:26:0180601:1643 (1 шт.)</t>
  </si>
  <si>
    <t>Установка системы учета для технологического присоединения энергопринимающих устройств Заявителя (Омельчук О.Е.) по адресу: Ростовская область, Неклиновский район, с. Покровское, ул. Цветочная,       д. 31, к.н. 61:26:0050114:660 (1 шт.).</t>
  </si>
  <si>
    <t>Установка системы учета для технологического присоединения энергопринимающих устройств Заявителя (ИП Алексеенко Д.В.) по адресу: Ростовская область, Неклиновский район, с. Покровское, пер. 1-й Проезд, д. 1, к.н. 61:26:0050114:865 (1 шт.)</t>
  </si>
  <si>
    <t>Установка системы учета для технологического присоединения энергопринимающих устройств Заявителя (Карпенко О.В.) по адресу: Ростовская область, Неклиновский район, с. Золотарево, ул. Лиманная, д. 82, к.н. 61:26:0090301:25 (1 шт.)</t>
  </si>
  <si>
    <t>Установка системы учета для технологического присоединения энергопринимающих устройств Заявителя (Концевенко Д.А.) по адресу: Ростовская область, Неклиновский район, с. Лакедемоновка, ул. Зречная, д. 14, к.н. 61:26:0160101:527 (1 шт.)</t>
  </si>
  <si>
    <t>Установка системы учета для технологического присоединения энергопринимающих устройств Заявителя (Кравченко Л.В.) по адресу: Ростовская область, Неклиновский район, с. Покровское, пер. Транспортный, д. 19, к.н. 61:26:0050135:78 (1 шт.)</t>
  </si>
  <si>
    <t>Установка системы учета для технологического присоединения энергопринимающих устройств Заявителя (Буш Н.Н.) по адресу: Ростовская область, Неклиновский район, с. Вареновка, ул. Садовая, д. 20, к.н. 61:26:0040101:777 (1 шт.)</t>
  </si>
  <si>
    <t>Установка системы учета для технологического присоединения энергопринимающих устройств Заявителя (ИП Тараненко А.В.) по адресу: Ростовская область, Неклиновский район, с. Самбек, ул. Кооперативная, д. 100, к.н. 61:26:0020101:143 (1 шт.)</t>
  </si>
  <si>
    <t>Установка системы учета для технологического присоединения энергопринимающих устройств Заявителей: ИП Пудеян В.Х., ИП Иванов П.Г., в г.Таганроге Ростовской области (2 шт)</t>
  </si>
  <si>
    <t>Установка системы учета для технологического присоединения энергопринимающих устройств Заявителей: ПАО «МТС», Соколова Ю.О. в г. Таганроге, Ростовской области (2 шт)</t>
  </si>
  <si>
    <t>Установка системы учета для технологического присоединения энергопринимающих устройств Заявителей: Донченко О.Н.,   Мишекин А.А. в г. Таганроге, Ростовской области (2 шт)</t>
  </si>
  <si>
    <t>Установка системы учета для технологического присоединения энергопринимающих устройств Заявителя: ИП Шевцов А.В. в г.Таганроге, Ростовской области (1 шт)</t>
  </si>
  <si>
    <t>Установка системы учета для технологического присоединения энергопринимающих устройств Заявителей: Савин К.К. в г. Таганроге, Ростовской области (1 шт)</t>
  </si>
  <si>
    <t>Установка системы учета для технологического присоединения энергопринимающих устройств Заявителя: Мирошниченко Л.К. в г. Таганроге, Ростовской области (1 шт)</t>
  </si>
  <si>
    <t>Установка системы учета для технологического присоединения энергопринимающих устройств Заявителей: Крючек О.Б. в г. Таганроге, Ростовской области (1 шт)</t>
  </si>
  <si>
    <t>Установка системы учета для технологического присоединения энергопринимающих устройств Заявителей: ИП Пропастина Т.А. в г. Таганроге, Ростовской области (1 шт)</t>
  </si>
  <si>
    <t>Установка системы учета для технологического присоединения энергопринимающих устройств Заявителей: Шкута И.А. в г. Таганроге, Ростовской области (1 шт)</t>
  </si>
  <si>
    <t>Установка системы учета для технологического присоединения энергопринимающих устройств Заявителя: Дыба Л.Д. в г. Таганроге, Ростовской области (1 шт)</t>
  </si>
  <si>
    <t>Установка системы учета для технологического присоединения энергопринимающих устройств Заявителя: ИП Думик Ю.А. в г. Таганроге, Ростовской области (1 шт)</t>
  </si>
  <si>
    <t>Установка системы учета для технологического присоединения энергопринимающих устройств Заявителей: Давтян А.К. в г. Таганроге, Ростовской области (1 шт)</t>
  </si>
  <si>
    <t>Установка системы учета для технологического присоединения энергопринимающих устройств Заявителя: Мамченко А.Н. в г. Таганроге, Ростовской области (1 шт)</t>
  </si>
  <si>
    <t>Установка системы учета для технологического присоединения энергопринимающих устройств Заявителя: ИП Лядов К.Е. в г. Таганроге, Ростовской области (1 шт</t>
  </si>
  <si>
    <t>Установка системы учета для технологического присоединения энергопринимающих устройств Заявителя: Черняков С.В. в г. Таганроге, Ростовской области (1 шт)</t>
  </si>
  <si>
    <t>Установка системы учета для технологического присоединения энергопринимающих устройств Заявителя: Филимонов Д.В. в г. Таганроге, Ростовской области (1 шт)</t>
  </si>
  <si>
    <t>Установка системы учета для технологического присоединения энергопринимающих устройств Заявителя: Бондаренко А.А. в г. Таганроге, Ростовской области (1 шт)</t>
  </si>
  <si>
    <t>Установка системы учета для технологического присоединения энергопринимающих устройств Заявителя: ООО «СТРОЙМОНТАЖСЕРВИС-ЮГ» в г. Таганроге, Ростовской области (1 шт)</t>
  </si>
  <si>
    <t>Установка системы учета для технологического присоединения энергопринимающих устройств Заявителей: Кузьменко О.В. в г. Таганроге, Ростовской области (1 шт)</t>
  </si>
  <si>
    <t>Установка системы учета для технологического присоединения энергопринимающих устройств Заявителя: ИП Лукина К.С. в г. Таганроге, Ростовской области (1 шт)</t>
  </si>
  <si>
    <t>Установка системы учета для технологического присоединения энергопринимающих устройств Заявителя: Белый А.В. в г. Таганроге, Ростовской области (1 шт)</t>
  </si>
  <si>
    <t>Установка системы учета для технологического присоединения энергопринимающих устройств Заявителя: Андреенко Е.А. в г. Таганроге, Ростовской области (1 шт)</t>
  </si>
  <si>
    <t>Установка системы учета для технологического присоединения энергопринимающих устройств Заявителя: Пятопал Е.Е. в г. Таганроге, Ростовской области (1 шт)</t>
  </si>
  <si>
    <t>Установка системы учета для технологического присоединения энергопринимающих устройств Заявителей: Шапарчук В.П. в г. Таганроге, Ростовской области (1 шт)</t>
  </si>
  <si>
    <t>Установка системы учета для технологического присоединения энергопринимающих устройств Заявителя: Савчук М.И. в г. Таганроге, Ростовской области (1 шт)</t>
  </si>
  <si>
    <t>Установка системы учета для технологического присоединения энергопринимающих устройств Заявителя: Степаненко Д.Е. в г. Таганроге, Ростовской области (1 шт)</t>
  </si>
  <si>
    <t>Установка системы учета для технологического присоединения энергопринимающих устройств Заявителя: ООО «ПраймТелекомЮг» в г. Таганроге ул. 4-я Линия, 111, Ростовской области (1 шт)</t>
  </si>
  <si>
    <t>Установка системы учета для технологического присоединения энергопринимающих устройств Заявителя: ООО «ПраймТелекомЮг» в г. Таганроге ул. Л. Чайкиной, 42, Ростовской области (1 шт)</t>
  </si>
  <si>
    <t>Установка системы учета для технологического присоединения энергопринимающих устройств Заявителя: Морозова А.В. в г. Таганроге, Ростовской области (1 шт)</t>
  </si>
  <si>
    <t>Установка системы учета для технологического присоединения энергопринимающих устройств Заявителя: ИП Ярызько С.А. в г. Таганроге, Ростовской области (1 шт)</t>
  </si>
  <si>
    <t>Установка системы учета для технологического присоединения энергопринимающих устройств Заявителей: ИП Шумейко О.В. в г. Таганроге, Ростовской области (1 шт)</t>
  </si>
  <si>
    <t>Установка системы учета для технологического присоединения энергопринимающих устройств Заявителя: Зуев А.В. в г. Таганроге, Ростовской области (1 шт)</t>
  </si>
  <si>
    <t>Установка системы учета для технологического присоединения энергопринимающих устройств Заявителя: Синяев А.В. в г. Таганроге, Ростовской области (1 шт)</t>
  </si>
  <si>
    <t>Установка системы учета для технологического присоединения энергопринимающих устройств Заявителя: Минченко Л.В. в г. Таганроге, Ростовской области (1 шт)</t>
  </si>
  <si>
    <t>Установка системы учета для технологического присоединения энергопринимающих устройств Заявителя: Филонова Д.Б. в г. Таганроге, Ростовской области (1 шт)</t>
  </si>
  <si>
    <t>Установка системы учета для технологического присоединения энергопринимающих устройств Заявителей: Николенко С.А. в г. Таганроге, Ростовской области (1 шт)</t>
  </si>
  <si>
    <t>Установка системы учета для технологического присоединения энергопринимающих устройств Заявителей: Литвиненко М.В. в г. Таганроге, Ростовской области (1 шт)</t>
  </si>
  <si>
    <t>Установка системы учета для технологического присоединения энергопринимающих устройств Заявителей: Жиляков В.И. в г. Таганроге, Ростовской области (1 шт)</t>
  </si>
  <si>
    <t>Установка системы учета для технологического присоединения энергопринимающих устройств Заявителей: Носова И.В. в г. Таганроге, Ростовской области (1 шт)</t>
  </si>
  <si>
    <t>Установка системы учета для технологического присоединения энергопринимающих устройств Заявителей: Гончарук И.Р. в г. Таганроге, Ростовской области (1 шт)</t>
  </si>
  <si>
    <t>Установка системы учета для технологического присоединения энергопринимающих устройств Заявителя: Зыбарев А.П. в г. Таганроге, Ростовской области (1 шт)</t>
  </si>
  <si>
    <t>Установка системы учета для технологического присоединения энергопринимающих устройств Заявителя: ООО "ГЕРМЕС-ТЕЛЕКОМ" в г. Таганроге, Ростовской области (1 шт)</t>
  </si>
  <si>
    <t>Установка системы учета для технологического присоединения энергопринимающих устройств Заявителей: Лаптев И.Н. в г. Таганроге, Ростовской области (1 шт)</t>
  </si>
  <si>
    <t>Установка системы учета для технологического присоединения энергопринимающих устройств Заявителя: ООО «ЛУКОЙЛ-Югнефтепродукт» в г. Таганроге, Ростовской области (1 шт)</t>
  </si>
  <si>
    <t>Установка системы учета для технологического присоединения энергопринимающих устройств Заявителя: Яновская Анна Романовна
в г. Таганроге, Ростовской области (1 шт)</t>
  </si>
  <si>
    <t>Установка системы учета для технологического присоединения энергопринимающих устройств Заявителя: Караваев Владимир Валентинович в г. Таганроге, Ростовской области (1 шт)</t>
  </si>
  <si>
    <t>Установка системы учета для технологического присоединения энергопринимающих устройств Заявителя: Проскурин Виталий Юрьевич
в г. Таганроге, Ростовской области (1 шт)</t>
  </si>
  <si>
    <t>Установка системы учета для технологического присоединения энергопринимающих устройств Заявителя: Башмаков Михаил Станиславович
в г. Таганроге, Ростовской области (1 шт)</t>
  </si>
  <si>
    <t>Установка системы учета для технологического присоединения энергопринимающих устройств Заявителя: Индивидуальный предприниматель Думик Юрий Анатольевич в г. Таганроге, Ростовской области (1 шт)</t>
  </si>
  <si>
    <t>Установка системы учета для технологического присоединения энергопринимающих устройств Заявителей: ООО «ГЕРМЕС-ТЕЛЕКОМ», Ростовской области (1 шт)</t>
  </si>
  <si>
    <t>Установка системы учета для технологического присоединения энергопринимающих устройств Заявителей: Кубраковский Н.Н. в г.Таганроге, Ростовской области (1 шт)</t>
  </si>
  <si>
    <t>Установка системы учета для технологического присоединения энергопринимающих устройств Заявителей: Шевчук Л.Н.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</si>
  <si>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(Договор №61-1-21-00613011 от 24.11.2021) в г. Таганрог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</si>
  <si>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</si>
  <si>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 61-1-21-00611491 от 30.03.2022г.),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</si>
  <si>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№61-1-21-00613009 от 24.11.2021) в г. Таганрог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</si>
  <si>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№61-1-21-00614407 от 29.11.2021) в г. Таганрог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</si>
  <si>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№61-1-21-00615585 от 08.12.2021), в г. Таганроге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</si>
  <si>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№61-1-21-00615643 от 08.12.2021), в г. Таганроге Ростовской области (1 шт)</t>
  </si>
  <si>
    <t>Установка системы учета для технологического присоединения энергопринимающих устройств Заявителей: ИП Иванова В.Ю., в г. Таганроге, Ростовской области (1 шт)</t>
  </si>
  <si>
    <t>Установка системы учета для технологического присоединения энергопринимающих устройств Заявителей: Андрейченко Н.П., Ростовской области (1 шт)</t>
  </si>
  <si>
    <t>Установка системы учета для технологического присоединения энергопринимающих устройств Заявителей: Дымковская Н.Н., Ростовской области (1 шт)</t>
  </si>
  <si>
    <t>Установка системы учета для технологического присоединения энергопринимающих устройств Заявителей: Дытченков Н.П. Ростовской области (1 шт)</t>
  </si>
  <si>
    <t>Установка системы учета для технологического присоединения энергопринимающих устройств Заявителей: Запорожан А.В. в г. Таганроге, Ростовской области (1 шт)</t>
  </si>
  <si>
    <t>Установка системы учета для технологического присоединения энергопринимающих устройств Заявителей: ИП Ларина И.А., Ростовской области (1 шт)</t>
  </si>
  <si>
    <t>Установка системы учета для технологического присоединения энергопринимающих устройств Заявителей: ИП Уразгильдеев И.Ф. Ростовской области (1 шт)</t>
  </si>
  <si>
    <t>Установка системы учета для технологического присоединения энергопринимающих устройств Заявителя: Климков Дмитрий Александрович в г. Таганроге, Ростовской области (1 шт)</t>
  </si>
  <si>
    <t>Установка системы учета для технологического присоединения энергопринимающих устройств Заявителей: ПАО «Мобильные ТелеСистемы» г. Таганрог, ул. Ветренная, 45, Ростовской области (1 шт)</t>
  </si>
  <si>
    <t>Установка системы учета для технологического присоединения энергопринимающих устройств Заявителей: ПАО «Мобильные ТелеСистемы» г. Таганрог, пер. Красный, 26,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</si>
  <si>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остановка Площадь Восстания, г. Таганрог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</si>
  <si>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(договор №61-1-21-00588055)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</si>
  <si>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№61-1-21-00588103 от 26.07.2021 г. Таганрог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</si>
  <si>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(договор №61-1-21-00588109)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</si>
  <si>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№61-1-21-00588111 от 26.07.2021 г. Таганрог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</si>
  <si>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№61-1-21-00588371от 26.07.2021 г. Таганрог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</si>
  <si>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(договор №61-1-21-00588373)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</si>
  <si>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(договор №61-1-21-00588375)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</si>
  <si>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(договор №61-1-21-00588419)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</si>
  <si>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(договор №61-1-21-00588437) (1 шт)</t>
  </si>
  <si>
    <t>Установка системы учета для технологического присоединения энергопринимающих устройств Заявителя: Антипов А.А. в г. Таганроге, Ростовской области (1 шт)</t>
  </si>
  <si>
    <t>Установка системы учета для технологического присоединения энергопринимающих устройств Заявителя: Апресян Елена Александровна в г. Таганроге, Ростовской области (1 шт)</t>
  </si>
  <si>
    <t>Установка системы учета для технологического присоединения энергопринимающих устройств Заявителя: Иванов Вадим Владимирович в г. Таганроге, Ростовской области (1 шт)</t>
  </si>
  <si>
    <t>Установка системы учета для технологического присоединения энергопринимающих устройств Заявителей: Кошарный А.И. в г. Таганроге, Ростовской области (1 шт)</t>
  </si>
  <si>
    <t>Установка системы учета для технологического присоединения энергопринимающих устройств Заявителя: Шутова В.А. в г. Таганроге, Ростовской области (1 шт)</t>
  </si>
  <si>
    <t>Установка системы учета для технологического присоединения энергопринимающих устройств Заявителей: Слюченко А.В. в г. Таганроге, Ростовской области (1 шт)</t>
  </si>
  <si>
    <t xml:space="preserve">Установка системы учета для технологического присоединения энергопринимающих устройств Заявителя (Беликов А.Е) по адресу: Ростовская область, г. Таганрог, ул. Энергетическая, д. 173, к.н. 61:58:0008072:159 (1 шт.) </t>
  </si>
  <si>
    <t>Установка системы учета для технологического присоединения энергопринимающих устройств Заявителей: Иванов В.М. в г. Таганроге, Ростовской области (1 шт)</t>
  </si>
  <si>
    <t xml:space="preserve">Установка системы учета для технологического присоединения энергопринимающих устройств Заявителя (ИП Акименко В.В.) по адресу: Ростовская область, г. Таганрог, ул. Петровская, д. 88, к.н. 61:58:0001131:9 
(1 шт.) </t>
  </si>
  <si>
    <t>Установка системы учета для технологического присоединения энергопринимающих устройств Заявителей: Манджаари К.Р. в г. Таганроге, Ростовской области (1 шт)</t>
  </si>
  <si>
    <t xml:space="preserve">Установка системы учета для технологического присоединения энергопринимающих устройств Заявителя (Швецова Г.С.) по адресу: Ростовская область, г. Таганрог, ул. Тургеневский, д. 4, к.н. 61:58:0001096:332 (1 шт.) </t>
  </si>
  <si>
    <t xml:space="preserve">Установка системы учета для технологического присоединения энергопринимающих устройств Заявителя (ООО «Южный берег» по адресу: Ростовская область, г. Таганрог, ул. Ленинградская, д. 43, к.н. 61:58:0002272:173 (1 шт.) </t>
  </si>
  <si>
    <t>Установка системы учета для технологического присоединения энергопринимающих устройств Заявителя (Запорожцев И.С.) по адресу: Ростовская область, г.Таганрог, ул. Щаденко д. 43, к.н.: 61:58:0003387:28  (1 шт.)</t>
  </si>
  <si>
    <t>Установка системы учета для технологического присоединения энергопринимающих устройств Заявителя (Колесникова В.Н.) по адресу: Ростовская область, г. Таганрог, ул. Мало-Набережная, д. 61, к.н. 61:58:0003015:225 (1 шт.)</t>
  </si>
  <si>
    <t>Установка системы учета для технологического присоединения энергопринимающих устройств Заявителя (Лагутин Д.В.) по адресу: Ростовская область, г. Таганрога,  ул. 21-й Переулок/ул. Александровская, д. 27/212, кв. 10, 11, 12 к.н.: 61:58:0002203:66 (1 шт.)</t>
  </si>
  <si>
    <t>Установка системы учета для технологического присоединения энергопринимающих устройств Заявителя (Голов М.Е.) по адресу: Ростовская область, г. Таганрог,  ул. Доменская, д.25, к.н. 61:58:0003056:42 
(1 шт.)</t>
  </si>
  <si>
    <t>Установка системы учета для технологического присоединения энергопринимающих устройств Заявителя (ИП Анцыбор И.Н.)  по адресу: Ростовская область, г. Таганрог, ул. Петровская, д. 69/ пер. Антона Глушко д.6, к.н. 61:58:0001128:0:6/1(1 шт.)</t>
  </si>
  <si>
    <t>Установка системы учета для технологического присоединения энергопринимающих устройств Заявителя (ИП Бареян Г.Р.) по адресу: Ростовская область, г. Таганрог, ул. Вишневая, д. 15-1, к.н. 61:58:0005274:3007 (1 шт.)</t>
  </si>
  <si>
    <t>Установка системы учета для технологического присоединения энергопринимающих устройств Заявителя (ИП Жидков О.М.) по адресу: Ростовская область, г. Таганрог, пер. Некрасовский, д. 9-а, (1 шт.)</t>
  </si>
  <si>
    <t>Установка системы учета для технологического присоединения энергопринимающих устройств Заявителя (Мардахаев А.З.) по адресу: Ростовская область, г. Таганрог, пер. 23-й, д. 24, к.н. 61:58:0002219:3 (1 шт.)</t>
  </si>
  <si>
    <t>Установка системы учета для технологического присоединения энергопринимающих устройств Заявителя (Сушкин Н.А.) по адресу: Ростовская область, г. Таганрог, пер. 7-й Новый, д. 100-5, к.н. 61:58:0004479:85 (1 шт.)</t>
  </si>
  <si>
    <t>Установка системы учета для технологического присоединения энергопринимающих устройств Заявителя (Миков В.М.) по адресу: Ростовская область, г. Таганрог, ул. Шмидта/пер. Добролюбовский, д. 21/1, кв. 4, к.н.61:58:0001053:216 (1 шт.)</t>
  </si>
  <si>
    <t>Установка системы учета для технологического присоединения энергопринимающих устройств Заявителя (МКУ «Благоустройство») по адресу: Ростовская область, г. Таганрог, ул. М. Жукова, д.2-б , к.н. 61:58:0000000:45625 (1 шт.)</t>
  </si>
  <si>
    <t>Установка системы учета для технологического присоединения энергопринимающих устройств Заявителя (МУП «Городское хозяйство») по адресу: Ростовская область, г. Таганрог, ул. Петровская, д. 104 (1 шт.)</t>
  </si>
  <si>
    <t>Установка системы учета для технологического присоединения энергопринимающих устройств Заявителя (Тисленко А.В.) по адресу: Ростовская область, г. Таганрог, ул. Р. Люксембург, д. 32, к.н. 61:58:0001076:160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</si>
  <si>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№61-1-21-00615693 от 08.12.2021), в г. Таганроре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</si>
  <si>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№61-1-21-00615697 от 08.12.2021), в г. Таганроге Ростовской области (1 шт)</t>
  </si>
  <si>
    <t>Установка системы учета для технологического присоединения энергопринимающих устройств Заявителя (ИП Андреев А.М..) по адресу: Ростовская область, г. Таганрог, пер. 7-й Новый, д.83-1, к.н. 61:58:0004447:48 (1 шт.)</t>
  </si>
  <si>
    <t>Установка системы учета для технологического присоединения энергопринимающих устройств Заявителя (ИП Андреев А.М..) по адресу: Ростовская область, г. Таганрог, Поляковское шоссе, д.15-д, к.н. 61:58:0002500:279 (1 шт.)</t>
  </si>
  <si>
    <t>Установка системы учета для технологического присоединения энергопринимающих устройств Заявителя (ИП Шелестов Н.Ю.) по адресу: Ростовская область, г. Таганрог, пер. 1-й Новый, д.8, к.н. 61:58:0004469:59 (1 шт.)</t>
  </si>
  <si>
    <t>Установка системы учета для технологического присоединения энергопринимающих устройств Заявителя (Лисовенко С.А.) по адресу: Ростовская область, г. Таганрог, пер. 7-й Мариупольский, д.18, к.н. 61:58:0005219:11 (1 шт.)</t>
  </si>
  <si>
    <t>Установка системы учета для технологического присоединения энергопринимающих устройств Заявителя Мирзоева Е.С. в г.Таганроге, Ростовской области, ул. Вокзальная/Садовая, д. 39/2, к.н. 61:58:0004230:53
 (1 шт)</t>
  </si>
  <si>
    <t>Установка системы учета для технологического присоединения энергопринимающих устройств Заявителя (Морозов Г.А.) по адресу: Ростовская область, г. Таганрог, шс. Мариупольское, 15/а, к.н. 61:58:0005270:2836 (1 шт.)</t>
  </si>
  <si>
    <t>Установка системы учета для технологического присоединения энергопринимающих устройств Заявителя (Сычева Г.М..) по адресу: Ростовская область, г. Таганрог, ул. Дачная, д.134, к.н. 61:58:0004459:23 (1 шт.)</t>
  </si>
  <si>
    <t>Установка системы учета для технологического присоединения энергопринимающих устройств Заявителя (Чепурнова Е.В.) по адресу: Ростовская область, г. Таганрог, ул. Щаденко, д. 19-б к.н. 61:58:0003388:341 (1 шт.)</t>
  </si>
  <si>
    <t>Установка системы учета для технологического присоединения энергопринимающих устройств Заявителя (Колчина А.В.) по адресу: Ростовская область, г. Таганрог, ул. Р. Люксембург, д.264-а, к.н. 61:58:0005006:72 (1 шт.)</t>
  </si>
  <si>
    <t>Установка системы учета для технологического присоединения энергопринимающих устройств Заявителя (Скалиух А.П.) по адресу: Ростовская область, г. Таганрог, ул. 3-я Линия, д.169, к.н. 61:58:0004182:33 (1 шт.)</t>
  </si>
  <si>
    <t>Установка системы учета для технологического присоединения энергопринимающих устройств Заявителя (Архипенко А.А..) по адресу: Ростовская область, г. Таганрог, ул. Чехова, д. 121, к.н. 61:58:0001138:205 (1 шт.)</t>
  </si>
  <si>
    <t>Установка системы учета для технологического присоединения энергопринимающих устройств Заявителя (Севиян В.Х.) по адресу: Ростовская область, г. Таганрог, ул. Чехова, к.н. 61:58:0002316:285 (1 шт.)</t>
  </si>
  <si>
    <t xml:space="preserve">Установка системы учета для технологического присоединения энергопринимающих устройств Заявителя (Гуров А.Б.) по адресу: Ростовская область, г. Таганрог, ул. Больничная, д.13 (1 шт.) </t>
  </si>
  <si>
    <t>Установка системы учета для технологического присоединения энергопринимающих устройств Заявителя (Савинова Н.Г.) по адресу: Ростовская область, г. Таганрог, ул. Ватутина, д.2-б, к.н: 61:58:0005011:52 
(1 шт.)</t>
  </si>
  <si>
    <t>Установка системы учета для технологического присоединения энергопринимающих устройств Заявителя (Черная М.Д.) по адресу: Ростовская область, г. Таганрог, ул. Шевченко, д.36-в, к.н: 61:58:0001019:3
 (1 шт.)</t>
  </si>
  <si>
    <t>Установка системы учета для технологического присоединения энергопринимающих устройств Заявителя (ИП Албатова Е.Н.) по адресу: Ростовская область, г. Таганрог, ул. Морозова, д.11, к.н.: 61:58:0003279:1225 (1 шт.)</t>
  </si>
  <si>
    <t>Установка системы учета для технологического присоединения энергопринимающих устройств Заявителя (Халилов Т.В.о) по адресу: Ростовская область, г. Таганрог, ул. М. Жукова, д.2-б, к.н: 61:58:0004349:2253 (1 шт.)</t>
  </si>
  <si>
    <t>Установка системы учета для технологического присоединения энергопринимающих устройств Заявителя (Имамвердиев Э.М.о.) по адресу: Ростовская область, г. Таганрог, ул. Ломоносова, д.55, помещение №46а,63, 63а, 66-68, 70, 71, 73-76, 86, к.н. 61:58:0005138:1165 (1 шт.)</t>
  </si>
  <si>
    <t>Установка системы учета для технологического присоединения энергопринимающих устройств Заявителя (Быкадоров А.А.) по адресу: Ростовская область, г. Таганрог, пер. Каркасный, д. 9 а, к.н 61:58:0000000:8926 (1 шт.)</t>
  </si>
  <si>
    <t>Установка системы учета для технологического присоединения энергопринимающих устройств Заявителя (ИП Марков И.В.)  по адресу: Ростовская область, г. Таганрог, ул. Театральная, д. 43, к.н 61:58:0005278:8 
(1 шт.)</t>
  </si>
  <si>
    <t>Установка системы учета для технологического присоединения энергопринимающих устройств Заявителя (ИП Ткаченко П.В.) по адресу: Ростовская область, г. Таганрог, ул. С. Шило, д.167-3, 61:58:0005011:680
 (1 шт.)</t>
  </si>
  <si>
    <t>Установка системы учета для технологического присоединения энергопринимающих устройств Заявителя (ИП Самохвалов Д.В.)  по адресу: Ростовская область, г. Таганрог, пл. Северная, д. 3-2, к.н. 61:58:0002234:252 (1 шт.)</t>
  </si>
  <si>
    <t>Установка системы учета для технологического присоединения энергопринимающих устройств Заявителя (Кудашева Е.А.)  по адресу: Ростовская область, г. Таганрог, пер. 4-й Новый, к.н. 61:58:0004036:84 
(1 шт.)</t>
  </si>
  <si>
    <t>Установка системы учета для технологического присоединения энергопринимающих устройств Заявителя (Ларина И.А.) по адресу: Ростовская область, г. Таганрог, ул. Морозова, д.25, к.н. 61:58:0003484:003:3-428-7/А:1/58828 (1 шт.)</t>
  </si>
  <si>
    <t>Установка системы учета для технологического присоединения энергопринимающих устройств Заявителя (Автономная некоммерческая организация по предоставлению социально-культурных услуг «Луч Надежды» по адресу: Ростовская область, г. Таганрог, ул. Дзержинского, д.171-2 (1 шт.)</t>
  </si>
  <si>
    <t>Установка системы учета для технологического присоединения энергопринимающих устройств Заявителя (Ткаченко П.В.) по адресу: Ростовская область, г. Таганрог, ул. Петровская, д.109, к.н. 61:58:0003007:319 (1 шт.)</t>
  </si>
  <si>
    <t>Установка системы учета для технологического присоединения энергопринимающих устройств Заявителя (Хачунц Г.С.)  по адресу: Ростовская область, г. Таганрог, ул. Ленина, д. 195, к.н 61:58:0003181:9
 (1 шт.)</t>
  </si>
  <si>
    <t>Установка системы учета для технологического присоединения энергопринимающих устройств Заявителя (Закаморный В.А.) по адресу: Ростовская область, г. Таганрог, Мариупольское шоссе, д.39-1, ДНТ «Мир», уч. 16, к.н.: 61-61-42/056/2012-166 (1 шт.)</t>
  </si>
  <si>
    <t>Установка системы учета для технологического присоединения энергопринимающих устройств Заявителя (ИП Кравченко А.Г.) по адресу: Ростовская область, г. Таганрог, ул. Московская, 17, корпус А (1 шт.)</t>
  </si>
  <si>
    <t>Установка системы учета для технологического присоединения энергопринимающих устройств Заявителя (ИП Кузнецов В.А.) по адресу: Ростовская область, г. Таганрог, ул. Театральная, 18 (1 шт.)</t>
  </si>
  <si>
    <t>Установка системы учета для технологического присоединения энергопринимающих устройств Заявителя (Кафтанов А.Г.) по адресу: Ростовская область, г. Таганрог, Северо-Западное шоссе, д.3, СНТ «Дачное-2», уч. 375, к.н.: 61:58:0006028:445 (1 шт.)</t>
  </si>
  <si>
    <t>Установка системы учета для технологического присоединения энергопринимающих устройств Заявителя (ИП Лядов К.Е.) по адресу: Ростовская область, г. Таганрог, ул. Урицкого, д. 29, к.н.: 61:58:0003404:25
 (1 шт.)</t>
  </si>
  <si>
    <t>Установка системы учета для технологического присоединения энергопринимающих устройств Заявителя (Крючек М.И.) по адресу: Ростовская область, г. Таганрог, ул. 4-я Линия, д. 2/а, к.н.: 61:58:0000000:14555  (1 шт.)</t>
  </si>
  <si>
    <t>Установка системы учета для технологического присоединения энергопринимающих устройств Заявителя (Овчаренко И.А.) по адресу: Ростовская область, г. Таганрог, ул. Транспортная, д.11, к.н.: 61:58:0002306:168 (1 шт.)</t>
  </si>
  <si>
    <t>Установка системы учета для технологического присоединения энергопринимающих устройств Заявителя (ООО «Промкомплекс «Волна») по адресу: Ростовская область, г. Таганрог, ул. С. Лазо, д.1-3, к.н.: 61:58:0003438:2145 (1 шт.)</t>
  </si>
  <si>
    <t>Установка системы учета для технологического присоединения энергопринимающих устройств Заявителя (ПАО «Вымпел-Коммуникации») по адресу: Ростовская область, г. Таганрог, ул. Шаумяна, д.20-1 (1 шт.)</t>
  </si>
  <si>
    <t>Установка системы учета для технологического присоединения энергопринимающих устройств Заявителя (Рыбченков А.Н.)» по адресу: Ростовская область, г. Таганрог, ул. Поселковая, 57 г, к.н.: 61:58:0004202:73
(1 шт.)</t>
  </si>
  <si>
    <t>Установка системы учета для технологического присоединения энергопринимающих устройств Заявителя (Дереберя И.М.) по адресу: Ростовская область, г. Таганрог, переулок 9-й, д. 20, к.н.: 61:58:0002089:4
 (1 шт.)</t>
  </si>
  <si>
    <t xml:space="preserve">Установка системы учета для технологического присоединения энергопринимающих устройств Заявителя (ИП Лысенко А.Ю.) по адресу: Ростовская область, г. Таганрог, ул. Чехова, д. 98, к.н. 61:58:0001124:560
 (1 шт.) </t>
  </si>
  <si>
    <t>Установка системы учета для технологического присоединения энергопринимающих устройств Заявителя (ИП Печеный А.А.) по адресу: Ростовская область, г. Таганрог, ул. Мариупольское шоссе, д 53-а, к.н. 61:58:0005303:35 (1 шт.)</t>
  </si>
  <si>
    <t>Установка системы учета для технологического присоединения энергопринимающих устройств Заявителя (Карпенко Р.А.) по адресу: Ростовская область, г. Таганрог, ул. 3-я Линия, д. 215, к.н. 61:58:0004180:19 (1 шт.)</t>
  </si>
  <si>
    <t>Установка системы учета для технологического присоединения энергопринимающих устройств Заявителя (ИП Васильева Т.А.) по адресу: Ростовская область, г. Таганрог, ул. Петровская, 66-б, к.н.: 61:58:0001096:27 (1 шт.)</t>
  </si>
  <si>
    <t>Установка системы учета для технологического присоединения энергопринимающих устройств Заявителя (ИП Ивашин А.Э..) по адресу: Ростовская область, г. Таганрог, Николаевское шоссе, СНТ «Радуга», аллея 13, уч.47 (1 шт.)</t>
  </si>
  <si>
    <t xml:space="preserve">Установка системы учета для технологического присоединения энергопринимающих устройств Заявителя (ООО «СК Эверест») по адресу: Ростовская область, г. Таганрог, ул. Морозова, д. 11, ком. 66, 68, 69, 70, 71, 71а, 73, к.н.: 61:58:0003279:1229 (1 шт.) </t>
  </si>
  <si>
    <t>Установка системы учета для технологического присоединения энергопринимающих устройств Заявителя (Чиркова Н.В.) по адресу: Ростовская область, г. Таганрог, Мариупольское шоссе, д.12, СНТ «Зеленхоз», уч. №17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</si>
  <si>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 61-1-21-00610887 от 05.04.2022), Ростовской области (1 шт)</t>
  </si>
  <si>
    <t>Установка системы учета для технологического присоединения энергопринимающих устройств Заявителя (Беликова О.И.) адресу: Ростовская область, г. Таганрог, ул. Дзержинского, 105, кв.1 (1 шт.)</t>
  </si>
  <si>
    <t>Установка системы учета для технологического присоединения энергопринимающих устройств Заявителя (ИП Манджаари К. Р.) адресу: Ростовская область, г. Таганрог, ул. Александровская, 120-а (1 шт.)</t>
  </si>
  <si>
    <t>Установка системы учета для технологического присоединения энергопринимающих устройств Заявителя (ИП Петросян Р.А.) по адресу: Ростовская область, г. Таганрог, ст. Таганрог-1, ул. Москатова, д. 2-А, 11 км. пк 7 (1 шт.)</t>
  </si>
  <si>
    <t>Установка системы учета для технологического присоединения энергопринимающих устройств Заявителя (ИП Руссель Ю.И.) по адресу: Ростовская область, г. Таганрог, пер. Спартаковский, д. 16/ул. Октябрьская, д. 18, к.н. 61:58:0003001:466 (1 шт.)</t>
  </si>
  <si>
    <t>Установка системы учета для технологического присоединения энергопринимающих устройств Заявителя (Кулик Л.Ф.) по адресу: Ростовская область, г. Таганрог, ул. Бакинская, к.н. 61:58:0004523::1007       (1 шт.)</t>
  </si>
  <si>
    <t>Установка системы учета для технологического присоединения энергопринимающих устройств Заявителя (Курилов Ю.М.) адресу: Ростовская область, г. Таганрог, ул. Энгельса, 53 (1 шт.)</t>
  </si>
  <si>
    <t>Установка системы учета для технологического присоединения энергопринимающих устройств Заявителя (Савченко Л.Е.) адресу: Ростовская область, г. Таганрог, ул. Петровская, д. 113, к.н. 61:58:0003007:327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</si>
  <si>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(Договор № 61-1-22-00640119 от 19.04.2022), Ростовской области (1 шт)</t>
  </si>
  <si>
    <t>Установка системы учета для технологического присоединения энергопринимающих устройств Заявителя (Сирота Е.Б.) адресу: Ростовская область, г. Таганрог, ул. Чехова, 324-б (1 шт.)</t>
  </si>
  <si>
    <t>Установка системы учета для технологического присоединения энергопринимающих устройств Заявителя (Скоморохова Е.В.) адресу: Ростовская область, г. Таганрог, ул. Чехова, 17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</si>
  <si>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 61-1-22-00643819 от 27.04.2022), Ростовской области г. Таганрог (1 шт)</t>
  </si>
  <si>
    <t>Установка системы учета для технологического присоединения энергопринимающих устройств Заявителя (ИП Саркисян А.В.) адресу: Ростовская область, г. Таганрог, Николаевское шоссе, 7-а (1 шт.)</t>
  </si>
  <si>
    <t>Установка системы учета для технологического присоединения энергопринимающих устройств Заявителя (ИП Греченко Е.Е.) адресу: Ростовская область, г. Таганрог, г. Таганрог, ул. Седова, д.7, к.н. 61:58:0002418:204 (1 шт.)</t>
  </si>
  <si>
    <t>Установка системы учета для технологического присоединения энергопринимающих устройств Заявителя (Рожкова И.Ю.) адресу: Ростовская область, г. Таганрог, пер. 5-й Новый, д. 112, к.н 61:58:0004522:510 (1 шт.)</t>
  </si>
  <si>
    <t>Установка системы учета для технологического присоединения энергопринимающих устройств Заявителя (Айрапетян Л.Ц.) адресу: Ростовская область, г. Таганрог, пр. 4-й Линейный, д. 52, к.н.: 61:58:0 41 92:12:4-192-12/Г:1/43698 (1 шт.)</t>
  </si>
  <si>
    <t>Установка системы учета для технологического присоединения энергопринимающих устройств Заявителя (Болмат С.Е.) адресу: Ростовская область, г. Таганрог, пер. 6-й Новый, к.н. 61:58:0004479:93 (1 шт.)</t>
  </si>
  <si>
    <t>Установка системы учета для технологического присоединения энергопринимающих устройств Заявителя (Горбанев А.А.) адресу: Ростовская область, г. Таганрог, ул. Дачная, к.н. 61:58:0004217:304 (1 шт.)</t>
  </si>
  <si>
    <t>Установка системы учета для технологического присоединения энергопринимающих устройств Заявителя (Горбанев А.А.) адресу: Ростовская область, г. Таганрог, ул. Дачная, к.н. 61:58:0004217:305 (1 шт.)</t>
  </si>
  <si>
    <t>Установка системы учета для технологического присоединения энергопринимающих устройств Заявителя (ИП Исаков Г.Д.) адресу: Ростовская область, г. Таганрог, пер. 7-й  Новый, д. 100, к.н. 61:58:4451:478 ( 1 шт.)</t>
  </si>
  <si>
    <t>Установка системы учета для технологического присоединения энергопринимающих устройств Заявителя (ИП Морозова Е.П.) адресу: Ростовская область, г. Таганрог, ул. Фрунзе, д. 62, корп. 1, кв.3, к.н. 61:58:0001130:563 ( 1 шт.)</t>
  </si>
  <si>
    <t>Установка системы учета для технологического присоединения энергопринимающих устройств Заявителя (Лавриненко И.Р.) адресу: Ростовская область, г. Таганрог, ул. Бакинская, д. 85а, к.н. 61:58:0004522:255 ( 1 шт.)</t>
  </si>
  <si>
    <t>Установка системы учета для технологического присоединения энергопринимающих устройств Заявителя (ООО «Донские рестораны») адресу: Ростовская область, г. Таганрог, г. Таганрог, ул. Р. Люксембург, д. 12, к.н. 61:58:0001061:236 ( 1 шт.)</t>
  </si>
  <si>
    <t xml:space="preserve"> Установка системы учета для технологического присоединения энергопринимающих устройств Заявителя (Куликова Н.Г.) по адресу: Ростовская область, г. Таганрог, ул. Толбухина, д.5-1 (1 шт.)</t>
  </si>
  <si>
    <t>Установка системы учета для технологического присоединения энергопринимающих устройств Заявителя (Акопджанян А.С.) по адресу: Ростовская область, г. Таганрог, ул. Бакинская, к.н. 61:58:0004523:1035 (1 шт.)</t>
  </si>
  <si>
    <t>Установка системы учета для технологического присоединения энергопринимающих устройств Заявителя (Цыбина Т.И.) по адресу: Ростовская область, г. Таганрог, ул. П.Е. Осипенко, д. 53, к.н. 61:58:0003277:1212 (1 шт.)</t>
  </si>
  <si>
    <t>Установка системы учета для технологического присоединения энергопринимающих устройств Заявителя (ИП Рындин А.В.) по адресу: Ростовская область, г. Таганрог, ул. Транспортная, д. 61, к.н. 61:58:0005259:574 (1 шт.)</t>
  </si>
  <si>
    <t>Установка системы учета для технологического присоединения энергопринимающих устройств Заявителя (ООО «Синара – Городские Транспортные Решения Таганрог») по адресу: Ростовская область, г. Таганрог, ул. Дзержинского, д. 74, к.н. 61:58:0003121:421 (1 шт.)</t>
  </si>
  <si>
    <t>Установка системы учета для технологического присоединения энергопринимающих устройств Заявителя (Корнильев В.В.) по адресу: Ростовская область, г. Таганрог, ул. Нахимова, д. 33, к.н. 61:58:0002291:160 (1 шт.)</t>
  </si>
  <si>
    <t>Установка системы учета для технологического присоединения энергопринимающих устройств Заявителя (Куликов А.Д.) по адресу: Ростовская область, г. Таганрог, ул. Ленина, д. 191-б, к.н. 61:58:0003181:41 (1 шт.)</t>
  </si>
  <si>
    <t>Установка системы учета для технологического присоединения энергопринимающих устройств Заявителей: Титаренко В.С., Ветров В.С., Бабиян Н.К., Журкина И.В., Саргсян Д.В., Шубин Э.В. в Мясниковском районе Ростовской области (6 шт.)</t>
  </si>
  <si>
    <t xml:space="preserve">Установка системы учета для технологического присоединения энергопринимающих устройств Заявителей: Дурнев Д.Д., Вартеванян С.Г., Скороход В.В., Аветисян М.С., Лыскин В.Ф., Цыганкова О.А. в Мясниковском районе Ростовской области (6 шт.) </t>
  </si>
  <si>
    <t xml:space="preserve">Установка системы учета для технологического присоединения энергопринимающих устройств Заявителя: Узунян К.В. в Мясниковском районе Ростовской области (1 шт.) </t>
  </si>
  <si>
    <t>Установка системы учета для технологического присоединения энергопринимающих устройств Заявителей: Кашкин Е.В., Налбандян Г.К., Гирагосов М.А. в Мясниковском районе Ростовской области (3 шт.)</t>
  </si>
  <si>
    <t xml:space="preserve">Установка системы учета для технологического присоединения энергопринимающих устройств Заявителей: Лысенко А.Ф., Хавранян О.А., Забирюченко М.А., Бердечников Ю.И., Ордян О.Р., Гульянц Н.А.  в Мясниковском районе Ростовской области (6 шт.) </t>
  </si>
  <si>
    <t xml:space="preserve">Установка системы учета для технологического присоединения энергопринимающих устройств Заявителей: Аветисов К.С., Порожнякова О.О., Петрушенко В.С., Воротынцева О.В., Администрация Калининского сельского поселения в Мясниковском районе Ростовской области (5 шт.) </t>
  </si>
  <si>
    <t xml:space="preserve">Установка системы учета для технологического присоединения энергопринимающих устройств Заявителей: Молодова И.А., Тарасян М.А., Баткалова Л.А. в Мясниковском районе Ростовской области (3 шт.) </t>
  </si>
  <si>
    <t>Установка системы учета для технологического присоединения энергопринимающих устройств Заявителей: Пантюхин С.А., Шкаброва Л.И., Порожнякова Е.В., Однороб С.В. в Мясниковском районе Ростовской области (5 шт.)</t>
  </si>
  <si>
    <t>Установка системы учета для технологического присоединения энергопринимающих устройств Заявителей: Веткина Д.А., Заиченко О.С., Мнацаканян Д.А., Гарпеников Г.Г., в Мясниковском районе Ростовской области (4 шт.)</t>
  </si>
  <si>
    <t>Установка системы учета для технологического присоединения энергопринимающих устройств Заявителей: Хоруженко Е.А., Бабиян М.Ф., Пчельникова И.А., Атоян А.С., Гайбарян А.А., Ялтырян А.Б.  в Мясниковском районе Ростовской области (7 шт.)</t>
  </si>
  <si>
    <t>Установка системы учета для технологического присоединения энергопринимающих устройств Заявителей: Дулин А.Ф., Читахян Х.К., Раков А.В., Свиридов В.Г., Петренко М.С., Чуваков В.М. в Мясниковском районе Ростовской области (6 шт.)</t>
  </si>
  <si>
    <t xml:space="preserve">Установка системы учета для технологического присоединения энергопринимающих устройств Заявителей: Карташов М.С., Хрхрян Л.В., Попов А.П., Яковлева Т.Н., Поркшеян Б.О., Дзреян В.Н. в Мясниковском районе Ростовской области (6 шт.) </t>
  </si>
  <si>
    <t xml:space="preserve">Установка системы учета для технологического присоединения энергопринимающих устройств Заявителей: Аршакян С.А., ИП Григорян С.Р., Арутюнян Л.В., Козлов И.В., Бакалова Э.А. в Мясниковском районе Ростовской области (5 шт.) </t>
  </si>
  <si>
    <t xml:space="preserve">Установка системы учета для технологического присоединения энергопринимающих устройств Заявителей: Журавлева М.Р., Ткаченко И.Н., Межевикин И.Н., Кононенко Т.М., Цыздоев А.Х., Торпуджиян Т.А. в Мясниковском районе Ростовской области (6 шт.) </t>
  </si>
  <si>
    <t>Установка системы учета для технологического присоединения энергопринимающих устройств Заявителей: Орленко В.А., Серов А.Н., Овечко А.Г. в Мясниковском районе Ростовской области (3 шт.)</t>
  </si>
  <si>
    <t xml:space="preserve">Установка системы учета для технологического присоединения энергопринимающих устройств Заявителей: Кравченко М.М., Валеев В.Р., Хочкиян М.Х., Даглдиян Г.Г., ПАО «МТС» в Мясниковском районе Ростовской области (5 шт.) </t>
  </si>
  <si>
    <t xml:space="preserve">Установка системы учета для технологического присоединения энергопринимающих устройств Заявителей: Ревуцкий Д.А., Головин М.И., Казарян Р.О., Мелконян М.К., Фурсов В.И., Кузнецов В.В. в Мясниковском районе Ростовской области (6 шт.) </t>
  </si>
  <si>
    <t xml:space="preserve">Установка системы учета для технологического присоединения энергопринимающих устройств Заявителей: Габриелян Л.В., Тур Е.А., Гичунцева М.М, Мазниченко Е.Ю., Дорошенко Н.И., Дорошенко А.В. в Мясниковском районе Ростовской области (6 шт.) </t>
  </si>
  <si>
    <t xml:space="preserve">Установка системы учета для технологического присоединения энергопринимающих устройств Заявителей: Иванова А.А., Кондрашин А.И., Кононенко Е.Н., Ломова В.В., Палий В.В., Чуваков В.М. в Мясниковском районе Ростовской области (6 шт.) </t>
  </si>
  <si>
    <t xml:space="preserve">Установка системы учета для технологического присоединения энергопринимающих устройств Заявителя: Терновой Д.В. в Мясниковском районе Ростовской области (1 шт.) </t>
  </si>
  <si>
    <t>Установка системы учета для технологического присоединения энергопринимающих устройств Заявителей: Фролова Н.А., Новикова А.К., Шахман А.В., Поплутин И.Ю., Куликова С.Р., Хазизян А.К. в Мясниковском районе Ростовской области (6 шт.)</t>
  </si>
  <si>
    <t>Установка системы учета для технологического присоединения энергопринимающих устройств Заявителей: Азарян А.А., Збраилова С.А., Вартанян В.Г., Бодахян К.В., Додохян Х.А., Момотов С.А., Бордачев А.М. в Мясниковском районе Ростовской области (7 шт.)</t>
  </si>
  <si>
    <t>Установка системы учета для технологического присоединения энергопринимающих устройств Заявителей: Мещеряков А.А., Минаков Н.А. в Мясниковском районе Ростовской области (2 шт.)</t>
  </si>
  <si>
    <t>Установка системы учета для технологического присоединения энергопринимающих устройств Заявителей: Абрамов В.В. в Мясниковском районе Ростовской области (1 шт.)</t>
  </si>
  <si>
    <t>Установка системы учета для технологического присоединения энергопринимающих устройств Заявителей: Аскеров С.М., Бойченко Д.В., Гуляева Е.Б., Бахлян М.М., Бабаев Л.И., Нозина Г.П., Гаврилова О.А., Даниленко Д.В. в Мясниковском районе Ростовской области (8 шт.)</t>
  </si>
  <si>
    <t>Установка системы учета для технологического присоединения энергопринимающих устройств Заявителей: Жаравина О.С., Шахбазян Г.А. в Мясниковском районе Ростовской области (2 шт.)</t>
  </si>
  <si>
    <t>Установка системы учета для технологического присоединения энергопринимающих устройств Заявителей: Куривчак И.И., Гуликян Л.Н., Килафян Н.А., Лысов С.К., Московой Д.А., Мясникова Ж.Г., Пайлеванян А.С., Лаптева С.Н., Пантюхова Е.О., Люльчук О.Н. в Мясниковском районе Ростовской области (10 шт.)</t>
  </si>
  <si>
    <t xml:space="preserve">Установка системы учета для технологического присоединения энергопринимающих устройств Заявителей: Мелохаян В.О., Саргсян Р.А., Ганоцкая Ю.В., Власов Х.А., Канарская Е.В. в Мясниковском районе Ростовской области (5 шт.) </t>
  </si>
  <si>
    <t>Установка системы учета для технологического присоединения энергопринимающих устройств Заявителей: Стамболян А.С., Акопян С.Ю. в Мясниковском районе Ростовской области (2 шт.)</t>
  </si>
  <si>
    <t xml:space="preserve">Установка системы учета для технологического присоединения энергопринимающих устройств Заявителя: Абгарян С.Р. в х. Красный Крым, ул. 2-я Молодежная, д. 14/а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</si>
  <si>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Амбарцумян А.А. в х. Красный Крым, ул. Юбилейная, д. 27/б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</si>
  <si>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Асцатрян М.С. в с. Чалтырь, ул. Крестьянская, д. 3/а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</si>
  <si>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Ачарян Р.Л. в с. Чалтырь, ул. Шаумяна, д. 122/б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</si>
  <si>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Бабиян Л.К. в с. Крым, ул. 2-я линия, д. 27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</si>
  <si>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Багдасаров Р.С. в с. Большие Салы, ул. Заводская, д. 16/д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</si>
  <si>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Барнагян С.Х. в с. Чалтырь, ул. 5-я линия, д. 48/б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</si>
  <si>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Волченко А.А. в х. Красный Крым, ул. Шаумяна, д. 14/б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</si>
  <si>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Герасименко Г.И. в х. Ленинаван, ул. Мира, д. 18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</si>
  <si>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Горпинченко С.В. в х. Ленинакан, ул. Дачная, д. 2/а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</si>
  <si>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Гуликян С.С. в х. Ленинаван, ул. Орджоникидзе, д. 8/д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</si>
  <si>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ИП Люльчук О.Н. в х. Ленинаван Мясниковского района Ростовской области (1 шт.) </t>
  </si>
  <si>
    <t xml:space="preserve">Установка системы учета для технологического присоединения энергопринимающих устройств Заявителя: Киракосян Е.Ф. в х. Калинин, ул. П.Д. Тер-Акоповой, д. 24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</si>
  <si>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Коваленко В.В. в с. Крым, ул. Пролетарская, д. 23/а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</si>
  <si>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Крячко С.А. в х. Ленинаван, ул. Ладожская, д. 13/34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</si>
  <si>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Кузнецова Л.Н. в х. Ленинаван, ул. Орджоникидзе, д. 8/1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</si>
  <si>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Линцов А.Н. в х. Ленинаван, ул. Суворова, д. 86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</si>
  <si>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Листопадов А.В. в х. Ленинаван, ул. Мясникяна, д. 31/а Мясниковского района Ростовской области. </t>
  </si>
  <si>
    <t xml:space="preserve">Установка системы учета для технологического присоединения энергопринимающих устройств Заявителя: Листопадов А.В. в х. Ленинаван Мясниковского района Ростовской области. </t>
  </si>
  <si>
    <t xml:space="preserve">Установка системы учета для технологического присоединения энергопринимающих устройств Заявителя: Мартынова О.В. в х. Мокрый Чалтырь, ул. Ленина, д. 14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</si>
  <si>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Наврузова М.В. в х. Ленинаван, ул. Центральная, д. 11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</si>
  <si>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Носова Н.С. в х. Ленинакан, ул. Васильковая, д. 15/а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</si>
  <si>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Заявителей: Оганесян В.С., Жамкочян К.М., Магомедагаева М.С., Тютюник А.Е., Игнатович А.В., Рашидов А.Г., Оланян Е.Г., в Мясниковском районе Ростовской области (7 шт.) </t>
  </si>
  <si>
    <t xml:space="preserve">Установка системы учета для технологического присоединения энергопринимающих устройств Заявителя: Осипова Л.Н. в с. Чалтырь, ул. Патканяна, д. 109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</si>
  <si>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Позднякова Л.А. в с. Крым, ул. Маршала Жукова, д. 3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</si>
  <si>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Полянский Д.А. в х. Красный Крым, ул. Юбилейная, д. 27/в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</si>
  <si>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Ролдугин А.В. в х. Калинин, ул. Соборная, д. 6/а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</si>
  <si>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Сардарян В.С. в с. Чалтырь, ул. Тащияна, д. 86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</si>
  <si>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Семенова Е.К. в х. Ленинакан, ул. Дачная, д. 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</si>
  <si>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Согомонян А.А. в х. Ленинаван, ул. Дружбы, д. 19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</si>
  <si>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Стрельцов С.П. в х. Красный Крым, ул. Юбилейная, д. 27/а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</si>
  <si>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Тихонов В.В. в х. Недвиговка, ул. Набережная, д. 79/а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</si>
  <si>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Тонян М.Л. в с. Чалтырь, ул. Октябрьская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</si>
  <si>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ИП Галай А.Г. в х. Ленинакан, ул. Торговый проспект, д. 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</si>
  <si>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Казарян А.В. в х. Калинин, ул. 1-я Кольцевая, д. 1/а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</si>
  <si>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Топчанов Л.Г. в с. Крым, ул. 6-я линия, д. 13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</si>
  <si>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Чолий О.И. в х. Ленинакан, ул. Суворова, д. 101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</si>
  <si>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Шагинов А.Л. в с. Чалтырь, ул. Урожайная, д. 28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</si>
  <si>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Шкробот А.Ю. в х. Красный Крым, ул. Пушкинская, д. 14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</si>
  <si>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Явруян А.А. в х. Ленинаван, ул. Орджоникидзе, д. 35/в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</si>
  <si>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Якина Н.Н. в х. Калинин, ул. Донская, д. 15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</si>
  <si>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(Абдуллаев Т.Р.) по адресу: Ростовская область, Мясниковский район, х. Ленинаван, ул. Абовяна, д. 7/в, к.н. 61:25:0030202:3140 (1 шт.) </t>
  </si>
  <si>
    <t xml:space="preserve">Установка системы учета для технологического присоединения энергопринимающих устройств Заявителя (Администрация Мясниковского района) по адресу: Ростовская область, Мясниковский район, с. Чалтырь, ул. 3-я линия, д. 48, к.н. 61:25:0000000:319 (1 шт.) </t>
  </si>
  <si>
    <t>Установка системы учета для технологического присоединения энергопринимающих устройств Заявителя: Айрапетян Н.Б. в с. Крым  ул. Григора Бабияна, д. 22 Мясниковского района Ростовской области – 1 шт.</t>
  </si>
  <si>
    <t xml:space="preserve">Установка системы учета для технологического присоединения энергопринимающих устройств Заявителя (Арутюнян Г.А.) по адресу: Ростовская область, Мясниковский район, с. Чалтырь, ул. Шагиняна, д. 89/2, к.н. 61:25:0600601:1364 (1 шт.) </t>
  </si>
  <si>
    <t xml:space="preserve">Установка системы учета для технологического присоединения энергопринимающих устройств Заявителя (Ачарян А.М.) по адресу: Ростовская область, Мясниковский район, с. Чалтырь, ул. Комсомольская, д. 15/б, к.н. 61:25:0101323:0071 (1 шт.) </t>
  </si>
  <si>
    <t xml:space="preserve">Установка системы учета для технологического присоединения энергопринимающих устройств Заявителя (Ачарян М.С.) по адресу: Ростовская область, Мясниковский район, с. Чалтырь, ул. Тащияна, д. 68/25, к.н. 61:25:0600601:1373 (1 шт.) </t>
  </si>
  <si>
    <t xml:space="preserve">Установка системы учета для технологического присоединения энергопринимающих устройств Заявителя: Волоха К.А. в с. Чалтырь,  ул. Мясникяна, д. 62/б Мясниковского района Ростовской области – 1 шт. </t>
  </si>
  <si>
    <t>Установка системы учета для технологического присоединения энергопринимающих устройств Заявителя: Гайбарян Л.А. в с. Крым,  ул. Маршала Жукова, д. 20 Мясниковского района Ростовской области – 1 шт.</t>
  </si>
  <si>
    <t xml:space="preserve">Установка системы учета для технологического присоединения энергопринимающих устройств Заявителя: Джемилия Г.Н. в с. Большие Салы ул. Красноармейская, д. 12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</si>
  <si>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(Дудина Н.А.) по адресу: Ростовская область, Мясниковский район, с. Чалтырь, ул. Западная, д. 141/а, к.н. 61:25:0101608:322 (1 шт.) </t>
  </si>
  <si>
    <t xml:space="preserve">Установка системы учета для технологического присоединения энергопринимающих устройств Заявителя: ИП Баграмян В.Е. в с. Чалтырь ул. Красноармейская, д. 82/б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</si>
  <si>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(ИП Григорян С.А.) по адресу: Ростовская область, Мясниковский район, с. Большие Салы, земли СПК (колхоз) «Колос», к.н. 61:25:0000000:6126 (1 шт.) </t>
  </si>
  <si>
    <t xml:space="preserve">Установка системы учета для технологического присоединения энергопринимающих устройств Заявителя (Кадиров Т.А.) по адресу: Ростовская область, Мясниковский район, х. Калинин, ул. Донская, д. 18, к.н. 61:25:0050101:1634 (1 шт.) </t>
  </si>
  <si>
    <t xml:space="preserve">Установка системы учета для технологического присоединения энергопринимающих устройств Заявителя (Козлова Л.Н.) по адресу: Ростовская область, Мясниковский район, с. Крым, ул. 25-я линия, д. 7, к.н. 61:25:0201027:65 (1 шт.) </t>
  </si>
  <si>
    <t>Установка системы учета для технологического присоединения энергопринимающих устройств Заявителя: Косенко И.А. в х. Ленинакан ул. Лукашина, д. 16/б Мясниковского района Ростовской области – 1 шт.</t>
  </si>
  <si>
    <t xml:space="preserve">Установка системы учета для технологического присоединения энергопринимающих устройств Заявителя (Кудрин Р.В.) по адресу: Ростовская область, Мясниковский район, х. Калинин, ул. 50 лет Победы, д. 45, к.н. 61:25:0050101:1323 (1 шт.) </t>
  </si>
  <si>
    <t xml:space="preserve">Установка системы учета для технологического присоединения энергопринимающих устройств Заявителя (Майкоглуян М.А.) по адресу: Ростовская область, Мясниковский район, с. Чалтырь, ул. Шаумяна, д. 55/а, к.н. 61:25:0101110:0002 (1 шт.) </t>
  </si>
  <si>
    <t xml:space="preserve">Установка системы учета для технологического присоединения энергопринимающих устройств Заявителя (Мелексетян К.С.) по адресу: Ростовская область, Мясниковский район, с. Крым, ул. Мясникяна, д. 6, к.н. 61:25:0201013:66 (1 шт.) </t>
  </si>
  <si>
    <t xml:space="preserve">Установка системы учета для технологического присоединения энергопринимающих устройств Заявителя (Мурадян А.Э.) по адресу: Ростовская область, Мясниковский район, с. Крым, ул. 10-я линия, д. 36/а, к.н. 61:25:0201003:0019 (1 шт.) </t>
  </si>
  <si>
    <t xml:space="preserve">Установка системы учета для технологического присоединения энергопринимающих устройств Заявителя (Никиша А.С.) по адресу: Ростовская область, Мясниковский район, х. Хапры, ул. Первомайская, д. 63/а, к.н. 61:25:0070201:2611 (1 шт.) </t>
  </si>
  <si>
    <t xml:space="preserve">Установка системы учета для технологического присоединения энергопринимающих устройств Заявителя (Оганисян Ж.С.) по адресу: Ростовская область, Мясниковский район, х. Ленинаван, ул. Таганрогская, д. 60, к.н. 61:25:0600401:5928 (1 шт.) </t>
  </si>
  <si>
    <t xml:space="preserve">Установка системы учета для технологического присоединения энергопринимающих устройств Заявителя: Пантелеева З.И. в с. Большие Салы  ул. 2-я Заводская, д. 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</si>
  <si>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(Рябинин В.И.) по адресу: Ростовская область, Мясниковский район, х. Ленинакан, ул. Ростовская, д. 16/1, к.н. 61:25:0030301:1343 (1 шт.) </t>
  </si>
  <si>
    <t xml:space="preserve">Установка системы учета для технологического присоединения энергопринимающих устройств Заявителя (Саакян А.М.) по адресу: Ростовская область, Мясниковский район, с. Чалтырь, ул. Красноармейская, д. 11/а, к.н. 61:25:0000000:154 (1 шт.) </t>
  </si>
  <si>
    <t xml:space="preserve">Установка системы учета для технологического присоединения энергопринимающих устройств Заявителя (Саркисова С.А.) по адресу: Ростовская область, Мясниковский район, с. Крым, ул. Первомайская, д. 11/г, к.н. 61:25:0201016:413 (1 шт.) </t>
  </si>
  <si>
    <t xml:space="preserve">Установка системы учета для технологического присоединения энергопринимающих устройств Заявителя: Саркисьян Р.С. в с. Чалтырь  ул. Мец-Чорвах, д. 1/б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</si>
  <si>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(Серопян А.А.) по адресу: Ростовская область, Мясниковский район, х. Ленинаван, ул. Таганрогская, д. 68, к.н. 61:25:0600401:5912 (1 шт.) </t>
  </si>
  <si>
    <t xml:space="preserve">Установка системы учета для технологического присоединения энергопринимающих устройств Заявителя (Стрельникова Т.В.) по адресу: Ростовская область, Мясниковский район, с. Чалтырь, ул. Кристостуряна, д. 17, к.н. 61:25:0101422:33 (1 шт.) </t>
  </si>
  <si>
    <t>Установка системы учета для технологического присоединения энергопринимающих устройств Заявителя: Толохян И.Г. в с. Чалтырь ул. Красноармейская, д. 26/а Мясниковского района Ростовской области – 1 шт.</t>
  </si>
  <si>
    <t xml:space="preserve">Установка системы учета для технологического присоединения энергопринимающих устройств Заявителя (Хаишбашян М.С.) по адресу: Ростовская область, Мясниковский район, х. Красный Крым, ул. Туманяна, д. 20, к.н. 61:25:0030101:2380 (1 шт.) </t>
  </si>
  <si>
    <t xml:space="preserve">Установка системы учета для технологического присоединения энергопринимающих устройств Заявителя (Хачатурян Г.В.) по адресу: Ростовская область, Мясниковский район, с. Чалтырь, ул. Шагиняна, д. 73, к.н. 61:25:0600601:1827 (1 шт.) </t>
  </si>
  <si>
    <t xml:space="preserve">Установка системы учета для технологического присоединения энергопринимающих устройств Заявителя: Чебанян А.К. в с. Большие Салы, ул. Ленина, д. 5/з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</si>
  <si>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Шалунц А.А. в с. Чалтырь ул. Тащияна, д. 30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</si>
  <si>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(Ярославцева О.А.) по адресу: Ростовская область, Мясниковский район, с. Крым, ул. Октябрьская, д. 32/в, к.н. 61:25:0201009:291 (1 шт.) </t>
  </si>
  <si>
    <t>Установка системы учета для технологического присоединения энергопринимающих устройств Заявителя (Егонян С.М.) по адресу: Ростовская область, Мясниковский район, с. Большие Салы, ул. Чапчахова, д. 8, к.н. 61:25:0040101:6167 (1 шт.)</t>
  </si>
  <si>
    <t>Установка системы учета для технологического присоединения энергопринимающих устройств Заявителя (Магдесян Т.И.) по адресу: Ростовская область, Мясниковский район, с. Чалтырь, ул. 50 лет Победы, д. 86, к.н. 61:25:0600601:1152 (1 шт.)</t>
  </si>
  <si>
    <t xml:space="preserve">Установка системы учета для технологического присоединения энергопринимающих устройств Заявителя (Марченко М.Н.) по адресу: Ростовская область, Мясниковский район, х. Ленинаван, ул. С. Хатламаджияна, д. 18, к.н. 61:25:0030202:856 (1 шт.) </t>
  </si>
  <si>
    <t>Установка системы учета для технологического присоединения энергопринимающих устройств Заявителя (Омельченко Е.Б.) по адресу: Ростовская область, Мясниковский район, х. Красный Крым, ул. Братьев Баян, д. 23, к.н. 61:25:0030101:86 (1 шт.)</t>
  </si>
  <si>
    <t>Установка системы учета для технологического присоединения энергопринимающих устройств Заявителя (Тихомиров И.Г.) по адресу: Ростовская область, Мясниковский район, х. Красный Крым, ул. Лермонтовская, д. 30, к.н. 61:25:0600401:17043 (1 шт.)</t>
  </si>
  <si>
    <t>Установка системы учета для технологического присоединения энергопринимающих устройств Заявителя (Трахачева Л.А.) по адресу: Ростовская область, Мясниковский район, х. Красный Крым, ул. Сатхинская, д. 3, к.н. 61:25:0600401:17268 (1 шт.)</t>
  </si>
  <si>
    <t>Установка системы учета для технологического присоединения энергопринимающих устройств Заявителя (Харитонов А.Е.) по адресу: Ростовская область, Мясниковский район, х. Ленинаван, ул. Мясникяна, д. 3, к.н. 61:25:0030202:1519 (1 шт.)</t>
  </si>
  <si>
    <t>Установка системы учета для технологического присоединения энергопринимающих устройств Заявителя (Амбарцумян Л.В.) по адресу: Ростовская область, Мясниковский район, х. Веселый, ул. Красноармейская, д. 18, к.н. 61:25:0060101:493 (1 шт.)</t>
  </si>
  <si>
    <t>Установка системы учета для технологического присоединения энергопринимающих устройств Заявителя (Барлаухян А.Р.) по адресу: Ростовская область, Мясниковский район, с. Крым, ул. Советская, д. 62, к.н. 61:25:0201018:206 (1 шт.)</t>
  </si>
  <si>
    <t>Установка системы учета для технологического присоединения энергопринимающих устройств Заявителя (ИП Дорогобедов Е.В.) по адресу: Ростовская область, Мясниковский район, х. Ленинакан, ул. Суворова, д. 115, к.н. 61:25:0600401:15398 (1 шт.)</t>
  </si>
  <si>
    <t>Установка системы учета для технологического присоединения энергопринимающих устройств Заявителя (Куценко Д.В.) по адресу: Ростовская область, Мясниковский район, х. Красный Крым, ул. Пшеничная, д. 6/а, к.н. 61:25:0600401:18677 (1 шт.)</t>
  </si>
  <si>
    <t>Установка системы учета для технологического присоединения энергопринимающих устройств Заявителя (Саргсян Г.М.) по адресу: Ростовская область, Мясниковский район, с. Крым, ул. Шаумяна, д. 59/а, к.н. 61:25:0201003:97 (1 шт.)</t>
  </si>
  <si>
    <t>Установка системы учета для технологического присоединения энергопринимающих устройств Заявителя (Толстых М.Б.) по адресу: Ростовская область, Мясниковский район, х. Красный Крым, ул. Туманяна, д. 5/а, к.н. 61:25:0030101:2388 (1 шт.)</t>
  </si>
  <si>
    <t>Установка системы учета для технологического присоединения энергопринимающих устройств Заявителя (Чибичян М.Б.) по адресу: Ростовская область, Мясниковский район, с. Чалтырь, ул. Трудовая, д. 4/а, к.н. 61:25:0101428:14 (1 шт.)</t>
  </si>
  <si>
    <t>Установка системы учета для технологического присоединения энергопринимающих устройств Заявителя (Шатверова Л.Ш.) по адресу: Ростовская область, Мясниковский район, х. Ленинаван, аллея Центральная, д. 31, к.н. 61:25:0600401:7230 (1 шт.)</t>
  </si>
  <si>
    <t>Установка системы учета для технологического присоединения энергопринимающих устройств Заявителя (Шульга Н.Д.) по адресу: Ростовская область, Мясниковский район, х. Ленинаван, ул. Таганрогская, д. 62, к.н. 61:25:0600401:5927 (1 шт.)</t>
  </si>
  <si>
    <t>Установка системы учета для технологического присоединения энергопринимающих устройств Заявителя (Баронян А.А.) по адресу: Ростовская область, Мясниковский район, с. Большие Салы, ул. Середкина, д. 2/а, к.н. 61:25:0040101:5425 (1 шт.)</t>
  </si>
  <si>
    <t>Установка системы учета для технологического присоединения энергопринимающих устройств Заявителя (Головацкая И.М.) по адресу: Ростовская область, Мясниковский район, х. Красный Крым, ул. Турмалиновая, д. 3, к.н. 61:25:0600401:4900 (1 шт.)</t>
  </si>
  <si>
    <t>Установка системы учета для технологического присоединения энергопринимающих устройств Заявителя (Рамазян В.Н.) по адресу: Ростовская область, Мясниковский район, с. Крым, ул. Шаумяна, д. 80, к.н. 61:25:0201008:44 (1 шт.)</t>
  </si>
  <si>
    <t>Установка системы учета для технологического присоединения энергопринимающих устройств Заявителя (Багрян В.Р.) по адресу: Ростовская область, Мясниковский район, с. Большие Салы, ул. Красноармейская, к.н. 61:25:0040101:6086 (1 шт.)</t>
  </si>
  <si>
    <t>Установка системы учета для технологического присоединения энергопринимающих устройств Заявителя (Байтяков А.П.) по адресу: Ростовская область, Мясниковский район, с. Чалтырь, ул. Патканяна, д. 132/а, к.н. 61:25:0600601:1903 (1 шт.)</t>
  </si>
  <si>
    <t>Установка системы учета для технологического присоединения энергопринимающих устройств Заявителя (Гукасян М.Ф.) по адресу: Ростовская область, Мясниковский район, с. Большие Салы, ул. 1-я Ленинская, д. 35/а, к.н. 61:25:0040101:6178 (1 шт.)</t>
  </si>
  <si>
    <t xml:space="preserve">Установка системы учета для технологического присоединения энергопринимающих устройств Заявителя (Джинибалаян Х.К.) по адресу: Ростовская область, Мясниковский район, с. Крым, ул. Пролетарская, д. 11/а, к.н. 61:25:0201024:546 (1 шт.) </t>
  </si>
  <si>
    <t>Установка системы учета для технологического присоединения энергопринимающих устройств Заявителя (Пешекерян О.А.) по адресу: Ростовская область, Мясниковский район, с. Чалтырь, ул. Ростовская, д. 9, к.н. 61:25:0101215:17 (1 шт.)</t>
  </si>
  <si>
    <t xml:space="preserve">Установка системы учета для технологического присоединения энергопринимающих устройств Заявителя (Саблин К.О.) по адресу: Ростовская область, Мясниковский район, х. Калинин, ул. Садовая, д. 27, к.н. 61:25:0050101:1808 (1 шт.) </t>
  </si>
  <si>
    <t>Установка системы учета для технологического присоединения энергопринимающих устройств Заявителя (Явруян Г.А.) по адресу: Ростовская область, Мясниковский район, х. Ленинаван, ул. Абовяна, д. 7/1, к.н. 61:25:0030202:4969 (1 шт.)</t>
  </si>
  <si>
    <t>Установка системы учета для технологического присоединения энергопринимающих устройств Заявителей: Ваць М.В., Фоменко Т.М., Батряк М.А., Устименко Е.Д., Минасян Г.К., Зубкова И.А., Тамаев Р.В., Булгурян Х.А., Шмакова В.В., Федоренко А.А., Гончаров С.П., Молоткина Д.А., Афонченков А.И., Павлова И.В., Колычева А.А., Гончарова А.С., Журкина И.В., Давтян Э.Р., Гайбарян С.С., Жилин В.П., Беликов М.В., Синянская Д.А.  в Мясниковском районе Ростовской области (25 шт.)</t>
  </si>
  <si>
    <t>Установка системы учета для технологического присоединения энергопринимающих устройств Заявителей: Хулаян В.К., Саркисян Г.О., Буракова К.А., Гизгизян М.М., Ширинян Д.Д., Харченко К.В., Женина Е.М., Кутулян С.А., Клюева Т.А., Руссова О.И., Осадченко Н.Т., Седченко А.С., Зубачёв Ю.Д, Мушихина Л.А.  в Мясниковском районе Ростовской области (14 шт.)</t>
  </si>
  <si>
    <t>Установка системы учета для технологического присоединения энергопринимающих устройств Заявителей: Саркисян С.А. в Мясниковском районе Ростовской области (1 шт.)</t>
  </si>
  <si>
    <t>Установка системы учета для технологического присоединения энергопринимающих устройств Заявителя: МКУ «Дом культуры Чалтырского сельского поселения» в Мясниковском районе Ростовской области (1 шт.)</t>
  </si>
  <si>
    <t>Установка системы учета для технологического присоединения энергопринимающих устройств Заявителей: Налгиров В.О., Хаспекян И.В., Пикулик П.В., Мосоян А., Чистяков С.Д., Карпоян А.С.  в Мясниковском районе Ростовской области (6 шт.)</t>
  </si>
  <si>
    <t>Установка системы учета для технологического присоединения энергопринимающих устройств Заявителей: Трегубенко А.А., Демченко А.С., Чарыков Р.В.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</si>
  <si>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Терещенко О.В., Курузян М.Т., Комиссарова Т.Н., Соболевская О.Ю., Десна В.Б., Нижниковский А.П. в Неклиновском районе Ростовской области (6 шт.).</t>
  </si>
  <si>
    <t>Установка системы учета для технологического присоединения энергопринимающих устройств Заявителей: Шерасова А.В., Спасов В.Ф., Фролова Ю.В., Рогова С.А., Зубкова А.А. в Неклиновском районе Ростовской области (5 шт.).</t>
  </si>
  <si>
    <t>Установка системы учета для технологического присоединения энергопринимающих устройств Заявителей: МУП «Водоканал Неклиновского района», Письменный С.И., Дроботенко М.И., Боборыкин А.А., Токарев А.А., Шелист А.И., Шелист Л.А, Шелист Г.И, Церюта Т.В., Дегтярева С.А.  в Неклиновском районе Ростовской области (10 шт.)</t>
  </si>
  <si>
    <t>Установка системы учета для технологического присоединения энергопринимающих устройств Заявителей: ИП Плахоткин С.А., Шевченко М.И., Троянкин А.Б., Рязанова И.С.  в Неклиновском районе Ростовской области (4 шт.)</t>
  </si>
  <si>
    <t>Установка системы учета для технологического присоединения энергопринимающих устройств Заявителей: Терский А.А., Серебрякова Г.В.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</si>
  <si>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Демиденко В.Ю., Надолинская В.С., Слепченко Е.С., Яковлева И.А.   в Неклиновском районе Ростовской области (4 шт.).</t>
  </si>
  <si>
    <t>Установка системы учета для технологического присоединения энергопринимающих устройств Заявителей: Минасова В.Ф., Панкратьева Е.С., Андрианова Е.А.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</si>
  <si>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Костенко В.В., Пукало Р.Г., Титарева О.В.  в Неклиновском районе Ростовской области (3 шт.).</t>
  </si>
  <si>
    <t xml:space="preserve">Установка системы учета для технологического присоединения энергопринимающих устройств Заявителя: Осипова Е.А. в Неклиновском районе Ростовской области (1 шт.). </t>
  </si>
  <si>
    <t>Установка системы учета для технологического присоединения энергопринимающих устройств Заявителей: Емельянова И.В., Агафонова С.Л., Малышев В.А., Чернобай С.А., Мацарская К.В., Комарова Е.Л., Набиев Наби Шамстан Оглы, Костюченко Е.А., Афанасьев В.С.   в Неклиновском районе Ростовской области (9 шт.).</t>
  </si>
  <si>
    <t>Установка системы учета для технологического присоединения энергопринимающих устройств Заявителей: Бабичев А.В., Нога К.В.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</si>
  <si>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Белова Ю.А., Гладкая Ю.А.   в Неклиновском районе Ростовской области (2 шт.).</t>
  </si>
  <si>
    <t xml:space="preserve">Установка системы учета для технологического присоединения энергопринимающих устройств Заявителей: Бурых С.В., Морозов В.В., Васильченко В.В.   в Неклиновском районе Ростовской области (3 шт.). </t>
  </si>
  <si>
    <t xml:space="preserve">Установка системы учета для технологического присоединения энергопринимающих устройств Заявителей: Исаджанян А.З., Половинко К.В., Блинков Р.Г. в Неклиновском районе Ростовской области (3 шт.). </t>
  </si>
  <si>
    <t xml:space="preserve">Установка системы учета для технологического присоединения энергопринимающих устройств Заявителей: Кадобкин А.С., Голикова М.Д., Молотов Р.В., Домашевский Д.А. в Неклиновском районе Ростовской области (4 шт.). </t>
  </si>
  <si>
    <t>Установка системы учета для технологического присоединения энергопринимающих устройств Заявителей: ФКУ «Управление автомобильной магистрали Москва – Волгоград Федерального дорожного агенсва», Малородная В.И., Куценко В.Н.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</si>
  <si>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Нигогосова К.В., Ефремов С.Н., Скляренко А.А.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</si>
  <si>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Марьянченко В.Н., Федоренко О.А., Шахназарян Г.Р., Кожухова М.Е., Челнокова А.И., Василенко А.В., Гронцев А.В.   в Неклиновском районе Ростовской области (7 шт.).</t>
  </si>
  <si>
    <t>Установка системы учета для технологического присоединения энергопринимающих устройств Заявителей: Кретов В.П., Полоусов И.В., Хорольский И.В.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</si>
  <si>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Камардина Е.В., Добронравов Н.Ю., Блюдов С.Е.  в Неклиновском районе Ростовской области (3 шт.).</t>
  </si>
  <si>
    <t>Установка системы учета для технологического присоединения энергопринимающих устройств Заявителя: Воронова Ю.В.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</si>
  <si>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Заявителей: Канюшник М.А., Жулина Е.И., Яковлев А.Н., Дышловая Т.Ю., Кривошапко В.В.  в Неклиновском районе Ростовской области (5 шт.). </t>
  </si>
  <si>
    <t xml:space="preserve">Установка системы учета для технологического присоединения энергопринимающих устройств Заявителя: Мамченко Е.С.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</si>
  <si>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Заявителей: Кокенко В.В., Исаджанян Ю.А.   в Неклиновском районе Ростовской области (2 шт.). </t>
  </si>
  <si>
    <t>Установка системы учета для технологического присоединения энергопринимающих устройств Заявителей: Миргородский В.В., Мирзебалаев М.А., Егоров А.В., Тарасенко Н.В., Рубанов К.А.  в Неклиновском районе Ростовской области (5 шт.).</t>
  </si>
  <si>
    <t>Установка системы учета для технологического присоединения энергопринимающих устройств Заявителей: Акопян С.А., Пашаев И.И.О., Пискунова В.Н., Шкодич А.Г., Федорова Л.Б., Тодоров П.А., Савенок И.И. в Неклиновском районе Ростовской области (7 шт.)</t>
  </si>
  <si>
    <t xml:space="preserve">Установка системы учета для технологического присоединения энергопринимающих устройств Заявителей: Омельченко С.Ю., Гаврилов А.А., Марченко С.Н. в Неклиновском районе Ростовской области (3 шт.) </t>
  </si>
  <si>
    <t xml:space="preserve">Установка системы учета для технологического присоединения энергопринимающих устройств Заявителей: Никифоров В.Г., Азизов Э.Т. в Неклиновском районе Ростовской области (2 шт.) </t>
  </si>
  <si>
    <t>Установка системы учета для технологического присоединения энергопринимающих устройств Заявителей: ФКУ «Управление автомобильной магистрали Москва-Волгоград Федерального дорожного агентства», Олейник А.А., Путивцева С.В., Соколова Е.Ю., Лопаткин А.В., ИП Горбанева К.Д., Дорошина Е.Г., Шелестова Л.В., Печенкин И.В.  в Неклиновском районе Ростовской области (9 шт.).</t>
  </si>
  <si>
    <t xml:space="preserve">Установка системы учета для технологического присоединения энергопринимающих устройств Заявителей: Ливенцева А.А., Горобченко Е.Е., ИП Попов Г.А.   в Неклиновском районе Ростовской области (3 шт.). </t>
  </si>
  <si>
    <t xml:space="preserve">Установка системы учета для технологического присоединения энергопринимающих устройств Заявителей: Зобнев Н.В., Бова Л.П., Левин М.Е. в Неклиновском районе Ростовской области (3 шт.). </t>
  </si>
  <si>
    <t>Установка системы учета для технологического присоединения энергопринимающих устройств Заявителей: Булгакова Н.А., Задорожняя Л.А., Калиниченко Д.А.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</si>
  <si>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Минасова А.М., Рахубовская Е.И., Сушкин Д.А., Коханюк Т.Н., Самолюк Л.А.  в Неклиновском районе Ростовской области (5 шт.).</t>
  </si>
  <si>
    <t>Установка системы учета для технологического присоединения энергопринимающих устройств Заявителей: Куцых О.В., Копайгора З.Н., Назлуян С.Б.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</si>
  <si>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Мартыненко В.С., Баенко Г.А.   в Неклиновском районе Ростовской области (2 шт.).</t>
  </si>
  <si>
    <t xml:space="preserve">Установка системы учета для технологического присоединения энергопринимающих устройств Заявителя (Лаптева Л.И.)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</si>
  <si>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Заявителей: Лучин А.С., Кривошапка Н.И., Шуманов Н.М., Бойко А.Г., Парамонова Р.А.  в Неклиновском районе Ростовской области (5 шт.). </t>
  </si>
  <si>
    <t>Установка системы учета для технологического присоединения энергопринимающих устройств Заявителя (ПАО "МТС")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</si>
  <si>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Заявителя (Скворцов В.Ю.)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</si>
  <si>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(Ламах А.А.) в Неклиновском районе Ростовской области (1 шт.) </t>
  </si>
  <si>
    <t>Установка системы учета для технологического присоединения энергопринимающих устройств Заявителя (Бондарев Д.Ю.)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</si>
  <si>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Заявителя (Администрация Неклиновского района)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</si>
  <si>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(Логинова М.В.)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</si>
  <si>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(ООО "Радиус") по адресу: Ростовская область, Неклиновский район, п. Дмитриадовка (1 шт.) </t>
  </si>
  <si>
    <t xml:space="preserve">Установка системы учета для технологического присоединения энергопринимающих устройств Заявителя (Сулина Е.Г.) по адресу: Ростовская область, Неклиновский район, с. Новобессергеневка, к.н. 61:26:0600024:4575 (1 шт.) </t>
  </si>
  <si>
    <t xml:space="preserve">Установка системы учета для технологического присоединения энергопринимающих устройств Заявителя (Хетагуров Э.И.) по адресу: Ростовская область, Неклиновский район, с. Покровское, ул. Полевая, д. 47, к.н. 61:26:0050114:699 (1 шт.) </t>
  </si>
  <si>
    <t xml:space="preserve">Установка системы учета для технологического присоединения энергопринимающих устройств Заявителя (МБУЗ «ЦРБ» НР РО) по адресу: Ростовская область, Неклиновский район, х. Рожок, ул. П.Е.Приходько, д. 23-б, к.н. 61:26:0100401:2180 (1 шт.) </t>
  </si>
  <si>
    <t xml:space="preserve">Установка системы учета для технологического присоединения энергопринимающих устройств Заявителя (МБУЗ «ЦРБ» НР РО) по адресу: Ростовская область, Неклиновский район, х. Мержаново, пер. Комсомольский 9-й, д. 8-а, к.н. 61:26:0060301:2174 (1 шт.) </t>
  </si>
  <si>
    <t xml:space="preserve">Установка системы учета для технологического присоединения энергопринимающих устройств Заявителя (МБУЗ «ЦРБ» НР РО) по адресу: Ростовская область, Неклиновский район, с. Малофедоровка, ул. Лиманная, д. 8-б, к.н. 61:26:0160201:780 (1 шт.) </t>
  </si>
  <si>
    <t xml:space="preserve">Установка системы учета для технологического присоединения энергопринимающих устройств Заявителя (МБУЗ «ЦРБ» НР РО) по адресу: Ростовская область, Неклиновский район, с. Новобессергеневка, ул. Ленина, д. 60 а, к.н. 61:26:0180101:300 (1 шт.) </t>
  </si>
  <si>
    <t xml:space="preserve">Установка системы учета для технологического присоединения энергопринимающих устройств Заявителя (Юнко Е.Н.) по адресу: Ростовская область, Неклиновский район,с. Весело-Вознесенко, ул. Пограничная, д. 40-В, к.н. 61:26:0100101:5087 (1 шт.) </t>
  </si>
  <si>
    <t>Установка системы учета для технологического присоединения энергопринимающих устройств Заявителя (Бондаренко В.В.) по адресу: Ростовская область, Неклиновский район, х. Веселый, ул. Первомайская, д. 17, к.н. 61:26:0070901:502 (1 шт.)</t>
  </si>
  <si>
    <t>Установка системы учета для технологического присоединения энергопринимающих устройств Заявителя (Гасинец Л.В.) по адресу: Ростовская область, Неклиновский район, х. Седых, ул. Центральная, д. 30-Б, к.н. 61:26:0181101:647 (1 шт.)</t>
  </si>
  <si>
    <t>Установка системы учета для технологического присоединения энергопринимающих устройств Заявителя (Кирпичев А.А.) по адресу: Ростовская область, Неклиновский р-н, с. Вареновка, ул. Партизанская, д. 2-в, к.н. 61:26:0502201:121 (1 шт.)</t>
  </si>
  <si>
    <t>Установка системы учета для технологического присоединения энергопринимающих устройств Заявителя (Богуш И.Н.) по адресу: Ростовская область, Неклиновский район, с. Николаевка, ул. Лермонтова, д. 78, к.н. 61:26:0110101:7408 (1 шт.)</t>
  </si>
  <si>
    <t>Установка системы учета для технологического присоединения энергопринимающих устройств Заявителя (Кирпичева Л.А.) по адресу: Ростовская область, Неклиновский район, с. Вареновка, ул. Партизанская, д. 2-в, к.н. 61:26:0502201:121 (1 шт.)</t>
  </si>
  <si>
    <t>Установка системы учета для технологического присоединения энергопринимающих устройств Заявителя (Назарян С.В.) по адресу: Ростовская область, Неклиновский район, с. Николаевка, ул. Парковая, д. 1-а, к.н. 61:26:0110101:9493 (1 шт.)</t>
  </si>
  <si>
    <t>Установка системы учета для технологического присоединения энергопринимающих устройств Заявителя (Ковалевская Т.А.) по адресу: Ростовская область, Неклиновский район, ст. Морская, ул. Ленина, д. 1/2-р, к.н. 61:26:0120301:177 (1 шт.)</t>
  </si>
  <si>
    <t>Установка системы учета для технологического присоединения энергопринимающих устройств Заявителя (Чалов А.В.) по адресу: Ростовская область, Неклиновский район, с. Весело-Вознесенка, к.н. 61:26:0600018:1687 (1 шт.)</t>
  </si>
  <si>
    <t>Установка системы учета для технологического присоединения энергопринимающих устройств Заявителя (ИП Юрьев А.И.) по адресу: Ростовская область, Неклиновский район, х. Копани, ул. Металлургическая, д. 32, пом. 1-24, 25-29, к.н. 61:26:0200701:304 (1 шт.)</t>
  </si>
  <si>
    <t>Обеспечение коммерческим учетом электрической энергии (мощности) в точке поставки и установки шкафа 0,4 кВ по присоединению спальных домиков Яровой О.А. и Колесниковой Н.С., расположенных по адресам: Ростовская область, г. Волгодонск, ул. Отдыха, д.3, кадастровыми номерами земельных участков 61:48:0020101:1273 и 61:48:0020101:1394</t>
  </si>
  <si>
    <t>Обеспечение коммерческим учетом электрической энергии (мощности) в точке поставки и установка шкафа 0,4 кВ по присоединению жилого дома Брагиной С.А., расположенного по адресу: Ростовская область, Волгодонской район, х. Мокросоленый, пер. Мирный, д.4а, к.н. 61:08:0010201:1290</t>
  </si>
  <si>
    <t xml:space="preserve">Обеспечение коммерческим учетом электрической энергии (мощности) в точке поставки и установка шкафа 0,4 кВ по присоединению дошкольной образовательной организации на 80 мест  Администрации Волгодонского района, расположенной по адресу: Ростовская область, Волгодонской район, х. Лагутники, ул. Степная, д. 1а, кадастровый номер земельного участка: 61:08:0000000:3423
</t>
  </si>
  <si>
    <t>Установка коммерческого учета электрической энергии (мощности) в точке поставки и установка шкафа 0,4 кВ по присоединению кафе ИП Строевой О.В., расположенного по адресу: Ростовская область, Волгодонской район, станица Романовская, ул. Ленина, д. 46, кадастровый номер земельного участка 61:08:0070106:24</t>
  </si>
  <si>
    <t>Установка  коммерческого учета  электрической энергии (мощности) в точке поставки и установка шкафа 0,4 кВ по присоединению жилого дома Помещенко О.А., расположенного по адресу: Ростовская область, Волгодонской район, станица Романовская, пер. Котова, д. 6а, кадастровый номер земельного участка 61:08:070129:840</t>
  </si>
  <si>
    <t>Установка коммерческого учета электрической энергии (мощности) в точке поставки и установка шкафа 0,4 кВ по присоединению спального дома Поповой Г.А., расположенного по адресу: Ростовская область, г. Волгодонск, ул. Отдыха, д. 5а, кадастровый номер земельного участка 61:48:0020101:1376</t>
  </si>
  <si>
    <t>Установка прибора коммерческого учета электрической энергии (мощности) в точке поставки для присоединения индивидуального жилого дома Абрамовой Н.Г., расположенного по адресу: Ростовская область, Волгодонской район, станица Романовская, ул. Одесская, д.13, кадастровый номер земельного участка: 61:08:0600601:3843</t>
  </si>
  <si>
    <t>Установка прибора коммерческого учета электрической энергии (мощности) в точке поставки для присоединения аптеки ИП Смольникова В.М., расположенной по адресу: Ростовская область, Волгодонской район, х. Потапов, ул. Комсомольская, д.36Б, кадастровый номер земельного участка: 61:08:0040110:1207</t>
  </si>
  <si>
    <t>Установка прибора коммерческого учета электрической энергии (мощности) в точке поставки для присоединения вагончика Большовой Г.И., расположенного по адресу: Ростовская область, г. Волгодонск, ул. Отдыха, д.3, к.н.з.у: 61:48:0020101:1272</t>
  </si>
  <si>
    <t>Установка прибора коммерческого учета электрической энергии (мощности) в точке поставки для присоединения складского здания ИП Демьянец Е.В., расположенного по адресу: Ростовская область, Волгодонской район, станица Романовская, ул. Соловьевых, д. 33, к.н.з.у.: 61:08:0070104:764</t>
  </si>
  <si>
    <t xml:space="preserve"> Установка прибора коммерческого учета электрической энергии (мощности) в точке поставки для присоединения индивидуального жилого дома Котелевской Г.Л., расположенного по адресу: Ростовская область, Волгодонской район, станица Романовская, ул. 75 лет Победы, д. 37, к.н.з.у.: 61:08:0600601:4594</t>
  </si>
  <si>
    <t>Установка прибора коммерческого учета электрической энергии (мощности) в точке поставки для присоединения индивидуального жилого дома Гречка О.Н., расположенного по адресу: Ростовская область, Волгодонской район, станица Романовская, ул. 75 лет Победы, д. 67, к.н.з.у.: 61:08:0600601:4623</t>
  </si>
  <si>
    <t xml:space="preserve">Установка прибора коммерческого учета электрической энергии (мощности) в точке поставки для присоединения садового дома Потогина Д.Ю., расположенного по адресу: Ростовская область, г. Волгодонск, ул. Отдыха, д. 39в42, к.н.з.у. 61:48:0020101:1582   
</t>
  </si>
  <si>
    <t>Установка прибора коммерческого учета электрической энергии (мощности) в точке поставки для присоединения магазина ИП Азаренковой Н.В., расположенного по адресу: Ростовская область, Волгодонской район, п. Краснодонский, ул. Школьная, д. 28, к.н.з.у.: 61:08:0060302:510</t>
  </si>
  <si>
    <t>Установка прибора коммерческого учета электрической энергии (мощности) в точке поставки для присоединения жилого дома Антиповой В.М., расположенного по адресу: Ростовская область, Цимлянский район, станица Красноярская, ул. Спортивная, д.3, к.н.з.у.: 61:41:0020128:74</t>
  </si>
  <si>
    <t>Установка прибора коммерческого учета электрической энергии (мощности) в точке поставки для присоединения жилого дома Загорского Е.А., расположенного по адресу: Ростовская область, Морозовский район, х. Великанов, ул. Великанова, д.35а, кадастровый номер земельного участка: 61:24:0110301:191</t>
  </si>
  <si>
    <t>Обеспечение коммерческим учетом электрической энергии (мощности) в точке поставки и установка шкафа 0,4 кВ по присоединению БС 2759  ООО "Т2 Мобайл" расположенной по адресу: РО, Цимлянский район, п. Дубравный, ул. Бушева, д.8, к.н. 61:41:0030404:294</t>
  </si>
  <si>
    <t>Установка коммерческого учета электрической энергии (мощности) в точке поставки и установка шкафа 0,4 кВ по присоединению жилого дома Влезко В.С., расположенного по адресу: Ростовская область, Цимлянский район, станица Красноярская, ул. Кумшацкая, д. 5а, Кадастровый номер земельного участка 61:41:0020117:63</t>
  </si>
  <si>
    <t>Установка коммерческого учета электрической энергии (мощности) в точке поставки и установка шкафа 0,4 кВ по присоединению скважины ИП главы К(Ф)Х Васильева А.А., расположенной по адресу:  Ростовская область, Цимлянский район, станица Камышевская, севернее станицы Камышевская, кадастровый номер земельного участка 61:41:0000000:19300</t>
  </si>
  <si>
    <t>Обеспечение коммерческим учетом электрической энергии (мощности) в точке поставки и установка шкафа 0,4 кВ по присоединению квартиры Голопяткиной Е.В., расположенной по адресу: Ростовская область, Цимлянский район, п. Сосенки, ул. Центральная, д. 1, кв./оф. 2, кадастровый номер земельного участка 61:41:030301:0063</t>
  </si>
  <si>
    <t>Установка коммерческого учета электрической энергии (мощности) в точке поставки и установка шкафа 0,4 кВ по присоединению модульного ФАП МБУЗ «ЦРБ» Морозовского района Ростовской области, расположенного по адресу: Ростовская область, Морозовский район, х. Великанов, ул. Великанова, д. 43, кадастровый номер земельного участка: 61:24:0110301:32</t>
  </si>
  <si>
    <t>Установка прибора коммерческого учета электрической энергии (мощности) в точке поставки по присоединению жилого дома Суровцевой А.Ф., расположенного по адресу: Ростовская область, Цимлянский район, х. Лозной, ул. Грушевая, д.31, кадастровый номер земельного участка 61:41:0600011:1165</t>
  </si>
  <si>
    <t>Установка прибора коммерческого учета электрической энергии (мощности) в точке поставки для присоединения жилого дома Томинец О.В., расположенного по адресу: Ростовская область, Цимлянский район, станица Красноярская, ул. Спортивная, д. 2б, корп. 3, к.н.з.у. 61:41:0020128:266</t>
  </si>
  <si>
    <t xml:space="preserve">Установка прибора коммерческого учета электрической энергии (мощности) в точке поставки для присоединения квартиры Чернышковой Е.М., расположенной по адресу: Ростовская область, Цимлянский район, п. Синий Курган, ул. Донская, д. 9, кв./оф. 1, к.н.з.у. 61:41:0040501:27 </t>
  </si>
  <si>
    <t>Установка прибора коммерческого учета электрической энергии (мощности) в точке поставки для присоединения жилого дома Скобина Н.С., расположенного по адресу: Ростовская область, Цимлянский район, х. Карнауховский, ул. Центральная, д. 10, к.н.з.у. 61:41:0060203:9</t>
  </si>
  <si>
    <t>Установка прибора коммерческого учета электрической энергии (мощности) в точке поставки для присоединения производственного здания/помещения ИП Джабирова М.А., расположенного по адресу: Ростовская область, Цимлянский район, станица Красноярская, ул. Победы, д. 110-г, к.н.з.у.: 61:41:0020108:171</t>
  </si>
  <si>
    <t>Установка прибора коммерческого учета электрической энергии (мощности) в точке поставки для присоединения жилого дома Доморощиной О.Г., расположенного по адресу: Ростовская область, Цимлянский район, станица Красноярская, ул. Социалистическая, д. 45а, к.н.з.у.: 61:41:0020125:229</t>
  </si>
  <si>
    <t>Установка прибора коммерческого учета электрической энергии (мощности) в точке поставки для присоединения жилого дома Журавлева А.И., расположенного по адресу: Ростовская область, Цимлянский район, х. Лозной, пер. Молодежный, д. 9, к.н.з.у.: 61:41:0030103:8</t>
  </si>
  <si>
    <t>Установка прибора коммерческого учета электрической энергии (мощности) в точке поставки для присоединения жилого дома Недельковича Р.П., расположенного по адресу: Ростовская область, Цимлянский район, станица Красноярская, ул. Заречная, д. 89в, к.н.з.у.: 61:41:0020126:131</t>
  </si>
  <si>
    <t>Установка прибора коммерческого учета электрической энергии (мощности) в точке поставки для присоединения жилого дома Пономарева А.И., расположенного по адресу: Ростовская область, Цимлянский район, станица Хорошевская, ул. Центральная, д. 37, к.н.з.у.: 61:41:0020202:68</t>
  </si>
  <si>
    <t>Установка прибора коммерческого учета электрической энергии (мощности) в точке поставки для присоединения жилого дома ООО «Приволье», расположенного по адресу: Ростовская область, Цимлянский район, п. Дубравный, ул. Красноярская, д. 20, к.н.з.у.: 61:41:0030401:219</t>
  </si>
  <si>
    <t>Установка прибора коммерческого учета электрической энергии (мощности) в точке поставки для присоединения жилого дома Коваль Е.В., расположенного по адресу: Ростовская область, Цимлянский район, станица Камышевская, ул. Донская, д. 19, к.н.з.у.: 61:41:0040108:27</t>
  </si>
  <si>
    <t>Установка прибора коммерческого учета электрической энергии (мощности) в точке поставки для присоединения объекта сельскохозяйственного производства ИП Алпатова С.В., расположенного по адресу: Ростовская область, Цимлянский район, в границах СПК «к-з им. Карла Маркса» МТФ-5, к.н.з.у.: 61:41:0600011:1037</t>
  </si>
  <si>
    <t>Установка прибора коммерческого учета электрической энергии (мощности) в точке поставки для присоединения жилого дома Курбановой Э.М-С., расположенного по адресу: Ростовская область, Цимлянский район, х. Черкасский, к.н.о.н.: 61:41:0600001:687</t>
  </si>
  <si>
    <t>Установка прибора коммерческого учета электрической энергии (мощности) в точке поставки для присоединения жилого дома Зарубина В.В., расположенного по адресу: Ростовская область, Цимлянский район, п. Синий Курган, Лозновское сельское поселение, на север на расстоянии 15-20 м от ЗУ с к.н. 61:41:0040501:375, к.н.з.у.: 61:41:0040501:420</t>
  </si>
  <si>
    <t>Установка прибора коммерческого учета электрической энергии (мощности) в точке поставки для присоединения модульного здания Администрации Саркеловского сельского поселения, расположенного по адресу: Ростовская область, Цимлянский район, п. Саркел,  ул. Винзаводская, д. 3-а, к.н.з.у.: 61:41:0011106:250</t>
  </si>
  <si>
    <t>Обеспечение коммерческим учетом электрической энергии (мощности) в точке поставки и установка шкафа 0,4 кВ по присоединению жилого дома Елисеева О.И., расположенного по адресу: Ростовская область, Мартыновский район, х. Малая Мартыновка, ул. Олимпийская, д. 1А, к.н. 61:20:0100201:3255</t>
  </si>
  <si>
    <t xml:space="preserve">Обеспечение коммерческим учетом электрической энергии (мощности) в точке поставки и установка шкафа 0,4 кВ по присоединению жилого дома Прудового И.В., расположенного по адресу: Ростовская область, Мартыновский район, х. Кривой Лиман, ул. Советская, д. 30, к.н. 61:20:0080401:953   
</t>
  </si>
  <si>
    <t>Установка коммерческого учета электрической энергии (мощности) в точке поставки и установка шкафа 0,4 кВ по присоединению жилого дома Воробьевой Л.Г., расположенного по адресу: Ростовская область, Мартыновский район, х. Новоселовка, пер. Мостовой, д. 11, кадастровый номер земельного участка 61:20:0070101:1216 (1 шт)</t>
  </si>
  <si>
    <t>Установка коммерческого учета электрической энергии (мощности) в точке поставки и установка шкафа 0,4 кВ по присоединению шкафа управления уличным освещением автомобильной дороги Министерства транспорта Ростовской области, расположенного по адресу: Ростовская область, Мартыновский район, х. Ильинов, х. Пробуждение – х. Ильинов – ст. Кутейниковская, кадастровый номер земельного участка 61:20:0000000:556</t>
  </si>
  <si>
    <t>Установка коммерческого учета электрической энергии (мощности) в точке поставки и установка шкафа 0,4 кВ по присоединению нежилого здания Аникиной Ю.В., расположенного по адресу: Ростовская область, Мартыновского район, п. Типчаковый, ул. Ленина, д. 19, кадастровый номер земельного участка 61:20:0080901:816</t>
  </si>
  <si>
    <t>Установка прибора коммерческого учета электрической энергии (мощности) в точке поставки по присоединению нежилого здания Мурадовой Д.С., расположенного по адресу: Ростовская область, Мартыновский район, х. Малоорловский, пер. Промышленный, д.15/1, кадастровый номер земельного участка 61:20:0060101:5259</t>
  </si>
  <si>
    <t>Установка прибора коммерческого учета электрической энергии (мощности) в точке поставки для присоединения жилого помещения Кушнира П.Ю., расположенного по адресу: Ростовская область, Мартыновский район, п. Речной, ул. Набережная, д.9, кв. 1, кадастровый номер земельного участка: 61:35:0050701:261</t>
  </si>
  <si>
    <t>Установка прибора коммерческого учета электрической энергии (мощности) в точке поставки для присоединения квартиры Ступина В.В., расположенной по адресу: Ростовская область, Мартыновский район, п. Речной, ул. Набережная, д.9, кв./оф. 2, к.н.з.у: 61:35:050701:18</t>
  </si>
  <si>
    <t>Обеспечение коммерческим учетом электрической энергии (мощности) в точке поставки и установка шкафа 0,4 кВ по присоединению квартиры Юрина П.В., расположенной по адресу: Ростовская область, Мартыновского район, х. Ильинов, ул. Молодежная, д. 15, кв./оф. 1, кадастровый номер земельного участка: 61:20:0040101:4001</t>
  </si>
  <si>
    <t>Установка прибора коммерческого учета электрической энергии (мощности) в точке поставки для присоединения квартиры Скороваровой Т.Н., расположенной по адресу: Ростовская область, Мартыновский район, п. Речной, ул. Набережная, д.11, кв./оф. 1, кадастровый номер земельного участка: 61:35:0050701:47</t>
  </si>
  <si>
    <t>Установка прибора коммерческого учета электрической энергии (мощности) в точке поставки для присоединения квартиры Житина П.А., расположенной по адресу: Ростовская область, Мартыновский район, п. Речной, ул. Набережная, д.1, кв. 2, кадастровый номер земельного участка: 61:35:0050701:287</t>
  </si>
  <si>
    <t>Установка прибора коммерческого учета электрической энергии (мощности) в точке поставки для присоединения квартиры Житиной О.И., расположенной по адресу: Ростовская область, Мартыновский район, п. Речной, ул. Набережная, д. 3, кв.1,  к.н.з.у: 61:35:50701:8</t>
  </si>
  <si>
    <t>Установка прибора коммерческого учета электрической энергии (мощности) в точке поставки для присоединения жилого дома Мамедова У.П., расположенного по адресу: Ростовская область, Мартыновский район, х. Арбузов, ул. Ковалева, д.8а, к.н.з.у.: 61:20:0080201:2628</t>
  </si>
  <si>
    <t>Установка прибора коммерческого учета электрической энергии (мощности) в точке поставки для присоединения жилого дома Иванченко С.В., расположенного по адресу: Ростовская область, Мартыновский район, х. Арбузов, ул. Краснопартизанская, д. 28а, к.н.з.у.: 61:20:0080201:2648</t>
  </si>
  <si>
    <t>Установка прибора коммерческого учета электрической энергии (мощности) в точке поставки для присоединения столовой ИП главы К(Ф)Х Химичева Ю.Н., расположенной по адресу: Ростовская область, Мартыновский район, х. Малая Мартыновка, ул. Административная, д. 8, к.н.з.у.: 61:20:0100201:515</t>
  </si>
  <si>
    <t>Установка прибора коммерческого учета электрической энергии (мощности) в точке поставки для присоединения жилого помещения Торосян Г.С., расположенного по адресу: Ростовская область, Мартыновский район, п. Речной, ул. Молодежная, д. 3, кв./оф. 1, к.н.з.у.: 61:35:0050701:258</t>
  </si>
  <si>
    <t>Установка прибора коммерческого учета электрической энергии (мощности) в точке поставки для присоединения помещения Таштанова Х.М., расположенного по адресу: Ростовская область, Мартыновский район, слобода Большая Орловка, ул. Революционная, д. 1а, к.н.з.у.: 61:20:0020101:103</t>
  </si>
  <si>
    <t>Установка прибора коммерческого учета электрической энергии (мощности) в точке поставки для присоединения нежилого помещения ИП Лещенко Н.П., расположенного по адресу: Ростовская область, Мартыновский район, слобода Большая Орловка, ул. Дорожная, д. 2/1-г, к.н.з.у.: 61:20:0020101:12977</t>
  </si>
  <si>
    <t>Установка прибора коммерческого учета электрической энергии (мощности) в точке поставки для присоединения жилого дома Булатовой М.Ю., расположенного по адресу: Ростовская область, Мартыновский район, х. Комаров, ул. Набережная, д. 74, к.н.з.у.: 61:20:0050101:3818</t>
  </si>
  <si>
    <t>Обеспечение коммерческим учетом электрической энергии (мощности) в точке поставки и установка шкафа 0,4 кВ по присоединению складских объектов  ИП главы К(Ф)Х Паныч Ю.В., расположенных по адресу: Ростовская область, Мартыновского район, х. Ильинов, ул. Ленина, д. 50, кадастровый номер земельного участка: 61:20:0040101:3852</t>
  </si>
  <si>
    <t>Установка прибора коммерческого учета электрической энергии (мощности) в точке поставки для присоединения жилого дома Бирюкова В.И., расположенного по адресу: Ростовская область, Константиновский район, х. Старозолотовский, ул. Донских казаков, д.10а, кадастровый номер земельного участка: 61:17:020501:0115</t>
  </si>
  <si>
    <t>Установка прибора коммерческого учета электрической энергии (мощности) в точке поставки для присоединения сторожки ООО «Костины Горы», расположенной по адресу: Ростовская область, Константиновский район, х. Старозолотовский, к.н.з.у.: 61:17:0600010:4007</t>
  </si>
  <si>
    <t>Установка прибора коммерческого учета электрической энергии (мощности) в точке поставки для присоединения жилого дома Вифлянцевой А.А., расположенного по адресу: Ростовская область, Константиновский район, станица Николаевская, ул. Коммунистическая, д. 46а, к.н.з.у.: 61:17:0050101:6648</t>
  </si>
  <si>
    <t>Установка прибора коммерческого учета электрической энергии (мощности) в точке поставки для присоединения жилого дома Мальковой Л.И., расположенного по адресу: Ростовская область, Константиновский район, х. Старозолотовский, ул. Атаманная, д. 6-а, к.н.з.у.: 61:17:0020501:287</t>
  </si>
  <si>
    <t xml:space="preserve">Установка прибора коммерческого учета электрической энергии (мощности) в точке поставки для присоединения квартиры Шовиковой О.В., расположенной по адресу: Ростовская область, Константиновский район, х. Ведерников, ул. Лесная, д. 43, кв. 2, к.н.з.у.: 61:17:0010501:122 </t>
  </si>
  <si>
    <t>Установка прибора коммерческого учета электрической энергии (мощности) в точке поставки для присоединения жилого дома Топилиной И.В., расположенного по адресу: Ростовская область, Константиновский район, станица Богоявленская, ул. Центральная,  д. 18, к.н.з.у.: 61:17:0030101:2544</t>
  </si>
  <si>
    <t>Установка прибора коммерческого учета электрической энергии (мощности) в точке поставки для присоединения садового домика Мамонова А.В., расположенного по адресу: Ростовская область, Константиновский район, х. Ведерников, садоводческое товарищество «Виноградарь», к.н.з.у.: 61:17:0500401:39</t>
  </si>
  <si>
    <t>Установка прибора коммерческого учета электрической энергии (мощности) в точке поставки для присоединения жилого дома Абашина А.Д., расположенного по адресу: Ростовская область, Константиновский район, п. Хрящевский, ул. Восточная, д. 1, к.н.з.у.: 61:17:0020601:0266</t>
  </si>
  <si>
    <t>Установка прибора коммерческого учета электрической энергии (мощности) в точке поставки для присоединения жилого дома Карпова В.И., расположенного по адресу: Ростовская область, Константиновский район, станица Мариинская, ул. Набережная, д. 119, к.н.з.у.: 61:17:050301:0367</t>
  </si>
  <si>
    <t>Установка прибора коммерческого учета электрической энергии (мощности) в точке поставки для присоединения жилого дома ООО «Костины Горы»., расположенного по адресу: Ростовская область, Константиновский район, х. Старозолотовский, ул. Донских казаков, д. 33, к.н.з.у.: 61:17:0020501:43</t>
  </si>
  <si>
    <t>Установка прибора коммерческого учета электрической энергии (мощности) в точке поставки для присоединения жилого дома Гордеевой Л.М., расположенного по адресу: Ростовская область, Константиновский район, станица Николаевская, ул. Ленина, д.9, кадастровый номер земельного участка: 61:17:0050101:6566</t>
  </si>
  <si>
    <t>Установка прибора коммерческого учета электрической энергии (мощности) в точке поставки для присоединения общественной территории у здания Администрации Николаевского сельского поселения, расположенной по адресу: Ростовская область, Константиновский район, станица Николаевская, ул. Центральная, д. 23, к.н.з.у.: 61:17:00501011:6896</t>
  </si>
  <si>
    <t>Установка прибора коммерческого учета электрической энергии (мощности) в точке поставки для присоединения жилого дома Бондаренко С.С., расположенного по адресу: Ростовская область, Константиновский район, х. Вифлянцев, ул. Заречная, д. 39, к.н.з.у.: 61:17:0070301:261</t>
  </si>
  <si>
    <t>Установка коммерческого учета электрической энергии (мощности)  в точке поставки и установка шкафа 0,4 кВ по присоединению жилого дома Логвинова В.А., расположенного по адресу: Ростовская область, Константиновский район, х. Трофимов, ул. Степная, д.22, кадастровый номер земельного участка 61:17:0061001:133</t>
  </si>
  <si>
    <t>Установка прибора коммерческого учета электрической энергии (мощности) в точке поставки для присоединения жилого дома Леонова А.А., расположенного по адресу: Ростовская область, Константиновский район, х. Гапкин, ул. Зеленая, д. 14, к.н.з.у.: 61:17:0040101:0481</t>
  </si>
  <si>
    <t>Установка прибора коммерческого учета электрической энергии (мощности) в точке поставки для присоединения жилого дома Вифлянцева С.Н., расположенного по адресу: Ростовская область, Константиновский район, станица Николаевская, ул. 8 Марта, д. 20, к.н.з.у.: 61:17:0050101:1374</t>
  </si>
  <si>
    <t>Установка прибора коммерческого учета электрической энергии (мощности) в точке поставки для присоединения жилого дома Лебеденко В.П., расположенного по адресу: Ростовская область, Константиновский район, х. Авилов, ул. Молодежная, д. 18, к.н.з.у.: 61:17:0020101:892</t>
  </si>
  <si>
    <t>Установка коммерческого учета электрической энергии (мощности) в точке поставки и установка шкафа 0,4 кВ по присоединению жилого дома Орловской А.В., расположенного по адресу: Ростовская область, Ремонтненский район, с. Подгорное, ул. Ленина, д.49, кадастровый номер земельного участка 61:32:127:1:52:36:49:0</t>
  </si>
  <si>
    <t>Установка прибора коммерческого учета электрической энергии (мощности) в точке поставки для присоединения жилого дома Абдуллаева М.М., расположенного по адресу: Ростовская область, Ремонтненский район, с. Валуевка, ул. Горяинова, д.88, кадастровый номер земельного участка: 61:32:0020101:238</t>
  </si>
  <si>
    <t>Установка прибора коммерческого учета электрической энергии (мощности) в точке поставки для присоединения специализированных складов ИП главы К(Ф)Х Исагаджиева М.А., расположенных по адресу: Ростовская область, Ремонтненский район, п. Денисовский, ул. Садовая, д.15а, кадастровый номер земельного участка: 61:32:0030101:1669</t>
  </si>
  <si>
    <t>Установка прибора коммерческого учета электрической энергии (мощности) в точке поставки для присоединения жилого дома Косенко В.И., расположенного по адресу: Ростовская область, Ремонтненский район, с. Первомайское, ул. Октябрьская, д.62, кадастровый номер земельного участка: 61:32:0080102:2465</t>
  </si>
  <si>
    <t>Установка  коммерческого учета электрической энергии (мощности) в точке поставки и установка шкафа 0,4 кВ по присоединению жилого дома Лысенко С.И., расположенного по адресу: Ростовская область, Ремонтненский район, с. Большое Ремонтное, ул. Заречная, д.29, кадастровый номер земельного участка 61:32:0040101:14 (1шт)</t>
  </si>
  <si>
    <t>Установка коммерческого учета электрической энергии (мощности) в точке поставки и установка шкафа 0,4 кВ по присоединению жилого дома Моргунова П.М, расположенного по адресу: Ростовская область, Ремонтненский район, с. Киевка, ул. Октябрьская, д.15, кадастровый номер земельного участка 61:32:0050101:931</t>
  </si>
  <si>
    <t>Установка прибора коммерческого учета электрической энергии (мощности) в точке поставки для присоединения жилого дома Ануфриенко Я.В., расположенного по адресу: Ростовская область, Ремонтненский район, с. Богородское, ул. Болдырева, д. 2а, к.н.з.у.: 61:32:0040201:223</t>
  </si>
  <si>
    <t>Установка прибора коммерческого учета электрической энергии (мощности) в точке поставки для присоединения жилого дома Гасанова И.М., расположенного по адресу: Ростовская область, Ремонтненский район, п. Новопривольный, ул. Степная, д. 4, к.н.з.у.: 61:32:0100201:11</t>
  </si>
  <si>
    <t>Установка прибора коммерческого учета электрической энергии (мощности) в точке поставки для присоединения жилого дома Богачева А.В., расположенного по адресу: Ростовская область, Ремонтненский район, с. Подгорное, ул. Аэродромная, д. 15, к.н.з.у.: 61:32:0090101:173</t>
  </si>
  <si>
    <t>Установка прибора коммерческого учета электрической энергии (мощности) в точке поставки для присоединения жилого дома Босенко О.Ю., расположенного по адресу: Ростовская область, Ремонтненский район, с. Киевка, ул. Ленинская, д. 72, к.н.з.у.: 61:32:0050101:226</t>
  </si>
  <si>
    <t>Установка прибора коммерческого учета электрической энергии (мощности) в точке поставки для присоединения жилого дома Дьякона Н.Д., расположенного по адресу: Ростовская область, Ремонтненский район, с. Киевка, ул. Шолохова, д. 41, к.н.з.у.: 61:32:050101:0022</t>
  </si>
  <si>
    <t>Установка прибора коммерческого учета электрической энергии (мощности) в точке поставки для присоединения жилого дома Луговенко Т.Ю., расположенного по адресу: Ростовская область, Ремонтненский район, с. Подгорное, ул. Комсомольская, д. 22, к.н.з.у.: 61:32:0090101:1731</t>
  </si>
  <si>
    <t>Установка прибора коммерческого учета электрической энергии (мощности) в точке поставки для присоединения квартиры Смирновой М.А., расположенной по адресу: Ростовская область, Ремонтненский район, п. Новопривольный, ул. Лермонтова, д. 18, кв. 1, к.н.з.у.: 61:32:0100201:78</t>
  </si>
  <si>
    <t>Установка коммерческого учета электрической энергии (мощности) в точке поставки и установка шкафа 0,4 кВ по присоединению кошары Главы К(Ф)Х Булатова М-Р.М., расположенной по адресу: Ростовская область, Ремонтненский район, Подгорненское сельское поселение примерно в 7 км по направлению на северо-восток от с. Подгорное от ориентира 41 отарный участок, расположенного в границах участка, ж/т 13, кадастровый номер земельного участка 61:32:0000000:2312  (1 шт)</t>
  </si>
  <si>
    <t>Установка  коммерческого учета электрической энергии (мощности) в точке поставки и установка шкафа 0,4 кВ по присоединению жилого дома Лозового А.В., расположенного по адресу: Ростовская область, Заветинский район, с. Федосеевка, ул. Пограничная, д. 16, к.н. 61:11:0070101:556 (1 шт)</t>
  </si>
  <si>
    <t>Установка коммерческого учета электрической энергии (мощности) в точке поставки и установка шкафа 0,4 кВ по присоединению квартиры в жилом доме Сотниковой Е.В., расположенной по адресу: Ростовская область, Заветинский район, х. Фомин, ул. Молодежная, д. 7, кв. 1, кадастровый номер земельного участка 61:11:0080101:1360</t>
  </si>
  <si>
    <t>Установка коммерческого учета электрической энергии (мощности) в точке поставки и установка шкафа 0,4 кВ по присоединению жилого дома Арсакаевой Х.Р., расположенного по адресу: Ростовская область, Заветинский район, х. Фомин, ул. Школьная, д. 32, кадастровый номер земельного участка 61:11:0080101:1232</t>
  </si>
  <si>
    <t>Установка коммерческого учета электрической энергии (мощности) в точке поставки и установка шкафа 0,4 кВ по присоединению нежилого здания ИП главы К(Ф)Х Середы Ф.Г., расположенного по адресу: Ростовская область, Заветинский район, с. Заветное, ул. Социалистическая, д.25а, кадастровый номер земельного участка 61:11:0010101:9705</t>
  </si>
  <si>
    <t>Установка прибора коммерческого учета электрической энергии (мощности) в точке поставки для присоединения квартиры Сидоришиной Н.В., расположенной по адресу: Ростовская область, Заветинский район, х. Фомин, ул. Быкадорова, д.13, кв. 1, кадастровый номер объекта: 61:61:14/202/2008:525</t>
  </si>
  <si>
    <t>Установка прибора коммерческого учета электрической энергии (мощности) в точке поставки для присоединения жилого дома Джалиева А.М., расположенного по адресу: Ростовская область, Заветинский район, п. Спорная, проезд Ковыльный, д.21, кадастровый номер объекта: 61:11:09:0000:2084/А:0/6551</t>
  </si>
  <si>
    <t>Установка прибора коммерческого учета электрической энергии (мощности) в точке поставки для присоединения жилого дома Магомедшарипова М.М., расположенного по адресу: Ростовская область, Заветинский район, с. Тюльпаны, проезд. Солнечный, д. 7,  к.н.з.у.: 61:11:0600012:532</t>
  </si>
  <si>
    <t>Установка прибора коммерческого учета электрической энергии (мощности) в точке поставки для присоединения жилого дома Карапетяна А.Е., расположенного по адресу: Ростовская область, Заветинский район, с. Кичкино, проезд Степной, д. 19, к.н.з.у.: 61:11:0600010:621</t>
  </si>
  <si>
    <t>Установка прибора коммерческого учета электрической энергии (мощности) в точке поставки для присоединения квартиры Жуковой С.А., расположенной по адресу: Ростовская область, Заветинский район, с. Тюльпаны, пер. Центральный, д. 4, кв. 1, к.н.з.у.: 61:11:0040101:66</t>
  </si>
  <si>
    <t>Установка прибора коммерческого учета электрической энергии (мощности) в точке поставки для присоединения квартиры Шамсадовой Х.А., расположенной по адресу: Ростовская область, Заветинский район, с. Кичкино, ул. Солнечная, д. 17, кв. 2, к.н.з.у.: 61:11:030101:3</t>
  </si>
  <si>
    <t>Установка прибора коммерческого учета электрической энергии (мощности) в точке поставки для присоединения столярного цеха ИП главы К(Ф)Х Годуева Р.С., расположенного по адресу: Ростовская область, Заветинский район, х. Никольский, ул. Кольцевая, д. 71, к.н.з.у.: 61:11:0050101:1499</t>
  </si>
  <si>
    <t>Установка прибора коммерческого учета электрической энергии (мощности) в точке поставки для присоединения жилого дома Бахмадова С.М., расположенного по адресу: Ростовская область, Заветинского район, п. Спорная, ул. Дружбы, д. 1, к.н.з.у.: 61:11:0050301:10</t>
  </si>
  <si>
    <t>Установка прибора коммерческого учета электрической энергии (мощности) в точке поставки для присоединения квартиры в жилом доме Мовлатова Х.Х., расположенной по адресу: Ростовская область, Заветинский район, х. Фрунзе, ул. Шоссейная, д. 3, кв. 2, к.н.з.у.: 61:11:0050401:101</t>
  </si>
  <si>
    <t>Установка прибора коммерческого учета электрической энергии (мощности) в точке поставки для присоединения нежилого помещения ИП Гнатюк Н.Б., расположенного по адресу: Ростовская область, Дубовский район, станица Жуковская, ул. Краснопартизанская,  д. 31а, к.н.з.у.: 61:09:0030101:2872</t>
  </si>
  <si>
    <t>Установка прибора коммерческого учета электрической энергии (мощности) в точке поставки для присоединения квартиры в жилом доме Муртазалиевой П.А., расположенной по адресу: Ростовская область, Дубовский район, станица Эркетиновская, ул. Первомайская, д. 2, кв. 2, к.н.з.у. 61:09:0080601:0:194</t>
  </si>
  <si>
    <t>Установка прибора коммерческого учета электрической энергии (мощности) в точке поставки для присоединения жилого дома Шутовой М.И., расположенного по адресу: Ростовская область, Дубовский район, х. Харсеев, ул. Крайняя, д. 16, к.н.з.у.: 61:09:0030401:131</t>
  </si>
  <si>
    <t>Установка прибора коммерческого учета электрической энергии (мощности) в точке поставки для присоединения квартиры Васильченко С.Е., расположенной по адресу: Ростовская область, Дубовский район, станица Баклановская, ул. Майская, д. 9, кв. 1, к.н.з.у.: 61:09:0060301:65</t>
  </si>
  <si>
    <t>Установка прибора коммерческого учета электрической энергии (мощности) в точке поставки для присоединения жилого дома Гущиной С.В., расположенного по адресу: Ростовская область, Дубовский район, х. Овчинников, пер. Восточный, д. 10, к.н.з.у.: 61:09:0030201:299</t>
  </si>
  <si>
    <t>Обеспечение коммерческим учетом электрической энергии (мощности) в точке поставки и установка шкафа 0,4 кВ по присоединению жилого дома Абрамян С.К., расположенного по адресу: Ростовская область, Зимовниковский район, х. Ленинский, ул. Мира, д.123, к.н. 61:13:0130601:445»</t>
  </si>
  <si>
    <t>Обеспечение коммерческим учетом электрической энергии (мощности) в точке поставки и установка шкафа 0,22 кВ по присоединению жилого дома Грицына А.Я., расположенного по адресу: Ростовская область, Зимовниковский район, х. Хуторской, ул. Школьная, д. 21, к.н. 61:13:060103:0029</t>
  </si>
  <si>
    <t>Установка прибора коммерческого учета электрической энергии (мощности) в точке поставки по присоединению жилого дома Искендерова Э.М.О., расположенного по адресу: Ростовская область, Зимовниковский район, с/п Верхнесеребряковское, вблизи х. Петухов, кадастровый номер земельного участка 61:13:0600001:2688</t>
  </si>
  <si>
    <t>Установка прибора коммерческого учета электрической энергии (мощности) в точке поставки для присоединения жилого дома Брылева А.С., расположенного по адресу: Ростовская область, Зимовниковский район, п. Зимовники, пер. Клубный, д. 15, к.н.з.у.: 61:13:0010336:125</t>
  </si>
  <si>
    <t>Установка прибора коммерческого учета электрической энергии (мощности) в точке поставки для присоединения жилого дома Бурова Н.С., расположенного по адресу: Ростовская область, Волгодонской район, станица Каргальская, ул. Набережная, д. 13А, к.н.з.у.: 61:08:0040501:308</t>
  </si>
  <si>
    <t>Установка прибора коммерческого учета электрической энергии (мощности) в точке поставки для присоединения жилого дома Бойко И.В., расположенного по адресу: Ростовская область, Волгодонской район, станица Романовская, ул. Почтовая, д. 1, к.н.з.у.: 61:08:0070111:454</t>
  </si>
  <si>
    <t>Установка прибора коммерческого учета электрической энергии (мощности) в точке поставки для присоединения жилого дома Горбачева Н.А., расположенного по адресу: Ростовская область, Цимлянский район, станица Красноярская, ул. 60 лет Октября, д. 4, к.н.з.у.: 61:41:0020128:43</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</si>
  <si>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Морозовский район, станица Чертковская</t>
  </si>
  <si>
    <t>Обеспечение коммерческим учетом электрической энергии (мощности) в точке поставки и установка шкафа 0,4 кВ по присоединению жилого дома Коновалова А.Н., расположенного по адресу: Ростовская область, Цимлянский район, п. Саркел, пер. Полевой, д. 5, к.н. 61:41:0011105:85</t>
  </si>
  <si>
    <t>Установка прибора коммерческого учета электрической энергии (мощности) в точке поставки для присоединения жилого дома Попова А.П., расположенного по адресу: Ростовская область, Цимлянский район, х. Лозной, пер. Победы, д. 55а, к.н.з.у.: 61:41:0030112:198</t>
  </si>
  <si>
    <t>Установка прибора коммерческого учета электрической энергии (мощности) в точке поставки для присоединения жилого дома Медянниковой Л.Н., расположенного по адресу: Ростовская область, Цимлянский район, п. Дубравный, ул. Красноярская, д. 15, к.н.з.у.: 61:41:0030401:216</t>
  </si>
  <si>
    <t>Установка прибора коммерческого учета электрической энергии (мощности) в точке поставки для присоединения жилого дома Герасименко Л.Т., расположенного по адресу: Ростовская область, Цимлянский район, станица Новоцимлянская, ул. Театральная, д. 11, к.н.з.у.: 61:41:0070112:12</t>
  </si>
  <si>
    <t>Установка прибора коммерческого учета электрической энергии (мощности) в точке поставки для присоединения жилого дома Захарова Д.В., расположенного по адресу: Ростовская область, Цимлянский район, х. Ремизов, ул. Веселая, д. 15, к.н.з.у.: 61:41:070305:0002</t>
  </si>
  <si>
    <t>Установка прибора коммерческого учета электрической энергии (мощности) в точке поставки для присоединения жилого дома Самокишева И.И., расположенного по адресу: Ростовская область, Цимлянский район, станица Красноярская, пер. Красноармейский, д. 7б, к.н.з.у.: 61:41:0020118:109</t>
  </si>
  <si>
    <t>Установка прибора коммерческого учета электрической энергии (мощности) в точке поставки для присоединения жилого дома Листратенко Р.С., расположенного по адресу: Ростовская область, Цимлянский район, станица Новоцимлянская, ул. Советская, д. 1/15,  к.н.з.у.: 61:41:0070115:8</t>
  </si>
  <si>
    <t>Установка прибора коммерческого учета электрической энергии (мощности) в точке поставки для присоединения жилого дома Биктимировой Н.В., расположенного по адресу: Ростовская область, Цимлянский район, станица Красноярская, ул. Набережная, д. 80а, к.н.з.у.: 61:41:0020113:601</t>
  </si>
  <si>
    <t>Установка прибора коммерческого учета электрической энергии (мощности) в точке поставки для присоединения жилого дома Харланова А.А., расположенного по адресу: Ростовская область, Цимлянский район, станица Красноярская, пер. Кооперативный, д. 15, к.н.з.у.: 61:41:0020124:4</t>
  </si>
  <si>
    <t>Установка прибора коммерческого учета электрической энергии (мощности) в точке поставки для присоединения квартиры Бабаян А.А., расположенной по адресу: Ростовская область, Константиновский район, х. Костино-Горский, ул. Молодежная, д. 10, кв. 1, к.н.з.у.: 61:17:0020201:602</t>
  </si>
  <si>
    <t>Установка прибора коммерческого учета электрической энергии (мощности) в точке поставки для присоединения жилого дома Гляненко Т.Н., расположенного по адресу: Ростовская область, Константиновский район, х. Крюков, ул. Школьная, д. 12, к.н.з.у.: 61:17:0060701:143</t>
  </si>
  <si>
    <t>Установка прибора коммерческого учета электрической энергии (мощности) в точке поставки для присоединения жилого дома Хабибулиной Л.В., расположенного по адресу: Ростовская область, Константиновский район, станица Николаевская, ул. Центральная, д. 36, к.н.з.у.: 61:17:050101:1029</t>
  </si>
  <si>
    <t>Установка коммерческого учета электрической энергии (мощности) в точке поставки и установка шкафа 0,4 кВ по присоединению жилого дома Зайцева В.Н., расположенного по адресу: Ростовская область, Константиновский район, х. Старая Станица, ул. Заречная, д. 20, кадастровый номер земельного участка 61:17:0050501:513</t>
  </si>
  <si>
    <t>Установка коммерческого учета электрической энергии (мощности)  в точке поставки и установка шкафа 0,4 кВ по присоединению жилого дома Гусейновой И.А., расположенного по адресу: Ростовская область, Константиновский район, станица Николаевская, ул. Крупской, д.69, кадастровый номер земельного участка 61:17:0050101:2033</t>
  </si>
  <si>
    <t>Установка прибора коммерческого учета электрической энергии (мощности) в точке поставки для присоединения жилого дома Адуевой В.Д., расположенного по адресу: Ростовская область, Константиновский район, х. Кастырский, ул. Степная, д. 8, к.н.з.у.: 61:17:0030301:397</t>
  </si>
  <si>
    <t>Установка прибора коммерческого учета электрической энергии (мощности) в точке поставки для присоединения помещения гостиницы №2 АО «Азово-Донская нерудная компания», расположенного по адресу: Ростовская область, Константиновский район, х. Верхнепотапов, ул. Молодежная, д. 5, к.н.з.у.: 61:17:060401:0150</t>
  </si>
  <si>
    <t>Установка прибора коммерческого учета электрической энергии (мощности) в точке поставки для присоединения жилого дома Борисенко И.В., расположенного по адресу: Ростовская область, Константиновский район, станица Николаевская, ул. Крупской, д. 6, к.н.з.у.: 61:17:0050101:2023</t>
  </si>
  <si>
    <t>Установка прибора коммерческого учета электрической энергии (мощности) в точке поставки для присоединения жилого дома СПК колхоза имени Николенко, расположенного по адресу: Ростовская область, Ремонтненский район, северо-западнее х. Вольный на расстоянии 13-14 км, к.н.з.у.: 61:32:0000000:2375</t>
  </si>
  <si>
    <t>Установка прибора коммерческого учета электрической энергии (мощности) в точке поставки для присоединения квартиры Махашева Л.М., расположенной по адресу: Ростовская область, Ремонтненский район, с. Валуевка, ул. Горяинова, д. 15, кв. 2, к.н.з.у.: 61:32:0020101:311</t>
  </si>
  <si>
    <t>Установка прибора коммерческого учета электрической энергии (мощности) в точке поставки для присоединения базовой станции/оборудования сотовой связи АО «Первая Башенная Компания», расположенной по адресу: Ростовская область, Зимовниковский район, х. Камышев, ул. Центральная, в 60 метрах от дома №15, номер кадастрового квартала: 61:13:0050108</t>
  </si>
  <si>
    <t>Обеспечение коммерческим учетом электрической энергии (мощности) в точке поставки и установка шкафа 0,4 кВ по присоединению магазина смешанных товаров ООО «Альфа», расположенного по адресу: Ростовская область, Волгодонской район, п. Победа, ул. Кооперативная, д. 1а, к.н. 61:08:0060104:87</t>
  </si>
  <si>
    <t>Установка прибора коммерческого учета электрической энергии (мощности) в точке поставки для присоединения наружного освещения (светодиодные светильники) и фоторадарного комплекса измерения скорости транспортных средств «Кордон-М»2 Министерства транспорта Ростовской области., расположенного по адресу: Ростовская область, Волгодонской район, от границы Мартыновского района (на северо-запад от п. Краснодонский=2 км). Конец – в 3 км на северо-запад от Волгодонска, к.н.з.у: 61:08:0000000:0:69</t>
  </si>
  <si>
    <t>Установка прибора коммерческого учета электрической энергии (мощности) в точке поставки для присоединения индивидуального жилого дома Трымбаковой В.И., расположенного по адресу: Ростовская область, Волгодонской район, станица Романовская, ул. 75 лет Победы, д. 51, к.н.з.у.: 61:08:0600601:4608</t>
  </si>
  <si>
    <t>Установка прибора коммерческого учета электрической энергии (мощности) в точке поставки для присоединения жилого дома Косогова С.И., расположенного по адресу: Ростовская область,Волгодонской район, станица Романовская, ул. 75 лет Победы, д. 29, к.н.з.у.: 61:08:0600601:4586</t>
  </si>
  <si>
    <t>Установка прибора коммерческого учета электрической энергии (мощности) в точке поставки для присоединения индивидуального жилого дома Нидзеева Г.Б., расположенного по адресу: Ростовская область, Волгодонской район, станица Романовская, ул. 75 лет Победы, д. 73, к.н.з.у.: 61:08:0600601:4629</t>
  </si>
  <si>
    <t>Установка прибора коммерческого учета электрической энергии (мощности) в точке поставки для присоединения индивидуального жилого дома Бардыкова А.П., расположенного по адресу: Ростовская область,  Волгодонской район, станица Романовская, ул. 75 лет Победы, д. 35, к.н.з.у.: 61:08:0600601:4592</t>
  </si>
  <si>
    <t>Установка прибора коммерческого учета электрической энергии (мощности) в точке поставки для присоединения садового дома Егоровой Ж.А., расположенного по адресу: Ростовская область, г. Волгодонск, ул. Отдыха, д. 39в24, к.н.з.у.: 61:48:0020101:1863</t>
  </si>
  <si>
    <t>Установка прибора коммерческого учета электрической энергии (мощности) в точке поставки для присоединения жилого дома Павловской Т.А., расположенного по адресу: Ростовская область, Волгодонской район, станица Романовская, пер. Изумрудный, д. 12, к.н.з.у.: 61:08:0070114:542</t>
  </si>
  <si>
    <t>Установка прибора коммерческого учета электрической энергии (мощности) в точке поставки для присоединения жилого дома Лосевой А.В., расположенного по адресу: Ростовская область, Волгодонской район, х. Лагутники, пер. Юбилейный, д. 10, к.н.з.у.: 61:08:0070202:87</t>
  </si>
  <si>
    <t>Установка прибора коммерческого учета электрической энергии (мощности) в точке поставки для присоединения жилого дома Криницыной М.В., расположенного по адресу: Ростовская область, Волгодонской район, станица Романовская, пер. Чкаловский, д. 6, к.н.з.у.: 61:08:0070121:86</t>
  </si>
  <si>
    <t>Установка коммерческого учета электрической энергии (мощности) в точке поставки и установка шкафа 0,4 кВ по присоединению хозяйственной постройки Ни Л.П., расположенной по адресу: Ростовская область, Волгодонской район, х. Потапов, примерно 3634 м по направлению на восток от х. Потапов, кадастровый номер земельного участка 61:08:0601501:306</t>
  </si>
  <si>
    <t>Установка прибора коммерческого учета электрической энергии (мощности) в точке поставки для присоединения жилого дома Ахадова Д.Ш.О, расположенного по адресу: Ростовская область, Волгодонской район, станица Романовская, пер. Колхозный, д. 49, к.н.з.у.: 61:08:0070131:72</t>
  </si>
  <si>
    <t>Установка прибора коммерческого учета электрической энергии (мощности) в точке поставки для присоединения индивидуального жилого дома Пушинской О.А., расположенного по адресу: Ростовская область, Волгодонской район, станица Романовская, ул. Луговая, д. 5, к.н.з.у.: 61:08:0070107:933</t>
  </si>
  <si>
    <t>Установка прибора коммерческого учета электрической энергии (мощности) в точке поставки для присоединения жилого дома Крюкова Д.В., расположенного по адресу: Ростовская область, Волгодонской район, х. Парамонов, ул. Гагарина, д. 21А, к.н.з.у. 61:08:0070301:1008</t>
  </si>
  <si>
    <t>Установка прибора коммерческого учета электрической энергии (мощности) в точке поставки для присоединения индивидуального жилого дома Горелова А.В., расположенного по адресу: Ростовская область,  Волгодонской район, станица Романовская, ул. 75 лет Победы, д. 47, к.н.з.у.: 61:08:0600601:4604</t>
  </si>
  <si>
    <t>Установка прибора коммерческого учета электрической энергии (мощности) в точке поставки для присоединения индивидуального жилого дома Олексий А.Г., расположенного по адресу: Ростовская область, Волгодонской район, станица Романовская, ул. 75 лет Победы, д. 31, к.н.з.у.: 61:08:0600601:5195</t>
  </si>
  <si>
    <t xml:space="preserve">Строительство участка ВЛИ-0,4 кВ от вновь установленной опоры вновь построенной ВЛИ-0,4 кВ (по договорам ТП №61-1-20-00521217 от 28.07.2020г, №61-1-20-00521557 от 29.07.2020г, №61-1-20-00522991 от 29.07.2020г,  №61-1-20-00521253 от 29.07.2020г, №61-1-20-00521227 от 13.08.2020г, №61-1-20-00520401 от 13.08.2020г) от вновь установленной ТП-6/0,4 кВ по ВЛ-6 кВ №1 ПС 35/6 кВ Романовская (по договорам ТП №61-1-19-00441801 от 13.05.2019г и №61-1-19-00437609 от 15.05.2019г), с установкой шкафа 0,4 кВ, и  обеспечение коммерческим учетом электрической энергии (мощности) в точке поставки по присоединению спального домика Сливнициной О.Ю., расположенного по адресу: Ростовская обл., г. Волгодонск, ул. Отдыха, д. 3, кадастровый номер земельного участка. 61:48:0020101:1254 (ориентировочная протяженность ЛЭП 0,03 км)
</t>
  </si>
  <si>
    <t>Строительство участка ВЛИ-04 кВ от вновь установленной опоры вновь построенной ВЛИ-0,4 кВ (по договорам ТП №61-1-20-00521217 от 28.07.2020г., №61-1-20-00521557 от 29.07.2020г., №61-1-20-00522991 от 29.07.2020г., №61-1-20-00521253 от 29.07.2020г) от вновь установленной ТП-6/0,4 кВ по ВЛ-6 кВ №1 ПС 35/6 кВ Романовская (по договорам ТП №61-1-19-00441801 от 13.05.2019г и №61-1-19-00437609 от 15.05.2029г), с установкой шкафов 0,4 кВ и обеспечение коммерческим учетом электрической энергии (мощности) в точках поставки по присоединению дачного домика Сержанова Н.В. и нежилого строения Бернград О.Ю., расположенных по адресам: Ростовская область, г. Волгодонск, ул. Отдыха ,д.3, кадастровыми номерами земельных участков 61:48:0020101:1352 и 61:48:0020101:1473 (ориентировочная протяженность ЛЭП 0,04 км)</t>
  </si>
  <si>
    <t>Установка прибора коммерческого учета электрической энергии (мощности) в точке поставки для присоединения модульного фельдшерско-акушерского пункта Администрации Цимлянского района., расположенного по адресу: Ростовская область, Цимлянский район, х. Черкасский, ул. Школьная, д. 2а, к.н.з.у.: 61:41:0050301:880</t>
  </si>
  <si>
    <t>Установка прибора коммерческого учета электрической энергии (мощности) в точке поставки для присоединения торгового павильона ООО «Костины Горы», расположенного по адресу: Ростовская область, Константиновский район, х. Старозолотовский, ул. Ермолова, д. 2-б, к.н.з.у.: 61:17:0600010:3686</t>
  </si>
  <si>
    <t>Установка прибора коммерческого учета электрической энергии (мощности) в точке поставки для присоединения жилого дома Репкина С.Ф., расположенного по адресу: Ростовская область, Ремонтненский район, с. Киевка, ул. Братьев Дьяченко, д. 4, к.н.о.: 61:32:0050101:1119, к.н.з.у.: 61:32:0050101:329</t>
  </si>
  <si>
    <t>Установка прибора коммерческого учета электрической энергии (мощности) в точке поставки для присоединения жилого дома Зуева В.О., расположенного по адресу: Ростовская область, Мартыновский район, х. Засальский, ул. Буденного, д. 48, к.н.з.у.: 61:20:0080301:240</t>
  </si>
  <si>
    <t>Установка прибора коммерческого учета электрической энергии (мощности) в точке поставки для присоединения жилого дома Алиева Ч.А., расположенного по адресу: Ростовская область, Дубовский район, х. Кут-Кудинов, ул. Раздольная, д. 38, к.н.з.у.: 61:09:0080301:170</t>
  </si>
  <si>
    <t>Установка прибора коммерческого учета электрической энергии (мощности) в точке поставки для присоединения жилого дома Дурдиева Х.С., расположенного по адресу: Ростовская область, Дубовский район, х. Семичный, ул. Мира, д. 17, к.н.о.: 61:09:0020101:993</t>
  </si>
  <si>
    <t>Установка прибора коммерческого учета электрической энергии (мощности) в точке поставки для присоединения жилого помещения Бахаева И.М., расположенного по адресу: Ростовская область, Дубовский район, х. Присальский, ул. Победы, д. 15, кв. 2, к.н.з.у.: 61:09:0070101:1690</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</si>
  <si>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Дубовский район, х. Овчинников</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</si>
  <si>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Дубовский район, станица Подгорненская</t>
  </si>
  <si>
    <t>Установка коммерческого учета электрической энергии (мощности) в точке поставки и установка шкафа 0,4 кВ по присоединению жилого дома Поляковой И.Н., расположенного по адресу: Ростовская область, Волгодонской район, станица Романовская, ул. Ленина, д. 133, кадастровый номер земельного участка 61:08:0070131:36</t>
  </si>
  <si>
    <t>Установка прибора коммерческого учета электрической энергии (мощности) в точке поставки для присоединения малоэтажной жилой застройки Плотниковой Е.В., расположенной по адресу: Ростовская область, Волгодонской район, станица Романовская, ул. Тюхова, д.69а, кадастровый номер земельного участка: 61:08:0070122:468</t>
  </si>
  <si>
    <t>Установка прибора коммерческого учета электрической энергии (мощности) в точке поставки для присоединения жилого дома Кузнецова А.С., расположенного по адресу: Ростовская область, Волгодонской район, станица Романовская, ул. Одесская,  д. 29, к.н.з.у.: 61:08:0600601:3854</t>
  </si>
  <si>
    <t>Установка прибора коммерческого учета электрической энергии (мощности) в точке поставки для присоединения малоэтажной жилой застройки Кравцова Р.Ю., расположенной по адресу: Ростовская область, Волгодонской район, х. Рябичев, ул. Лермонтова, д.8, кадастровый номер земельного участка: 61:08:0030101:169</t>
  </si>
  <si>
    <t>Установка прибора коммерческого учета электрической энергии (мощности) в точке поставки для присоединения индивидуального жилого дома Лукашева А.А., расположенного по адресу: Ростовская область, Волгодонской район, станица Романовская, ул. Забазновой, д. 5А, к.н.з.у.: 61:08:0070113:359</t>
  </si>
  <si>
    <t>Установка прибора коммерческого учета электрической энергии (мощности) в точке поставки для присоединения индивидуального жилого дома Панкратова П.Н., расположенного по адресу: Ростовская область, Волгодонской район, станица Романовская, ул. 75 лет Победы, д. 27, к.н.з.у.: 61:08:0600601:4584</t>
  </si>
  <si>
    <t>Установка прибора коммерческого учета электрической энергии (мощности) в точке поставки для присоединения жилого дома Зубкова А.П., расположенного по адресу: Ростовская область, Волгодонской район, станица Романовская, ул. 75 лет Победы, д. 49, к.н.з.у.: 61:08:0600601:4606</t>
  </si>
  <si>
    <t>Установка прибора коммерческого учета электрической энергии (мощности) в точке поставки для присоединения садового дома Рыжеволова В.В., расположенного по адресу: Ростовская область, г. Волгодонск, ул. Отдыха, д. 39в22, к.н.з.у.: 61:48:0020101:1864</t>
  </si>
  <si>
    <t>Установка прибора коммерческого учета электрической энергии (мощности) в точке поставки для присоединения индивидуального жилого дома Ким Р.И., расположенного по адресу: Ростовская область, Волгодонской район, станица Романовская, ул. 75 лет Победы, д. 81, к.н.з.у.: 61:08:0600601:4637</t>
  </si>
  <si>
    <t>Установка прибора коммерческого учета электрической энергии (мощности) в точке поставки для присоединения жилого дома Адильгереева А.А., расположенного по адресу: Ростовская область, Волгодонской район, станица Романовская, ул. Соловьевых, д. 57, к.н.з.у.: 61:08:0070121:55</t>
  </si>
  <si>
    <t>Установка прибора коммерческого учета электрической энергии (мощности) в точке поставки для присоединения жилого дома Делинской Т.Е., расположенного по адресу: Ростовская область, Константиновский район, станица Николаевская, ул. Победы, д.63, к.н.з.у: 61:17:0050101:2164</t>
  </si>
  <si>
    <t>Установка прибора коммерческого учета электрической энергии (мощности) в точке поставки для присоединения жилого дома Вольваки А.В., расположенного по адресу: Ростовская область, Константиновский район, х. Ведерников, ул. Октябрьская, д. 18, к.н.з.у.: 61:17:0010502:17</t>
  </si>
  <si>
    <t>Установка прибора коммерческого учета электрической энергии (мощности) в точке поставки для присоединения жилого дома Харитонова А.В., расположенного по адресу: Ростовская область, Константиновский район, станица Николаевская, ул. Победы, д. 28, к.н.з.у.: 61:17:0050101:2130</t>
  </si>
  <si>
    <t>Установка прибора коммерческого учета электрической энергии (мощности) в точке поставки для присоединения жилого дома Харитонова И.В., расположенного по адресу: Ростовская область, Константиновский район, х. Старая Станица, ул. Донская, д. 19, к.н.з.у.: 61:17:0050501:152</t>
  </si>
  <si>
    <t>Установка прибора коммерческого учета электрической энергии (мощности) в точке поставки для присоединения жилого дома Леоновой Л.А., расположенного по адресу: Ростовская область, Константиновский район, х. Гапкин, ул. Вишневая, д. 4, к.н.з.у.: 61:17:0040101:623</t>
  </si>
  <si>
    <t>Установка прибора коммерческого учета электрической энергии (мощности) в точке поставки для присоединения жилого дома Попова А.А., расположенного по адресу: Ростовская область, Константиновский район, х. Вифлянцев, ул. Октябрьская, д. 17, к.н.з.у.: 61:17:070301:0039</t>
  </si>
  <si>
    <t>Установка прибора коммерческого учета электрической энергии (мощности) в точке поставки для присоединения жилого дома Житникова В.В., расположенного по адресу: Ростовская область, Константиновский район, станица Николаевская, ул. 8 Марта, д. 54, к.н.з.у.: 61:17:0050101:1271</t>
  </si>
  <si>
    <t>Установка прибора коммерческого учета электрической энергии (мощности) в точке поставки для присоединения жилого дома Костромина А.В., расположенного по адресу: Ростовская область, Константиновский район, станица Николаевская, ул. 8 Марта, д. 16, к.н.з.у.: 61:17:0050101:1229</t>
  </si>
  <si>
    <t>Установка  коммерческого учета электрической энергии (мощности) в точке поставки и установка шкафа 0,4 кВ по присоединению столовой ООО «Стычное», расположенной по адресу: Ростовская область, Константиновский район, п. Отноженский, ул. Вербная, д. 50, кадастровый номер земельного участка 61:17:0070801:104</t>
  </si>
  <si>
    <t>Установка прибора коммерческого учета электрической энергии (мощности) в точке поставки для присоединения жилого дома Григоренко Е.Н., расположенного по адресу: Ростовская область, Зимовниковский район, х. Марченков, ул. Солнечная, д.13, кадастровый номер земельного участка: 61:13:0130703:15</t>
  </si>
  <si>
    <t>Установка прибора коммерческого учета электрической энергии (мощности) в точке поставки для присоединения жилого дома Финагеева В.В., расположенного по адресу: Ростовская область, Зимовниковский район, х. Савоськин, ул. Степная, д. 5, к.н. объекта 61-61-17/031/2007-499, к.н.з.у.: 61:13:110101:0002</t>
  </si>
  <si>
    <t>Установка прибора коммерческого учета электрической энергии (мощности) в точке поставки для присоединения жилого дома Коробкина Ю.Н., расположенного по адресу: Ростовская область, Зимовниковский район, х. Озерский, ул. Приозерная, д. 17, к.н.з.у.: 61:13:0020501:9</t>
  </si>
  <si>
    <t>Установка прибора коммерческого учета электрической энергии (мощности) в точке поставки для присоединения жилого дома Ильязова А.З., расположенного по адресу: Ростовская область, Зимовниковский район, 400 м. по направлению на восток от х. Ленинский, к.н.з.у.: 61:13:0600008:1403</t>
  </si>
  <si>
    <t>Установка прибора коммерческого учета электрической энергии (мощности) в точке поставки для присоединения жилого дома Дарминовой В.Г., расположенного по адресу: Ростовская область, Зимовниковский район, х. Савоськин, ул. Центральная, д. 39, к.н.з.у.: 61:13:0110103:4:107</t>
  </si>
  <si>
    <t>Обеспечение коммерческим учетом электрической энергии (мощности) в точке поставки по присоединению жилого дома Никифоровой Е.Г., расположенного по адресу: Ростовская область, х. Малоорловский , ул.Степная,д.7, к.н. 61:20:0060101:2104</t>
  </si>
  <si>
    <t>Установка коммерческого учета электрической энергии (мощности) в точке поставки и установка шкафа 0,4 кВ по присоединению жилого дома Гасановой Ю.И., расположенного по адресу: Ростовская область, Мартыновский район, х. Новоселовка, ул. Краснопартизанская, д. 28а, кадастровый номер земельного участка 61:20:0070101:3196</t>
  </si>
  <si>
    <t>Установка коммерческого учета электрической энергии (мощности) в точке поставки и установка шкафа 0,4 кВ по присоединению жилого дома Король А.В., расположенного по адресу: Ростовская область, Мартыновский район, х. Кривой Лиман, ул. Набережная, д. 12, кадастровый номер земельного участка 61:20:0080401:910</t>
  </si>
  <si>
    <t>Установка коммерческого учета электрической энергии (мощности) в точке поставки и установка шкафа 0,4 кВ по присоединению скважины для полива огорода Куповцовой Н.В., расположенной по адресу: Ростовская область, Мартыновский район, х. Долгий, ул. Клубная, д.26, кадастровый номер земельного участка 61:20:0060301:2130</t>
  </si>
  <si>
    <t>Установка прибора коммерческого учета электрической энергии (мощности) в точке поставки для присоединения жилого дома Гаврилицы Г.В., расположенного по адресу: Ростовская область, Дубовский район, х. Лопатин, ул. Луговая, д. 4, к.н.о.: 61:09:0120301:47</t>
  </si>
  <si>
    <t>Установка прибора коммерческого учета электрической энергии (мощности) в точке поставки для присоединения квартиры Абубакаровой М.И., расположенной по адресу: Ростовская область, Заветинский район, х. Фрунзе, ул. Центральная, д. 4, кв. 1, к.н.з.у.: 61:11:0050401:109</t>
  </si>
  <si>
    <t>Установка прибора коммерческого учета электрической энергии (мощности) в точке поставки для присоединения жилого дома Мисина А.В., расположенного по адресу: Ростовская область, Волгодонской район, станица Романовская, ул. 50 лет Победы, д. 23, к.н.з.у.: 61:08:0070106:69</t>
  </si>
  <si>
    <t>Установка коммерческого учета электрической энергии (мощности) в точке поставки и установка шкафа 0,4 кВ по присоединению магазина продовольственных товаров «Галина» ИП Хомякова Г.И., расположенного по адресу: Ростовская область, Волгодонской район, станица Романовская, ул. Соловьевых, д. 92А, кадастровый номер земельного участка 61:08:0070129:0049</t>
  </si>
  <si>
    <t>Установка прибора коммерческого учета электрической энергии (мощности) в точке поставки для присоединения жилого дома Истоминой М.В., расположенного по адресу: Ростовская область, Волгодонской район, станица Романовская, ул. Тюхова, д. 75, к.н.з.у.: 61:08:0070129:122</t>
  </si>
  <si>
    <t>Установка (Обеспечение) коммерческим учетом электрической энергии (мощности) в точке поставки и установка шкафов 0,4 кВ по присоединению жилых домов Кулягина Е.И., расположенных по адресам: Ростовская область, Волгодонской район, станица Романовская, ул. Одесская, д. 31, кадастровый номер земельного участка 61:08:0600601:4738 и ул. Одесская, д. 31А, кадастровый номер земельного участка 61:08:0600601:4737</t>
  </si>
  <si>
    <t>Установка прибора коммерческого учета электрической энергии (мощности) в точке поставки для присоединения жилого дома Букаренко Н.Н., расположенного по адресу: Ростовская область, Константиновский район, х. Почтовый, ул. Молодежная, д. 52, к.н.з.у.: 61:17:0060101:217</t>
  </si>
  <si>
    <t>Установка прибора коммерческого учета электрической энергии (мощности) в точке поставки для присоединения жилого дома Омелиянчук С.В., расположенного по адресу: Ростовская область, Константиновский район, г. Константиновск, ул. Лесная, д. 61-б,  к.н.з.у.: 61:17:0010401:67</t>
  </si>
  <si>
    <t>Установка прибора коммерческого учета электрической энергии (мощности) в точке поставки для присоединения жилого дома Гордеевой Н.С., расположенного по адресу: Ростовская область, Константиновский район, станица Николаевская, ул. Победы, д. 20 «а», к.н.з.у.: 61:17:0050101:5953</t>
  </si>
  <si>
    <t>Установка коммерческого учета электрической энергии (мощности) в точке поставки и установка шкафа 0,4 кВ по присоединению садового домика Онищенко О.В., расположенного по адресу: Ростовская область, Константиновский район, х. Старозолотовский, ул. Ермолова, д.7-а, кадастровый номер земельного участка 61:17:0020501:55</t>
  </si>
  <si>
    <t>Установка прибора коммерческого учета электрической энергии (мощности) в точке поставки для присоединения жилого дома Свистова А.Н., расположенного по адресу: Ростовская область, Константиновский район, х. Верхнепотапов, ул. Школьная, д. 9, к.н.з.у.: 61:17:0060401:317</t>
  </si>
  <si>
    <t>Установка прибора коммерческого учета электрической энергии (мощности) в точке поставки для присоединения квартиры Яковлевой С.Н., расположенной по адресу: Ростовская область, Константиновский район, х. Нижнежуравский, ул. Мира, д. 7, кв. 2, к.н.з.у.: 61:17:0020401:478</t>
  </si>
  <si>
    <t>Установка прибора коммерческого учета электрической энергии (мощности) в точке поставки для присоединения жилого дома Борзило О.И., расположенного по адресу: Ростовская область, Константиновский район, станица Николаевская, ул. Комсомольская, д.24,  к.н.з.у.: 61:17:0050101:1897</t>
  </si>
  <si>
    <t>Установка прибора коммерческого учета электрической энергии (мощности) в точке поставки для присоединения нежилого здания ИП Коваленко С.А., расположенного по адресу: Ростовская область, Зимовниковский район, х. Верхоломов, в 700 м северо-восточнее улицы Молодежная, к.н.о.: 61:13:0600002:126, к.н.з.у.: 61:13:0600002:140</t>
  </si>
  <si>
    <t>Установка прибора коммерческого учета электрической энергии (мощности) в точке поставки для присоединения жилого дома Зупаровой Ш.Я., расположенного по адресу: Ростовская область, Зимовниковский район, х. Ленинский, ул. Мира, д. 6А, к.н.з.у.: 61:13:0130602:83</t>
  </si>
  <si>
    <t>Установка прибора коммерческого учета электрической энергии (мощности) в точке поставки для присоединения нежилого здания ИП глава К(Ф)Х Бундуки М.И., расположенного по адресу: Ростовская область, Мартыновский район, слобода Большая Мартыновка, мкр. Подстанция, д. 8, к.н.з.у.: 61:20:001010101:24073</t>
  </si>
  <si>
    <t>Установка прибора коммерческого учета электрической энергии (мощности) в точке поставки для присоединения квартиры Дордюк Н.В., расположенной по адресу: Ростовская область, Мартыновский район, х. Лесной, ул. Клубная, д. 5, кв./оф. 1,к.н.з.у.: 61:20:0060401:1875</t>
  </si>
  <si>
    <t>Установка коммерческого учета электрической энергии (мощности) в точке поставки и установка шкафа 0,4 кВ по присоединению здания детского сада МБОУ ДС Теремок п. Зеленолугский, расположенного по адресу: Ростовская область, Мартыновский район, п. Зеленолугский, ул. Молодежная, д. 15, кадастровый номер земельного участка 61:20:0020401:674</t>
  </si>
  <si>
    <t>Установка прибора коммерческого учета электрической энергии (мощности) в точке поставки для присоединения магазина ИП Романенко В.А., расположенного по адресу: Ростовская область, Мартыновский район, слобода Большая Орловка, ул. Революционная, д. 57, к.н.з.у.: 61:20:0020101:7608</t>
  </si>
  <si>
    <t>Установка прибора коммерческого учета электрической энергии (мощности) в точке поставки для присоединения жилого помещения Касаткина А.Ю., расположенного по адресу: Ростовская область, Мартыновский район, х. Денисов, ул. Механизаторов, д. 8, к.н.з.у.: 61:20:0060201:3445</t>
  </si>
  <si>
    <t>Установка прибора коммерческого учета электрической энергии (мощности) в точке поставки для присоединения объекта общественного питания ИП Сейфатова М.Р., расположенного по адресу: Ростовская область, Мартыновский район, слобода Большая Орловка, ул. Дорожная, д. 1к, к.н.з.у.: 61:20:0020101:13612</t>
  </si>
  <si>
    <t>Установка коммерческого учета электрической энергии (мощности) в точке поставки и установка шкафа 0,4 кВ по присоединению нежилого здания ИП Украинцевой И.А., расположенного по адресу: Ростовская область, Мартыновский район, слобода Большая Орловка, ул. Дорожная, д. 18-б, кадастровый номер земельного участка 61:20:0020101:13031</t>
  </si>
  <si>
    <t>Установка прибора коммерческого учета электрической энергии (мощности) в точке поставки для присоединения строительной площадки Царевского В.А., расположенной по адресу: Ростовская область, Мартыновский район, п. Речной, ул. Молодежная, д. 11Б, к.н.з.у.: 61:35:0050701:305</t>
  </si>
  <si>
    <t>Установка прибора коммерческого учета электрической энергии (мощности) в точке поставки для присоединения жилого дома Цыганковой С.В., расположенного по адресу: Ростовская область, Мартыновский район, х. Московский, ул. Московская, д. 42, к.н.з.у.: 61:20:0070601:1083</t>
  </si>
  <si>
    <t>Установка прибора коммерческого учета электрической энергии (мощности) в точке поставки для присоединения жилого дома Сулиевой В.А., расположенного по адресу: Ростовская область, Мартыновский район, х. Денисов, ул. Центральная, д. 46а, к.н.з.у.: 61:20:0060201:3490</t>
  </si>
  <si>
    <t>Установка прибора коммерческого учета электрической энергии (мощности) в точке поставки для присоединения жилого дома Иванченко Л.И., расположенного по адресу: Ростовская область, Дубовский район, станица Жуковская, ул. Ленина, д. 15, к.н.з.у.: 61:09:0030101:1913</t>
  </si>
  <si>
    <t>Установка прибора коммерческого учета электрической энергии (мощности) в точке поставки для присоединения нежилого помещения ИП Акопяна А.Л., расположенного по адресу: Ростовская область, Дубовский район, х. Семичный, ул. Луговая, д.1а, к.н.з.у.: 61:09:0020101:1962</t>
  </si>
  <si>
    <t>Установка прибора коммерческого учета электрической энергии (мощности) в точке поставки для присоединения жилого дома Мотева В.Ф., расположенного по адресу: Ростовская область, Ремонтненский район, с. Первомайское, ул. Богданова, д. 139, к.н.о.: 61:32:0080102:2436, к.н.з.у.: 61:32:0080102:84</t>
  </si>
  <si>
    <t>Установка прибора коммерческого учета электрической энергии (мощности) в точке поставки для присоединения жилого дома Сикоренко А.М., расположенного по адресу: Ростовская область, Ремонтненский район, с. Первомайское, ул. Октябрьская, д. 78, к.н.о. 61:32:0080102:1837, к.н.з.у.: 61:32:0080102:317</t>
  </si>
  <si>
    <t>Установка прибора коммерческого учета электрической энергии (мощности) в точке поставки для присоединения жилого дома Бережного С.И., расположенного по адресу: Ростовская область, Ремонтненский район, с. Первомайское, ул. Богданова, д. 39, к.н.з.у.: 61:32:0080102:26</t>
  </si>
  <si>
    <t>Установка прибора коммерческого учета электрической энергии (мощности) в точке поставки для присоединения части здания магазина №16 ИП Абдуллаева Р.З., расположенного по адресу: Ростовская область, Ремонтненский район, с. Валуевка, ул. 40 лет Победы, д. 68Б, к.н.о.: 61:32:0020101:1396, к.н.з.у.: 61:32:0020101:408</t>
  </si>
  <si>
    <t>Установка прибора коммерческого учета электрической энергии (мощности) в точке поставки для присоединения нежилого помещения (магазина) ИП Дульгиер Е.В., расположенного по адресу: Ростовская область, Цимлянский район, станица Красноярская, ул. Победы, д. 112, к.н.з.у.: 61:41:0020115:3</t>
  </si>
  <si>
    <t>Установка коммерческого учета электрической энергии (мощности) в точке поставки и установка шкафа 0,4 кВ по присоединению части жилого дома Заничковского С.И., расположенного по адресу: Ростовская область, Цимлянский район, п. Сосенки, ул. Центральная, д. 1, кв./оф. 1, кадастровый номер земельного участка 61:41:030301:0062</t>
  </si>
  <si>
    <t>Установка прибора коммерческого учета электрической энергии (мощности) в точке поставки для присоединения жилого дома Щербакова Л.И., расположенного по адресу: Ростовская область, Цимлянский район, х. Крутой, пер. Кривой, д. 20, к.н.з.у.: 61:41:0020310:23</t>
  </si>
  <si>
    <t>Установка прибора коммерческого учета электрической энергии (мощности) в точке поставки для присоединения жилого дома Рочевой И.В., расположенного по адресу: Ростовская область, Цимлянский район, п. Дубравный, пер. Дружбы, д. 22, к.н.з.у.: 61:41:0030405:50</t>
  </si>
  <si>
    <t>Обеспечение коммерческим учетом электрической энергии (мощности) в точке поставки и установки шкафа 0,4 кВ по присоединению спального домика Поляковой Т.В., расположенного по адресу: Ростовская обл., г. Волгодонск, ул. Отдыха, кадастровый номер земельного участка: 61:48:0020101:1587</t>
  </si>
  <si>
    <t>Обеспечение коммерческим учетом электрической энергии (мощности) в точке поставки и установка шкафа 0,4 кВ по присоединению спального домика Глушенок А.Н., расположенного по адресу: Ростовская область, г. Волгодонск, ул. Отдыха, д. 67, к.н. 61:48:0020101:1222</t>
  </si>
  <si>
    <t>Обеспечение коммерческим учетом электрической энергии (мощности) в точке поставки и установка шкафа 0,4 кВ по присоединению спального домика Квасковой М.Ф., расположенного по адресу: Ростовская область, г. Волгодонск, ул. Отдыха, д.5а, к.н. 61:48:0020101:1381</t>
  </si>
  <si>
    <t>Строительство участка ВЛИ-0,4 кВ от вновь установленной опоры вновь построенной ВЛИ-0,4 кВ (по договорам ТП №61-20-00520889 от 27.05.2020г, №61-20-00521217 от 28.07.2020г, №61-20-00521557 от 28.07.2020г, №61-20-00521253 от 29.07.2020г, №61-20-00522991 от 29.07.2020г) от вновь установленной ТП-6/0,4 кВ по ВЛ-6 кВ №1 ПС 35/6 кВ Романовская (по договорам ТП №61-1-19-00441801 от 13.05.2029г и №61-1-19-00437609 от 15.05.2019) ,с установкой шкафа 0,4 кВ, и обеспечение коммерческим учетом электрической энергии (мощности) в точках поставки по присоединению спального домика Будко О.Г., расположенного по адресу: Ростовская обл., г. Волгодонск, ул. Отдыха, д.3, кадастровый номер земельного участка 61:48:0020101:1274 (ориентировочная протяженность ЛЭП 0,07 км)</t>
  </si>
  <si>
    <t>Обеспечение коммерческим учетом электрической энергии (мощности) в точке поставки и установка шкафа 0,4 кВ по присоединению спального домика Полякова С.Л., расположенного по адресу: Ростовская обл., г. Волгодонск, ул. Отдыха, д. 3, кадастровый номер земельного участка: 61:48:0020101:1341</t>
  </si>
  <si>
    <t>Установка прибора коммерческого учета электрической энергии (мощности) в точке поставки для присоединения индивидуального жилого дома Александрова А.Г., расположенного по адресу: Ростовская область, Волгодонской район, х. Мокросоленый, ул. Кооперативная, д.33, кадастровый номер земельного участка: 61:08:0010201:1469</t>
  </si>
  <si>
    <t>Установка прибора коммерческого учета электрической энергии (мощности) в точке поставки для присоединения нежилого помещения ИП Шевчука А.П., расположенного по адресу: Ростовская область, Волгодонской район, станица Дубенцовская, пер. Совхозный, д.22, кадастровый номер земельного участка: 61:08:0020104:380</t>
  </si>
  <si>
    <t>Установка коммерческого учета электрической энергии (мощности) в точке поставки и установка шкафа 0,4 кВ по присоединению жилого дома Щепелева А.В.., расположенного по адресу: Ростовская область, Волгодонской район, х. Калинин, ул. Школьная, д.33, кадастровый номер земельного участка 61:08:040402:0001</t>
  </si>
  <si>
    <t>Установка прибора коммерческого учета электрической энергии (мощности) в точке поставки для присоединения помещения Когай А.С., расположенного по адресу: РО, Волгодонской район, станица Романовская, ул. 40 лет Победы, д. 12, комн. 12,13,14,15,20,25, к.н.з.у. 61:08:0070109:553</t>
  </si>
  <si>
    <t>Установка прибора коммерческого учета электрической энергии (мощности) в точке поставки для присоединения жилого дома Бражкиной Т.С., расположенного по адресу: Ростовская область, Константиновский район, станица Николаевская, ул. Ленина, д. 6, к.н.з.у.: 61:17:0050101:2074</t>
  </si>
  <si>
    <t>Установка прибора коммерческого учета электрической энергии (мощности) в точке поставки для присоединения склада ИП главы К(Ф)Х Дьяконова А.Н., расположенного по адресу: Ростовская область, Константиновский район, ориентир ТОО «Знамя», бригада I,поле III (х. Почтовый), к.н.з.у.: 61:17:0600002:1114</t>
  </si>
  <si>
    <t>Установка прибора коммерческого учета электрической энергии (мощности) в точке поставки для присоединения квартиры Польникова С.Н., расположенной по адресу: Ростовская область, Константиновский район, х. Кастырский, ул. Солнечная, д. 24, кв. 1, к.н.з.у.: 61:17:0030301:376</t>
  </si>
  <si>
    <t>Установка прибора коммерческого учета электрической энергии (мощности) в точке поставки для присоединения торгового павильона «Айболит-2» ИП Губачева А.В., расположенного по адресу: Ростовская область, Константиновский район, станица Николаевская, ул. Коммунистическая, д. 4, к.н.з.у.: 61:17:0050101:1412</t>
  </si>
  <si>
    <t>Установка прибора коммерческого учета электрической энергии (мощности) в точке поставки для присоединения жилого дома Гатиловой И.В., расположенного по адресу: Ростовская область, Константиновский район, х. Ведерников, ул. Донская, д. 4, к.н.з.у.: 61:17:0010602:51</t>
  </si>
  <si>
    <t>Установка прибора коммерческого учета электрической энергии (мощности) в точке поставки для присоединения здания административно-бытового корпуса, спортивной площадки ИП Божкова С.В., расположенного по адресу: Ростовская область, Константиновский район, г. Константиновск, ул. Прибрежная, д.21-а, кадастровый номер земельного участка: 61:17:0600017:566</t>
  </si>
  <si>
    <t>Установка прибора коммерческого учета электрической энергии (мощности) в точке поставки для присоединения жилого дома Родионовой Л.И., расположенного по адресу: Ростовская область, Константиновский район, станица Николаевская, ул. Буденного, д.55, кадастровый номер земельного участка: 61:17:0050101:6439</t>
  </si>
  <si>
    <t>Установка коммерческого учета электрической энергии (мощности)  в точке поставки и установка шкафа 0,4 кВ по присоединению жилого дома Жеребкова Д.Н., расположенного по адресу: Ростовская область, Константиновский район, станица Николаевская, ул. Ермакова, д.74, кадастровый номер земельного участка 61:17:0050101:1621</t>
  </si>
  <si>
    <t>Установка прибора коммерческого учета электрической энергии (мощности) в точке поставки для присоединения жилого дома Рамалдановой Э.М., расположенного по адресу: Ростовская область, Константиновский район, станица Николаевская, ул. Кирова, д. 36, к.н.з.у.: 61:17:0050101:560</t>
  </si>
  <si>
    <t>Установка коммерческого учета электрической энергии (мощности) в точке поставки и установка шкафа 0,4 кВ по присоединению жилого дома Епихова С.Ф., расположенного по адресу: Ростовская область, Константиновский район, станица Николаевская, ул. 9 Января, д. 15, кадастровый номер земельного участка 61:17:0050101:1300</t>
  </si>
  <si>
    <t>Установка прибора коммерческого учета электрической энергии (мощности) в точке поставки для присоединения площадки для хранения сельскохозяйственной продукции ИП Коваль Т.И., расположенной по адресу: Ростовская область, Константиновский район, Константиновское городское поселение, 0,55 км восточнее х. Ведерников,  к.н.з.у.: 61:17:0600017:574</t>
  </si>
  <si>
    <t>Установка прибора коммерческого учета электрической энергии (мощности) в точке поставки для присоединения садового домика Трофимова А.Ю., расположенного по адресу: Ростовская область, Константиновский район, х. Ведерников, к.н.з.у.: 61:17:0600017:551</t>
  </si>
  <si>
    <t>Установка прибора коммерческого учета электрической энергии (мощности) в точке поставки для присоединения жилого дома ООО «Костины Горы»., расположенного по адресу: Ростовская область, Константиновский район, х. Старозолотовский, ул. Ермолова, д. 6-а, к.н.з.у.: 61:17:0020501:139</t>
  </si>
  <si>
    <t>Установка прибора коммерческого учета электрической энергии (мощности) в точке поставки для присоединения квартиры Яфитовой С.М., расположенной по адресу: Ростовская область, Зимовниковский район, х. Крылов, ул. Крылова, д. 8, кв. 3, к.н.з.у.: 61:13:0050401:17</t>
  </si>
  <si>
    <t>Установка прибора коммерческого учета электрической энергии (мощности) в точке поставки для присоединения жилого дома Главы К(Ф)Х Щикальцовой Н.Н., расположенного по адресу: Ростовская область, Зимовниковский район, вблизи х. Пенчуков, к.н.з.у.: 61:13:0600007:1473</t>
  </si>
  <si>
    <t>Установка прибора коммерческого учета электрической энергии (мощности) в точке поставки для присоединения жилого помещения главы К(Ф)Х Линника А.П, расположенного по адресу: Ростовская область, Зимовниковский район, х. Новолодин, животноводческая точка 2, к.н.з.у.: 61:13:0600006:924</t>
  </si>
  <si>
    <t>Установка прибора коммерческого учета электрической энергии (мощности) в точке поставки для присоединения квартиры Кирьяк Д.В., расположенной по адресу: Ростовская область, Зимовниковский район, х. Погорелов, ул. Стадионная, д. 1, кв./оф. 1, к.н.з.у.: 61:13:0050504:10</t>
  </si>
  <si>
    <t>Обеспечение коммерческим учетом электрической энергии (мощности) в точке поставки и установка шкафа 0,4 кВ по присоединению жилого дома Мартыненко А.В., расположенного по адресу: Ростовская область, Зимовниковский район, Ленинское сельское поселение, в близи х. Пенчуков, кадастровый номер земельного участка: 61:130:0600007:12</t>
  </si>
  <si>
    <t>Обеспечение коммерческим учетом электрической энергии (мощности) в точке поставки и установка шкафа 0,4 кВ по присоединению БС 2706 ООО «Т2 Мобайл», расположенной по адресу: Ростовская область, Зимовниковский район, х. Мокрый Гашун, ул. Молодежная, д. 2А, кадастровый номер земельного участка 61:13:0600014,ЗУ1</t>
  </si>
  <si>
    <t>Установка коммерческого учета электрической энергии (мощности) в точке поставки и установка шкафа 0,22 кВ по присоединению квартиры Кнышук О.Н., расположенной по адресу: Ростовская область, Зимовниковский район, п. Зимовники, ул. Майора Рязанцева, д. 8, кв. 3, кадастровый номер земельного участка 61:13:0010336:96</t>
  </si>
  <si>
    <t>Установка прибора коммерческого учета электрической энергии (мощности) в точке поставки для присоединения квартиры Жидкова В.А., расположенной по адресу: Ростовская область, Зимовниковский район, х. Савоськин, ул. Центральная, д. 84, кв. 2, к.н.з.у.: 61:13:110107:0036</t>
  </si>
  <si>
    <t>Установка прибора коммерческого учета электрической энергии (мощности) в точке поставки для присоединения жилого дома Кульбаева Г.И., расположенного по адресу: Ростовская область, Зимовниковский район, х. Петухов, ул. Еременко, д. 77А, к.н.з.у.: 61:13:0020602:7</t>
  </si>
  <si>
    <t>Установка прибора коммерческого учета электрической энергии (мощности) в точке поставки для присоединения жилого дома Усманова Ф.Я., расположенного по адресу: Ростовская область, Зимовниковский район, х. Ленинский, ул. Мира, д. 68,к.н.з.у.: 61:13:0130603:345</t>
  </si>
  <si>
    <t>Установка прибора коммерческого учета электрической энергии (мощности) в точке поставки для присоединения жилого дома Фаталиева А.М., расположенного по адресу: Ростовская область, Зимовниковский район, вблизи х. Николаевский, к.н.з.у.: 61:13:0000000:9281</t>
  </si>
  <si>
    <t>Установка прибора коммерческого учета электрической энергии (мощности) в точке поставки для присоединения подсобного помещения Гаджибагомедова И.А., расположенного по адресу: Ростовская область, Зимовниковский район, х. Плотников, ул. Береговая, д. 11А, к.н.з.у.: 61:13:0040104:249</t>
  </si>
  <si>
    <t>Установка прибора коммерческого учета электрической энергии (мощности) в точке поставки для присоединения жилого дома Тесленко Е.П., расположенного по адресу: Ростовская область, Зимовниковский район, х. Нижнекуберский, ул. Луговая, д.25,  к.н.з.у: 61:13:0090201:53</t>
  </si>
  <si>
    <t>Установка прибора коммерческого учета электрической энергии (мощности) в точке поставки для присоединения бригадного домика ИП Чернышова Е.В., расположенного по адресу: Ростовская область, Зимовниковский район, 5 км на восток от х. Курячий, кадастровый номер объекта: 61:13:0000000:8603</t>
  </si>
  <si>
    <t>Установка  коммерческого учета электрической энергии (мощности) в точке поставки и установка шкафа 0,4 кВ по присоединению квартиры Шарова А.А., расположенной по адресу: Ростовская область, Зимовниковский район, х. Савоськин, ул. Кирова, д. 18, кв. 1, кадастровый номер земельного участка 61:13:0110108:18</t>
  </si>
  <si>
    <t>Установка прибора коммерческого учета электрической энергии (мощности) в точке поставки для присоединения квартиры Никифорова И.А., расположенной по адресу: Ростовская область, Мартыновский район, х. Комаров, ул. Школьная, д. 42, кв. 2, к.н.з.у.: 61:20:0050101:3766</t>
  </si>
  <si>
    <t>Установка прибора коммерческого учета электрической энергии (мощности) в точке поставки для присоединения жилого дома Зайцевой В.М., расположенного по адресу: Ростовская область, Мартыновский район, п. Новомартыновский, ул. Думенко, д. 9-а, к.н.з.у.: 61:20:0080101:1442</t>
  </si>
  <si>
    <t>Установка прибора коммерческого учета электрической энергии (мощности) в точке поставки для присоединения нежилого помещения ООО «Альянс», расположенного по адресу: Ростовская область, Мартыновский район, х. Кривой Лиман, ул. Набережная, д. 52, кадастровый номер объекта: 61:20:0080401:1215, к.н.з.у. 61:20:0080401:2209</t>
  </si>
  <si>
    <t>Установка прибора коммерческого учета электрической энергии (мощности) в точке поставки для присоединения жилого дома Дадонова П.И., расположенного по адресу: Ростовская область, Дубовский район, х. Овчинников, ул. Весенняя, д. 3, к.н.з.у.: 61:09:030201:0337</t>
  </si>
  <si>
    <t>Установка прибора коммерческого учета электрической энергии (мощности) в точке поставки для присоединения жилого дома Кондратьева В.С., расположенного по адресу: Ростовская область, Цимлянский район, станица Лозновская, ул. Ильменьская, д. 11Б, к.н.з.у.: 61:41:0040204:546</t>
  </si>
  <si>
    <t>Установка прибора коммерческого учета электрической энергии (мощности) в точке поставки для присоединения квартиры Мороза Е.В., расположенной по адресу: Ростовская область, Цимлянский район, п. Саркел, ул. Комсомольская, д. 35, кв./оф. 2, к.н.з.у.: 61:41:0011104:30</t>
  </si>
  <si>
    <t>Установка прибора коммерческого учета электрической энергии (мощности) в точке поставки для присоединения жилого дома Сапрыкиной Л.Н., расположенного по адресу: Ростовская область, Цимлянский район, х. Лозной, пер. Лесной, д. 48,к.н.з.у.: 61:41:0030103:55</t>
  </si>
  <si>
    <t>Установка прибора коммерческого учета электрической энергии (мощности) в точке поставки для присоединения жилого дома Чеснокова Е.А., расположенного по адресу: Ростовская область, Цимлянский район, станица Красноярская, пер. Первомайский, д. 7, к.н.з.у.: 61:41:0020118:94</t>
  </si>
  <si>
    <t>Установка прибора коммерческого учета электрической энергии (мощности) в точке поставки для присоединения жилого помещения Педановой В.Н., расположенного по адресу: Ростовская область, Цимлянский район, станица Красноярская, ул. Набережная, д. 159А, кв./оф. 1, к.н.з.у.: 61:41:0020117:315</t>
  </si>
  <si>
    <t>Установка прибора коммерческого учета электрической энергии (мощности) в точке поставки для присоединения жилого дома Томинец О.В., расположенного по адресу: Ростовская область, Цимлянский район, станица Красноярская, ул. Спортивная, д. 2Б, строение 2, к.н.з.у.: 61:41:0020128:262</t>
  </si>
  <si>
    <t>Установка прибора коммерческого учета электрической энергии (мощности) в точке поставки для присоединения жилого дома Лазаренко В.Н., расположенного по адресу: Ростовская область, Цимлянский район, п. Дубравный, пер. Дружбы, д. 14, к.н.з.у.: 61:41:0030405:47</t>
  </si>
  <si>
    <t>Установка прибора коммерческого учета электрической энергии (мощности) в точке поставки для присоединения жилого дома Грозы Ю.И., расположенного по адресу: Ростовская область, Цимлянский район, п. Сосенки, ул. Новая, д. 10, к.н.з.у.: 61:41:0030302:56</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</si>
  <si>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Цимлянский район, станица Терновская</t>
  </si>
  <si>
    <t>Установка прибора коммерческого учета электрической энергии (мощности) в точке поставки для присоединения базовой станции/оборудования сотовой связи ООО «ТехноСтройГрупп», расположенной по адресу: Ростовская область, Цимлянский район, станица Красноярская, ул. Набережная, на расстоянии 10 м на юго-восток от земельного участка с кадастровым номером 61:41:0020113:115</t>
  </si>
  <si>
    <t>Установка прибора коммерческого учета электрической энергии (мощности) в точке поставки для присоединения индивидуального жилого дома Позова Л.С., расположенного по адресу: Ростовская область, Цимлянский район, станица Красноярская, пер. Рабочий, д. 6, к.н.з.у.: 61:41:0020126:129</t>
  </si>
  <si>
    <t>Установка прибора коммерческого учета электрической энергии (мощности) в точке поставки для присоединения жилого дома Непринцева В.А., расположенного по адресу: Ростовская область, Цимлянский район, станица Калининская, ул. Вербная, д. 13, к.н.з.у.: 61:41:0060109:28</t>
  </si>
  <si>
    <t>Установка прибора коммерческого учета электрической энергии (мощности) в точке поставки для присоединения жилого дома Алексеева В.А., расположенного по адресу: Ростовская область, Волгодонской район, станица Романовская, ул. Жемчужная, д. 34/2, к.н.з.у.: 61:08:0070114:1023</t>
  </si>
  <si>
    <t>Установка прибора коммерческого учета электрической энергии (мощности) в точке поставки для присоединения жилого дома Баджах О.В., расположенного по адресу: Ростовская область, Волгодонской район, станица Романовская, пер. Чкаловский, д.94, к.н.з.у.: 61:08:0070125:425</t>
  </si>
  <si>
    <t>Установка прибора коммерческого учета электрической энергии (мощности) в точке поставки для присоединения жилого дома Басацкого А.В., расположенного по адресу: Ростовская область, Волгодонской район, станица Романовская, ул. Одесская, д.21, к.н.з.у.: 61:08:0600601:3847</t>
  </si>
  <si>
    <t>Установка прибора коммерческого учета электрической энергии (мощности) в точке поставки для присоединения малоэтажной жилой застройки Бессарабова С.В., расположенной по адресу: Ростовская область, г. Волгодонск, ул. Отдыха, д.39в39, к.н.з.у.: 61:48:0020101:1556</t>
  </si>
  <si>
    <t>Установка прибора коммерческого учета электрической энергии (мощности) в точке поставки для присоединения жилого дома Болдырева А.В., расположенного по адресу: Ростовская область, Волгодонской район, станица Большовская, ул. Ясина, д. 15А, к.н.з.у.: 61:08:0030202:89</t>
  </si>
  <si>
    <t>Установка прибора коммерческого учета электрической энергии (мощности) в точке поставки для присоединения дома молитвы Религиозной организации Объединения церквей евангельских христиан-Баптистов Ростовской области и республики Калмыкия, расположенного по адресу: Ростовская область, Волгодонской район, х. Рябичев, пер. Калинин, д. 1-в, к.н.з.у.: 61:08:0000000:216</t>
  </si>
  <si>
    <t>Установка прибора коммерческого учета электрической энергии (мощности) в точке поставки для присоединения жилого дома Зуфарова Р.Н., расположенного по адресу: Ростовская область, Волгодонской район, станица Романовская, пер. Ясина, д. 4а, к.н.з.у.: 61:08:0070130:755</t>
  </si>
  <si>
    <t>Установка прибора коммерческого учета электрической энергии (мощности) в точке поставки для присоединения малоэтажной жилой застройки Калугина В.В., расположенной по адресу: Ростовская область, г. Волгодонск, ул. Отдыха, д. 39в12, к.н.з.у.: 61:48:0020101:1571</t>
  </si>
  <si>
    <t>Установка прибора коммерческого учета электрической энергии (мощности) в точке поставки для присоединения жилого дома Кашенцевой Л.В., расположенного по адресу: Ростовская область, г.  Волгодонск, СНТ Машиностроитель, д. 74 др, к.н.з.у.: 61:48:0020704:532</t>
  </si>
  <si>
    <t>Установка прибора коммерческого учета электрической энергии (мощности) в точке поставки для присоединения индивидуального жилого дома Кошельниковой Е.Ю., расположенного по адресу: Ростовская обл., р-н. Волгодонской, х. Лагутники, ул. Молодежная, д. 35б, кадастровый номер земельного участка: 61:08:0070206:118</t>
  </si>
  <si>
    <t>Установка прибора коммерческого учета электрической энергии (мощности) в точке поставки для присоединения жилого дома Крымского И.А., расположенного по адресу: Ростовская область, г. Волгодонск, ул. Отдыха, д. 39в14, к.н.з.у.: 61:48:0020101:1570</t>
  </si>
  <si>
    <t>Установка прибора коммерческого учета электрической энергии (мощности) в точке поставки для присоединения жилого дома Курцина И.Ю., расположенного по адресу: Ростовская область, Волгодонской район, станица Романовская, ул. Тюхова, д. 100, к.н.з.у.: 61:08:070128:0141</t>
  </si>
  <si>
    <t>Установка прибора коммерческого учета электрической энергии (мощности) в точке поставки для присоединения квартиры Назарченко С.Ф., расположенной по адресу: Ростовская область, Волгодонской район, х. Потапов, ул. Комсомольская, д.100, кв. 1, к.н.з.у.: 61:08:0040104:108</t>
  </si>
  <si>
    <t>Установка прибора коммерческого учета электрической энергии (мощности) в точке поставки для присоединения индивидуального жилого дома Настенко И.В., расположенного по адресу: Ростовская область, Волгодонской район, станица Романовская, ул. 75 лет Победы, д. 75, к.н.з.у.: 61:08:0600601:4631</t>
  </si>
  <si>
    <t>Установка прибора коммерческого учета электрической энергии (мощности) в точке поставки для присоединения малоэтажной жилой застройки Палкина Д.В., расположенной по адресу: Ростовская область, Волгодонской район, станица Романовская, ул. Лесная, д.30, к.н.з.у.: 61:08:0070114:202</t>
  </si>
  <si>
    <t>Установка прибора коммерческого учета электрической энергии (мощности) в точке поставки для присоединения жилого дома Рожкова С.В., расположенного по адресу: Ростовская область, Волгодонской район, станица Романовская, ул. Чибисова, д.66А, к.н.з.у.: 61:08:0070123:401</t>
  </si>
  <si>
    <t>Установка прибора коммерческого учета электрической энергии (мощности) в точке поставки для присоединения жилого дома Самсанидзе С.Б., расположенного по адресу: Ростовская область, Волгодонской район, станица Романовская, ул. Шмутовой, д. 2В, к.н.з.у.: 61:08:0070130:751</t>
  </si>
  <si>
    <t>Установка прибора коммерческого учета электрической энергии (мощности) в точке поставки для присоединения индивидуального жилого дома Сарнавского В.И., расположенного по адресу: Ростовская область, Волгодонской район, станица Романовская,  ул. Береговая, д.15, к.н.з.у.: 61:08:0070104:722</t>
  </si>
  <si>
    <t>Установка прибора коммерческого учета электрической энергии (мощности) в точке поставки для присоединения садового домика Сацкого С.Е., расположенного по адресу: Ростовская область, г. Волгодонск, ул. Отдыха, д. 3, к.н.з.у.: 61:48:0020101:1286</t>
  </si>
  <si>
    <t>Установка прибора коммерческого учета электрической энергии (мощности) в точке поставки для присоединения индивидуального жилого дома Шахзадаева А.Р., расположенного по адресу: Ростовская область, Волгодонской район, п. Донской, ул. Центральная, д. 7, к.н.з.у.: 61:08:0060201:159</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</si>
  <si>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Константиновский район, х. Верхнепотапов</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</si>
  <si>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Константиновский район, х. Белянский</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</si>
  <si>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Константиновский район, х. Ермилов</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</si>
  <si>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Константиновский район, х. Крюков</t>
  </si>
  <si>
    <t>Установка прибора коммерческого учета электрической энергии (мощности) в точке поставки для присоединения жилого дома Мостового С.В., расположенного по адресу: Ростовская область, Константиновский район, станица Богоявленская, ул. Парковая, д. 17, к.н.з.у.: 61:17:0030101:694</t>
  </si>
  <si>
    <t>Установка прибора коммерческого учета электрической энергии (мощности) в точке поставки для присоединения зерносклада ИП главы К(Ф)Х Морозова А.В., расположенного по адресу: Ростовская область, Константиновский район, в 300 м южнее х. Кременской, к.н.з.у.: 61:17:0600002:1877</t>
  </si>
  <si>
    <t>Установка прибора коммерческого учета электрической энергии (мощности) в точке поставки для присоединения жилого дома Спинко А.Е., расположенного по адресу: Ростовская область, Константиновский район, станица Николаевская, ул. Ленина, д. 12, к.н.з.у.: 61:17:0050101:2058»</t>
  </si>
  <si>
    <t>Установка прибора коммерческого учета электрической энергии (мощности) в точке поставки для присоединения квартиры Лисициной Т.Н., расположенной по адресу: Ростовская область, Константиновский район, станица Богоявленская, ул. Парковая, д. 5, к.н.з.у.: 61:17:0030101:1324</t>
  </si>
  <si>
    <t>Установка прибора коммерческого учета электрической энергии (мощности) в точке поставки для присоединения жилого дома Афанасьевой Т.Е., расположенного по адресу: Ростовская область, Константиновский район, станица Николаевская, ул. Гагарина, д. 67, к.н.з.у.: 61:17:0050101:1506</t>
  </si>
  <si>
    <t>Установка прибора коммерческого учета электрической энергии (мощности) в точке поставки для присоединения жилого дома Стародубцевой А.Н., расположенного по адресу: Ростовская область, Константиновский район, х. Ведерников, ул. Октябрьская, д. 22, к.н.з.у.: 61:17:0010502:1</t>
  </si>
  <si>
    <t>Установка прибора коммерческого учета электрической энергии (мощности) в точке поставки для присоединения жилого дома Роскошного А.В., расположенного по адресу: Ростовская область, Константиновский район, станица Мариинская, ул. Набережная, д. 33-а, к.н.з.у.: 61:17:0050301:455</t>
  </si>
  <si>
    <t>Установка прибора коммерческого учета электрической энергии (мощности) в точке поставки для присоединения жилого дома Мерзуна И.С., расположенного по адресу: Ростовская область, Константиновский район, станица Николаевская, ул. 9 Января, д. 11, к.н.з.у.: 61:17:0050101:6893</t>
  </si>
  <si>
    <t xml:space="preserve">Установка прибора коммерческого учета электрической энергии (мощности) в точке поставки для присоединения нежилого здания Ждановой Т.С., расположенного по адресу: Ростовская область, Зимовниковский район, п. Зимовники, ул. Магистральная, д. 65А, к.н. 61:13:0010125:114 </t>
  </si>
  <si>
    <t>Установка прибора коммерческого учета электрической энергии (мощности) в точке поставки для присоединения квартиры Даибовой А.Х., расположенной по адресу: Ростовская область, Зимовниковский район, х. Хуторской, ул. Рабочая, д. 30, кв. 2, к.н.з.у.: 61:13:0060106:319</t>
  </si>
  <si>
    <t>Обеспечение коммерческим учетом электрической энергии (мощности) в точке поставки и установка шкафа 0,4 кВ по присоединению базы ИП Брылева А.С., расположенной по адресу: Ростовская область, Зимовниковский район, Савоськинское сельское поселение, вблизи х. Савоськин, кадастровый номер земельного участка 61:13:0600017:1423</t>
  </si>
  <si>
    <t>Установка прибора коммерческого учета электрической энергии (мощности) в точке поставки для присоединения жилого дома Салпиева Х.К., расположенного по адресу: Ростовская область, Зимовниковский район, х. Петухов, ул. Еременко, д. 33, к.н.з.у.: 61:13:020601:0013</t>
  </si>
  <si>
    <t>Установка  коммерческого учета электрической энергии (мощности) в точке поставки и установка шкафа 0,4 кВ по присоединению жилого дома Ржевского И.И., расположенного по адресу: Ростовская область, Зимовниковский район, станица Кутейниковская, ул. Восточная, д. 2А, кадастровый номер земельного участка 61:13:070101:0100</t>
  </si>
  <si>
    <t>Обеспечение коммерческим учетом электрической энергии (мощности) в точке поставки и установка шкафа 0,4 кВ по присоединению здания магазина Разаковой П.А., расположенного по адресу: Ростовская область, Зимовниковский район, х. Глубокий, ул. Южная, д. 8А, кадастровый номер земельного участка: 61:13:0040403:61</t>
  </si>
  <si>
    <t>Установка  коммерческого учета электрической энергии (мощности) в точке поставки и установка шкафа 0,4 кВ по присоединению квартиры Воронцовой Г.А., расположенной по адресу: Ростовская область, Зимовниковский район, х. Хуторской, ул. Спортивная, д. 5, кв. 2, кадастровый номер земельного участка 61:13:0060103:20</t>
  </si>
  <si>
    <t>Установка прибора коммерческого учета электрической энергии (мощности) в точке поставки для присоединения квартиры Городничего А.Е., расположенной по адресу: Ростовская область, Зимовниковский район, х. Хуторской, ул. Магистральная, д. 1, кв. 1, к.н.з.у.: 61:13:0060106:76</t>
  </si>
  <si>
    <t>Установка прибора коммерческого учета электрической энергии (мощности) в точке поставки для присоединения нежилого здания ИП главы К(Ф)Х Ромашенко А.В., расположенного по адресу: Ростовская область, Мартыновский район, х. Комаров, участок находится примерно в 1,3 км по направлению на юг от ориентира х. Комаров, кадастровый номер земельного участка: 61:20:0600014:917</t>
  </si>
  <si>
    <t>Установка прибора коммерческого учета электрической энергии (мощности) в точке поставки для присоединения здания Кузьмич Е.В., расположенного по адресу: Ростовская область, Мартыновский район, станица Большая Орловка, ул. Базарная, д. 2-а, к.н.з.у.: 61:20:0020101:13037</t>
  </si>
  <si>
    <t>Установка прибора коммерческого учета электрической энергии (мощности) в точке поставки для присоединения жилого дома Абдулкеримовой Р.С., расположенной по адресу:Ростовская обл., Дубовский район, станица Андреевская, ул. Восточная,  д. 47, к.н.з.у.: 61:09:0600011:186</t>
  </si>
  <si>
    <t>Установка прибора коммерческого учета электрической энергии (мощности) в точке поставки для присоединения жилого дома Кузнецова А.В., расположенного по адресу: Ростовская область, Дубовский район, х. Присальский, ул. Молодежная д. 9, к.н.з.у.: 61:09:070101:0200</t>
  </si>
  <si>
    <t>Установка прибора коммерческого учета электрической энергии (мощности) в точке поставки для присоединения квартиры Павловой Г.П., расположенной по адресу: Ростовская обл., р-н. Дубовский, х. Овчинников, ул. Зеленая, д. 5/1, к.н.о.: 61:09:030201:0000:886</t>
  </si>
  <si>
    <t>Установка прибора коммерческого учета электрической энергии (мощности) в точке поставки для присоединения квартиры Маркова В.И., расположенной по адресу: Ростовская область, Дубовский район, х. Присальский, ул. Молодежная,  д. 6,  кв. 2, к.н.з.у.: 61:09:0070101:2044</t>
  </si>
  <si>
    <t>Установка прибора коммерческого учета электрической энергии (мощности) в точке поставки для присоединения жилого дома Ядрец А.Н., расположенного по адресу: Ростовская область, Ремонтненский район, с. Подгорное, ул. Пушкинская, д. 34, к.н.о.: 61:32:0090101:1551, к.н.з.у.: 61:32:0090101:327</t>
  </si>
  <si>
    <t>Установка прибора коммерческого учета электрической энергии (мощности) в точке поставки для присоединения квартиры Филькина А.С., расположенной по адресу: Ростовская область, Ремонтненский район, х. Раздольный, ул. Центральная, д. 13, кв.1, к.н.з.у.: 61:32:0050201:51</t>
  </si>
  <si>
    <t>Установка прибора коммерческого учета электрической энергии (мощности) в точке поставки для присоединения квартиры Магомедгаджиева М.М., расположенной по адресу: Ростовская область, Ремонтненский район, п. Новопривольный, ул. Лермонтова, д. 16, кв. 1, к.н.о. 61:32:0100201:904, к.н.з.у.: 61:32:0100201:76</t>
  </si>
  <si>
    <t>Установка прибора коммерческого учета электрической энергии (мощности) в точке поставки для присоединения жилого дома Савченко Д.А., расположенного по адресу: Ростовская область, Ремонтненский район, с. Киевка, ул. Ленинская, д. 25, к.н.о.: 61:32:0050101:1241, к.н.з.у.: 61:32:0050101:175</t>
  </si>
  <si>
    <t>Установка прибора коммерческого учета электрической энергии (мощности) в точке поставки для присоединения жилого дома Пшеничного А.В., расположенного по адресу: Ростовская область, Ремонтненский район, с. Подгорное, ул. Набережная, д. 17, к.н.о.: 61:32:0090101:233:19, к.н.з.у.: 61:32:0090101:233</t>
  </si>
  <si>
    <t>Установка прибора коммерческого учёта электрической энергии (мощности) в точке поставки для присоединения квартиры Лемешко В.А., расположенного по адресу:Ростовская область,Ремонтненский район, х.Раздольный,ул.Центральная,д.15, кв.2; к.з.н.у.:61:32:0050201:127</t>
  </si>
  <si>
    <t>Установка прибора коммерческого учёта электрической энергии (мощности) в точке поставки для присоединения нежилого помещения АО "Почта России", расположенного по адресу:Ростовская область,Ремонтненский район, с.Подгорное,ул.Советская,д.48, к.з.н.у.:61:32:0090101:1494:</t>
  </si>
  <si>
    <t>Установка прибора коммерческого учета электрической энергии (мощности) в точке поставки для присоединения жилого дома Рарова В.В., расположенного по адресу: Ростовская область, Ремонтненский район, с. Подгорное, ул. Набережная, д. 13А, к.н.о.: 61:32:0090101:1539, к.н.з.у.: 61:32:0090101:235</t>
  </si>
  <si>
    <t>Установка прибора коммерческого учета электрической энергии (мощности) в точке поставки для присоединения квартиры Орловского В.М., расположенной по адресу: Ростовская область, Ремонтненский район, с. Подгорное, ул. Молодежная, д. 7, кв. 1, к.н.о.: 61:32:0090101:0:9/2, к.н.з.у.: 61:32:0090101:201</t>
  </si>
  <si>
    <t>Установка прибора коммерческого учета электрической энергии (мощности) в точке поставки для присоединения жилого дома Абрамцева Ф.Ф., расположенного по адресу: Ростовская область, Ремонтненский район, с. Подгорное, ул. Пушкинская, д. 23, к.н.о.: 61:32:127:1:319:93:А, к.н.з.у.: 61:32:127:1:319</t>
  </si>
  <si>
    <t>Установка прибора коммерческого учета электрической энергии (мощности) в точке поставки для присоединения жилого дома Абрамцевой Л.И., расположенного по адресу: Ростовская область, Ремонтненский район, с. Подгорное, ул. Пушкинская, д. 16, к.н.о.: 61:32:0090101:1533, к.н.з.у.: 61:32:0090101:335</t>
  </si>
  <si>
    <t>Установка прибора коммерческого учета электрической энергии (мощности) в точке поставки для присоединения жилого дома Орловского А.В., расположенного по адресу: Ростовская область, Ремонтненский район, с. Подгорное, ул. Ленина, д. 48, к.н.о.: 61:32:0090101:777, к.н.з.у.: 61:32:0090101:51</t>
  </si>
  <si>
    <t>Установка прибора коммерческого учета электрической энергии (мощности) в точке поставки для присоединения жилого дома Коскина И.А., расположенного по адресу: Ростовская область, Ремонтненский район, с. Первомайское, ул. Октябрьская, д. 10, к.н.з.о.: 61:32:124:2:350:135А, к.н.з.у.: 61:32:124:2:350</t>
  </si>
  <si>
    <t>Установка прибора коммерческого учета электрической энергии (мощности) в точке поставки для присоединения жилого дома Косенко А.Н., расположенного по адресу: Ростовская область, Ремонтненский район, с. Первомайское, ул. Богданова, д. 45, к.н.о.: 61:32:0080102:1983, к.н.з.у.: 61:32:0080102:29</t>
  </si>
  <si>
    <t>Установка прибора коммерческого учета электрической энергии (мощности) в точке поставки для присоединения жилого дома Инбулаева А.В., расположенного по адресу: Ростовская область, Ремонтненский район, с. Подгорное, ул. Южная, д. 27, к.н.о.: 61:32:0090101:1036, к.н.з.у.: 61:32:0090101:374</t>
  </si>
  <si>
    <t>Установка прибора коммерческого учета электрической энергии (мощности) в точке поставки для присоединения жилого дома Москалёва П.С., расположенного по адресу: Ростовская область, Ремонтненский район, с. Подгорное, ул. Комсомольская, д. 28, к.н.о.: 61:32:0090101:1531, к.н.з.у.: 61:32:0090101:99</t>
  </si>
  <si>
    <t>Установка прибора коммерческого учета электрической энергии (мощности) в точке поставки для присоединения жилого дома Ищенко В.А., расположенного по адресу: Ростовская область,  Цимлянский район, х. Рынок-Каргальский, ул. Полевая, д. 15, к.н.з.у.: 61:41:0040401:11</t>
  </si>
  <si>
    <t>Установка прибора коммерческого учета электрической энергии (мощности) в точке поставки для присоединения жилого дома Потехиной Г.К., расположенного по адресу: Ростовская область, Цимлянский район, х. Рынок-Каргальский, ул. Полевая, д. 6, к.н.з.у.: 61:41:0040401:7</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</si>
  <si>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Следневой О.О., расположенной по адресу: Ростовская область, Цимлянский район, станица Красноярская, ул. 60 лет Октября, д. 2Г, к.н.з.у.: 61:41:0020128:541</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</si>
  <si>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Следневой О.О., расположенной по адресу: Ростовская область, Цимлянский район, станица Красноярская, ул. 60 лет Октября, д. 2В, к.н.з.у.: 61:41:0020128:540</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</si>
  <si>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Следневой О.О., расположенного по адресу: Ростовская область, Цимлянский район, х. Лозной, ул. Абрикосовая, д. 2Б, к.н.з.у.: 61:41:0600011:2013</t>
  </si>
  <si>
    <t>Установка прибора коммерческого учета электрической энергии (мощности) в точке поставки для присоединения жилого дома Маркиной Н.А., расположенного по адресу: Ростовская область, Цимлянский район, станица Калининская, ул. Вербная, д. 23в, к.н.з.у.: 61:41:0060109:364"</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</si>
  <si>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Величко Н.И., расположенной по адресу: Ростовская область, Цимлянский район, станица Калининская, ул. Центральная, д. 71, к.н.о.н.: 61:41:0060103:53:177"</t>
  </si>
  <si>
    <t>Установка прибора коммерческого учета электрической энергии (мощности) в точке поставки для присоединения жилого дома Матвеева Ю.Н., расположенного по адресу: Ростовская область, Цимлянский район, станица Красноярская, ул. Победы, д.4, кадастровый номер объекта: 61:41:0020101:4</t>
  </si>
  <si>
    <t>Установка прибора коммерческого учета электрической энергии (мощности) в точке поставки для присоединения склада ИП главы К(Ф)Х Магомедшарипова М.М., расположенного по адресу: Ростовская область, Заветинский район, с. Тюльпаны, ул. Магистральная, д. 22, к.н.о.: 61:11:0600012:551</t>
  </si>
  <si>
    <t>Установка прибора коммерческого учета электрической энергии (мощности) в точке поставки для присоединения административного здания ИП главы К(Ф)Х Аникеева В.А., расположенного по адресу: Ростовская область, Заветинский район, х. Крылов, ул. Степная, д. 3а, к.н.о.: 61:11:0090201:294</t>
  </si>
  <si>
    <t>Установка прибора коммерческого учета электрической энергии (мощности) в точке поставки для присоединения зернохранилища СПК «Родина», расположенного по адресу: Ростовская область, Заветинский район, с. Заветное, ул. Социалистическая, д. 23-а, к.н.з.у.: 61:11:0010101:10047</t>
  </si>
  <si>
    <t>Установка прибора коммерческого учета электрической энергии (мощности) в точке поставки для присоединения артезианской скважины Администрации Заветинского района Ростовской области, расположенной по адресу: Ростовская область, Заветинский район, х. Савдя,  ул. Буденновская, д. 52-а, к.н.з.у. 61:11:0600011:1332</t>
  </si>
  <si>
    <t>Установка приборов коммерческого учета электрической энергии (мощности) в точках поставки для присоединения жилого дома Дадаевой Х.Х., расположенного по адресу: Ростовская область, Заветинский район, с. Кичкино, ул. Речная, д. 16, к.н.о.: 61:11:0030101:1357</t>
  </si>
  <si>
    <t>Установка прибора коммерческого учета электрической энергии (мощности) в точке поставки для присоединения квартиры Лисицкого Ю.В., расположенной по адресу: Ростовская область, Заветинский район, х. Фомин, ул. Быкадорова, д. 11, кв. 1, к.н.з.у.: 61:11:080101:0770</t>
  </si>
  <si>
    <t>Установка приборов коммерческого учета электрической энергии (мощности) в точках поставки для присоединения квартиры Ивахненко Л.Г., расположенной по адресу: Ростовская область, Заветинский район, с. Тюльпаны, ул. Магистральная, д. 6, кв. 2, к.н.з.у.: 61:61:14/017/2009:320</t>
  </si>
  <si>
    <t>Установка прибора коммерческого учета электрической энергии (мощности) в точке поставки для присоединения индивидуального жилого дома Щебелева С.Н., расположенного по адресу: Ростовская область, Волгодонской район, станица Романовская, ул. 75 лет Победы, д. 38, к.н.з.у.: 61:08:0600601:4595</t>
  </si>
  <si>
    <t>Установка прибора коммерческого учета электрической энергии (мощности) в точке поставки для присоединения садового дома Малышевой Л.А., расположенного по адресу: Ростовская область, г. Волгодонск, ул. Отдыха, д. 3, к.н.з.у.: 61:48:0020101:1275</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</si>
  <si>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Петрова М.А., расположенной по адресу: Ростовская область, г. Волгодонск, СНТ «Машиностроитель», д. 517 ндр, к.н.з.у.: 61:48:0020702:422</t>
  </si>
  <si>
    <t>Установка прибора коммерческого учета электрической энергии (мощности) в точке поставки для присоединения малоэтажной жилой застройки Стремедловской А.В., расположенной по адресу: Ростовская область, г. Волгодонск, СНТ Машиностроитель, №521 ндр, к.н.з.у.: 61:48:0020702:426</t>
  </si>
  <si>
    <t>Установка  коммерческого учета электрической энергии (мощности) в точке поставки и установка шкафа 0,4 кВ по присоединению жилого дома Чабанова Ю.А., расположенного по адресу: Ростовская область, Волгодонской район, х. Погожев, ул. Школьная, д. 2и, кадастровый номер объекта 61:08:0070401:209:402</t>
  </si>
  <si>
    <t>Установка прибора коммерческого учета электрической энергии (мощности) в точке поставки для присоединения индивидуального жилого дома Сотниковой В.П., расположенного по адресу: Ростовская область, Волгодонской район, станица Романовская, ул. 75 лет Победы, д.33, к.н.з.у.: 61:08:0600601:4590</t>
  </si>
  <si>
    <t>Установка прибора коммерческого учета электрической энергии (мощности) в точке поставки для присоединения объектов наружного освещения ИП Усова А.А., расположенных по адресу: Ростовская область, г. Волгодонск, ул. Отдыха, к.н.з.у.: 61:48:0020101:1542</t>
  </si>
  <si>
    <t>Установка прибора коммерческого учета электрической энергии (мощности) в точке поставки для присоединения индивидуального жилого дома Меркулова Д.С., расположенного по адресу: Ростовская область, Волгодонской район, станица Романовская, ул. 75 лет Победы, д. 41, к.н.з.у.: 61:08:0600601:4598</t>
  </si>
  <si>
    <t>Установка прибора коммерческого учета электрической энергии (мощности) в точке поставки для присоединения здания спального домика АО «Почта России», расположенного по адресу: Ростовская область, г. Волгодонск, ул. Отдыха, д. 1, к.н.з.у.: 61:48:0020101:1</t>
  </si>
  <si>
    <t>Установка прибора коммерческого учета электрической энергии (мощности) в точке поставки для присоединения здание физической культуры и спорта Родник, расположенного по адресу: Ростовская обл., Волгодонской р-н, х.Морозов, пер.Почтовый, д.19а., к.н.з.у.: 61:08:0020203:558</t>
  </si>
  <si>
    <t>Установка прибора коммерческого учета электрической энергии (мощности) в точке поставки для присоединения дачного дома Мацнева В.С., расположенного по адресу: Ростовская область, г. Волгодонск, ул. Отдыха, д. 39в6, к.н.з.у.: 61:48:0020101:1527</t>
  </si>
  <si>
    <t>Установка прибора коммерческого учета электрической энергии (мощности) в точке поставки для присоединения квартиры Решетняк В.И., расположенной по адресу: Ростовская область, Волгодонской район, х. Семенкин, ул. Центральная, д. 12, кв. 1, к.н.з.у.: 61:08:0070502:5</t>
  </si>
  <si>
    <t>Установка прибора коммерческого учета электрической энергии (мощности) в точке поставки для присоединения индивидуального жилого дома Видановой Е.В., расположенного по адресу: Ростовская область, Волгодонской район, станица Романовская, ул. 75 лет Победы, д. 40, к.н.з.у.: 61:08:0600601:4597</t>
  </si>
  <si>
    <t>Установка прибора коммерческого учета электрической энергии (мощности) в точке поставки для присоединения индивидуального жилого дома Колесникова А.А., расположенного по адресу: Ростовская область, Волгодонской район, станица Романовская, ул. 75 лет Победы, д. 44, к.н.з.у.: 61:08:0600601:4601</t>
  </si>
  <si>
    <t>Установка прибора коммерческого учета электрической энергии (мощности) в точке поставки для присоединения производственного здания ИП Буренок В.А., расположенного по адресу: Ростовская область, г. Волгодонск, ул. Промышленная, д. 3, к.н.з.у.: 61:48:0080104:35</t>
  </si>
  <si>
    <t>Установка прибора коммерческого учета электрической энергии (мощности) в точке поставки для присоединения малоэтажной жилой застройки Апанасенко А.В., расположенной по адресу: Ростовская область, Волгодонской район, станица Романовская, ул. Язева, д. 19, к.н.з.у.: 61:08:0600601:3830</t>
  </si>
  <si>
    <t>Установка прибора коммерческого учета электрической энергии (мощности) в точке поставки для присоединения склада и подвала ООО «Надежда»., расположенных по адресу: Ростовская область, Константиновский район, х. Упраздно-Кагальницкий, ул. Солнечная, д. 5, к.н.з.у.: 61:17:0030401:436 и д. 5-а, к.н.з.у.: 61:17:0030401:437</t>
  </si>
  <si>
    <t>Установка прибора коммерческого учета электрической энергии (мощности) в точке поставки для присоединения здания телятника-профилактория ИП главы К(Ф)Х Забуруннова В.П., расположенного по адресу: Ростовская область, Константиновский район, х. Кременской, 230 м юго-восточнее х. Кременской, к.н.з.у.: 61:17:0600002:1874</t>
  </si>
  <si>
    <t>Установка прибора коммерческого учета электрической энергии (мощности) в точке поставки для присоединения нежилого помещения АО "Почта России", расположенного по адресу: 347470, Ростовская область, Зимовниковский район, ст-ца Кутейниковская, ул. Школьная, д. 30, комнаты 21,22</t>
  </si>
  <si>
    <t>Установка прибора коммерческого учета электрической энергии (мощности) в точке поставки для присоединения базы ИП Романовской Т.Ю., расположенной по адресу: Ростовская область, Зимовниковский район, 100 метров на восток от сл. Верхнесеребряковка, к.н.з.у.: 61:13:0600001:2628</t>
  </si>
  <si>
    <t>Установка прибора коммерческого учета электрической энергии (мощности) в точке поставки для присоединения автомобильной мойки ИП Умарова Э.Т., расположенной по адресу: Ростовская область, Зимовниковский район, х. Гашун, ул. Магистральная, д. 1Б, к.н.з.у.: 61:13:000000:9527</t>
  </si>
  <si>
    <t>Установка прибора коммерческого учета электрической энергии (мощности) в точке поставки для присоединения квартиры Медной Н.А., расположенной по адресу: Ростовская область, Зимовниковский район, х. Савоськин, ул. Кирова, д. 47, кв. 2, к.н.з.у.: 61:13:110106:0042</t>
  </si>
  <si>
    <t>Установка прибора коммерческого учета электрической энергии (мощности) в точке поставки для присоединения жилого дома Сакаевой А.А., расположенного по адресу: Ростовская область, Зимовниковский район, х. Грушевка, ул. Центральная, д. 45, к.н.з.у.: 61:13:0000000:9232</t>
  </si>
  <si>
    <t>Установка прибора коммерческого учета электрической энергии (мощности) в точке поставки и монтаж ответвления от ВЛ к вводу для присоединения рыбцеха ИП Нагибина С.П., расположенного по адресу: Ростовская область, Дубовский район, станица Жуковская, ул. Молодежная, д. 2а, к.н.з.у.: 61:09:0030101:2582</t>
  </si>
  <si>
    <t>Установка приборов коммерческого учета электрической энергии (мощности) в точках поставки для присоединения жилого дома Биннатова С.А.о., расположенного по адресу: Ростовская область, Дубовский район, станица Жуковская, ул. Степная, д. 4, к.н.з.у.: 61:09:140092008:194</t>
  </si>
  <si>
    <t>Установка прибора коммерческого учета электрической энергии (мощности) в точке поставки для присоединения ПТО бригады 1 ИП главы К(Ф)Х Нетребина В.Ю., расположенного по адресу: Ростовская область, Ремонтненский район, п. Привольный, ул. Тюльпанная, д. 19, к.н.о.: 61:32:0600001:4327, к.н.з.у.: 61:32:0600001:4405</t>
  </si>
  <si>
    <t>Установка прибора коммерческого учета электрической энергии (мощности) в точке поставки для присоединения городской среды Администрации Кичкинского сельского поселения, расположенной по адресу: Ростовская область, Заветинский район, с. Кичкино, ул. Школьная, д. 12-б, к.н.з.у.: 61:11:0030101:1799</t>
  </si>
  <si>
    <t>Установка прибора коммерческого учета электрической энергии (мощности) в точке поставки для присоединения жилого дома Яндаровой З.А., расположенного по адресу: Ростовская обл., р-н. Заветинский, х. Фомин, ул. Школьная, д. 99, кадастровый номер объекта 61:11:0080101:1363</t>
  </si>
  <si>
    <t>Установка прибора коммерческого учета электрической энергии (мощности) в точке поставки для присоединения малоэтажной жилой застройки Шукалюк Е.В., расположенной по адресу: Ростовская область, г. Волгодонск, СНТ «Машиностроитель» улица 6-я линия участок 49А, к.н.з.у.: 61:48:0020704:501</t>
  </si>
  <si>
    <t>Установка коммерческого учета электрической энергии (мощности) в точке поставки и установка шкафа 0,4 кВ по присоединению дачного домика Банькина Д.С., расположенного по адресу: Ростовская область, Волгодонской район, сдт. Юбилейное, кадастровый номер земельного участка 61:08:0601901:1002</t>
  </si>
  <si>
    <t>Установка прибора коммерческого учета электрической энергии (мощности) в точке поставки для присоединения объекта туристической отрасли Белобородовой Л.С., расположенного по адресу: Ростовская область, г. Волгодонск, ул. Отдыха, д. 3, к.н.з.у.: 61:48:0020101:1263</t>
  </si>
  <si>
    <t>Установка прибора коммерческого учета электрической энергии (мощности) в точке поставки для присоединения объекта туристической отрасли Дорощак В.Б., расположенного по адресу: Ростовская область, г. Волгодонск, ул. Отдыха, д. 3, к.н.з.у.: 61:48:0020101:1256</t>
  </si>
  <si>
    <t>Установка прибора коммерческого учета электрической энергии (мощности) в точке поставки для присоединения объекта туристической отрасли Дорощак Т.А., расположенного по адресу: Ростовская область, г. Волгодонск, ул. Отдыха, д. 3, к.н.з.у.: 61:48:0020101:1290</t>
  </si>
  <si>
    <t>Установка прибора коммерческого учета электрической энергии (мощности) в точке поставки для присоединения нежилой застройки ИП Хохловой А.И., расположенной по адресу: Ростовская область, г. Волгодонск, ул. Отдыха, д. 5а, к.н.з.у.: 61:48:0020101:1386</t>
  </si>
  <si>
    <t>Установка прибора коммерческого учета электрической энергии (мощности) в точке поставки для присоединения жилого дома Лызова А.С., расположенного по адресу: Ростовская область, Волгодонской район, станица Романовская, пер. Котова, д. 65, к.н.з.у.: 61:08:0070127:30</t>
  </si>
  <si>
    <t>Установка прибора коммерческого учета электрической энергии (мощности) в точке поставки для присоединения дачного дома Пальмер М.В., расположенного по адресу: Ростовская область, г. Волгодонск, Садоводство «Машиностроитель» уч. 491 ндр, к.н.з.у.: 61:48:0020702:28</t>
  </si>
  <si>
    <t>Обеспечение коммерческим учетом электрической энергии (мощности) в точке поставки и установка шкафа 0,4 кВ по присоединению спального домика Новоселова Д.С., расположенного по адресу: Ростовская область,г. Волгодонск, ул. Отдыха, кадастровый номер земельного участка: 61:48:0020101:1429</t>
  </si>
  <si>
    <t>Установка прибора коммерческого учета электрической энергии (мощности) в точке поставки для присоединения жилого дома Семакиной Ж.Ю., расположенного по адресу: Ростовская область, Волгодонской район, х. Погожев, ул. Гладкова, д. 2, к.н.з.у.: 61:08:0070401:766</t>
  </si>
  <si>
    <t>Установка прибора коммерческого учета электрической энергии (мощности) в точке поставки для присоединения жилого дома Скобелевой Т.А., расположенного по адресу: Ростовская область, Волгодонской район, станица Романовская, ул. Одесская, д. 9, к.н.з.у.: 61:08:0600601:3841</t>
  </si>
  <si>
    <t>Установка прибора коммерческого учета электрической энергии (мощности) в точке поставки для присоединения строительной площадки Стремедловского П.А., расположенной по адресу: Ростовская область, г. Волгодонск, СНТ «Машиностроитель», ул. 39-я линия, д. 190, к.н.з.у.: 61:48:0020703:211</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</si>
  <si>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Удачиной И.Л., расположенной по адресу: Ростовская область, г. Волгодонск, СНТ «Машиностроитель», участок №563 «а» НДР, к.н.з.у.: 61:48:0020702:446</t>
  </si>
  <si>
    <t>Установка прибора коммерческого учета электрической энергии (мощности) в точке поставки для присоединения жилого дома Украинской К.С., расположенного по адресу: Ростовская область, Волгодонской район, станица Романовская, пер. Октябрьский, д. 97, к.н.з.у.: 61:08:0070117:611</t>
  </si>
  <si>
    <t>Установка прибора коммерческого учета электрической энергии (мощности) в точке поставки для присоединения индивидуального жилого дома Рыжкиной В.В., расположенного по адресу: Ростовская область, Константиновский район, станица Николаевская, ул. Степана Разина, д. 11, к.н.з.у.: 61:17:0050101:211</t>
  </si>
  <si>
    <t>Установка прибора коммерческого учета электрической энергии (мощности) в точке поставки для присоединения жилого дома Окара А.В., расположенного по адресу: Ростовская область, Константиновский район, х. Старая Станица, ул. Заречная, д. 12а, к.н.з.у.: 61:17:0050501:510</t>
  </si>
  <si>
    <t>Установка прибора коммерческого учета электрической энергии (мощности) в точке поставки для присоединения жилого дома Масловой Н.В., расположенного по адресу: Ростовская область, Константиновский район, ст. Николаевская, ул. Победы, д. 92, к.н.з.у.: 61:17:0050101:5900</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</si>
  <si>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Крецу Е.С., расположенного по адресу: Ростовская область, Константиновский район, х. Трофимов, пер. Ильинский, д. 2а, к.н.о.: 61:17:0061001:2</t>
  </si>
  <si>
    <t>Установка прибора коммерческого учета электрической энергии (мощности) в точке поставки для присоединения жилого дома Сергиенко В.Н., расположенного по адресу: Ростовская область, Константиновский район, станица Николаевская, ул. Центральная, д. 71, к.н.з.у.: 61:17:0050101:96</t>
  </si>
  <si>
    <t>Установка прибора коммерческого учета электрической энергии (мощности) в точке поставки для нежилого помещения АО «Почта России», расположенного по адресу: Ростовская область, Константиновский район, х. Ведерников, ул. Центральная, д. 7, к.н.з.у.: 61:17:0010501:204</t>
  </si>
  <si>
    <t>Установка прибора коммерческого учета электрической энергии (мощности) в точке поставки для присоединения административного/офисного здания АО «Почта России», расположенного по адресу: Ростовская область, Константиновский район, станица Николаевская, ул. Центральная, д. 27, к.н.о.н.: 61:17:0050101:6255</t>
  </si>
  <si>
    <t>Установка прибора коммерческого учета электрической энергии (мощности) в точке поставки для присоединения квартиры Глушко В.А., расположенной по адресу: Ростовская область, Зимовниковский район, х. Савоськин, ул. Набережная, д. 31, кв. 2, к.н.з.у.: 61:13:0110111:26</t>
  </si>
  <si>
    <t>Установка прибора коммерческого учета электрической энергии (мощности) в точке поставки для присоединения жилого дома Андрющенко В.С., расположенного по адресу: Ростовская область, Зимовниковский район, х. Савоськин, ул. Центральная, д. 69А, к.н.з.у.: 61:13:0110104:93</t>
  </si>
  <si>
    <t>Установка прибора коммерческого учета электрической энергии (мощности) в точке поставки для присоединения квартиры Калашникова М.В., расположенной по адресу: Ростовская область, Зимовниковский район, х. Хуторской, ул. Школьная, д. 24, кв. 1, к.н.з.у.: 61:13:0060103:48</t>
  </si>
  <si>
    <t>Установка прибора коммерческого учета электрической энергии (мощности) в точке поставки для присоединения квартиры Науменко М.О., расположенного по адресу: 347463 Российская Федерация, Ростовская обл., р-н. Зимовниковский, п. Лагунный, ул. Макарчука, д. 45, кв./оф. 1, кадастровый номер земельного участка: 61:13:0080103:32</t>
  </si>
  <si>
    <t>Установка прибора коммерческого учета электрической энергии (мощности) в точке поставки для присоединения нежилого помещения АО «Почта России», расположенного по адресу: Ростовская область, Мартыновский район, х. Кривой Лиман, ул. Школьная, д. 38, к.н.з.у.: 61:20:0080401:1266</t>
  </si>
  <si>
    <t>Установка прибора коммерческого учета электрической энергии (мощности) в точке поставки для присоединения нежилого помещения АО «Почта России», расположенного по адресу: Ростовская область, Мартыновский район, х. Ильинов, ул. Школьная, д. 15в, к.н.з.у.: 61:20:0040101:2505</t>
  </si>
  <si>
    <t>Установка прибора коммерческого учета электрической энергии (мощности) в точке поставки для присоединения нежилого помещения АО «Почта России», расположенного по адресу: Ростовская область, Мартыновский район, п. Новоберезовка, ул. Школьная, д. 20, кв. 2, к.н.о.: 61:20:0090101:910</t>
  </si>
  <si>
    <t>Установка прибора коммерческого учета электрической энергии (мощности) в точке поставки и монтаж ответвлений от ВЛ к вводу для присоединения базовой станции/оборудования сотовой связи ПАО "Ростелеком"расположенного по адресу: Ростовская область, Мартыновский район, 40 м севернее участка с кадастровым номером 61:20:0070601:201</t>
  </si>
  <si>
    <t>Установка прибора коммерческого учета электрической энергии (мощности) в точке поставки и монтаж ответвления от ВЛ к вводу для присоединения базовой станции сотовой связи №001127 ООО «Т2 Мобайл»., расположенной по адресу: Ростовская область, Мартыновский район, слобода Большая Орловка, пер. Лиманский, к.н.з.у.: 61:20:0020101</t>
  </si>
  <si>
    <t>Установка прибора коммерческого учета электрической энергии (мощности) в точке поставки для присоединения здания ремонтной станции ИП главы К(Ф)Х Медведева Д.К., расположенного по адресу: Ростовская область, Мартыновский район, п. Крутоярский, ул. Центральная, д. 28Г, к.н.з.у.: 61:20:0090401:2191</t>
  </si>
  <si>
    <t>Установка прибора коммерческого учета электрической энергии (мощности) в точке поставки для присоединения хозяйственной постройки Шевченко Н.П., расположенной по адресу: Ростовская область, Мартыновский район, х. Арбузов, ул. Сальская, д. 5в, к.н.з.у.: 61:20:0080201:3052</t>
  </si>
  <si>
    <t>Установка прибора коммерческого учета электрической энергии (мощности) в точке поставки для присоединения закусочной Зандарова К.У., расположенной по адресу: Ростовская область, Мартыновский район, слобода Большая Орловка, ул. Советская, д. 18б, к.н.з.у.: 61:20:0020101:13629</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</si>
  <si>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помещения Ивановой  И.В., расположенного по адресу: Ростовская область, Дубовский район, х. Романов, пер. Школьный, д. 4, кв. 2, к.н.о.: 61:09:0010101:218</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</si>
  <si>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Евсеевой О.И., расположенного по адресу: Ростовская область, Ремонтненский район, с. Валуевка, ул. Горяинова, д. 64, к.н.о.: 61:32:0020101:1327 (1 шт)</t>
  </si>
  <si>
    <t>Установка прибора коммерческого учета электрической энергии (мощности) в точке поставки для присоединения сети уличного освещения Администрации Красноярского сельского поселения, расположенного по адресу: Ростовская область, Цимлянский район, станица Красноярская, западнее земельного участка с к.н.: 61:41:0020126:140 (по улице Полевая), к.н.з.у.: 61:41:0020127:1167</t>
  </si>
  <si>
    <t>Обеспечение коммерческим учетом электрической энергии (мощности) в точке поставки и установка шкафа 0,4 кВ по присоединению БС 1618  ООО "Т2 Мобайл" расположенной по адресу: РО, Цимлянский район, х. Лозной, ул. Советская, к.н. 61:41:0030104:100</t>
  </si>
  <si>
    <t>Установка прибора коммерческого учета электрической энергии (мощности) в точке поставки для присоединения базовой станции ООО «Т2 Мобайл», расположенной по адресу: Ростовская область, Цимлянский район, станица Лозновская, ул. Центральная, д. 30б, кадастровый номер земельного участка: 61:41:0040205:444</t>
  </si>
  <si>
    <t>Установка прибора коммерческого учета электрической энергии (мощности) в точке поставки для присоединения жилого дома Беридзе Н.Ш., расположенного по адресу: Ростовская область, Цимлянский район, станица Красноярская, пер. Речной, д. 6, к.н.о.: 61:41:0020126:597, к.н.з.у.: 61:41:0020126:146</t>
  </si>
  <si>
    <t>Установка прибора коммерческого учета электрической энергии (мощности) в точке поставки для присоединения жилого дома Рыбакова С.В., расположенного по адресу: Ростовская область, Цимлянский район, х. Лозной, пер. Победы, д. 31, к.н.з.у.: 61:41:0030111:86</t>
  </si>
  <si>
    <t>Установка прибора коммерческого учета электрической энергии (мощности) в точке поставки для присоединения жилого дома Клоченок А.П., расположенного по адресу: Ростовская область, Цимлянский район, п.Дубравный, ул.Красноярская, д. 7/3, к.н.з.у.: 61:41:0030401:210</t>
  </si>
  <si>
    <t>Установка прибора коммерческого учета электрической энергии (мощности) в точке поставки для присоединения жилого дома Андреева С.А., расположенного по адресу: Ростовская область, Цимлянский район, х. Лозной, пер. Лесной, д. 13, корп. а, к.н.з.у.: 61:41:0030103:317</t>
  </si>
  <si>
    <t>Установка прибора коммерческого учета электрической энергии (мощности) в точке поставки для присоединения жилого дома Переверзевой Е.М., расположенного по адресу: Ростовская область, Цимлянский район, х. Лозной, ул. Мира, д. 16, к.н.з.у.: 61:41:0030102:17</t>
  </si>
  <si>
    <t>Установка прибора коммерческого учета электрической энергии (мощности) в точке поставки для присоединения дачного дома Борисовой К.Ю., расположенного по адресу: Ростовская область, Цимлянский район, г. Цимлянск, СОНТ "Винзавод", участок 85, к.н.з.у.: 61:41:0010402:273</t>
  </si>
  <si>
    <t>Установка прибора коммерческого учета электрической энергии (мощности) в точке поставки для присоединения жилого дома Негрей Е.В., расположенного по адресу: Ростовская область, Цимлянский район, х. Лозной, ул. Абрикосовая, д. 70, к.н.з.у.: 61:41:0600011:1076</t>
  </si>
  <si>
    <t>Установка прибора коммерческого учета электрической энергии (мощности) в точке поставки для присоединения жилого дома Домарацкой А.Н., расположенного по адресу: Ростовская область, Цимлянский район, станица Камышевская, ул. Большая Садовая, д. 21, к.н.з.у.: 61:41:040110:0012</t>
  </si>
  <si>
    <t>Установка прибора коммерческого учета электрической энергии (мощности) в точке поставки для присоединения жилого дома Войтенок С.Ф., расположенного по адресу: Ростовская область, Цимлянский район, станица Красноярская, ул. Гагарина, д. 27, к.н.з.у.: 61:41:0020122:58</t>
  </si>
  <si>
    <t>Установка прибора коммерческого учета электрической энергии (мощности) в точке поставки для присоединения жилого дома Мамонова Е.В., расположенного по адресу: Ростовская область, Цимлянский район, п. Дубравный, ул. Красноярская, д. 22, к.н.з.у.: 61:41:0030401:220</t>
  </si>
  <si>
    <t>Установка прибора коммерческого учета электрической энергии (мощности) в точке поставки для присоединения жилого дома Косиновой Л.Е., расположенного по адресу: Ростовская область, Цимлянский район, станица Красноярская, пер. Развильный, д. 3, к.н.з.у.: 61:41:0020105:1</t>
  </si>
  <si>
    <t>Установка прибора коммерческого учета электрической энергии (мощности) в точке поставки для присоединения малоэтажной жилой застройки Мян В.А., расположенной по адресу: Ростовская область, Волгодонской район, станица Романовская, ул. Лесная, д. 10а, к.н.з.у.: 61:48:0070114:551</t>
  </si>
  <si>
    <t xml:space="preserve">Установка прибора коммерческого учета электрической энергии (мощности) в точке поставки для присоединения индивидуального жилого дома Городиловой С.К., расположенного по адресу: Ростовская область, Волгодонской район, станица Романовская, ул. 75 лет Победы, д. 43, к.н.з.у.: 61:08:0600601:4600
</t>
  </si>
  <si>
    <t xml:space="preserve">
Установка прибора коммерческого учета электрической энергии (мощности) в точке поставки для присоединения индивидуального жилого дома Букреевой И.И., расположенного по адресу: Ростовская область, Волгодонской район, станица Романовская, ул. 75 лет Победы, д. 63, к.н.з.у.: 61:08:0600601:4557
</t>
  </si>
  <si>
    <t>Установка прибора коммерческого учета электрической энергии (мощности) в точке поставки для присоединения жилого дома Цехановского В.В., расположенного по адресу: Ростовская область, Волгодонской район, станица Каргальская, ул. Центральная, д. 57, к.н.з.у.: 61:08:0040501:12</t>
  </si>
  <si>
    <t>Установка прибора коммерческого учета электрической энергии (мощности) в точке поставки для присоединения строительной площадки Шелудько А.Г., расположенной по адресу: Ростовская область, г. Волгодонск, СНТ Машиностроитель, д. 188 ндр, к.н.з.у.: 61:48:0000000:119</t>
  </si>
  <si>
    <t>Установка прибора коммерческого учета электрической энергии (мощности) в точке поставки для присоединения садового дома Безматьева Н.С., расположенного по адресу: Ростовская область, г. Волгодонск, ул. Отдыха, д. 39в36, к.н.з.у.: 61:48:0020101:1561</t>
  </si>
  <si>
    <t>Установка прибора коммерческого учета электрической энергии (мощности) в точке поставки для присоединения малоэтажной жилой застройки Чуприна С.М., расположенной по адресу: Ростовская область, Волгодонской район, станица Романовская, ул. Лесная, д. 23, к.н.з.у.: 61:08:0070114:30</t>
  </si>
  <si>
    <t>Установка прибора коммерческого учета электрической энергии (мощности) в точке поставки для присоединения малоэтажной жилой застройки Аникеенко Е.В., расположенной по адресу: Ростовская область, Волгодонской район, станица Романовская, ул. Мелиораторов, д. 30, к.н.з.у.: 61:08:0070111:13</t>
  </si>
  <si>
    <t>Установка прибора коммерческого учета электрической энергии (мощности) в точке поставки для присоединения объекта торговли ИП Белоиваненко В.И., расположенного по адресу: Ростовская область, Волгодонской район, х. Потапов, ул. Комсомольская, д. 40а, к.н.з.у.: 61:08:0040110:1423</t>
  </si>
  <si>
    <t>Установка прибора коммерческого учета электрической энергии (мощности) в точке поставки для присоединения жилого дома Сафронова Г.Н., расположенного по адресу: Ростовская обл, Волгодонской р-н,  ст. Романовская, ул. Береговая, д.22.,  к.н. з.у. 61:08:0070104:712 (1 шт)</t>
  </si>
  <si>
    <t>Установка прибора коммерческого учета электрической энергии (мощности) в точке поставки для присоединения жилого дома Сафронова Г.Н., расположенного по адресу: Ростовская обл, Волгодонской р-н,  ст. Романовская, ул. Береговая, д.18.,  к.н. з.у. 61:08:0070104:714 (1 шт)</t>
  </si>
  <si>
    <t>Установка прибора коммерческого учета электрической энергии (мощности) в точке поставки для присоединения жилого дома Павлова А.А., расположенного по адресу: Ростовская обл, Волгодонской р-н,  ст. Романовская, ул. Береговая, д.20., к.н. з.у. 61:08:0070104:713 (1 шт)</t>
  </si>
  <si>
    <t>Установка прибора коммерческого учета электрической энергии (мощности) в точке поставки для присоединения малоэтажной жилой застройки Преснякова А.М., расположенного по адресу: Ростовская обл, Волгодонской р-н, ст. Романовская, ул. 75 лет Победы, д.87, 61:08:0600601:4643</t>
  </si>
  <si>
    <t>Установка прибора коммерческого учета электрической энергии (мощности) в точке поставки для присоединения дошкольной образовательной организации на 80 мест Администрации Волгодонского района, расположенной по адресу: Ростовская область, Волгодонской район, х. Лагутники, ул. Степной, д. 1а, к.н.з.у.: 61:08:0000000:3423</t>
  </si>
  <si>
    <t>Установка прибора коммерческого учета электрической энергии (мощности) в точке поставки для присоединения индивидуального жилого дома Матвеева А.В., расположенного по адресу: Ростовская область, Волгодонской район, станица Романовская, ул. 75 лет Победы, д. 34, к.н.з.у. 61:08:0600601:4591</t>
  </si>
  <si>
    <t>Установка прибора коммерческого учета электрической энергии (мощности) в точке поставки для присоединения индивидуального жилого дома Кружилиной А.И., расположенного по адресу: Ростовская область, Волгодонской район, станица Романовская, ул. 75 лет Победы, д. 42, к.н.з.у.: 61:08:0600601:4599</t>
  </si>
  <si>
    <t>Установка коммерческого учета электрической энергии (мощности) в точке поставки и установка шкафа 0,4 кВ по присоединению жилого дома Битюковой Л.В., расположенного по адресу: Ростовская область, г. Волгодонск, ул. Отдыха, д. 39в2, кадастровый номер земельного участка 61:48:0020101:1525</t>
  </si>
  <si>
    <t>Установка приборов коммерческого учета электрической энергии (мощности) в точках поставки для присоединения жилых домов Яценко О.Ф. и Шамиловой А.В., расположенных по адресу: Ростовская область, Волгодонской район, х. Сухая Балка, ул. Новоселов, д.13А, к.н.з.у: 61:08:0010401:550 и д.8, к.н.з.у: 61:08:0010401:9 (количество приборов учета  - 2 шт)</t>
  </si>
  <si>
    <t>Установка прибора коммерческого учета электрической энергии (мощности) в точке поставки для присоединения жилого дома Глаубец А.С., расположенного по адресу: Ростовская область, Волгодонской район, станица Романовская, ул. 75 лет Победы, д. 53, к.н.з.у.: 61:08:0600601:4610</t>
  </si>
  <si>
    <t>Установка прибора коммерческого учета электрической энергии (мощности) в точке поставки для присоединения БС 71280 ПАО «Вымпел-Коммуникации», расположенной по адресу: Ростовская область, г. Волгодонск, ш. Цимлянское, д. 10, к.н.з.у.: 61:48:0010204:491</t>
  </si>
  <si>
    <t>Установка прибора коммерческого учета электрической энергии (мощности) в точке поставки для присоединения малоэтажной жилой застройки Галилеева А.Ю., расположенной по адресу: Ростовская обл., р-н. Волгодонской, ст. Романовская, ул. 75 лет Победы, д. 52, к.н.з.у.: 61:08:0600601:4609</t>
  </si>
  <si>
    <t>Установка прибора коммерческого учета электрической энергии (мощности) в точке поставки для присоединения объекта торговли ИП Казымова Б.В.о., расположенного по адресу: Ростовская область, х. Потапов, ул. Комсомольская, д. 49ж, к.н.з.у.: 61:08:0040106:636</t>
  </si>
  <si>
    <t>Установка прибора коммерческого учета электрической энергии (мощности) в точке поставки для присоединения садового домика Трофимова А.Ю., расположенного по адресу: Ростовская область, Константиновский район, х. Ведерников, Константиновское городское поселение, 230 м восточнее х. Ведерников, к.н.з.у.: 61:17:0600017:839</t>
  </si>
  <si>
    <t>Установка прибора коммерческого учета электрической энергии (мощности) в точке поставки для присоединения жилого дома Кротова А.В., расположенного по адресу: Ростовская область, Константиновский район, ст. Николаевская, ул. Победы, д. 92, к.н.з.у.: 61:17:0050101:5900</t>
  </si>
  <si>
    <t>Установка прибора коммерческого учета электрической энергии (мощности) в точке поставки для присоединения индивидуального жилого дома Калининой Е.Л., расположенного по адресу: Ростовская область, Константиновский район, станица Николаевская, ул. Коммунистическая, д. 41, к.н.з.у.: 61:17:0050101:1852</t>
  </si>
  <si>
    <t>Установка прибора коммерческого учета электрической энергии (мощности) в точке поставки и монтаж ответвления от ВЛ к вводу для присоединения индивидуального жилого дома Долгалева А.В., расположенного по адресу: Ростовская область, Константиновский район, х. Кондаков, ул. Степная, д. 25, к.н.з.у.: 61:17:0070503:1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</si>
  <si>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(индивидуального жилого дома/садового/дачного дома) Золотовой Н.В., расположенной по адресу: Ростовская область, Константиновский район, ст. Николаевская, ул. Комсомольская, д. 57, к.н.з.у.: 61:17:0050101:33</t>
  </si>
  <si>
    <t>Установка прибора коммерческого учета электрической энергии (мощности) в точке поставки для присоединения объекта сельскохозяйственного производства Крестьянского хозяйства "Коцарева", расположенного по адресу: Ростовская область, Мартыновский район, п. Новоберезовка, ул. Школьная, д.1г, к.н.з.у. 61:20:009010101:103</t>
  </si>
  <si>
    <t>Установка прибора коммерческого учета электрической энергии (мощности) в точке поставки в точке поставки и монтаж ответвления от ВЛИ к вводу для присоединения магазина ИП Мурадова Б.Н., расположенного по адресу: Ростовская область, Мартыновский район, слобода Большая Орловка, ул. Революционная д. 55, к.н.о.: 61:20:0020101:13295</t>
  </si>
  <si>
    <t>Установка прибора коммерческого учета электрической энергии (мощности) в точке поставки для малоэтажной жилой застройки Кепти Г.К., расположенного по адресу: Ростовская область, Дубовский район, хутор Гуреев, ул. Заречная, д. 2 кв.2, к.н.з.у.: 61:09:0120101:1514 (1 шт)</t>
  </si>
  <si>
    <t>Установка прибора коммерческого учета электрической энергии (мощности) в точке поставки для квартиры Устарханова Р.А., расположенного по адресу: Ростовская область, Дубовский район, хутор Присальский, ул. Энергетиков, д. 5, кв. 1, к.н.з.у.: 61:09:07010100:50 (1 шт)</t>
  </si>
  <si>
    <t>Установка прибора коммерческого учета электрической энергии (мощности) в точке поставки для присоединения склада ИП главы К(Ф)Х Донченко Р.А., расположенного по адресу: Ростовская область, Ремонтненский район, с. Ремонтное, 2 км на северо-запад от с. Ремонтное, к.н.о.: 61:32:0000000:2831, к.н.з.у.: 61:32:0600006:2615</t>
  </si>
  <si>
    <t>Установка прибора коммерческого учета электрической энергии (мощности) в точке поставки для присоединения квартиры Власенко В.И., расположенной по адресу: Ростовская область, Ремонтненский район, с. Киевка, ул. Октябрьская, д. 49, кв. 1, к.н.о.: 61:32:0050101:1340, к.н.з.у.: 61:32:0050101:244</t>
  </si>
  <si>
    <t>Установка прибора коммерческого учета электрической энергии (мощности) в точке поставки и монтаж ответвления от ВЛ к вводу  для присоединения базовой сианции/оборудования сотовой связи ООО "ДонСвязьКонструкция", расположенной по адресу: Ростовская область, Ремонтненский район,с. Богородское,  8 м. западнее домовладения по ул. Гагарина  д 72.,  к.н.з.у. :61:32:0040201</t>
  </si>
  <si>
    <t>Установка прибора коммерческого учета электрической энергии (мощности) в точке поставки для присоединения наружного освещения автомобильной дороги Администрации Ремонтненского района Ростовской области, расположенного по адресу: Ростовская область, Ремонтненский район, с. Валуевка, ул. 40 лет Победы, (от домовладения №1 до домовладения №19а), к.н.з.у.: 61:32:0000000:3057</t>
  </si>
  <si>
    <t>Установка прибора коммерческого учета электрической энергии (мощности) в точке поставки и монтажа ответвления от ВЛ к вводу для присоединения МТМ ИП Главы КФХ Липаева С.И., расположенные по адресу: Ростовская область, Ремонтненский район, с. Большое Ремонтное , ул. Ленина,д. 29д,  к.н.о.:61:32:0040101:1447, к.н.з.у.: 61:32:0040101:1463</t>
  </si>
  <si>
    <t>Установка прибора коммерческого учета электрической энергии(мощности) в точке поставки и монтаж ответвления от ВЛ к вводу для присоединения гаража для грузовых автомашин ИП Главы КФХ Липаева С.И., расположенного по адресу: Ростовская область, Ремонтненский район, с. Большое Ремонтное, ул. Ленина, д. 29д, к.н.о.: 61:32:0040101:1446, к.н.з.у.: 61:32:0040101:1465</t>
  </si>
  <si>
    <t>Установка прибора коммерческого учетаэлектрической энергии мощности) в точке поставки имонтаж ответвления отВЛИк вводу для присоединения квартиры Абдуллаева И.А, расположенной по.адресу: Ростовская область, Заветинский район, с. Кичкино, ул. Солнечная, д.19, кв.lоф. 4, к.н.з.у.:61:11:0030101:1543 (1 шт)</t>
  </si>
  <si>
    <t>Установка прибора коммерческого учета электрической энергии (мощности) в точке поставки для присоединения нежилого помещения АО «Почта России», расположенного по адресу: Ростовская область, Заветинский район, с. Кичкино, ул. Школьная, д. 6а, к.н.о.: 61:11:0030101:920</t>
  </si>
  <si>
    <t>Установка прибора коммерческого учета электрической энергии (мощности) в точке поставки для присоединения административного/офисного здания АО «ПочтаРоссии», расположенного по адресу: Ростовская область, Цимлянский район, х. Лозной, ул. Мира, д.  65, к.н.з.у.: 61:41:0030110:503</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</si>
  <si>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АО «Почта России», расположенного по адресу: Ростовская область, Цимлянский район, п. Саркел, ул. Винзаводская, д. 6, кв./оф. 1,2,3, к.н.о.н.: 61:41:0011106:198</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</si>
  <si>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Воблая Т.М., расположенной по адресу: Ростовская область, г. Волгодонск, ул. Отдыха, д. 39в38, к.н.з.у.: 61:48:0020101:1827</t>
  </si>
  <si>
    <t>Установка прибора коммерческого учета электрической энергии (мощности) в точке поставки для присоединения малоэтажной жилой застройки Корсунова А.В., расположенной по адресу: Ростовская область, Волгодонской район, станица Романовская, ул. 75 лет Победы, д. 54, к.н.з.у.: 61:08:0600601:4611</t>
  </si>
  <si>
    <t>Установка прибора коммерческого учета электрической энергии (мощности) в точке поставки для присоединения малоэтажной жилой застройки Кривошеина Р.С., расположенной по адресу: Ростовская область, станица Романовская, ул. Мелиораторов, д. 12, кв. 2, к.н.з.у.: 61:08:0070111:447</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</si>
  <si>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Рыкова С.Н., расположенного по адресу: Ростовская обл, Волгодонской р-н, ст. Романовская, ул. 75 лет Победы, д.85, к.н.з.у.:61:08:0600601:4641</t>
  </si>
  <si>
    <t>Строительство участка ВЛИ-0,4 кВ от опоры №1/8 ВЛИ-0,4 кВ №2 КТП 8560 ВЛ 6 кВ №1 ПС 35 кВ НС-12 и установка прибора коммерческого учета электрической энергии (мощности) в точке поставки для присоединения жилого дома Страхова О.С., расположенного по адресу: Ростовская область, Волгодонской район, х. Семенкин, кадастровый номер объекта: 61:08:0601901:1595, к.н.з.у. 61:08:0601901:1590 (ориентировочная протяженность ЛЭП 0,03 км)</t>
  </si>
  <si>
    <t>Установка прибора коммерческого учета электрической энергии (мощности) в точке поставки для присоединения жилого дома Трояновой Н.В., расположенного по адресу: Ростовская область, Волгодонской район, станица Романовская, ул. Одесская, д. 7, к.н.з.у.: 61:08:0600601:3840</t>
  </si>
  <si>
    <t>Установка прибора коммерческого учета электрической энергии (мощности) в точке поставки для присоединения малоэтажной жилой застройки Шпаковой О.Е., расположенного по адресу: Ростовская область, Волгодонской район, станица Романовская, ул. 75-лет Победы, д. 48, к.н.з.у.: 61:08:0600601:4605</t>
  </si>
  <si>
    <t>Установка прибора коммерческого учета электрической энергии (мощности) в точке поставки для присоединения административного/офисного здания АО «Почта России», расположенного по адресу: Ростовская обл., Волгодонской р-н, п. Донской, ул. Ленина, д.19, кв. 1,2,3, к.н.з.у.61:08:0060201:309</t>
  </si>
  <si>
    <t>Установка прибора коммерческого учета электрической энергии (мощности) в точке поставки для присоединения административного/офисного здания АО «Почта России», расположенного по адресу: Ростовская обл., Волгодонской р-н., п. Победа, ул. Кооперативная , д.3, кв. 7,8, к.н.з.у.61:08:0060104:15</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</si>
  <si>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Гурьев А.И., расположенного по адресу: Ростовская обл, Волгодонской р-н, ст. Романовская, ул. 70 лет Октября, д. 47а, к.н.61:08:0070112:459</t>
  </si>
  <si>
    <t>Установка прибора коммерческого учета электрической энергии (мощности) в точке поставки для присоединения садового дома Первиловой Л.Г., расположенного по адресу: Ростовская область, г.Волгодонск, ул. Отдыха, д. 37б7, к.н.з.у.: 61:48:0020101:184</t>
  </si>
  <si>
    <t>Установка прибора коммерческого учета электрической энергии (мощности) в точке поставки для присоединения садового дома Мартынюк С.В., расположенного по адресу: Ростовская область, г.Волгодонск, ул. Отдыха, д. 37а, к.н.з.у.: 61:48:0020101:1858</t>
  </si>
  <si>
    <t>Установка прибора коммерческого учета электрической энергии (мощности) в точке поставки для присоединения объекта туристической отрасли Чикина А.М., расположенного по адресу: Ростовская область, г. Волгодонск, ул. Отдыха, д. 3, к.н.з.у.: 61:48:0020101:1277</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</si>
  <si>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наружного освещения Министерства транспорта Ростовской области, расположенного по адресу: Ростовская область, Константиновский район, Начало объекта – на км 0+000, соответствует местоположению точки, расположенной на расстоянии 30 м в прямом направлении от оси а/д «г. Шахты – г. Цимлянск» на км 100+430. Конец объекта – в х. Гапкин, мост на км 6+466+334 (х. Савельев), к.н.з.у.: 61:17:0000000:7468</t>
  </si>
  <si>
    <t>Установка прибора коммерческого учета электрической энергии (мощности) в точке поставки для присоединения базовой станции/оборудования сотовой связи АО «Первая Башенная Компания», расположенной по адресу: Ростовская область, Зимовниковский район, п. Мокрый Гашун, ул. Парковая, участок в 35 м от дома №1, к.н.з.у.: 61:13:0090105</t>
  </si>
  <si>
    <t>Установка прибора коммерческого учета электрической энергии (мощности) в точке поставки и монтаж ответвления от ВЛ к вводу для присоединения квартиры Горькова В.В., расположенной по адресу: Ростовская область, Зимовниковский район, станица Кутейниковская, ул. Школьная, д. 19, кв. 1, к.н.з.у.: 61:13:0070102:85</t>
  </si>
  <si>
    <t>Установка прибора коммерческого учета электрической энергии (мощности) в точке поставки для присоединения жилого дома Мурадова Ю.К., расположенного по адресу: Ростовская область, Мартыновский район, х. Московский, ул. Московская, д. 63, к.н.з.у.: 61:20:0070601:424</t>
  </si>
  <si>
    <t>Установка прибора коммерческого учета электрической энергии (мощности) в точке поставки для присоединения магазина №37 Большовского потребительского общества, расположенного по адресу: Ростовская область, Мартыновский район, х. Пробуждение, ул. Юбилейная, д. 55, к.н.з.у.: 61:20:60080701:220</t>
  </si>
  <si>
    <t>Установка прибора коммерческого учета электрической энергии (мощности) в точке поставки для присоединения скважины для полива огорода Лоладзе Г.М., расположенной по адресу: Ростовская область, Мартыновский район, слобода Большая Орловка, ул. Берестова, д. 109-а, к.н.з.у.: 61:20:0020101:13339</t>
  </si>
  <si>
    <t xml:space="preserve">Обеспечение коммерческим учетом электрической энергии (мощности) в точке поставки и установка шкафа 0,4 кВ по присоединению базовой станции сотовой связи БС 2683 ООО «Т2 Мобайл», расположенной по адресу: Ростовская область, Мартыновский район, п. Крутобережный, пер. Речной, д. 1б, к.н. 61:20:0020501:2925 </t>
  </si>
  <si>
    <t>Установка прибора коммерческого учета электрической энергии (мощности) в точке поставки для присоединения производственной базы ООО «Новоселовское», расположенной по адресу: Ростовская область, Мартыновский район, х. Новоселовка, ул. Кировская, д. 29, к.н.з.у.: 61:20:0070101:122</t>
  </si>
  <si>
    <t>Установка прибора коммерческого учета электрической энергии (мощности) в точке поставки для присоединения скважины для полива огорода Стаценко В.Г., расположенной по адресу: Ростовская область, Мартыновский район, слобода Большая Орловка, ул. Красноармейская, д.155, к.н.з.у. :61:20:020101:0609</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</si>
  <si>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Ивашкова Ю.А., расположенного по адресу Ростовская область, Мартыновский район, х. Несмеяновка, ул. Несмеяновская, д. 49, к.н. 61:20:0070701:1435</t>
  </si>
  <si>
    <t>Установка прибора коммерческого учета электрической энергии (мощности) в точке поставки для присоединения квартиры Умарова Х.А., расположенной по адресу: Ростовская область, Дубовский район, х. Присальский, ул. Энергетиков, д. 4, кв. 2, к.н.з.у.: 61:09:0070101:66</t>
  </si>
  <si>
    <t>Установка прибора коммерческого учета электрической энергии (мощности) в точке поставки для присоединения КТП/С 16 кВА 10/0,4 кВ ПАО «Газпром», расположенного по адресу: Ростовская область, Зимовниковский район, х. Петухов, в Зимовниковском районе Ростовской области на 24,9 км проектируемой перемыки, к.н.з.у.: 61:13:0600001:499 (количество приборов - 1 шт)</t>
  </si>
  <si>
    <t>Установка прибора коммерческого учета электрической энергии (мощности) в точке поставки и монтаж ответвления от ВЛИ к вводу для квартиры Булыгина М.И., расположенной по адресу: Ростовская область, Дубовский район, х.Присальский, ул. Степная, д.3, кв. 1, к.н.з.у.: 61:09:0070101:106</t>
  </si>
  <si>
    <t>Установка прибора коммерческого учета электрической энергии (мощности) в точке поставки и монтаж ответвления от ВЛИ к вводу для присоединения объектов жилищно-коммунального хозяйства Администрации Дубовского района Ростовской области, расположенных по адресу: Ростовская область, Дубовский район, станица Малая Лучка, в границах кадастрового квартала 61:09:0060101, к.н.з.у.: 61:09:0060101:890</t>
  </si>
  <si>
    <t>Установка прибора коммерческого учета электрической энергии (мощности) в точке поставки для присоединения жилого дома Отрезенко А.Д., расположенного по адресу: Ростовская область, Ремонтненский район, х. Раздольный, ул. Центральная, д. 7, к.н.з.у.: 61:32:0050201:469</t>
  </si>
  <si>
    <t>Установка прибора коммерческого учета электрической энергии (мощности) в точке поставки для присоединения жилого дома Крамаревой С.Н., расположенного по адресу: Ростовская область, Ремонтненский район, х. Раздольный, ул. Центральная, д. 11, к.н.з.у.: 61:32:0050201:118</t>
  </si>
  <si>
    <t xml:space="preserve"> Установка прибора коммерческого учета электрической энергии (мощности) в точке поставки для присоединения жилого дома Журавлева Н.С., расположенного по адресу: Ростовская область, Ремонтненский район, х. Развильный, ул. Победы, д. 3, к.н.о.: 61:32:0050201:97:12, к.н.з.у.: 61:32:0050201:97 </t>
  </si>
  <si>
    <t>Установка прибора коммерческого учета электрической энергии (мощности) в точке поставки для присоединения жилого дома Голиковой О.О., расположенного по адресу: Ростовская область, Ремонтненский район, х. Раздольный, ул. Центральная, д. 28, к.н.о.:61:32:0050201:248, к.н.з.у.: 61:32:0050201:70</t>
  </si>
  <si>
    <t>Установка прибора коммерческого учета электрической энергии (мощности) в точке поставки для присоединения жилого дома Волкодав Ю.В., расположенного по адресу: Ростовская область, Ремонтненский район, х. Раздольный, ул. Центральная, д. 9, к.н.о.: 61:32:005201:244, к.н.з.у.: 61:32:005201:52</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</si>
  <si>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(магазин, торговый центр, прочее) ИП Бунина Р.Г., расположенного по адресу: Ростовская область, Цимлянский район, станица Красноярская, ул. Победы, д.110,   корп. в, к.н.з.у.: 61:41:0020108:57</t>
  </si>
  <si>
    <t>Установка прибора коммерческого учета электрической энергии(мощности) в точке поставки и монтаж ответвления от ВЛ к вводу для присоединения общеобразовательной организации (учреждения) Администрации Цимлянского района, расположенной по адресу: Ростовская область,  Цимлянский район, Красноярское сельское поселение, станица Красноярская, ул. Ленина, 2б, к.н.з.у.:    61:41:0020128:320</t>
  </si>
  <si>
    <t>Установка прибора коммерческого учета электрической энергии (мощности) в точке поставки для присоединения части жилого дома Лысовой Е.М., расположенной по адресу: Ростовская область, Цимлянский район, п. Саркел, ул. Набережная, д. 4, кв./оф. 2, к.н.з.у.: 61:41:0011107:64</t>
  </si>
  <si>
    <t>Установка прибора коммерческого учета электрической энергии (мощности) в точке поставки для присоединения квартиры Кучеренко С.В., расположенной по адресу: Ростовская область, Цимлянский район, п. Саркел, пер. Виноградный, д. 5, кв./оф. 6, к.н.з.у.: 61:41:0011104:0072</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</si>
  <si>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Колесникова Г.В., расположенной по адресу: Ростовская область, Цимлянский район, х. Лозной, ул. Советская, д.125, к.н.з.у.: 61:41:0030110:132</t>
  </si>
  <si>
    <t xml:space="preserve"> Установка прибора коммерческого учета электрической энергии (мощности) в точке поставки для присоединения жилого дома Корченко В.В., расположенного по адресу: Ростовская область, Цимлянский район, станица Красноярская, пер. Красноармейский, д. 28, к.н.з.у. 61:41:0020118:79</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</si>
  <si>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Молчановой Д.Д., расположенной по адресу: Ростовская область, Волгодонской район, п. Краснодонский, ул. Южная, д. 9а, к.н.з.у.: 61:08:0600901:296</t>
  </si>
  <si>
    <t xml:space="preserve"> Установка прибора коммерческого учета электрической энергии (мощности) в точке поставки для присоединения малоэтажной жилой застройки Мироненко А.М., расположенной по адресу: Ростовская область, Волгодонской район, станица Романовская, пер. Октябрьский, д. 41, к.н.з.у.: 61:08:0070118:118</t>
  </si>
  <si>
    <t>Установка прибора учета для присоединения жилого дома Литвинова С.В., расположенного по адресу: Ростовская область, Октябрьский район, с/т «Электровозостроитель», 27, КН ЗУ: 61:28:0502501:365</t>
  </si>
  <si>
    <t>Установка прибора учета для присоединения базовой станции/ оборудования сотовой связи ПАО «Ростелеком», расположенной по адресу: Ростовская область, Родионово-Несветайский район, х. Большой Должик»</t>
  </si>
  <si>
    <t>Установка прибора учета для присоединения базовой станции/оборудования сотовой связи ПАО «Ростелеком», расположенной по адресу: Ростовская область, Октябрьский район, п. Равнинный, КН ЗУ:  61:28:000000:00</t>
  </si>
  <si>
    <t>Установка прибора учета для присоединения базовой станции/оборудования сотовой связи ПАО «Ростелеком», расположенной по адресу: Ростовская область, Усть-Донецкий район, х. Коныгин, КН ЗУ:  61:39:000000:00</t>
  </si>
  <si>
    <t>Установка прибора учета для присоединения базовой станции/оборудования сотовой связи ПАО «Ростелеком», расположенной по адресу: Ростовская область, Усть-Донецкий район, х. Ольховский, КН ЗУ:  61:39:000000:00</t>
  </si>
  <si>
    <t>Установка прибора учета для присоединения базовой станции сотовой связи ПАО «Ростелеком», расположенной по адресу: Ростовская область, Октябрьский район, х. Ягодинка</t>
  </si>
  <si>
    <t>Установка прибора учета для присоединения базовой станции сотовой связи ПАО «Ростелеком», расположенной по адресу: Ростовская область, Октябрьский район, х. Шевченко</t>
  </si>
  <si>
    <t>Установка прибора учета для присоединения базовой станции сотовой связи ПАО «Ростелеком», расположенной по адресу: Ростовская область, Октябрьский район, х. Марьевка</t>
  </si>
  <si>
    <t>Установка прибора учета для присоединения базовой станции сотовой связи ПАО «Ростелеком», расположенной по адресу: Ростовская область, Октябрьский район, х. Калиновка</t>
  </si>
  <si>
    <t>Установка прибора учета для присоединения базовой станции/оборудования сотовой связи ПАО междугородной и международной электрической связи «Ростелеком», расположенной по адресу: Ростовская область, Красносулинский район, х. Новоровенецкий</t>
  </si>
  <si>
    <t xml:space="preserve"> Установка прибора учета для присоединения «нежилого здания» ФГКУ «ПУ ФСБ РФ по РО» расположенной по адресу: р-н. Родионово-Несветайский, сл. Алексеево-Тузловка, ул. Садовая, д. 14 к.н.з.у. 61:33:0051001:827</t>
  </si>
  <si>
    <t>Установка прибора учета для присоединения объекта «Малоэтажная жилая застройка (Индивидуальный жилой дом/Садовый/Дачный дом)» Двужиловой С.Н., расположенного по адресу: Ростовская область, Родионово-Несветайский район, сл. Большекрепинская, ул. Новоселовская, д. 1, КН ЗУ: 61:33:0060101:370</t>
  </si>
  <si>
    <t xml:space="preserve"> Установка прибора учета для присоединения объекта торговли (магазин, торговый центр, прочее) ИП Белоусова В.А., расположенного по адресу: Ростовская область, Родионово-Несветайский район, сл. Барило-Крепинская, ул. Ленина, д. 17, КН ЗУ: 61:33:0050101:539</t>
  </si>
  <si>
    <t>Установка прибора учета для присоединения объекта Малоэтажная жилая застройка (Индивидуальный жилой дом/Садовый/Дачный дом) Мартиросян С.К., расположенной по адресу: Ростовская область,  Родионово-Несветайский район, х. Каменный Брод, ул. Курсантов РАУ,  д. 31/1, КН ЗУ: 61:33:0030501:2167</t>
  </si>
  <si>
    <t>Установка прибора учета для присоединения Базовой станции/ оборудования сотовой связи АО «ПБК», расположенной примерно в 20 м по направлению на восток от дома по адресу: Ростовская область, Родионово-Несветайский район, х. Нагорно-Тузловка, ул. Красноармейская, д. 51, в пределах кадастрового квартала 61:33:0051201, территориально расположенного в зоне Ж1</t>
  </si>
  <si>
    <t>Установка прибора учета для присоединения квартиры Титовой Н.М., расположенной по адресу: Ростовская область, Аксайский район, х. Горизонт, ул. Центральная, д. 5, кв. 2, КН ЗУ: 61:02:0030701:3</t>
  </si>
  <si>
    <t>Установка прибора учета для присоединения склада запчастей ИП главы КФХ Шепилова В.А., расположенного по адресу: Ростовская область, Октябрьский район, х. Керчик-Савров, ул. Алейникова, д.9, КН ЗУ: 61:28:0050101:1655</t>
  </si>
  <si>
    <t>Установка прибора учета для присоединения малоэтажной жилой застройки Тихоновой О.Л., расположенной по адресу: Ростовская область, Октябрьский район, х. Керчик-Савров, ул. Колхозная, д. 25, КН ЗУ: 61:28:0050101:403</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</si>
  <si>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п. Красногорняцкий, ул. Короткая д. 2 (Лысаковский А.В.) (1 шт.)</t>
  </si>
  <si>
    <t xml:space="preserve"> Установка прибора учета для присоединения жилого дома Слепкова Е.А., расположенного по адресу: Ростовская область, Октябрьский район, ст-ца Кривянская, ул. Декабристов, д. 24а, КН ЗУ: 61:28:0040124:84</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</si>
  <si>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Червяковой А.А., расположенного по адресу: Ростовская область, Октябрьский район, садоводческое товарищество «Электровозостроитель», уч. №22, к.н.з.у.: 61:28:0502501</t>
  </si>
  <si>
    <t>Установка прибора учета для присоединения жилого дома Гришневой Н.В., расположенного по адресу: Ростовская область, Красносулинский район, х. Лихой, ул. Советская, д.29, КН ЗУ: 61:18:0070107:1</t>
  </si>
  <si>
    <t xml:space="preserve"> Строительство ВЛИ-0,4 кВ от конечной опоры ВЛИ-0,4 кВ, строящейся по договору ТП №61-1-21-00555897 от 25.01.2021г с Азарянсковым В.В. от оп. №1 ВЛ-0,4 кВ №1 КТП №474 ВЛ-6 кВ Кривянка ПС Ш-40, для электроснабжения жилого дома Поповой А.А. по адресу: Октябрьский р-н, ст. Кривянская, ул. Декабристов, д.81 (ориентировочная протяженность ЛЭП – 0,24 км)</t>
  </si>
  <si>
    <t>Строительство ВЛИ 0,4 кВ от ВЛ 0,4 кВ №2 КТП 320 ВЛ 10 кВ Пухляковка ПС Ш34 для электроснабжения ВРУ-0.4кВ дачного дома Архангельского А.С. по адресу: Усть-Донецкий район, х. Пухляковский, ул. Механизаторов 35, КН ЗУ 61:39:0090103:124 (ориентировочная протяженность ЛЭП – 0,210 км)</t>
  </si>
  <si>
    <t xml:space="preserve"> Установка прибора учета для присоединения садового дома Кокошниковой Л.Л., расположенного по адресу: Ростовская область, Октябрьский район, садоводческое товарищество «Электровозостроитель», уч. 62, КН ЗУ: 61:28:0502501:287</t>
  </si>
  <si>
    <t xml:space="preserve"> Установка прибора учета для присоединения малоэтажной жилой застройки Махотенко П.В., расположенной по адресу: Ростовская область, Октябрьский район, х. Калинин, с/т «Дон» уч-к №470, КН ЗУ: 61:28:0504201:523</t>
  </si>
  <si>
    <t>Установка прибора учета для присоединения жилого дома Попова Е.В., расположенного по адресу: Ростовская область, Октябрьский район, п. Новозарянский, ул. Калинина, д.5, КН ЗУ: 61:28:100101:0010</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</si>
  <si>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ст. Раздорская, ул. Коныгинская, д. 8 (Крылов Г.В.) (1 шт.)</t>
  </si>
  <si>
    <t xml:space="preserve"> Установка прибора учета для присоединения ВРУ-0,4кВ жилого дома Алексеевой Н.И., расположенного по адресу: Ростовская область, Усть-Донецкий район, х. Апаринский, ул. Социалистическая,  д. 20, к.н.з.у: 61:39:0050101:152</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</si>
  <si>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п. Донские Зори, ул. Дачная, д. 3В (Андреещева А.Н.) (1 шт.)</t>
  </si>
  <si>
    <t>Установка прибора учета для присоединения ВРУ-0,4кВ жилого дома Левченкова С.Л., расположенного по адресу: Ростовская область, Усть-Донецкий район, х. Апаринский, ул. Степная,  д. 3, к.н.з.у.: 61:39:050101:0129</t>
  </si>
  <si>
    <t>Установка прибора учета для присоединения ВРУ-0,4кВ жилого дома Леоновой И.А., расположенного по адресу: Ростовская область, Усть-Донецкий район, п. Огиб, ул. Новая,  д. 11, к.н.з.у.: 61:39:0060601:82</t>
  </si>
  <si>
    <t>Обеспечение коммерческим учетом электрической энергии (мощности) в точке поставки по присоединению объекта заявителя. Ростовская обл., р-н Усть-Донецкий, с.т. "Горняк" №337 (Луковская Л.А.) (1 шт.)</t>
  </si>
  <si>
    <t xml:space="preserve"> Строительство ВЛИ-0,4 кВ от ВЛ 0,4 кВ № 2 КТП 14 ВЛ 10 кВ Кундрючий ПС Ш32 с коммерческим учетом электрической энергии (мощности) в точке поставки для электроснабжения нежилого здания ИП Климович В.В., в ст. Нижнекундрюченская, Усть-Донецкого р-на, (ориентировочная протяженность ЛЭП 0,065 км)</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</si>
  <si>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ВРУ-0,4 кВ жилого дома Заявителя Бурда О.А., расположенного по адресу: Ростовская область, Красносулинский район, г. Красный Сулин, ул. Виноградная, д. 63, к.н.з.у.: 61:18:0140101:17</t>
  </si>
  <si>
    <t xml:space="preserve"> Установка прибора учета для присоединения модульного ФАП Муниципального Бюджетного Учреждения Здравоохранения «Районная больница г. Красного Сулина и Красносулинского района Ростовской области», расположенного по адресу: Ростовская область, Красносулинский район, Пролетарское сельское поселение, пос. Донлесхоз, ул. Лесная, б/н, КН ЗУ: 61:18:0080202:410</t>
  </si>
  <si>
    <t>Установка прибора учета для присоединения нестационарного торгового павильона Бугрименко О.Г., расположенного по адресу: Ростовская область, Красносулинский район, х. Малое Зверево, ул. Колхозная, д. б/н</t>
  </si>
  <si>
    <t xml:space="preserve"> Обеспечение коммерческим учетом электрической энергии (мощности) в точке поставки по присоединению объекта заявителя. Ростовская область р-н. земельный участок находится примерно в 172 м по направлению на восток от дома № 1 по ул. Заречная, х. Новопрохоровка (Алещенко А.П.) (1 шт.)</t>
  </si>
  <si>
    <t>Установка прибора учета для присоединения храма Местной религиозной организации православного Прихода храма Покрова Пресвятой Богородицы сл. Большекрепинская Родионово-Несветайского района Ростовской области Шахтинской Епархии Русской Православной Церкви (Московский патриарх), расположенного по адресу: Ростовская область, Родионово-Несветайский район, сл. Большекрепинская, ул. Стахановская, д. 17, КН ЗУ: 61:33:006101:2886</t>
  </si>
  <si>
    <t>Обеспечение коммерческим учетом электрической энергии (мощности) в точке поставки по присоединению объекта заявителя. Ростовская область, Родионово-Несветайский район, х. Веселый, ул. Центральная, д. 8 (Соколова В.В.) (1 шт.)</t>
  </si>
  <si>
    <t>Обеспечение коммерческим учетом электрической энергии (мощности) в точке поставки по присоединению объекта заявителя. Ростовская область, Родионово-Несветайский район, х. Большой Должик, ул. Октября, д. 5 (Сыроватский Н.П.) (1 шт.)</t>
  </si>
  <si>
    <t xml:space="preserve"> 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сл. Аграфеновка, участок находиться примерно в 55м по направлению на юг от ориентира земельного участка, расположенного по адресу: Ростовская область, Родионово-Несветайский район, сл. Аграфеновка, ул. Гагарина,62 (ООО «Т2 Мобайл») (1 шт.)</t>
  </si>
  <si>
    <t>Установка прибора учета для присоединения жилого дома Щербаха В.С., расположенного по адресу: Ростовская область, Родионово-Несветайский район,  сл. Большекрепинская, ул. Красноармейская,  д. 9, КН ЗУ: 61:33:0060101:1103</t>
  </si>
  <si>
    <t xml:space="preserve"> Строительство ВЛИ-0,4 кВ от оп.1 по ВЛ-0,4кВ № 1 от КТП 10/0,4кВ № 524 по ВЛ-10кВ «Память Кирова» ПС Н-9 для электроснабжения «свинарник-откормочник» ИП Саргсян С.А. по адресу: Ориентир от дороги Родионово-Несветайская-Дарьевка. участок находится примерно в 120 м от ориентира по на правлению на северо-запад (ориентировочная протяженность ЛЭП – 0,210км)</t>
  </si>
  <si>
    <t>Установка прибора учета для присоединения жилого дома Сафронова С.А., расположенного по адресу: Ростовская область, Красносулинский район, с. Киселево, ул. Луговая, д.17</t>
  </si>
  <si>
    <t>Установка прибора учета для присоединения нежилой застройки Сулименко И.Н., расположенной по адресу: Ростовская область, Красносулинский район, х. Садки, 150 метров на северо-восток от дома № 23 по ул. Маркина, КН ЗУ: 61:18:0090107:432</t>
  </si>
  <si>
    <t>Установка прибора учета для присоединения нежилого здания (корпуса для откорма КРС) Колесникова М.А., расположенного по адресу: Ростовская область, Красносулинский район, примерно в 90 м., по направлению на юго-восток от х. Нижняя Ковалевка, КН ЗУ: 61:18:0600001:491</t>
  </si>
  <si>
    <t>Установка прибора учета для присоединения объекта «Малоэтажная жилая застройка (Индивидуальный жилой дом/Садовый/Дачный дом)» Абрамова М.С., расположенного по адресу: Ростовская область, Родионово-Несветайский район, х. Каменный Брод, ул. Калининская,  д. 14а, КН ЗУ: 61:33:0030501:1940</t>
  </si>
  <si>
    <t>Установка прибора учета для присоединения нежилого здания (общежития) ООО «Агрокомплекс Ростовский», расположенного по адресу: Ростовская область, Родионово-Несветайский район, сл. Большекрепинская, ул. Ленина, д. 13, к.н.з.у.: 61:33:0060101:1197</t>
  </si>
  <si>
    <t>Установка прибора учета для присоединения объекта «Малоэтажная жилая застройка (Индивидуальный жилой дом/Садовый/Дачный дом)» Ермашова А.С., расположенного по адресу: Ростовская область, Родионово-Несветайский район, х. Веселый, ул. Новая, д. 26А, КН ЗУ: 61:33:0040701:1376</t>
  </si>
  <si>
    <t>Установка прибора учета для присоединения объекта «Малоэтажная жилая застройка (Индивидуальный жилой дом/Садовый/Дачный дом)» Есипенко С.И., расположенного по адресу: Ростовская область, Родионово-Несветайский район, сл. Аграфеновка, ул. Просвещения, д. 144, КН ЗУ: 61:33:0010101:353</t>
  </si>
  <si>
    <t>Установка прибора учета для присоединения объекта Малоэтажная жилая застройка (Индивидуальный жилой дом/Садовый/Дачный дом) Ивановой Ю.А., расположенного по адресу: Ростовская область,  Родионово-Несветайский район, сл. Большекрепинская, ул. Советская,  д. 10, КН ЗУ: 61:33:0060101:680</t>
  </si>
  <si>
    <t>Установка прибора учета для присоединения объекта «Малоэтажная жилая застройка (Индивидуальный жилой дом/Садовый/Дачный дом)» Коваленко А.А., расположенного по адресу: Ростовская область, Родионово-Несветайский район, сл. Аграфеновка, ул. Просвещения, д. 54, КН ЗУ: 61:33:0010101:249</t>
  </si>
  <si>
    <t>Установка прибора учета для присоединения жилого дома Лорей М.В., расположенного по адресу: Ростовская область, Родионово-Несветайский район, сл. Родионово-Несветайская, ул. Челюскина, д. 23, КН ЗУ: 61:33:0600010:3114</t>
  </si>
  <si>
    <t>Установка прибора учета для присоединения жилого дома Котовой К.А., расположенного по адресу: Ростовская область, Родионово-Несветайский район, сл. Родионово-Несветайская, ул. Абрикосовая, д. 21, КН ЗУ: 61:33:0040123:212</t>
  </si>
  <si>
    <t>Установка прибора учета для присоединения жилого дома Маркина С.Е., расположенного по адресу: Ростовская область, Родионово-Несветайский район, х. Каменный Брод, ул. Курсантов РАУ, д. 2б, КН ЗУ: 61:33:0030501:1796</t>
  </si>
  <si>
    <t>Установка прибора учета для присоединения объекта «Малоэтажная жилая застройка (Индивидуальный жилой дом/Садовый/Дачный дом)» Небыкова Н.И., расположенного по адресу: Ростовская область, Родионово-Несветайский район, сл. Кутейниково, ул. Румянова, д. 26, КН ЗУ: 61:33:0030101:435</t>
  </si>
  <si>
    <t>Установка прибора учета для присоединения жилого дома Петрова К.В,. расположенного по адресу: Ростовская область, Родионово-Несветайский район, сл. Барило-Крепинская, ул. Гончарова, д. 5, КН ЗУ: 61:33:0050101:269</t>
  </si>
  <si>
    <t>Установка прибора учета для присоединения жилого дома Рудь Д.В., расположенного по адресу: Ростовская область, Родионово-Несветайский район, сл. Родионово-Несветайская, ул. Вишневая, д. 1, КН ЗУ: 61:33:0040123:530</t>
  </si>
  <si>
    <t>Установка прибора учета для присоединения объекта «Малоэтажная жилая застройка (Индивидуальный жилой дом/Садовый/Дачный дом)» Сыроваткина А.Н., расположенного по адресу: Ростовская область, Родионово-Несветайский район, сл. Большекрепинская, ул. Октябрьская, д. 13, КН ЗУ: 61:33:0060101:733</t>
  </si>
  <si>
    <t>Установка прибора учета для присоединения объекта Малоэтажная жилая застройка (Индивидуальный жилой дом/Садовый/Дачный дом) Туроверовой В.П., расположенного по адресу: Ростовская область, Родионово-Несветайский район, х. Веселый, ул. Дачная,  д. 8, КН ЗУ: 61:33:0040701:864</t>
  </si>
  <si>
    <t xml:space="preserve"> Установка прибора учета  для присоединения жилого дома Баранова Д.В., расположенного по адресу: Ростовская область, Октябрьский район, ст-ца Заплавская, ул. Виноградная, д.1Б, к.н.з.у.: 61:28:0030101:1554</t>
  </si>
  <si>
    <t xml:space="preserve"> Установка прибора учета для присоединения объекта общественного питания ООО «АльфаТрансСервис», расположенного по адресу: Ростовская область, Октябрьский район, п. Интернациональный, ул. Харьковская, д. 55-б, КН ЗУ: 61:28:0600014:1881</t>
  </si>
  <si>
    <t xml:space="preserve"> Установка прибора учета для присоединения индивидуального жилого дома Бийц И.В., расположенного по адресу: Ростовская область, Октябрьский район, сл. Красюковская, пер. Советский 3-й, д. 3, КН ЗУ: 61:28:0070101:1781</t>
  </si>
  <si>
    <t>Установка прибора учета для присоединения жилого дома Короткой Т.Г., расположенного по адресу: Ростовская область, Октябрьский район, х. Калинин, ул. Донская, д. 14а, КН ЗУ: 61:28:0030201:1307</t>
  </si>
  <si>
    <t>Установка прибора учета для присоединения базовой станции сотовой связи ПАО «Вымпел-Коммуникации», расположенной по адресу: Ростовская область, Октябрьский район, ст-ца Кривянская, ул. Тузлова, д.50, КН ЗУ: 61:28:0040110:42</t>
  </si>
  <si>
    <t>Установка прибора учета для присоединения Малоэтажной жилой застройки (Индивидуального жилого дома/Садового/Дачного дома) Еременко М.В., расположенной по адресу: Ростовская область, Октябрьский район, х. Маркин, ул. Транспортная, д.9, КН ЗУ: 61:28:0100701:314</t>
  </si>
  <si>
    <t xml:space="preserve"> Установка прибора учета для присоединения объекта торговли (магазина, торгового центра, прочего) ИП Морозова А.А., расположенного по адресу: Ростовская область, Октябрьский район, ст-ца Кривянская, ул. Мостовая, д. 4а</t>
  </si>
  <si>
    <t>Установка прибора учета для присоединения садового дома Калашниковой А.С., расположенного по адресу: Ростовская область, Октябрьский район, садоводческое товарищество «Электровозостроитель», уч. 216, КН ЗУ: 61:28:0502501:416</t>
  </si>
  <si>
    <t>Установка прибора учета для присоединения садового дома Качаловского А.Г., расположенного по адресу: Ростовская область, Октябрьский район, с/т «Электровозостроитель», уч. 58, КН ЗУ: 61:28:0502501:297</t>
  </si>
  <si>
    <t>Установка прибора учета для присоединения жилого дома Кондратовой Л.В., расположенного по адресу: Ростовская область, Октябрьский район, садоводческое товарищество «Электровозостроитель», зем.уч. 73, КН ЗУ: 61:28:0502501:264</t>
  </si>
  <si>
    <t>Установка прибора учета для присоединения жилого дома Макарян Г.С., расположенного по адресу: Ростовская область, Красносулинский район, х. Гривенный, ул. Победы, д.43, КН ЗУ: 61:18:0100301:59</t>
  </si>
  <si>
    <t>Установка прибора учета для присоединения объектов наружного освещения Министерства транспорта Ростовской области, расположенных по адресу: Ростовская область, Октябрьский район, г. Новочеркасск – п. Багаевский на участке км 16+500, КН ЗУ: 61:28:0000000:323</t>
  </si>
  <si>
    <t>Установка прибора учета для присоединения садового дома Пильчук Л.В., расположенного по адресу: Ростовская область, Октябрьский район, с/т «Электровозостроитель», уч. №37, КН ЗУ: 61:28:0502501:344</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</si>
  <si>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п. Верхнегрушевский, ул. Молодежная д.13 (Ромазанов М.М.) (1 шт.)</t>
  </si>
  <si>
    <t>Установка прибора учета для присоединения жилого дома Швачка В.А., расположенного по адресу: Ростовская область, Октябрьский район, х. Калинин, ул. Донская, д.89, КН ЗУ: 61:28:0030201:621</t>
  </si>
  <si>
    <t>Установка прибора учета для присоединения жилого дома Богдановой А.С., расположенного по адресу: Ростовская область, Октябрьский район, ст-ца Кривянская, ул. Некрасова, д. 17А, КН ЗУ: 61:28:0040107:580</t>
  </si>
  <si>
    <t>Установка прибора учета для присоединения садового дома Гаврилова А.Ю., расположенного по адресу: Ростовская область, Октябрьский район, садоводческое товарищество «Электровозостроитель», уч. 119, КН ЗУ: 61:28:0502501:628</t>
  </si>
  <si>
    <t>Установка прибора учета для присоединения жилого дома Гасайниевой В.Б., расположенного по адресу: Ростовская область, Октябрьский район, ст-ца Бессергеневская, ул. Семисохина, д. 54, КН ЗУ: 61:28:0030301:419</t>
  </si>
  <si>
    <t>Установка прибора учета для присоединения колбасного цеха ИП Рубцова Д.В., расположенного по адресу: Ростовская область, Октябрьский район, п. Новоперсиановка, ул. Советская, д. 12, КН здания: 61:28:0600012:1294</t>
  </si>
  <si>
    <t>Установка прибора учета для присоединения для электроснабжения жилого дома Касимова С.А., расположенного по адресу: Ростовская область, Октябрьский район, х. Яново-Грушевский, ул. Речная, д. 3-а, КН ЗУ: 61:28:0070201:2340</t>
  </si>
  <si>
    <t>Установка прибора учета для присоединения садового дома Клейменова А.Б., расположенного по адресу: Ростовская область, Октябрьский район, с/т «Электровозостроитель», уч. №113, КН ЗУ: 61:28:0502501:641</t>
  </si>
  <si>
    <t>Установка прибора учета для присоединения жилого дома Коноплева А.К., расположенного по адресу: Ростовская область, Октябрьский район, х. Калинин, ул. Центральная, д.235, КН ЗУ: 61:28:0030201:687</t>
  </si>
  <si>
    <t>Установка прибора учета для присоединения садового дома Коноплева А.М., расположенного по адресу: Ростовская область, Октябрьский район, садоводческое товарищество «Электровозостроитель», уч. 107, КН ЗУ: 61:28:0502501:654</t>
  </si>
  <si>
    <t>Установка прибора учета для присоединения магазина ИП Лямзиной С.М., расположенного по адресу: Ростовская область, Октябрьский район, п. Персиановский, ул. Школьная, д. 39, помещение 4,5, КН ЗУ: 61:28:0110101:5878</t>
  </si>
  <si>
    <t>Установка прибора учета для присоединения садового дома Махнач Н.А., расположенного по адресу: Ростовская область, Октябрьский район, х. Калинин, садоводческое товарищество «Дон», садовый участок №58, КН ЗУ: 61:28:0504201:41</t>
  </si>
  <si>
    <t>Установка прибора учета для присоединения индивидуального жилого дома Мироненко А.И., расположенного по адресу: Ростовская область, Октябрьский район, ст-ца Кривянская, ул. Ленина, д. 129, КН ЗУ: 61:28:0040113:89</t>
  </si>
  <si>
    <t>Установка прибора учета для присоединения жилого дома Шляхтина В.А., расположенного по адресу: Ростовская область, Октябрьский район, п. Новозарянский, ул. Калинина, д.2, КН ЗУ: 61:28:0100101:146</t>
  </si>
  <si>
    <t>Установка прибора учета для присоединения малоэтажной жилой застройки Дементьевой Л.В., расположенной по адресу: Ростовская область, Октябрьский район, с/т «Электровозостроитель», уч. 60, КН ЗУ: 61:28:0502501:292</t>
  </si>
  <si>
    <t>Установка прибора учета для присоединения малоэтажной жилой застройки Комиссаровой Р.П., расположенной по адресу: Ростовская область, Октябрьский район, п. Красногорняцкий, ул. Борзик, д.11, КН ЗУ: 61:28:0090501:97</t>
  </si>
  <si>
    <t>Установка прибора учета для присоединения малоэтажной жилой застройки Киракосян И.В., расположенной по адресу: Ростовская область, Октябрьский район, садоводческое товарищество «Электровозостроитель», уч. №64, КН ЗУ: 61:28:0502501:284</t>
  </si>
  <si>
    <t>Установка прибора учета  для присоединения физкультурно-оздоровительного комплекса МБОУ СОШ №43, расположенного по адресу: Ростовская область, Октябрьский район, х. Ильичевка, ул. Заречная, д. 46а, к.н.з.у.: 61:28:0010207:178</t>
  </si>
  <si>
    <t>Установка прибора учета  для присоединения садового дома Высоцкого А.П., расположенного по адресу: Ростовская область, Октябрьский район, х. Яново-Грушевский, сад. Электровозостроитель, д.2, к.н.з.у.: 61:28:0502501:451</t>
  </si>
  <si>
    <t>Установка прибора учета для присоединения садового дома Рыбалко А.В., расположенного по адресу: Ростовская область, Октябрьский район, х. Яново-Грушевский, сад. Электровозостроитель, д. 32, к.н.з.у.: 61:28:0502501:354</t>
  </si>
  <si>
    <t>Установка прибора учета для присоединения Малоэтажной жилой застройки Хуноян Д.А., расположенной по адресу: Ростовская область, Октябрьский район, рп. Каменоломни, ул. Королевой, д. 7, КН ЗУ: 61:28:0600020:586</t>
  </si>
  <si>
    <t>Установка прибора учета для присоединения жилого дома Артемова Н.В., расположенного по адресу: Ростовская область, Октябрьский район, х. Калинин, ТСН СНТ «Дон» участок №108 А, КН ЗУ: 61:28:0030201:3481</t>
  </si>
  <si>
    <t>Установка прибора учета для присоединения жилого дома Илларионова В.П., расположенного по адресу: Ростовская область, Усть-Донецкий район, ст-ца Усть-Быстрянская, ул. Гагарина, д. 8, КН ЗУ: 61:39:0080101:1054</t>
  </si>
  <si>
    <t>Установка прибора учета для присоединения учебно-спортивного здания ПОУ Усть-Донецкого учебного центра РО ООГО "Добровольное общество содействия армии, авиации и флоту России" Ростовской области, расположенного по адресу: Ростовская область, Усть-Донецкий район, р.п. Усть-Донецкий, ул. Промышленная, д. 11, КН ЗУ: 61:39:0010106:90</t>
  </si>
  <si>
    <t>Установка прибора учета для присоединения объекта «Малоэтажная жилая застройка (Индивидуальный жилой дом/Садовый/Дачный дом)» Алексаньян Т.В., расположенного по адресу: Аксайский район, х. Горизонт, ул. Центральная, д. 14, КН ЗУ: 61:02:0600002:2392</t>
  </si>
  <si>
    <t>Обеспечение коммерческим учетом электрической энергии (мощности) в точке поставки по присоединению объектов заявителей. Ростовская область, Родионово-Несветайский район, с. Генеральское, ул. Звездова, д. 14 (Белау И.Э.) (1 шт.)</t>
  </si>
  <si>
    <t>Установка прибора учета для присоединения объекта Малоэтажная жилая застройка (Индивидуальный жилой дом/Садовый/Дачный дом) Богдан В.В., расположенного по адресу: Ростовская область, Родионово-Несветайский район, х. Октябрьский, СНТ Электромонтажник, участок 235, КН ЗУ: 61:33:00500201:431</t>
  </si>
  <si>
    <t>Установка прибора учета для присоединения коровника 4-х рядного ИП Главы КФХ Глущенко С.И., расположенного по адресу: Ростовская область, Родионово-Несветайский район, с. Плато-Ивановка, участок находится примерно 110 м на юг от земельного участка, ул. Советская, 26, КН ЗУ: 61:33:0600005:478</t>
  </si>
  <si>
    <t>Установка прибора учета для присоединения объекта «Малоэтажная жилая застройка (Индивидуальный жилой дом/Садовый/Дачный дом)» Гнилицкого С.М., расположенного по адресу: Ростовская область, Родионово-Несветайский район, х. Дарьевка, ул. Молодежная,  д. 1-З, КН ЗУ: 61:33:0020701:968</t>
  </si>
  <si>
    <t>Установка прибора учета для присоединения объекта «Малоэтажная жилая застройка (Индивидуальный жилой дом/Садовый/Дачный дом)» Ельниковой Н.А., расположенного по адресу: Ростовская область, Родионово-Несветайский район, х. Октябрьский, СНТ Электромонтажник, уч. 105а, КН ЗУ: 61:33:0500201:383</t>
  </si>
  <si>
    <t>Установка прибора учета для присоединения жилого дома Ерофеевой Т.В., расположенного по адресу: Ростовская область, Родионово-Несветайский район, х. Октябрьский, ул. Клубная,  д. 16, к.н.з.у.: 61:33:0030401:756</t>
  </si>
  <si>
    <t>Установка прибора учета  для присоединения жилого дома Желенковой В.В., расположенного по адресу: Ростовская область, Родионово-Несветайский район, х. Волошино, ул. Северная,  д. 10а, к.н.з.у.: 61:33:0070101:473</t>
  </si>
  <si>
    <t>Установка прибора учета для присоединения жилого дома Жилиной А.Л., расположенного по адресу: Ростовская область, Родионово-Несветайский район,  с. Генеральское, ул. Ворошилова,  д. 18, КН ЗУ: 61:33:0070601:318</t>
  </si>
  <si>
    <t>Установка прибора учета для присоединения объекта Малоэтажная жилая застройка (Индивидуальный жилой дом/Садовый/Дачный дом) Клокова Р.С., расположенного по адресу:  Ростовская область,  Родионово-Несветайский район, х. Глинки, ул. Степная,  д. 9, КН ЗУ: 61:33:0070401:67</t>
  </si>
  <si>
    <t>Установка прибора учета для присоединения объекта «Малоэтажная жилая застройка (Индивидуальный жилой дом/Садовый/Дачный дом)» Лукашевич А.А., расположенного по адресу: Ростовская область, Аксайский район, х. Горизонт, ул. Центральная, д. 22, КН ЗУ: 61:02:0600002:2372</t>
  </si>
  <si>
    <t>Обеспечение коммерческим учетом электрической энергии (мощности) в точке поставки по присоединению объекта заявителя. Ростовская область р-н. примерно в 50 м по направлению на север от х. Красильников (Матвеева Н.И.) (1 шт.)</t>
  </si>
  <si>
    <t>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х. Каменный Брод, ул. Курсантов РАУ, д. 6 (Мирзаханян Т.И.) (1 шт.)</t>
  </si>
  <si>
    <t>Обеспечение коммерческим учетом электрической энергии (мощности) в точке поставки по присоединению объектов заявителей. Ростовская область, Родионово-Несветайский район, с.Генеральское пер. Школьный, д. 12, (Плотников А.Г.) (1 шт.)</t>
  </si>
  <si>
    <t>Установка прибора учета для присоединения объекта Малоэтажная жилая застройка (Индивидуальный жилой дом/Садовый/Дачный дом) Симутенковой О.М., расположенного по адресу: Ростовская область, Родионово-Несветайский район, х. Гребцово, ул. Степная, д. 20А, КН ЗУ: 61:33:0030201:82</t>
  </si>
  <si>
    <t>Установка прибора учета для присоединения объекта «Малоэтажная жилая застройка (Индивидуальный жилой дом/Садовый/Дачный дом)» Шараповой О.Л., расположенного по адресу: Ростовская область, Родионово-Несветайский район, СНТ Электромонтажник, уч. 306, КН ЗУ: 61:33:0500201:137</t>
  </si>
  <si>
    <t>Установка прибора учета для присоединения «Малоэтажная жилая застройка (Индивидуальный жилой дом/Садовый/Дачный дом)» Шевченко С.В. расположенного по адресу: р-н. Родионово-Несветайский СНТ Электромонтажник участок 343 к.н.з.у. 61:33:0500201:312</t>
  </si>
  <si>
    <t>Установка прибора учета для присоединения жилого дома Шматкова И.Я., расположенного по адресу: Ростовская область, Октябрьский район, сл. Красюковская, ул. Делегатская, д. 76-а, КН ЗУ: 61:28:0070101:7395</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</si>
  <si>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Мокрый Лог, ул. Рослова д. 52а, ул. Рослова д. 20А (Жилин Т.О., Муниципальное образование "Мокрологское сельское поселение")</t>
  </si>
  <si>
    <t xml:space="preserve"> Строительство ВЛИ-0,4 кВ от оп. №16/9 ВЛ-0,4 кВ №3 МТП №220 ВЛ-6 кВ Рыбхоз ПС Ш-41 для электроснабжения жилого дома Козлова М.И.  по адресу: Октябрьский р-н, ст. Бессергеневская, ул. Школьная, д.1-Д (ориентировочная протяженность ЛЭП – 0,15 км)</t>
  </si>
  <si>
    <t xml:space="preserve"> Установка прибора учета для присоединения объекта ВРУ-0.4кВ автомагазина ИП Горбункова А.А., расположенного по адресу: Ростовская область, Усть-Донецкий район, х. Кривая Лука, ул. Донская, д. 2-а</t>
  </si>
  <si>
    <t>Установка прибора учета для присоединения дачного домика Луговского А.Н., расположенного по адресу: Ростовская область, Красносулинский район, г. Красный Сулин, ул. Урожайная, д. 67, КН ЗУ: 61:18:0140104:20</t>
  </si>
  <si>
    <t>Установка прибора учета для присоединения жилого дома Аллахвердян Т.А., расположенного по адресу: Ростовская область, Красносулинский район, ст-ца Владимировская, ул. Мира, д.20, КН ЗУ: 61:18:0020103:64</t>
  </si>
  <si>
    <t>Установка прибора учета для присоединения малоэтажной жилой застройки Богатыревой К.Н., расположенной по адресу: Ростовская область, Красносулинский район, х. Садки, ул. Садовая, д.12, КН ЗУ: 61:18:0090105:38</t>
  </si>
  <si>
    <t>Установка прибора учета для присоединения частного домовладения Исаевой С.А., расположенного по адресу: Ростовская область, Красносулинский район, п.Донлесхоз, ул. Пионерская, б/н, к.н.з.у.: 61:18:0080201:110</t>
  </si>
  <si>
    <t>Установка прибора учета для присоединения базовой станции сотовой связи ПАО «МТС», расположенной по адресу: Ростовская область, Октябрьский район, п. Мокрый Лог, ул. Рослова, д.52а</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</si>
  <si>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базовой станции сотовой связи ПАО «МТС», расположенного по адресу: Ростовская область, Октябрьский район, х. Верхняя Кадамовка, ул. Галенко, д. 6, к.н.з.у.: 61:28:0020701:122</t>
  </si>
  <si>
    <t>Установка прибора учета для присоединения парковой зоны, расположенной по адресу: Ростовская область, Октябрьский район, п. Новоперсиановка, вблизи СДК по ул. Советская, 12,КН ЗУ: 61:28:0070801:446</t>
  </si>
  <si>
    <t>Установка прибора учета для присоединения малоэтажной жилой застройки Антипиной С.В., расположенной по адресу: Ростовская область, Октябрьский район, ст. Красюковская, пер. Школьный, д.9а, КН ЗУ: 61:28:0070101:7945</t>
  </si>
  <si>
    <t>Установка прибора учета для присоединения малоэтажной жилой застройки Арутюнян В.В., расположенной по адресу: Ростовская область, Октябрьский район, х. Маркин, ул. Транспортная, д.13-а, КН ЗУ: 61:28:0100701:2284</t>
  </si>
  <si>
    <t>Установка прибора учета для присоединения малоэтажной жилой застройки Воронина С.А., расположенной по адресу: Ростовская область, Октябрьский район, с/т «Электровозостроитель», уч. 65, КН ЗУ: 61:28:0502501:282</t>
  </si>
  <si>
    <t>Установка прибора учета для присоединения жилого дома Гень Т.А., расположенного по адресу: Ростовская область, Октябрьский район, ст-ца Бессергеневская, ул. Аксайская, д. 1А, КН ЗУ: 61:28:030301:0002</t>
  </si>
  <si>
    <t>Установка прибора учета для присоединения малоэтажной жилой застройки Жуковой Ю.Б., расположенной по адресу: Ростовская область, Октябрьский район, сл. Красюковская, пер. Западный, д.18-а, КН ЗУ: 61:28:0070101:7677</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</si>
  <si>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Калинин, ул. Центральная д. 107-В; ул. Донская д. 113-Д (Иванченко Н.А.; Ковалев В.В.)</t>
  </si>
  <si>
    <t>Установка прибора учета для присоединения малоэтажной жилой застройки Лазарева Е.А., расположенной по адресу: Ростовская область, Октябрьский район, ст-ца Кривянская, ул. Кирпичная, д.99, КН ЗУ: 61:28:0040104:52</t>
  </si>
  <si>
    <t>Установка прибора учета для присоединения жилого дома Москового Н.Н., расположенного по адресу: Ростовская область, Октябрьский район, п. Персиановский, ул. Университетская, д. 10, КН ЗУ: 61:28:0110101:1027</t>
  </si>
  <si>
    <t xml:space="preserve"> Установка прибора учета для присоединения жилого дома Панченко М.С., расположенного по адресу: Ростовская область, Октябрьский район, п. Мокрый Лог, ул. Комарова, д. 2, КН ЗУ: 61:28:0100601:8</t>
  </si>
  <si>
    <t>Установка прибора учета для присоединения садового дома Пасека О.Л., расположенного по адресу: Ростовская область, Октябрьский район, с/т «Электровозостроитель», участок №74, КН ЗУ: 61:28:0502501:261</t>
  </si>
  <si>
    <t>Установка прибора учета для присоединения жилого дома Пометун Е.А., расположенного по адресу: Ростовская область, Октябрьский район, ст-ца Бессергеневская, ул. Аксайская, д. 3, КН ЗУ: 61:28:0030301:2988</t>
  </si>
  <si>
    <t>Установка прибора учета для присоединения жилого дома Поповой О.С., расположенного по адресу: Ростовская область, Октябрьский район, сл. Красюковская, ул. Московская, д. 41, КН ЗУ: 61:28:0070101:1117</t>
  </si>
  <si>
    <t>Установка прибора учета для присоединения малоэтажной жилой застройки Салтуриной О.А., расположенной по адресу: Ростовская область, Октябрьский район, ст-ца Бессергеневская, ул. 2-я Аксайская, КН ЗУ: 61:28:0030301:3370</t>
  </si>
  <si>
    <t>Установка прибора учета для присоединения малоэтажной жилой застройки Сукачевой Н.Л., расположенной по адресу: Ростовская область, Октябрьский район, ст-ца Кривянская, ул. Большая, д.114, КН ЗУ: 61:28:0040113:1156</t>
  </si>
  <si>
    <t>Установка прибора учета для присоединения объекта торговли ИП Хачатрян В.Р., расположенного по адресу: Ростовская область, Октябрьский район, ст-ца Кривянская, ул. Мостовая, возле №204, КН ЗУ: 61:28:0060022:990</t>
  </si>
  <si>
    <t>Установка прибора учета для присоединения жилого дома Грибачева В.С., расположенного по адресу: Ростовская область, Октябрьский район, п. Красногорняцкий, пер. Школьный, д. 4, КН ЗУ: 61:28:0090501:2790</t>
  </si>
  <si>
    <t>Установка прибора учета для присоединения жилого дома Зуевой А.И., расположенного по адресу: Ростовская область, Октябрьский район, ст. Кривянская, ул. Мостовая, д. 74, КН ЗУ: 61:28:0040118:35</t>
  </si>
  <si>
    <t>Установка прибора учета для присоединения малоэтажной жилой застройки Зунникова Г.Г., расположенной по адресу: Ростовская область, Октябрьский район, п. Красногорняцкий, ул. Кудаченко, д. 6, КН ЗУ: 61:28:0600020:351</t>
  </si>
  <si>
    <t>Установка прибора учета для присоединения жилого дома Карпенко Н.Н., расположенного по адресу: Ростовская область, Октябрьский район, ст-ца Кривянская, ул. Октябрьская, д. 4А, КН ЗУ: 61:28:0040127:1394</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</si>
  <si>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садового домика Кияновой В.В., расположенного по адресу: Ростовская область, Октябрьский район, садоводческое товарищество «Электровозостроитель», уч. №72, к.н.з.у.: 61:28:0502501:266</t>
  </si>
  <si>
    <t>Установка прибора учета для присоединения жилого дома Крисько М.В., расположенного по адресу: Ростовская область, Октябрьский район, сл. Красюковская, ул. Советская, д. 101-в/1, КН ЗУ: 61:28:0070101:79</t>
  </si>
  <si>
    <t>Установка прибора учета для присоединения малоэтажной жилой застройки Кузьмина А.Н., расположенной по адресу: Ростовская область, Октябрьский район, ст-ца Кривянская, ул. Большая, д. 73Б, КН ЗУ: 61:28:0040122:984</t>
  </si>
  <si>
    <t>Установка прибора учета для присоединения малоэтажной жилой застройки Меркулова А.А., расположенной по адресу: Ростовская область, Октябрьский район, х. Калинин, ул. Донская, д. 129, КН ЗУ: 61:28:0030201:3295</t>
  </si>
  <si>
    <t>Установка  прибора  учета  для  присоединения жилого дома Мироненко Л.Ф., расположенного по адресу: Ростовская область, Октябрьский район, ст-ца Кривянская, ул. Большая, д. 73 В, КН ЗУ: 61:28:0040122:985</t>
  </si>
  <si>
    <t>Установка прибора учета для присоединения малоэтажной жилой застройки Молоковой М.Е., расположенной по адресу: Ростовская область, Октябрьский район, ст-ца Бессергеневская, ул. 2-я Аксайская, КН ЗУ: 61:28:0030301:3369</t>
  </si>
  <si>
    <t>Установка прибора учета для присоединения жилого дома Обозненко И.С., расположенного по адресу: Ростовская область, Октябрьский район, х. Красный Луч, ул. Центральная, д. 75, КН ЗУ: 61:28:0060101:220</t>
  </si>
  <si>
    <t>Установка прибора учета для присоединения жилого дома Пеленис Н.Ю., расположенного по адресу: Ростовская область, Октябрьский район, х. Ягодинка, ул. Есенина, д.15, КН ЗУ: 61:28:0060201:47</t>
  </si>
  <si>
    <t>Установка прибора учета для присоединения малоэтажной жилой застройки Петровой В.С., расположенной по адресу: Ростовская область, Октябрьский район, п. Каменоломни, ул. Пролератская, уч. 78, КН ЗУ: 61:28:0600020:225</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</si>
  <si>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садового дома Соколовой Н.Н., расположенного по адресу: Ростовская область, Октябрьский район, садоводческое товарищество «Электровозостроитель», уч. №62, к.н.з.у.: 61:28:0502501:288</t>
  </si>
  <si>
    <t xml:space="preserve"> Установка прибора учета для присоединения малоэтажной жилой застройки Хачикян С.Ш., расположенного по адресу: Ростовская область, Октябрьский район, п.Красногорняцкий, ул. Королевой, д. 3, КН ЗУ: 61:28:0600020:583</t>
  </si>
  <si>
    <t>Установка прибора учета для присоединения малоэтажной жилой застройки Хохловой Р.В., расположенного по адресу: Ростовская область, Октябрьский район, п. Красногорняцкий, ул. Парковая, д. 6, КН ЗУ: 61:28:0600020:270</t>
  </si>
  <si>
    <t>Установка прибора учета для присоединения малоэтажной жилой застройки Ятчук П.В., расположенной по адресу: Ростовская область, Октябрьский район, сл. Красюковская, ул. Набережная, д. 71а, КН ЗУ: 61:28:0070101:8207</t>
  </si>
  <si>
    <t>Установка прибора учета для присоединения малоэтажной жилой застройки Белова С.А., расположенной по адресу: Ростовская область, Октябрьский район, х. Калинин, пер. Зоологический, д.6-А, КН ЗУ: 61:28:0030201:3360</t>
  </si>
  <si>
    <t>Установка прибора учета для присоединения малоэтажной жилой застройки Венглярской Е.Ю., расположенной по адресу: Ростовская область, Октябрьский район, х. Яново-Грушевский, ул. Подгорная, д.30, КН ЗУ: 61:28:0070201:507</t>
  </si>
  <si>
    <t>Установка прибора учета для присоединения базовой станции сотовой связи ПАО «МТС», расположенного по адресу: Ростовская область, Октябрьский район, ст-ца. Кривянская, ул. Некрасова, д. 3</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</si>
  <si>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административного/офисного здания ГКУ РО «Противопожарная служба Ростовской области», расположенного по адресу: Ростовская область, Октябрьский район,  ст-ца. Заплавская, ул. Клубная, д. 20А, КН ЗУ: 61:28:0030101:4995</t>
  </si>
  <si>
    <t>Установка прибора учета для присоединения малоэтажной жилой застройки Бошняк А.В., расположенной по адресу: Ростовская область, Октябрьский район, с/т «Электровозостроитель», уч. 66, КН ЗУ: 61:28:0502501:280</t>
  </si>
  <si>
    <t>Установка прибора учета для присоединения малоэтажная жилая застройка Власенко Е.В., расположенного по адресу: Ростовская область, Октябрьский район, садоводческое товарищество «Электровозостроитель», д. 84, КН ЗУ: 61:28:0502501:239</t>
  </si>
  <si>
    <t>Установка прибора учета для присоединения жилого дома Володиной Ю.А., расположенного по адресу: Ростовская область, Октябрьский район, х. Красный Луч, ул. Центральная, д.119, КН ЗУ: 61:28:0060101:140</t>
  </si>
  <si>
    <t>Установка прибора учета для присоединения малоэтажной жилой застройки Павловой О.В., расположенного по адресу: Ростовская область, Октябрьский район, садоводческое товарищество «Электровозостроитель», д. 85, КН ЗУ: 61:28:0502501:237</t>
  </si>
  <si>
    <t xml:space="preserve"> Установка прибора учета для присоединения малоэтажной жилой застройки Панкратовой Р.Е., расположенной по адресу: Ростовская область, Октябрьский район, п. Новосветловский, ул. Мелиховская, д.13, КН ЗУ: 61:28:0090205:276</t>
  </si>
  <si>
    <t>Установка прибора учета для присоединения малоэтажной жилой застройки Путченко А.В., расположенной по адресу: Ростовская область, Октябрьский район, х. Калинин, ул. Донская, д.48, КН ЗУ: 61:28:0030201:1227</t>
  </si>
  <si>
    <t>Установка прибора учета для присоединения малоэтажной жилой застройки Рассолова Е.В., расположенного по адресу: Ростовская область, Октябрьский район, с/т «Электровозостроитель», уч. 156, КН ЗУ: 61:28:0502501:546</t>
  </si>
  <si>
    <t>Установка прибора учета для присоединения Модульного ФАП МБУЗ «Районная больница г. Красного Сулина и Красносулинского района Ростовской области», расположенного по адресу: Ростовская область, Красносулинский район, х. Гривенный, Табунщиковское сельское поселение, в 50 м на восток от земельного участка №21 по ул. Победы, КН ЗУ: 61:18:0100301:360</t>
  </si>
  <si>
    <t>Строительство участка ВЛИ-0,4 кВ от  РУ-0,4 кВ КТП – 10/0,4 кВ  № 188 по ВЛ – 10 кВ «Завод-1» ПС С-5, с установкой на границе земельного участка заявителя прибора учета для объектов дорожного хозяйства Министерства транспорта, Российская Федерация, Ростовская область, Красносулинский район, ст-ца Владимировская, автомобильная дорога г. Шахты-ст. Владимирская (до магистрали «Дон»), К.Н З.М: 61:00:0000000:870.(ориентировочная протяженность ЛЭП – 0,03 км.)</t>
  </si>
  <si>
    <t xml:space="preserve"> Установка прибора учета для присоединения жилого дома Акимовой О.А., расположенного по адресу: Ростовская область, Красносулинский район, х. Пролетарка, пер. Степной, д. 28, КН ЗУ: 61:18:0080102:1052</t>
  </si>
  <si>
    <t>Установка прибора учета для присоединения малоэтажной жилой застройки (Индивидуальный жилой дом/ Садовый/ Дачный дом) Кайсын Л.А., расположенной по адресу: Ростовская область, Красносулинский район, х. Пролетарка, пер. Мостовой, д. 1б, КН ЗУ: 61:28:0080102:1265</t>
  </si>
  <si>
    <t>Установка прибора учета для присоединения жилого дома Щедрина Н.В.. расположенной по адресу: Ростовская область, Красносулинский район, с. Киселево, ул. Нахичевань, д. 1, КН ЗУ: 61:18:0050105:57 (1 шт.)</t>
  </si>
  <si>
    <t>Установка прибора учета для присоединения объекта «Малоэтажная жилая застройка (Индивидуальный жилой дом/ Садовый/ Дачный дом)» Дудкиной И.Н., расположенного по адресу: Ростовская область, Красносулинский район, х. Платово, пер. Орловский, д. 19</t>
  </si>
  <si>
    <t>Установка прибора учета для присоединения объекта ВРУ-0.4кВ гаража Кузьминский Н.А., расположенного по адресу: Ростовская обл., р-н. Усть-Донецкий, п. Керчикский, примерно 18 метров по направлению на юг от земельного участка с к.н. 61:39:0020301:174, кадастровый номер земельного участка: 61:39:0020301:1303 (1 шт.)</t>
  </si>
  <si>
    <t>Установка прибора учета для присоединения квартиры  Костиной В.В., расположенной по адресу: Ростовская область, Усть-Донецкий район, ст-ца Мелиховская, пер. 19-й,  д. 8,  кв./оф. 1, КН ЗУ:  61:39:0020101:275</t>
  </si>
  <si>
    <t>Установка прибора учета для присоединения объекта ВРУ-0.4кВ малоэтажной жилой застройки Яхновец Д.А., расположенного по адресу: Ростовская обл., р-н. Усть-Донецкий, ст-ца. Раздорская, ул. Кошевого, д. 5, кадастровый номер земельного участка: 61:39:00830102:86</t>
  </si>
  <si>
    <t>Установка прибора учета для присоединения объекта ВРУ-0.4кВ объектов наружного освещения Муниципального бюджетного учреждения культуры "Культурный центр Раздорского сельского поселения", расположенного по адресу: Ростовская обл., р-н. Усть-Донецкий, ст-ца. Раздорская, ул. Ленина, сквер (станичный парк), кадастровый номер земельного участка: 61:39:0030102:1438 (1 шт.)</t>
  </si>
  <si>
    <t>Установка прибора учета для присоединения объекта ВРУ-0.4кВ квартиры  Вещевайловой С.Н., расположенного по адресу: Ростовская область, Усть-Донецкий район, ст. Мелиховская, пер. 20-й,  д. 6,  кв. 1</t>
  </si>
  <si>
    <t>Установка приборов учета для присоединения объектов заявителей: Волкова С.А., Волковой А.В., расположенных по адресу: Ростовская область, Родионово-Несветайский район, х. Каменный Брод, ул. Смирнова (2 шт.)</t>
  </si>
  <si>
    <t>Установка прибора учета для присоединения объекта «Малоэтажная жилая застройка (Индивидуальный жилой дом/Садовый/Дачный дом)» Дроздовой К.В., расположенного по адресу: Ростовская область, Родионово-Несветайский район, х. Юдино, ул. Лермонтова, д. 18А, КН ЗУ: 61:33:0070201:620</t>
  </si>
  <si>
    <t>Установка прибора учета для присоединения Малоэтажной жилой застройки (Индивидуальный жилой дом/Садовый/Дачный дом) Ичираули И.Н., расположенной по адресу: Ростовская область, Родионово-Несветайский район,  х. Юдино, ул. Лермонтова,  д. 10В, КН ЗУ: 61:33:0070201:189</t>
  </si>
  <si>
    <t>Установка прибора учета для освещения автомобильной дороги общего пользования Министерства транспорта Ростовской области, расположенной по адресу: Ростовская область, Родионово-Несветайский район, сл. Родионово-Несветайская, КН ЗУ: 61:33:0000000:33</t>
  </si>
  <si>
    <t>Установка прибора учета для присоединения Малоэтажной жилой застройки (Индивидуальный жилой дом/Садовый/Дачный дом) Михайленко Т.В., расположенной по адресу: Ростовская область, Родионово- Несветайский район,  х. Каменный Брод, ул. Каменка,  д. 37, КН ЗУ: 61:33:0030501:569</t>
  </si>
  <si>
    <t>Установка прибора учета для присоединения Малоэтажной жилой застройки (Индивидуальный жилой дом/Садовый/Дачный дом) Сырова В.Е., расположенной по адресу: Ростовская область, Родионово-Несветайский,  сл. Родионово-Несветайская, ул. Садовая,  д. 44, КН ЗУ: 61:33:0040123:150</t>
  </si>
  <si>
    <t>Строительство ВЛИ-0,4 кВ от оп.3 по ВЛ 0,4кВ № 1 от КТП № 512 ВЛ-10 кВ «Каменный Брод» ПС АС-12 для электроснабжения «Малоэтажная жилая застройка (Индивидуальный жилой дом/Садовый/Дачный дом)» Милен А.С., Золоторева А.Л. по адресу: Ростовская обл., р-н. Родионово-Несветайский, р-н. Родионово-Несветайский, СНТ "Комбайностроитель", участок 3-353,3-352 (ориентировочная протяженность ЛЭП – 0,07 км)</t>
  </si>
  <si>
    <t>Установка прибора учета для присоединения малоэтажной жилой застройки (Индивидуальный жилой дом/Садовый/Дачный дом) Кудрявцева О.Е., расположенной по адресу: Ростовская область, Родионово-Несветайский район, х. Павленков, ул. Центральная, д. 2А, КН ЗУ: 61:33:0040201:551</t>
  </si>
  <si>
    <t>Установка прибора учета для присоединения Малоэтажной жилой застройки (Индивидуальный жилой дом/Садовый/Дачный дом) Жильцова М.В., расположенной по адресу: Ростовская область, Родионово-Несветайский район, х. Греково-Балка, ул. Центральная,  д. 2"А", КН ЗУ: 61:33:0060401:631</t>
  </si>
  <si>
    <t>Установка прибора учета для присоединения Малоэтажной жилой застройки (Индивидуальный жилой дом/Садовый/Дачный дом) Крупенко Е.Н., расположенной по адресу: Ростовская область,  Родионово-Несветайский район, х. Дарьевка, ул. Центральная,  д. 47/2, КН ЗУ: 61:33:0020701:172</t>
  </si>
  <si>
    <t xml:space="preserve"> Установка прибора учета для присоединения квартиры Кишкиновой В.И., расположенной по адресу: Ростовская область, Красносулинский район, г. Красный Сулин, ул. Виноградная  д. 8, кв./оф. 3</t>
  </si>
  <si>
    <t>Установка прибора учета для присоединения жилого дома Новиковой Л.И. расположенного по адресу: Ростовская область, Красносулинский район, п. Пригородный ул. 47-й Гвардейской Стрелковой Дивизии д. 80. (1 шт.)</t>
  </si>
  <si>
    <t xml:space="preserve"> Установка прибора учета для присоединения жилого дома Тарик В.А. расположенной по адресу: Ростовская область, Красносулинский район, х. Васецкий, ул. Колхозная, д. 30, КН ЗУ: 61:18:0030202:32</t>
  </si>
  <si>
    <t>Установка прибора учета для присоединения жилого дома Иванковой Л.Ю., расположенного по адресу: Ростовская область, Красносулинский район, г. Красный Сулин, ул. Прибрежная, д. б/н, КН ЗУ: 61:53:0000351:299</t>
  </si>
  <si>
    <t>Установка прибора учета для присоединения объектов наружного освещения, расположенного по адресу: Ростовская область, Родионово-Несветайский район, сл. Большекрепинская, автомобиьная дорога общего пользования межмуниципального значения пос.Матвеев Курган-сл.Большекрепинская- сл.Родионово-Несветайская на участках км 44+500-км 48+700, км55+700-км57+800 в Родионово-Несветайском районе, КН ЗУ 61:33:0000000:56</t>
  </si>
  <si>
    <t>Установка прибора учета для присоединения объектов наружного освещения, расположенного по адресу: Ростовская область, Родионово-Несветайский район, сл. Аграфеновка, начало объекта-место стыка с осью автомобильной дороги с.Куйбышево-сл.Алексеево-Тузловка-сл.Родионово-Несветайская, точка стыка расположена в 850 м юго-восточнее сл.Барило-Крепинская Родионово-Несветайского района Ростовской области. Конец объекта-северо-восточная окраина сл.Большекрепинская Родионово-Несветайского района Ростовской области на участке км 7+350 км 9+000 в Родионово-Несветайском районе,КН ЗУ: 61:33:0000000:0:7</t>
  </si>
  <si>
    <t>Установка прибора учета для присоединения объектов наружного освещения, расположенного по адресу: Ростовская область, Родионово-Несветайский район, с. Каршенно-Анненка, автомобильная дорога общего пользования регионального значения с. Самбек - пос. Матвеев-Курган - с. Куйбышево - г. Снежное (до границы Украины) - с. Новиковка - с. Лысогорка - с. Каршенно-Анненка на участке км 30+000 - км 31+344 в Родионово-Несветайском районе, КН ЗУ: 61:33:0000000:57</t>
  </si>
  <si>
    <t>"Установка прибора учета для присоединения Малоэтажной жилой застройки (Индивидуальный жилой дом/Садовый/Дачный дом) Семисотовой Н.Е., расположенного по адресу: Ростовская область, Родионово-Несветайский район, х. Гребцово, ул. Космонавтов, д. 7, КН ЗУ: 61:33:0030201:591"</t>
  </si>
  <si>
    <t>Установка прибора учета для присоединения объектов наружного освещения, расположенного по адресу: Ростовская область, Родионово-Несветайский район, сл. Родионово-Несветайская, участок автомобильной дороги общего пользования межмуниципального значения сл.Родионово-Несветайская-г.Новочеркасск на км 0+000-км 15+240(км0+000-км6+155) в Родионово-Несветайском районе", КН ЗУ: 61:33:0000000:115</t>
  </si>
  <si>
    <t>Установка прибора учета для присоединения объекта торговли (магазин) Янченко Н.М., расположенного по адресу: Ростовская область, Октябрьский район, ст. Бессергеневская, ул. Кооперативная, д. 23Б, КН ЗУ: 61:28:0030301:3131</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</si>
  <si>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ВРУ-0,4 кВ объекта зернотока ИП Голубева Н.В., расположенного по адресу: Ростовская область, Красносулинский район, Киселевское с/п, с. Киселево. к.н.з.у.: 61:18:0600011:1304 (1 шт.)</t>
  </si>
  <si>
    <t>Установка прибора учета для присоединения жилого дома Бадина Виталия Александровича, расположенного по адресу: Ростовская область, Красносулинский район,  х. Васецкий. ул. Колхозная, д.20, кадастровый номер земельного участка: 61:18:0030202:37 (1 шт.)</t>
  </si>
  <si>
    <t>Установка прибора учета для присоединения жилого дома Гутор Марины Александровны расположенного по адресу: Ростовская область, Красносулинский район,  х.Васецкий, ул. Колхозная д.1-а,кадастровый номер земельного участка: 61:18:030203:0021 (1 шт.)</t>
  </si>
  <si>
    <t>Установка прибора учета для присоединения здания закусочной Мнацаканян Максима Мовсесовича, расположенного по адресу: Ростовская область, Красносулинский р-н, п. Тополевый, ул. Советская, д. 10-а, кадастровый номер земельного участка: нет. (1 шт.)</t>
  </si>
  <si>
    <t>Установка прибора учета для присоединения жилого дома Чекунова Владимира Александровича расположенного по адресу: Ростовская область, Красносулинский район,  х. Платово, ул. Молодежная, д.6, кадастровый номер земельного участка: 61:18:0060109:36 (1 шт.)</t>
  </si>
  <si>
    <t>Установка прибора учета для присоединения жилого дома Шангина Сергея Николаевича расположенного по адресу: Ростовская область, Красносулинский район,  х. Большая Федоровка, ул. Октябрьская д.8, кадастровый номер земельного участка: 61:18:0020203:60 (1 шт.)</t>
  </si>
  <si>
    <t>Установка прибора учета для присоединения жилого дома Маймур А.А. расположенной по адресу: Ростовская область, Красносулинский район, ст-ца. Владимировская, ул. Октябрьская, д. 26, КН ЗУ: 61:18:0020102:39 (1 шт.)</t>
  </si>
  <si>
    <t>Установка прибора учета для присоединения Малоэтажной жилой застройки (Индивидуальный жилой дом/Садовый/Дачный дом) Ефимовой Е.В., расположенного по адресу: Ростовская область, Родионово-Несветайский район, сл. Родионово-Несветайская, ул. Вишневая, д.28, КН ЗУ: 61:33:040123:178</t>
  </si>
  <si>
    <t>Установка прибора учета для присоединения Малоэтажной жилой застройки (Индивидуальный жилой дом/Садовый/Дачный дом) Скориковой А.С., расположенного по адресу: Ростовская область, Родионово-Несветайский район х. Кирбитово, ул. Степная, д.6, КН ЗУ: 61:33:0030301:31</t>
  </si>
  <si>
    <t>Установка прибора учета для присоединения Малоэтажной жилой застройки (Индивидуальный жилой дом/Садовый/Дачный дом) Мошкарина А.А., расположенного по адресу: Ростовская область, Родионово-Несветайский район, садовое некоммерческое товарищество "Электромонтажник" участок №297, КН ЗУ: 61:33:0500201:188</t>
  </si>
  <si>
    <t>Установка прибора учета для присоединения Малоэтажной жилой застройки (Индивидуальный жилой дом/Садовый/Дачный дом) Каплина С.А., расположенного по адресу: Ростовская область, Родионово-Несветайский район х. Каменный Брод, ул. Калининская, д.31а, КН ЗУ: 61:33:0030501:1813</t>
  </si>
  <si>
    <t>Установка прибора учета для присоединения Малоэтажной жилой застройки (Индивидуальный жилой дом/Садовый/Дачный дом) Соботюк А.А., расположенного по адресу: Ростовская область, Родионово-Несветайский район, х. Веселый, ул. Дачная, д. 1Д, КН ЗУ 61:33:0040701:986</t>
  </si>
  <si>
    <t>Установка прибора учета для присоединения Малоэтажной жилой застройки (Индивидуальный жилой дом/Садовый/Дачный дом) Пруцакова Д.В., расположенного по адресу: Ростовская область, Родионово-Несветайский район, х. Юдино, ул. Победы, д. 2, КН ЗУ 61:33:0070201:98</t>
  </si>
  <si>
    <t>Установка прибора учета для присоединения Малоэтажной жилой застройки (Индивидуальный жилой дом/Садовый/Дачный дом) Агишевой Е.Ш., расположенного по адресу: Ростовская область, Родионово-Несветайский район, х. Октябрьский, ул. Заречная, д. 19, КН ЗУ 61:33:0030401:349</t>
  </si>
  <si>
    <t>Установка прибора учета для присоединения Малоэтажной жилой застройки (Индивидуальный жилой дом/Садовый/Дачный дом) Рамазанова С.Р., расположенного по адресу: Ростовская область, Родионово-Несветайский район, х. Волошино, ул. Новоселов, д. 15, КН ЗУ:  61:33:0070101:384</t>
  </si>
  <si>
    <t>Установка прибора учета для присоединения Малоэтажной жилой застройки (Индивидуальный жилой дом/Садовый/Дачный дом) Косенко В.В.., расположенного по адресу: Ростовская область, Родионово-Несветайский район, х. Краснознаменка, ул. Центральная, д. 43, КН ЗУ: 61:33:0020601:71</t>
  </si>
  <si>
    <t>Установка прибора учета для присоединения (Индивидуальный жилого дома Савченко О.В., расположенного по адресу: Ростовская область, Родионово-Несветайский район, с. Генеральское, ул. Набережная, д. 2, КН ЗУ: 61:33:0070601:307</t>
  </si>
  <si>
    <t>Установка прибора учета для присоединения малоэтажной жилой застройки Иващенко М.А., расположенной по адресу: Ростовская область, Октябрьский район, п. Верхнегрушевский, ул.Южная, д.1А, КН ЗУ: 61:28:0090101:743</t>
  </si>
  <si>
    <t xml:space="preserve"> Установка прибора учета для присоединения нежилой застройки ИП Абасова Р.А., расположенной по адресу: Ростовская область, Октябрьский район, х. Яново-Грушевский, ул. Огородняя, д. 27, КН ЗУ: 61:28:0070201:2499</t>
  </si>
  <si>
    <t>Установка прибора учета для присоединения малоэтажной жилой застройки Колесникова А.П., расположенной по адресу: Ростовская область, Октябрьский район, п. Верхнегрушевский, ул. Полевая, д.26, КН ЗУ: 61:28:0090105:15</t>
  </si>
  <si>
    <t>Установка прибора учета для присоединения жилого дома Подсвирова В. Е., расположенного по адресу: Ростовская область, Октябрьский район, ст-ца. Бессергеневская, ул. Подгорная, д.8а, КН ЗУ: 61:28:0030301:2669</t>
  </si>
  <si>
    <t>Установка прибора учета для присоединения жилого дома Сергеева И.С., расположенного по адресу: Ростовская область, Октябрьский район, сл. Красюковская, ул. Вишневая, д.29, КН ЗУ: 61:28:0070101:6601 (1 шт.)</t>
  </si>
  <si>
    <t>Установка прибора учета для присоединения малоэтажной жилой застройки Серикова А.Ю., расположенной по адресу: Ростовская область, Октябрьский район, х. Яново-Грушевский, сад. Электровозостроитель, д. 83, КН ЗУ: 61:28:0502501:241</t>
  </si>
  <si>
    <t>Установка прибора учета для присоединения малоэтажной жилой застройки Чайковского А.М., расположенной по адресу: Ростовская область, Октябрьский район, х. Красный Кут, ул. Социалистическая, д. 33</t>
  </si>
  <si>
    <t xml:space="preserve"> Строительство ЛЭП-0,4 кВ от РУ 0,4 кВ КТП № 152 по ВЛ 6 кВ «Пролетарка» ПС С2, с установкой прибора учета на границе земельного участка заявителя для нежилой застройки (хозяйственная постройка, нежилое здание), Ткачев Эдуард Анатольевич, Ростовская обл., Красносулинский район, с. Прохоровка, с/п Пролетарское, К.Н З.М: 61:18:0000000:7103. (ориентировочная протяженность ЛЭП – 0,410 км.)</t>
  </si>
  <si>
    <t>Установка прибора учета для присоединения объекта малоэтажной жилой застройки Гудкова С.В., расположенного по адресу: Ростовская область, р-н. Усть-Донецкий, ст-ца. Мелиховская, ул. Донская, д. Коммунистическая, д. 15</t>
  </si>
  <si>
    <t>Установка прибора учета для присоединения объекта малоэтажной жилой застройки Супруна Р.П., расположенного по адресу: Ростовская область, р-н. Усть-Донецкий, ст-ца. Раздорская, ул. Донская, д. 92, корп. А</t>
  </si>
  <si>
    <t>Установка прибора учета для присоединения малоэтажной жилой застройки Беляйкиной З.Л., расположенной по адресу: Ростовская область, Октябрьский район, сл. Красюковская, ул. М.Горького, д.112, КН ЗУ: 61:28:070101:0254</t>
  </si>
  <si>
    <t>Установка прибора учета для присоединения малоэтажной жилой застройки Забейворота М.Л., расположенной по адресу: Ростовская область, Октябрьский район, п. Красногорняцкий, ул. Дружелюбная, д. 25, КН ЗУ: 61:28:090501:0009</t>
  </si>
  <si>
    <t>Установка прибора учета для присоединения жилого дома Крылова А.Ф., расположенного по адресу: Ростовская область, Октябрьский район, рп. Каменоломни, ул. Дружелюбная, д. 18, КН ЗУ: 61:28:0090501:2857</t>
  </si>
  <si>
    <t>Установка прибора учета для присоединения жилого дома Мовсисян Т.Э., расположенной по адресу: Ростовская область, Октябрьский район, ст-ца Кривянская, ул. Кирпичная, д.24, КН ЗУ: 61:28:0040123:435</t>
  </si>
  <si>
    <t>Установка прибора учета для присоединения малоэтажной жилой застройки Пудова В.А., расположенной по адресу: Ростовская область, Октябрьский район, ст-ца Кривянская, ул. Кирпичная, д.22, КН ЗУ: 61:28:0040123:41</t>
  </si>
  <si>
    <t>Установка прибора учета для присоединения малоэтажной жилой застройки Расторгуева Р.О., расположенной по адресу: Ростовская область, Октябрьский район, ст-ца Кривянская, ул. Кирпичная, д.26, КН ЗУ: 61:28:0040123:45</t>
  </si>
  <si>
    <t>Установка прибора учета для присоединения малоэтажной жилой застройки Саратовского В.И., расположенной по адресу: Ростовская область, Октябрьский район, ст-ца Кривянская, ул. Кирпичная, д.25, КН ЗУ: 61:28:0040123:44</t>
  </si>
  <si>
    <t>Установка прибора учета для присоединения малоэтажной жилой застройки Сорочинской М.А., расположеннй по адресу: Ростовская область, Октябрьский район, п. Красногорняцкий, ул. Маграждановой, д.8, КН ЗУ: 61:28:0600020:272</t>
  </si>
  <si>
    <t>Установка прибора учета для присоединения квартиры Торховой С.Г., расположенной по адресу: Ростовская область, Октябрьский район, п. Верхнегрушевский, ул. Железнодорожная, д.8, кв.2, КН ЗУ: 61:28:0090103:83</t>
  </si>
  <si>
    <t>Установка прибора учета для присоединения малоэтажной жилой застройки Черезовой Н.Г., расположенной по адресу: Ростовская область, Октябрьский район, х. Керчик-Савров, ул. Советская, д.20, КН ЗУ: 61:28:0050101:337</t>
  </si>
  <si>
    <t>Установка прибора учета для присоединения жилого дома Юрченко В.Н., расположенного по адресу: Ростовская область, Октябрьский район, с. Алексеевка, ул. Школьная, д. 4, КН ЗУ: 61:28:0010105:9</t>
  </si>
  <si>
    <t>Установка прибора учета для присоединения малоэтажной жилой застройки Якуниной О.А., расположенной по адресу: Ростовская область, Октябрьский район, ст-ца Заплавская, ул. Виноградная, д. 2-б, КН ЗУ: 61:28:0030101:4437</t>
  </si>
  <si>
    <t>Установка прибора учета для присоединения сооружения связи ООО «Дон Связь Конструкция», расположенного по адресу: Ростовская область, Октябрьский район, ст-ца. Кривянская, ул. Кирпичная, д.88, КН ЗУ: 61:28:0040104</t>
  </si>
  <si>
    <t>Установка прибора учета для присоединения нежилого здания, расположенной по адресу: Ростовская область, г. Шахты, ул. Дачная (Барсуков С.С.)"</t>
  </si>
  <si>
    <t>Установка прибора учета для присоединения объекта малоэтажной жилой застройки Сарвилина А.В., расположенного по адресу: Ростовская область, Октябрьский р-н, х. Киреевка, ул. Набережная, д. 11</t>
  </si>
  <si>
    <t>Установка прибора учета для присоединения объекта малоэтажной жилой застройки Стахарновой А.Е., расположенного по адресу: Ростовская область, Октябрьский р-н, х. Калинин, пер. Первый, д. 8а</t>
  </si>
  <si>
    <t>Строительство ВЛИ-0,4 кВ от конечной опоры ВЛИ-0,4кВ, строящейся по договору №61-1-20-00519625 от 14.07.2020 с Арутюновой В.К. от оп. №7 ВЛИ-0,4 кВ №2 КТП №654 ВЛ-10 кВ Совхоз ПС Ш-16 для электроснабжения блокированного жилого дома ИП Козиной Т.В. (ориентировочная протяженность ЛЭП – 0,04 км)</t>
  </si>
  <si>
    <t>Установка прибора учета для присоединения Административное/офисное здание АО «Почта России», расположенного по адресу: Ростовская обл., р-н. Родионово-Несветайский, сл. Кутейниково, ул. Булановой, д. 34</t>
  </si>
  <si>
    <t>Установка прибора учета для присоединения Административное/офисное здание АО «Почта России», расположенного по адресу: Ростовская обл., р-н. Родионово-Несветайский, сл. Барило-Крепинская, ул. Ленина, д. 15, КН ЗУ: 61:33:0050101:46</t>
  </si>
  <si>
    <t>Установка прибора учета для присоединения объекта малоэтажной жилой застройки Новикова Е.А., расположенного по адресу: Ростовская область, р-н. Усть-Донецкий, ст-ца. Раздорская, ул. Донская, д. 76, корп. Б</t>
  </si>
  <si>
    <t>Установка прибора учета для присоединения объекта малоэтажной жилой застройки Дудину Ю.М., расположенного по адресу: Ростовская область, Усть-Донецкий район, ст-ца. Мелиховская, ул. Интернациональная, д. 7, КН ЗУ: 61:39:0020104:390</t>
  </si>
  <si>
    <t>Установка прибора учета для присоединения объекта набережной хутора Пухляковский «Пухляковского культурно-просветительского-спортивного комплекса», расположенного по адресу: Ростовская область, р-н. Усть-Донецкий, х. Пухляковский, ул. Набережная</t>
  </si>
  <si>
    <t>Установка прибора учета для присоединения объекта отделения почтовой связи, расположенного по адресу: Ростовская область, р-н. Октябрьский, п. Нижнедонской, ул. Ленина, д.13, КН ЗУ: 61:28:0060301:592</t>
  </si>
  <si>
    <t>Установка прибора учета для присоединения объекта отделения почтовой связи, расположенного по адресу: Ростовская область, р-н. Усть-Донецкий, ст-ца. Усть-Быстрянская, ул. Центральная, д. 31, КН ЗУ: 61:39:0080101:420</t>
  </si>
  <si>
    <t>Установка прибора учета для присоединения объекта отделения почтовой связи, расположенного по адресу: Ростовская область, р-н. Усть-Донецкий, х. Апаринский, ул. Комсомольская, д. 3, КН ЗУ: 61:39:0050102:791</t>
  </si>
  <si>
    <t>Установка прибора учета для присоединения объекта отделения почтовой связи, расположенного по адресу: Ростовская область, р-н. Усть-Донецкий, ст-ца. Нижнекундрюченская, ул. Советская, д. 14, КН ЗУ: 61:39:0060105:83</t>
  </si>
  <si>
    <t>Установка прибора учета для присоединения объекта отделения почтовой связи, расположенного по адресу: Ростовская область, р-н. Семикаракорский, ст. Кочетовская, ул. Набережная, д.46, КН ЗУ: 61:35:0080101:3656</t>
  </si>
  <si>
    <t xml:space="preserve">Установка прибора учета для присоединения объекта отделения почтовой связи, расположенного по адресу: Ростовская область, р-н. Усть-Донецкий, ст-ца. Мелиховская, пер. 6-й, д. 15, КН ЗУ: 61:39:0020105:648 </t>
  </si>
  <si>
    <t>Установка прибора учета для присоединения нежилого помещения, расположенного по адресу: Ростовская область, Октябрьский р-н, п. Верхнегрушевский, ул. Школьная, д.13 (АО «Почта России»)</t>
  </si>
  <si>
    <t>Установка прибора учета для присоединения нежилого помещения, расположенного по адресу: Ростовская область, Октябрьский р-н, х. Керчик-Савров, ул. Советская, д.38 (АО «Почта России»)</t>
  </si>
  <si>
    <t>Установка прибора учета для присоединения нежилого помещения, расположенного по адресу: Ростовская область, Октябрьский р-н, х. Красный Кут, ул. Калинина, д. 2-а (АО «Почта России»)</t>
  </si>
  <si>
    <t>Установка прибора учета для присоединения базовой станции сотовой связи, расположенной по адресу: Ростовская область, Октябрьский р-н, х. Веселая Бахмутовка, адресные ориентиры: примерно 14м по направлению на запад от границы участка с к.н. 61:28:0050201:23 по адресу: ул. Дородная, №8 (ПАО «Ростелеком»)</t>
  </si>
  <si>
    <t>Установка прибора учета для присоединения нежилой застройки, ИП Сактанов О.И., расположенной по адресу: Ростовская область, Родионово-Несветайский район, х. Октябрьский, в 2000м на северо-запад от х. Октябрьский, КН ЗУ: 61:33:0600014:871</t>
  </si>
  <si>
    <t>Установка прибора учета для присоединения объекта торговли, ИП Абаева Б.Б., расположенной по адресу: Ростовская область, Родионово-Несветайский район, х. Юдино, ул. Лермонтова, д. 3Б КН 61:33:0070201:546</t>
  </si>
  <si>
    <t>Установка прибора учета для присоединения жилого дома, расположенного по адресу: Ростовская обл., Родионово-Несветайский р-н., с. Генеральское, ул. Советская, д. 29Б кадастровый номер 61:33:0070601:2484</t>
  </si>
  <si>
    <t>Установка прибора учета для присоединения нежилой застройки(ИП Обаян С.А.), расположенного по адресу: Ростовская область, Родионово-Несветайский р-он, примерно 2200 м на северо-запад от сл. Родионово-Несветайской КН ЗУ 61:33:0600010:3127</t>
  </si>
  <si>
    <t>Установка прибора учета для присоединения объекта туристической отрасли (ООО «Окна-Профиль), расположенного по адресу: Ростовская область, Родионово-Несветайский р-он, х. Волошино, ул. Заречная, д.26 КН ЗУ 61:33:0070101:1774</t>
  </si>
  <si>
    <t>Установка прибора учета для присоединения объектов наружного освещения, расположенного по адресу: Ростовская область, Родионово-Несветайский район, сл. Алексеево-Тузловка, автомобильная дорога общего пользования регионального значения с. Куйбышево – сл. Алексеево-Тузловка – сл. Родионово-Несветайская на участке км 37+400– км 42+880 в Родионово-Несветайском районе, кадастровый номер 61:33:0000000:0:2</t>
  </si>
  <si>
    <t>Установка прибора учета для присоединения объектов наружного освещения, расположенного по адресу: Ростовская обл., р-н. Родионово-Несветайский, х. Тимский, автомобильная дорога общего пользования регионального значения с. Куйбышево – сл. Алексеево-Тузловка – сл. Родионово-Несветайская на участке км 37+400– км 42+880 в Родионово-Несветайском районе, кадастровый номер 61:33:0000000:0:2</t>
  </si>
  <si>
    <t>Техперевооружение КТП 6/0,4 кВ № 46 ВЛ 6 кВ Правда ПС 35 кВ Г6 для электроснабжения производственного здания ИП Ильин В.В. в г.Зверево, ул.Макаренко, д.3т. (предполагаемая мощность трансформатора 630 кВА)</t>
  </si>
  <si>
    <t>Установка прибора учета для присоединения жилого дома Демьянова В.В., расположенного по адресу: Ростовская область, Красносулинский район, х. Коминтерн, ул. Черемушки, д. 13</t>
  </si>
  <si>
    <t>Установка прибора учета для присоединения базовая станция/оборудование сотовой связи Ростелеком, расположенного по адресу: Ростовская область, Красносулинский район, х. Богненко, примерно 73 м по направлению на запад от границ участка по ул. Центральная, 29</t>
  </si>
  <si>
    <t>Установка прибора учета для присоединения административного/офисного здания АО «Почты России», расположенного по адресу: Ростовская область, Красносулинский район, п. Тополёвый, пер. Пушкино, д. 9</t>
  </si>
  <si>
    <t>Установка прибора учета для присоединения административного/офисного здания АО «Почты России», расположенного по адресу: Ростовская область, Красносулинский район, х. Божковка, ул. Советская, д. 5.</t>
  </si>
  <si>
    <t>Установка прибора учета для присоединения административного/офисного здания АО «Почты России», расположенного по адресу: Ростовская область, Красносулинский район, х. Лихой, ул. Ленина, д. 64.</t>
  </si>
  <si>
    <t>Установка прибора учета для присоединения административного/офисного здания АО «Почты России», расположенного по адресу: Ростовская область, Красносулинский район, х. Садки, ул. Чистова, д. 11</t>
  </si>
  <si>
    <t>Установка прибора учета для присоединения офисного здания Главы К(Ф)Х Альшенко Александра Николаевича, расположенного по адресу: Ростовская область, Красносулинский район, х. Малая Гнилуша, кадастровый номер земельного участка: 61:18:0600013:970 (1шт.)</t>
  </si>
  <si>
    <t>Установка прибора учета для присоединения жилого дома Нарышкина Алексея Александровича, расположенного по адресу: Ростовская область, Красносулинский район, п. Пригородный, ул. Степная д.2, кадастровый номер земельного участка: 61:18:0110105:45 (1 шт.)</t>
  </si>
  <si>
    <t>Установка прибора учета для присоединения жилого дома Шмыкова Александра Николаевича расположенного по адресу: Ростовская область, г. Шахты, ул. Крупской д.8. (1 шт.)</t>
  </si>
  <si>
    <t>Установка прибора учета для присоединения торгового ларька Шумилина Бориса Афанасьевича, расположенного по адресу: Ростовская область, Красносулинский район,  х. Пролетарка, СПК "Русь", кадастровый номер земельного участка: 61:18:0600013:968 (1 шт.)</t>
  </si>
  <si>
    <t>Установка прибора учета для присоединения объекта малоэтажной жилой застройки Выштейн В.Н., расположенного по адресу: Ростовская область, Октябрьский р-н, х. Калинин с/т «Дон», уч. №173</t>
  </si>
  <si>
    <t>Установка прибора учета для присоединения нежилого помещения, расположенного по адресу: Ростовская область, Октябрьский р-н, сл. Красюковская, ул. Советская, д.14 (АО «Почта России»)</t>
  </si>
  <si>
    <t>Установка прибора учета для присоединения нежилого помещения, расположенного по адресу: Ростовская область, Октябрьский р-н, ст. Бессергеневская, ул. Советская, д.38, пом. №12,13,14,15 (АО «Почта России»)</t>
  </si>
  <si>
    <t>Установка прибора учета для присоединения нежилого помещения, расположенного по адресу: Ростовская область, Октябрьский р-н, х. Маркин, ул. Школьная, д. 52 (АО «Почта России»)</t>
  </si>
  <si>
    <t>Установка прибора учета для присоединения базовой станции, расположенной по адресу: Ростовская область, Октябрьский р-н, п.Заозерье, адресные ориентиры: примерно 26м по направлению на северо-запад от границы участка с к.н. 61:28:0050201:23 (ПАО «Ростелеком»)</t>
  </si>
  <si>
    <t>Установка прибора учета для присоединения объекта малоэтажной жилой застройки Авакяна А.В., расположенного по адресу: Ростовская область, Октябрьский р-н, х. Маркин, ул. Школьная, д. 28»</t>
  </si>
  <si>
    <t>Установка прибора учета для присоединения объекта малоэтажной жилой застройки Андреева А.В., расположенного по адресу: Ростовская область, Красносулинский р-н, с. Табунщиково, ул. Школьная, д. 25</t>
  </si>
  <si>
    <t>Установка прибора учета для присоединения объекта магазин ИП Денисенко М.Ю., расположенного по адресу: Ростовская область, Октябрьский р-н, п. Красногорняцкий, ул. Комарова, д. 25</t>
  </si>
  <si>
    <t>Установка прибора учета для присоединения объекта жилой дом Кандыба В.В., расположенного по адресу: Ростовская область, Октябрьский р-н, х. Калинин, ул. Центральная, д. 142а</t>
  </si>
  <si>
    <t>Установка прибора учета для присоединения объекта малоэтажной жилой застройки Мирошниченко Л.В., расположенного по адресу: Ростовская область, Октябрьский р-н, х. Яново-Грушевский, с/т «Электровозостроитель», уч. №87</t>
  </si>
  <si>
    <t>Установка прибора учета для присоединения объекта малоэтажной жилой застройки Османовой Б.К., расположенного по адресу: Ростовская область, Октябрьский р-н, с/т «Электровозостроитель», уч. №55/1</t>
  </si>
  <si>
    <t>Установка прибора учета для присоединения объекта жилой дом Приймак Г.А., расположенного по адресу: Ростовская область, Октябрьский р-н, х. Калинин, ул. Донская, д. 83г</t>
  </si>
  <si>
    <t>троительство ВЛИ 0,4 кВ от ВЛИ 0,4кВ КТП 228 ВЛ 10кВ Каныгин ПС 110/10 Ш37 для электроснабжения ВРУ-0.4кВ Объекта сельскохозяйственного производства Манаева Э.Ю. по адресу: Ростовская область, Усть-Донецкий район, х. Коныгин, примерно 1м на запад от земельного участка с КН 61:39:0600011:26, КН ЗУ 61:39:0600011:358 (ориентировочная протяженность ЛЭП – 0,075 км)</t>
  </si>
  <si>
    <t>Установка прибора учета для присоединения объекта малоэтажной жилой застройки Чубовскова А.А., расположенного по адресу: Ростовская область, р-н. Усть-Донецкий, ст-ца. Мелиховская, ул. Крючкова, д. 2б, КН ЗУ: 61:39:0020105:222</t>
  </si>
  <si>
    <t>Установка прибора учета для присоединения объекта крестьянско-фермерского хозяйства ИП Бахмадова А.Х, расположенного по адресу: Ростовская область, р-н. Усть-Донецкий, ст.Нижнекундрюченская, примерно в 1 км на северо-восток от ст. Нижнекундрюченской, КН ЗУ: 61:39:0600005:168</t>
  </si>
  <si>
    <t>Установка прибора учета для присоединения объекта ВРУ-0.4кВ малоэтажной жилой застройки Саркисян Э.В., расположенного по адресу: Ростовская область, Усть-Донецкий район, ст-ца. Раздорская, ул. Набережная, д. 30, корп. в, КН ЗУ: 61:39:0030101:880</t>
  </si>
  <si>
    <t>Установка прибора учета для присоединения объекта жилого дома Дворниковой И.А., расположенного по адресу: Ростовская область, р-н. Семикаракорский, ст-ца. Кочетовская, пер. Тупиковый 9-й, д. 4</t>
  </si>
  <si>
    <t>Установка прибора учета для присоединения объекта малоэтажной жилой застройки Дорофеева В.В., расположенного по адресу: Ростовская область, Усть-Донецкий район, х. Апаринский, ул. Дачная, д. 124, КН ЗУ: 61:39:0600009:522</t>
  </si>
  <si>
    <t>Установка прибора учета для присоединения объекта малоэтажной жилой застройки Куркова И.А., расположенного по адресу: Ростовская область, р-н. Усть-Донецкий, ст. Раздорская, ул. Калинина, д. 93 КН ЗУ: 61:39:0030102:447</t>
  </si>
  <si>
    <t>Установка прибора учета для присоединения объекта малоэтажной жилой застройки Пономаренко А.А., расположенного по адресу: Ростовская область, Усть-Донецкий район, п. Огиб, ул. Новая, д. 20, КН ЗУ: 61:39:0600005:225</t>
  </si>
  <si>
    <t>Установка прибора учета для присоединения объекта ВРУ-0,4 кВ жилого дома Яковенко П.А., расположенного по адресу: Ростовская область, р-н. Усть-Донецкий, х. Листопадов, ул. Садовая, д. 39</t>
  </si>
  <si>
    <t>Строительство ВЛИ-0,4 кВ от оп. №5 ВЛ-0,4 кВ №1 КТП №180 по ВЛ-10 Красюковка ПС 35 кВ Ш-39 для присоединения малоэтажной жилой застройки Ятчук Т.В. по адресу: Ростовская область, Октябрьский район, сл. Красюковская, ул. Агролесная, д.47 (ориентировочная протяженность ЛЭП 0,045 км)</t>
  </si>
  <si>
    <t>Установка прибора учета для присоединения объекта малоэтажная жилая застройка Бакайкина А.П., расположенного по адресу: Ростовская область, Октябрьский р-н, ст. Заплавская, ул. Северная, д. 5</t>
  </si>
  <si>
    <t>Установка прибора учета для присоединения объекта малоэтажная жилая застройка Богучарова В.Ю., расположенного по адресу: Ростовская область, Октябрьский р-н, х. Калинин, пер. Садовый, д.4Б</t>
  </si>
  <si>
    <t>Установка прибора учета для присоединения объекта малоэтажная жилая застройка Брездина В.Г., расположенного по адресу: Ростовская область, Октябрьский р-н, ст-ца. Кривянская, ул. Октябрьская, д. 23</t>
  </si>
  <si>
    <t>Установка прибора учета для присоединения объекта малоэтажная жилая застройка Грибова С.А., расположенного по адресу: Ростовская область, Октябрьский р-н, ст. Заплавская, ул. Виноградная, д. 48</t>
  </si>
  <si>
    <t>Установка прибора учета для присоединения объекта малоэтажная жилая застройка Черепахиной Н.А., расположенного по адресу: Ростовская область, Октябрьский р-н, ст. Заплавская, ул. Школьная, д. 8</t>
  </si>
  <si>
    <t>Установка прибора учета для присоединения объекта садовый дом Лысенко С.А., расположенного по адресу: Ростовская область, Октябрьский р-н, с/т «Электровозостроитель», уч. №71</t>
  </si>
  <si>
    <t>Установка прибора учета для присоединения объекта малоэтажная жилая застройка Борисовой О.М., расположенного по адресу: Ростовская область, Октябрьский р-н, с/т «Электровозостроитель», уч. №170</t>
  </si>
  <si>
    <t>Установка прибора учета для присоединения объекта малоэтажная жилая застройка Смышляковой А.А., расположенного по адресу: Ростовская область, Октябрьский р-н, х. Красный Кут, ул. Калинина, д. 19</t>
  </si>
  <si>
    <t>Установка прибора учета для присоединения объекта жилой дом Бурковой А.А., расположенного по адресу: Ростовская область, Октябрьский р-н, рп. Каменоломни, ул. Свердлова, д. 115</t>
  </si>
  <si>
    <t>Установка прибора коммерческого учёта электрической энергии, для присоединения жилого дома Кудиновой Н.Д., расположенного по адресу: Ростовская область, Тарасовский р-н, х. Каюковка, ул. Калинина, д.5, к.н. 61:37:0030501:221 (прибор учёта электроэнергии - 1шт)</t>
  </si>
  <si>
    <t>Обеспечение коммерческим учетом электрической энергиив точке поставки, по присоединению ВРУ-0,4 кВ жилого дома Конак А.А., расположенного по адресу: Ростовская область, Тацинский район, п. Быстрогорский, ул. Погудина, 53, К.Н.З.У. 61:38:0040141:10 (прибор учёта электроэнергии - 1шт).</t>
  </si>
  <si>
    <t>Обеспечение коммерческим учетом электрической энергии в точке поставки, по присоединению ВРУ-0,4 кВ жилого дома Банько А.П., расположенного по адресу: Ростовская область, Тацинский район, х. Зазерский, ул. Центральная, д. 33, КН ЗУ 61:38:09010160033 (прибор учёта электроэнергии - 1шт).</t>
  </si>
  <si>
    <t>Установка прибора коммерческого учёта электрической энергии для присоединения ВРУ-0,4 кВ базовой станции ПАО «Ростелеком», расположенной по адресу: Ростовская область, Обливский район, хутор Кривов (прибор учёта электроэнергии - 1шт.)</t>
  </si>
  <si>
    <t>Установка прибора коммерческого учёта электрической энергии, для присоединения ВРУ-0,4 кВ «базовая станция» ПАО «Ростелеком», расположенного по адресу: Ростовская область, Обливский район,  х. Караичев, к.н.з.у. 00:00:000000:00 (прибор учёта электроэнергии - 1шт.)</t>
  </si>
  <si>
    <t>Установка прибора коммерческого учёта электрической энергии,  для присоединения ВРУ-0,4 кВ «базовая станция» ПАО «Ростелеком», расположенного по адресу: Ростовская область, Обливский район, х. Нестеркин, к.н.з.у. 00:00:000000:00 (прибор учёта электроэнергии-1шт.)</t>
  </si>
  <si>
    <t>Установка прибора коммерческого учёта электрической энергии, для присоединения ВРУ-0,4 кВ маслоцеха  ИП Алексеенко А.Ю., расположенного по адресу: Ростовская область, Тацинский район, х. Качалин, примерно в 0,1 км на восток, к.н. 61:38:0600001:2 (прибор учёта электроэнергии - 1шт.)</t>
  </si>
  <si>
    <t>Установка прибора коммерческого учёта электрической энергии, для присоединения ВРУ-0,4 кВ склада Игнатовой Я.С., расположенного по адресу: Ростовская область, Тацинский район, п. Новосуховый, примерно в 0,27 км на северо-восток от ул. Административная, 8, к.н. 61:38:0600012:1571 (прибор учёта электроэнергии - 1шт.)</t>
  </si>
  <si>
    <t>Обеспечение коммерческим учетом электрической энергии  в точке поставки, по присоединению жилого жома Пономарева В.В., расположенного по адресу: Ростовская область, Морозовский район, х. Донской, ул. Донская, д. 46 к.н. 61:24:0080302:83(прибор учёта электроэнергии - 1шт)</t>
  </si>
  <si>
    <t>Установка прибора коммерческого учёта электрической энергии для присоединения жилого дома Романченко Д.В., расположенного по адресу: Ростовская область, Морозовский р-н, х. Скачки-Малюгин, д. 48, к.н. 61:24:0020601:150 (прибор учёта электроэнергии - 1шт)</t>
  </si>
  <si>
    <t>Установка прибора коммерческого учёта электрической энергии, для присоединения ВРУ-0,4 кВ жилого дома Кречетова П.В., расположенного по адресу: Ростовская область, Обливский район, хутор Машинский, улица Береговая, д. 14, к.н. 61:27:0020201:67(прибор учёта электроэнергии - 1шт.)</t>
  </si>
  <si>
    <t>Установка прибора коммерческого учёта электрической энергии, для присоединения ВРУ-0,4 кВ «жилой дом» Бондарева С.С., расположенного по адресу: Ростовская область, Обливский район, х. Алексеевский, ул. Новая, д. 10, к.н. 61:27:0020101:313 (прибор учёта электроэнергии - 1шт.)</t>
  </si>
  <si>
    <t>Обеспечение коммерческим учетом электрической энергии в точке поставки, по присоединению жилого дома Зарубина В.А., расположенного по адресу: Ростовская область, Советский район, с. Чистяково, ул. Гагарина, д.15, к.н. 61:36:0020101:229 (прибор учета электроэнергии – 1шт).</t>
  </si>
  <si>
    <t>Обеспечение коммерческим учетом электрической энергии в точке поставки, по присоединению жилого дома Пагосян Х.С., расположенного по адресу: Ростовская область, Советский район, ст. Советская, ул. Орджоникидзе, д. 31, к.н.з.у. 61:36:0010101:180(прибор учета электроэнергии – 1шт)</t>
  </si>
  <si>
    <t>Установка прибора коммерческого учёта электрической энергии  для присоединения жилого дома Артюковского А.В., расположенного по адресу: Ростовская область, Советский район, ст. Советская, ул. Кирова, д.76, к.н. 61:36:0010101:48 (прибор учета электроэнергии – 1шт)</t>
  </si>
  <si>
    <t>'Установка прибора коммерческого учёта электрической энергии для присоединения квартиры Попова В.В., расположенного по адресу: Ростовская область, Советский район, п. Малые Озера, ул. Озерная, д. 3, кв./оф. 1, к.н. 61:36:0030401:37(прибор учета электроэнергии – 1шт).</t>
  </si>
  <si>
    <t>Установка прибора коммерческого учёта электрической энергии, для присоединения строящегося жилого дома Кравченко М.А.., расположенного по адресу: Ростовская область, Белокалитвинский р-н, п. Сосны, ул. Зеленая, д. 7, к.н. 61:04:0150414:98 (прибор учёта электроэнергии - 1шт)</t>
  </si>
  <si>
    <t>Установка прибора коммерческого учёта электрической энергии, для присоединения строящегося жилого дома Шкондина Н.Г., расположенного по адресу: Ростовская область, Белокалитвинский р-н, п. Сосны, ул. Сиреневая,     д. 21, к.н. 61:04:0150404:149 (прибор учёта электроэнергии - 1шт)</t>
  </si>
  <si>
    <t>Установка прибора коммерческого учёта электрической энергии для присоединения жилого дома Коноваловой А.А., расположенного по адресу: Ростовская область, Милютинский район, х. Терновой, пер. Тенистый, д. № 6, к.н. 61:23:0030601:18 (прибор учёта электроэнергии - 1шт).</t>
  </si>
  <si>
    <t>Установка прибора коммерческого учёта электрической энергии, для присоединения ВРУ-0,4 кВ гаража Жиговца В.Б., расположенного по адресу: Ростовская область, Милютинский район, х. Орлов, в 200 м юго-восточнее х. Орлов, к.н. 61:23:0600015:430 (прибор учёта электроэнергии 15 кВт - 1шт.)</t>
  </si>
  <si>
    <t>Установка прибора коммерческого учёта электрической энергии, для присоединения ВРУ-0,4 кВ жилого дома Чернушкина С.Н., расположенного по адресу: Ростовская обл., Милютинский р-н,   х. Семёновка, ул. Сибирская, д. 20, к.н.з.у. 61:23:0020801:40 (прибор учёта электроэнергии 15 кВт - 1шт.)</t>
  </si>
  <si>
    <t>Установка прибора коммерческого учёта электрической энергии, для присоединения ВРУ-0,4 кВ квартиры Замаевской О.В., расположенной по адресу: Ростовская область, Милютинский р-н, п. Полесье, ул. Сосновая, д. 2, кв.2, к.н. 61:23:0080301:147 (прибор учёта электроэнергии - 1шт)</t>
  </si>
  <si>
    <t>Установка прибора коммерческого учёта электрической энергии, для присоединения ВРУ-0,4 кВ жилого дома Симикина С.В., расположенного по адресу: Ростовская область, Обливский район, х. Лобачев,  ул. Магистральная, д. 19, к.н. 61:27:0070301:105 (прибор учёта электроэнергии - 1шт.)</t>
  </si>
  <si>
    <t>Установка прибора коммерческого учёта электрической энергии, для присоединения ВРУ-0,4 кВ «квартира» Черничкина Е.В., расположенного по адресу: Ростовская область, Обливский район, поселок Каштановский, переулок Вишневый, д. 2, кв.1 к.н. 61:27:0030101:1127 (прибор учёта электроэнергии - 1шт.)</t>
  </si>
  <si>
    <t>Установка прибора коммерческого учёта электрической энергии, для присоединения ВРУ-0,4 кВ «базовая станция» ПАО «Ростелеком», расположенного по адресу: Ростовская область, Обливский район,   п. Сосновый, к.н.з.у. 00:00:000000:00 (прибор учёта электроэнергии - 1шт.)</t>
  </si>
  <si>
    <t>Обеспечение коммерческим учетом электрической энергии в точке поставки, по присоединению освещения общественной территории Муниципального образования «Митякинское сельское поселение», расположенного по адресу: Ростовская область, Тарасовский район, ст. Митякинская, ул. Дюбина, д. 96, к.н. 61:37:0100101:1359 (прибор учёта электроэнергии - 1шт)</t>
  </si>
  <si>
    <t>Обеспечение коммерческим учетом электрической энергии в точке поставки, по присоединению жилого дома Пивоваровой Г.Н., расположенного по адресу: Ростовская область, Тарасовский район, сл. Колушкино, ул. Советская, д. 36, к.н. 61:37:090101:0035 (прибор учёта электроэнергии - 1шт)</t>
  </si>
  <si>
    <t>Установка прибора коммерческого учёта электрической энергии для присоединения жилого дома Талалаевой Т.Н., расположенного по адресу: Ростовская область, Тарасовский район,  х. Дубы, ул. Речная, д. 17, к.н. 61:37:0100201:474 (прибор учёта электроэнергии - 1шт).</t>
  </si>
  <si>
    <t>Обеспечение коммерческим учетом электрической энергии в точке поставки, по присоединению жилого дома Мирнова В.А., расположенного по адресу: Ростовская область, Тарасовский район, сл. Ефремово-Степановка, ул. Ленина, д. 25, к.н. 61:37:0080101:7(прибор учета электроэнергии – 1шт)</t>
  </si>
  <si>
    <t>Установка прибора коммерческого учёта электрической энергии для присоединения жилого дома Хохлова А.С., расположенного по адресу: Ростовская область, Тарасовский район,  х. Васильевка, ул. Вишневая, д. 14, к.н. 61:37:0030301:92 (прибор учета электроэнергии – 1шт).</t>
  </si>
  <si>
    <t>Установка прибора коммерческого учёта электрической энергии  для присоединения зерносклада ИП главы К(Ф)Х Артюшенко С.П., расположенного по адресу: Ростовская область, Тарасовский район,  х. Дубы, к.н. 61:37:0600019:1260 (прибор учета электроэнергии- 1шт)</t>
  </si>
  <si>
    <t>Установка прибора коммерческого учёта электрической энергии, для присоединения строящегося складского помещения ООО «Лето», расположенного по адресу: Ростовская область, Тарасовский р-н,х. Мокроталовка, к.н. 61:37:0600012:1909 (прибор учёта электроэнергии - 1шт)</t>
  </si>
  <si>
    <t>Установка прибора коммерческого учёта электрической энергии, для присоединения жилого дома Яковлева М.В., расположенного по адресу: Ростовская область, Белокалитвинский р-н, х. Западный, ул. Садовая, д. 26, к.н. 61:04:0080301:73, (прибор учёта электроэнергии 15 кВт - 1шт)</t>
  </si>
  <si>
    <t>Установка прибора коммерческого учёта электрической энергии, для присоединения жилого дома Рябова В.Н., расположенного по адресу: Ростовская область, Белокалитвинский р-н, х. Ильинка, ул. Советская, д. 10, к.н. 61:04:0140107:218 (прибор учёта электроэнергии - 1шт)</t>
  </si>
  <si>
    <t>Установка прибора коммерческого учёта электрической энергии, для присоединения магазина Репкина М.П., расположенного по адресу: Ростовская область, Белокалитвинский р-н, ст. Краснодонецкая, ул. Центральная, д. 32, к.н. 61:04:0080105:90 (прибор учёта электроэнергии - 1шт)</t>
  </si>
  <si>
    <t>Установка прибора коммерческого учёта электрической энергии, для присоединения строящегося жилого дома Парамоновой Т.Г., расположенного по адресу: Ростовская область, Белокалитвинский р-н, п. Сосны, ул. Зеленая, д. 37, к.н. 61:04:0150413:265 (прибор учёта электроэнергии - 1шт)</t>
  </si>
  <si>
    <t>Установка прибора коммерческого учёта электрической энергии, для присоединения административного/офисного здания «Противопожарная служба Ростовской области» в лице начальника Кравцова В.В., расположенного по адресу: Ростовская область, Белокалитвинский район, ст. Краснодонецкая, ул. Екатериновская, д. 3 б, к.н. 61:04:0080103:505 (прибор учёта электроэнергии - 1шт)</t>
  </si>
  <si>
    <t>Установка прибора коммерческого учёта электрической энергии, для присоединения жилого дома Мельниковой Е.В., расположенного по адресу: Ростовская область, Белокалитвинский р-н, ст. Краснодонецкая, пер. Зеленый, д. 20, к.н. 61:04:0080104:157 (прибор учёта электроэнергии - 1шт)</t>
  </si>
  <si>
    <t>Установка прибора коммерческого учёта электрической энергии, для присоединения жилого дома Пузанова А.В., расположенного по адресу: Ростовская область, Белокалитвинский р-н, х. Поцелуев, ул. Газодобытчиков, д. 15, к.н. 61:04:0050104:57 (прибор учёта электроэнергии - 1шт)</t>
  </si>
  <si>
    <t>Установка прибора коммерческого учёта электрической энергии, для присоединения жилого дома Синицкого А.В., расположенного по адресу: Ростовская область, Белокалитвинский р-н, х. Головка, ул. Центральная, д. 35, к.н. 61:04:0090101:102 (прибор учёта электроэнергии - 1шт)</t>
  </si>
  <si>
    <t>Установка прибора коммерческого учёта электрической энергии, для присоединения нежилого здания Минихматова С.С., расположенного по адресу: Ростовская область, Белокалитвинский р-н, п. Сосны, ул. Центральная, д. 80 а, к.н. 61:04:0150416:762 (прибор учёта электроэнергии - 1шт)</t>
  </si>
  <si>
    <t>Установка прибора коммерческого учёта электрической энергии, для присоединения строящегося жилого дома Венглярского А.С., расположенного по адресу: Ростовская область, Белокалитвинский р-н, п. Сосны, ул. Зеленая, д. 5, к.н. 61:04:0150414:100 (прибор учёта электроэнергии - 1шт)</t>
  </si>
  <si>
    <t>Установка прибора коммерческого учёта электрической энергии, для присоединения ВРУ-0,4 кВ жилого дома Магницкого И.Л., расположенного по адресу: Ростовская обл., Милютинский р-н, х. Николовка, ул. Торговая, д. 1, к.н.з.у. 61:23:0040301:143 (прибор учёта электроэнергии - 1шт)</t>
  </si>
  <si>
    <t>Установка прибора коммерческого учёта электрической энергии, для присоединения ВРУ-0,4 кВ Административного здания №2 Куфты Н.Ю., расположенного по адресу: Ростовская обл., Милютинский    р-н, х. Николовка, ул. Центральная, д. 9, к.н.з.у. 61:23:0040301:656 (прибор учёта электроэнергии - 1шт.)</t>
  </si>
  <si>
    <t>Установка прибора коммерческого учёта электрической энергии, для присоединения ВРУ-0,4 кВ квартиры Марченко А.И., расположенного по адресу: Ростовская область, Милютинский р-н, х. Решетников, ул. Речная, д. 6, к.н. 61:23:0020301:40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</si>
  <si>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область, Милютинский р-н, х. Николовка, ул. Торговая, д. 21 А, местоположение широта 48.680042, долгота 41.423489, к.н. 61:23:0040301 (прибор учёта электроэнергии - 1шт.)</t>
  </si>
  <si>
    <t>Установка прибора коммерческого учёта электрической энергии, для присоединения объекта для производства сельскохозяйственной продукции Кнышова И.И., расположенного по адресу: Ростовская обл., Милютинский р-н, х. Нижнепетровский, ул. Промышленная, д. 9, к.н.з.у. 61:23:0020901:532 (прибор учёта электроэнергии - 1шт)</t>
  </si>
  <si>
    <t>Установка прибора коммерческого учёта электрической энергии, для подключения ВРУ-0,4 кВ Базовой станции ПАО «Ростелеком», расположенной по адресу: Ростовская область, Милютинский район,  х. Нижнепетровский, ул. Мира, д. 3 А, местоположение широта 48.735023, долгота 41.546571, к.н. 61:23:0020901 (прибор учёта электроэнергии - 1шт)</t>
  </si>
  <si>
    <t>Установка прибора коммерческого учёта электрической энергии,  для присоединения жилого дома Дейнекина Д.А., расположенного по адресу: Ростовская обл., Милютинский р-н, х. Верхнепетровский, ул. Фатеева, д. 1, к.н.з.у. 61:23:0020701:245 (прибор учёта электроэнергии - 1шт)</t>
  </si>
  <si>
    <t>Установка прибора коммерческого учёта электрической энергии,для присоединения жилого дома Багаевой Е.А. расположенной по адресу: Ростовская обл., Милютинский р-н, сл. Маньково-Берёзовская, ул. Рожок, д. 7, к.н.з.у. 61:23:0020501:273 (прибор учёта электроэнергии - 1шт)</t>
  </si>
  <si>
    <t>Установка прибора коммерческого учёта электрической энергии, для присоединения жилого дома Борисенко Т.А., расположенного по адресу: Ростовская обл., Милютинский р-н, ст. Селивановская, ул. Садовая, д.12, к.н.з.у. 61:23:0080101:454 (прибор учёта электроэнергии - 1шт)</t>
  </si>
  <si>
    <t>Установка прибора коммерческого учёта электрической энергии, для присоединения жилого дома Незнамовой О.Ю., расположенного по адресу: Ростовская обл., Милютинский р-н, п. Светоч, ул. Южная, д.13/2, к.н.з.у. 61:23:0070101:37 (прибор учёта электроэнергии - 1шт)</t>
  </si>
  <si>
    <t>Установка прибора коммерческого учёта электрической энергии, для присоединения жилого дома Рельке В.В., расположенного по адресу: Ростовская обл., Милютинский р-н, х. Севостьянов, ул. Россошанская, д. 52, к.н.з.у. (прибор учёта электроэнергии - 1шт)</t>
  </si>
  <si>
    <t>Обеспечение коммерческим учетом электрической энергии в точке поставки, по присоединению жилого дома Павленко Е.В., расположенного по адресу: Ростовская область, Морозовский р-н, х. Новопроциков, ул. Речная,  д. 22, к.н. 61:24:0020301:131 (прибор учёта электроэнергии - 1шт).</t>
  </si>
  <si>
    <t>Установка прибора коммерческого учёта электрической энергии  для присоединения жилого дома Остривного А.А., расположенного по адресу: Ростовская область, Морозовский р-н,  х. Беляев, ул. Степная, д. 31, к.н. 61:24:0070105:44 (прибор учёта электроэнергии - 1шт)</t>
  </si>
  <si>
    <t>Установка прибора коммерческого учёта электрической энергии, для присоединения жилого дома Малаховой Н.Г., расположенного по адресу: Ростовская область, Морозовский р-н, х. Покровский, ул. Покровская, д. 49, к.н. 61:24:080501:0135 (прибор учёта электроэнергии - 1шт)</t>
  </si>
  <si>
    <t>Установка прибора коммерческого учёта электрической энергии, для присоединения складского здания ИП Борка Д.Д., расположенного по адресу: Ростовская область, Морозовский р-н, х. Вознесенский, ул. Школьная, д. 1 е, к.н. 61:24:0600006:293 (прибор учёта электроэнергии 15 кВт - 1шт)</t>
  </si>
  <si>
    <t>Установка прибора коммерческого учёта электрической энергии, для присоединения жилого дома Латышевой Т.Я., расположенного по адресу: Ростовская область, Морозовский р-н, х. Грузинов, ул. Абрикосовая, д. 23, к.н. 61:24:0050306:120 (прибор учёта электроэнергии - 1шт.)</t>
  </si>
  <si>
    <t>Установка прибора коммерческого учёта электрической энергии, для присоединения жилого дома Узаировой М.И., расположенного по адресу: Ростовская область, Морозовский р-н, х. Сибирьки, ул. Большая Садовая, д. 46, к.н. 61:24:0060601:179 (прибор учёта электроэнергии - 1шт.).</t>
  </si>
  <si>
    <t>Установка прибора коммерческого учёта электрической энергии, для присоединения здания фермы ООО «Ермак», расположенного по адресу: Ростовская область, Морозовский р-н, п. Табунный, д. 47, к.н. 61:24:0090301:117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</si>
  <si>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область, Морозовский р-н, х. Беляев, кадастровый номер земельного участка: 00:00:000000:00 (прибор учёта электроэнергии - 1шт.)</t>
  </si>
  <si>
    <t>Установка прибора коммерческого учёта электрической энергии, для присоединения жилого дома Золотовской М.В., расположенного по адресу: Ростовская область, Обливский район, хутор Рябовский, улица Сосновая, дом 44, к.н. 61:27:0070201:211 (прибор учёта электроэнергии 15 кВт - 1шт)</t>
  </si>
  <si>
    <t>Установка прибора коммерческого учёта электрической энергии, для присоединения жилого дома Обуховой Н.В., расположенного по адресу: Ростовская область, Обливский р-н, п. Средний Чир, пер. Куйбышева, д. 8, кв./оф. 2, к.н.з.у. 61:27:070602:0134 (прибор учёта электроэнергии 15 кВт - 1шт)</t>
  </si>
  <si>
    <t>Установка прибора коммерческого учёта электрической энергии, для присоединения жилого дома Бирюковой Оксаны Сергеевны расположенного по адресу: Ростовская область, Обливский район, хутор Ковыленский, улица Лазоревая, дом 9, к.н. 61:27:0071101:17 (прибор учёта электроэнергии - 1шт)</t>
  </si>
  <si>
    <t>Установка прибора коммерческого учёта электрической энергии, для присоединения жилого дома Былич А.С., расположенного по адресу: Ростовская область, Обливский район, хутор Караичев, улица Солнечная, дом 3, к.н. 61:27:0040104:71 (прибор учёта электроэнергии - 1шт)</t>
  </si>
  <si>
    <t>Установка прибора коммерческого учёта электрической энергии, для присоединения жилого дома Еременко А.В., расположенного по адресу: Ростовская область, Обливский район, хутор Сеньшин, улица Березовая, дом 57, к.н. 61:27:0000000:1575 (прибор учёта электроэнергии - 1шт)</t>
  </si>
  <si>
    <t>Установка прибора коммерческого учёта электрической энергии, для присоединения жилого дома Мариева С.А., расположенного по адресу: Ростовская область, Обливский район, хутор Караичев, улица Солнечная, дом 5, к.н. 61:27:0040104:85 (прибор учёта электроэнергии - 1шт)</t>
  </si>
  <si>
    <t>Установка прибора коммерческого учёта электрической энергии, для присоединения ВРУ-0,4 кВ «модульное здание фельдшерско-акушерского пункта» Муниципального бюджетного учреждения здравохранения «Центральная районная больница» Обливского района Ростовской области, расположенного по адресу: Ростовская область, Обливский район, поселок Сосновый, улица Молодежная, дом 1а, к.н. 61:27:0040401:946 (прибор учёта электроэнергии - 1шт.)</t>
  </si>
  <si>
    <t>Установка прибора коммерческого учёта электрической энергии, для присоединения ВРУ-0,4 кВ жилого дома Орловой Е.А., расположенного по адресу: Ростовская область, Обливский район, поселок Сосновый, улица Жуланова, д. 23, к.н. 61:27:0040401:249(прибор учёта электроэнергии - 1шт.).</t>
  </si>
  <si>
    <t>Установка прибора коммерческого учёта электрической энергии для присоединения жилого дома Попова В.В., расположенного по адресу: Ростовская область, Советский район, ст. Советская, ул. 40 лет Октября, д.21 к.н. 61:36:0010101:351 (прибор учета электроэнергии – 1шт)</t>
  </si>
  <si>
    <t>Установка прибора коммерческого учёта электрической энергии, для присоединения квартиры Псёл Виктор Иванович, расположенного по адресу: Ростовская область, Советский р-н, п. Чирский, ул. Садовая, д. 16, кв./оф.2, к.н. 61:36:0030101:247 (прибор учёта электроэнергии - 1шт)</t>
  </si>
  <si>
    <t>Установка прибора коммерческого учёта электрической энергии, для присоединения жилого дома Лысенко Сергея Ивановича, расположенного по адресу: Ростовская область, Советский  р-н, слобода Петрово, ул. Любимая, д. 19, к.н. 61:36:0040301:177 (прибор учёта электроэнергии - 1шт)</t>
  </si>
  <si>
    <t>Установка прибора коммерческого учёта электрической энергии, для присоединения жилого дома Картушин А.В., расположенного по адресу: Ростовская область, Советский р-н, ст. Советская, ул. Ю.Горева, д. 26, к.н. 61:36:0010101:603 (прибор учёта электроэнергии - 1шт)</t>
  </si>
  <si>
    <t>Установка прибора коммерческого учёта электрической энергии, для присоединения жилого дома Чекункова С.М., расположенного по адресу: Ростовская область, Советский р-н, слобода Чистяково, ул. Гагарина, д. 27, к.н. 61:36:0020101:1352 (прибор учёта электроэнергии - 1шт)</t>
  </si>
  <si>
    <t>Установка прибора коммерческого учёта электрической энергии, для присоединения жилого дома Нордгеймер Т.Б., расположенного по адресу: Ростовская область, Тарасовский р-н, х. Дубы, ул. Центральная, д. № 62, к.н.з.у. 61:37:0100201:238 (прибор учёта электроэнергии 15 кВт - 1шт)</t>
  </si>
  <si>
    <t>Установка прибора коммерческого учёта электрической энергии, для присоединения ВРУ-0,4 кВ жилого дома Близнюковой Л.В., расположенного по адресу: Ростовская область, Тацинский район, х. Пролетарский ул. Песчаная, д. 23, к.н. 61:38:061001:0075 (прибор учёта электроэнергии - 1шт.)</t>
  </si>
  <si>
    <t>Установка прибора коммерческого учёта электрической энергии, для присоединения ВРУ-0,4 кВ строящегося здания ИП Солошенко С.Ф., расположенного по адресу: Ростовская область, Тацинский район, ст. Тацинская, примерно в 150 м на юг от ул. Ковалева, д. 18, к.н. 61:38:0600009:1358 (прибор учёта электроэнергии - 1шт.)</t>
  </si>
  <si>
    <t>Установка прибора коммерческого учёта электрической энергии, для присоединения ВРУ-0,4 кВ уличного освещения автодороги А-280 (М-21) км 271+226-км 272+000, расположенного по адресу: Ростовская область, Тацинский район, х. Михайлов, автодорога А-280 (М-21) км 271+226-км 272+000, к.н.отсутствует  (прибор учёта электроэнергии - 1шт.)</t>
  </si>
  <si>
    <t>Установка прибора коммерческого учёта электрической энергии, для присоединения ВРУ-0,4 кВ жилого дома Дудниковой И.П., расположенного по адресу: Ростовская область, Тацинский район, х. Качалин, ул. Харченко, д. 25, кв. 1, к.н. 61:38:0070501:16. (прибор учёта электроэнергии - 1шт.)</t>
  </si>
  <si>
    <t>Установка прибора коммерческого учёта электрической энергии, для присоединения ВРУ-0,4 кВ жилого дома Птицына М.В., расположенного по адресу: Ростовская область, Тацинский район, х. Новороссошанский, ул. Молодёжная, д. 79, к.н. 61:38:0080401:1(прибор учёта электроэнергии - 1шт.)</t>
  </si>
  <si>
    <t>Установка прибора коммерческого учёта электрической энергии, для присоединения жилого дома Агеева С.А., расположенного по адресу: Ростовская область, Тацинский район, х. Крюков, ул. Школьная, д. 21, к.н. 61:38:0060701:38 (прибор учёта электроэнергии - 1шт.)</t>
  </si>
  <si>
    <t>Установка прибора коммерческого учёта электрической энергии, для присоединения жилого дома Резниковой Л.Г., расположенного по адресу: Ростовская область, Тацинский район, п. Новосуховый, ул. Клубная, д. 8, к.н. 61:38:100101:0016. (прибор учёта электроэнергии - 1шт.)</t>
  </si>
  <si>
    <t>Установка прибора коммерческого учёта электрической энергии, для присоединения строящегося здания ИП Ткачук Г.Ф., расположенного по адресу: Ростовская область, Тацинский район, п. Быстрогорский, пер. Кооперативный, д. 20, к.н. 61:38:0600008:1699 (прибор учёта электроэнергии - 1шт.)</t>
  </si>
  <si>
    <t>Установка прибора коммерческого учёта электрической энергии для присоединения ВРУ-0,4 кВ базовой станции сотовой связи Ростовского филиала ПАО «Ростелеком», расположенной по адресу: Ростовская область, Тацинский район, х. Араканцев, к.н. 61:38:0090201. (прибор учёта электроэнергии - 1шт.)</t>
  </si>
  <si>
    <t>Установка прибора коммерческого учёта электрической энергии, для присоединения ВРУ-0,4 кВ жилого дома Калашникова А.Н., расположенного по адресу: Ростовская область, Тацинский район, х. Верхнеобливский, пер. Веселый, д. 7, к.н. 61:38:0070101:242 (прибор учёта электроэнергии - 1шт.)</t>
  </si>
  <si>
    <t>Установка прибора коммерческого учёта электрической энергии, для присоединения ВРУ-0,4 кВ жилого дома Кибенко А.Н., расположенного по адресу: Ростовская область, Тацинский район, п. Быстрогорский, ул. Социалистическая, д. 29, к.н. 61:38:0040114:53. (прибор учёта электроэнергии - 1шт.)</t>
  </si>
  <si>
    <t>Установка прибора коммерческого учёта электрической энергии, для присоединения ВРУ-0,4 кВ нежилого здания Мищенко А.Н., расположенного по адресу: Ростовская область, Тацинский район, х. Качалин, примерно в 2,3 км по направлению на запад, к.н. 00:00:0000:000. (прибор учёта электроэнергии - 1шт.)</t>
  </si>
  <si>
    <t>Установка прибора коммерческого учёта электрической энергии, для присоединения ВРУ-0,4 кВ базовой станции сотовой связи Ростовского филиала ПАО «Ростелеком», расположенной по адресу: Ростовская область, Тацинский район, х. Качалин, к.н. 61:38:0070501.(прибор учёта электроэнергии - 1шт.)</t>
  </si>
  <si>
    <t>Установка прибора коммерческого учёта электрической энергии, для присоединения ВРУ-0,4 кВ базовой станции сотовой связи Ростовского филиала ПАО «Ростелеком», расположенной по адресу: Ростовская область, Тацинский район, х. Луговой, ул. Мира, д.2, к.н. 61:38:0110401 (прибор учёта электроэнергии - 1шт.)</t>
  </si>
  <si>
    <t>Установка прибора коммерческого учёта электрической энергии, для присоединения ВРУ-0,4 кВ здания магазина ООО «Адамас», расположенного по адресу: Ростовская область, Тацинский район, х. Михайлов, ул. Ленина, д. 128, к.н. 61:38:030122:0028 (прибор учёта электроэнергии - 1шт.)</t>
  </si>
  <si>
    <t>Установка прибора коммерческого учёта электрической энергии, для присоединения жилого дома Шмариной Т.В., расположенного по адресу: Ростовская область, Каменский район, х. Старая Станица,  ул. Восточная, д. № 13, к.н.з.у. 61:15:030105:445  (прибор учёта электроэнергии - 1шт.)</t>
  </si>
  <si>
    <t>Установка прибора коммерческого учёта электрической энергии, для присоединения жилого дома Яцковой Е.В., расположенного по адресу: Ростовская область, Каменский район, х. Старая Станица, пер. Молодежный, д. № 70, корп. А, к.н. 61:15:0130104:186 (прибор учёта электроэнергии - 1шт.)</t>
  </si>
  <si>
    <t>Установка прибора коммерческого учёта электрической энергии, для присоединения жилого дома Сапельникова В.А., расположенного по адресу: Ростовская обл., Каменский р-н, х. Астахов, пер. Шолохова, д. 1, корп. А, к.н.з.у. 61:15:0020201:13 (прибор учёта электроэнергии - 1шт)</t>
  </si>
  <si>
    <t>Установка прибора коммерческого учёта электрической энергии, для присоединения жилого дома Дорошевой Татьяны Алексеевны, расположенного по адресу: Ростовская область, Каменский район,   х. Волченский, ул. Садовая, дом № 86, к.н.з.у. 61:15:0040101:381 (прибор учёта электроэнергии - 1шт.)</t>
  </si>
  <si>
    <t>Установка прибора коммерческого учёта электрической энергии, для присоединения жилого дома Чернышовой А.С., расположенного по адресу: Ростовская область, Каменский район, х. Старая Станица,  ул. Еланская, д. 27, к.н. 61:15:0130101:2835 (прибор учёта электроэнергии - 1шт)</t>
  </si>
  <si>
    <t>Установка прибора коммерческого учёта электрической энергии, для присоединения жилого дома Ярцева А.А., расположенного по адресу: Ростовская  область,  Каменский район,  х. Старая Станица,  ул.  Гагарина,  дом № 9, к.н.з.у. 61:15:0130101:736 (прибор учёта электроэнергии  - 1шт.)</t>
  </si>
  <si>
    <t>Обеспечение коммерческим учетом электрической энергии  в точке поставки, по присоединению жилого дома Харламовой Н.Г., расположенного по адресу: Ростовская область, Тарасовский район,  х. Васильевка, ул. Лесная, д. 3, к.н. 61:37:0030301:103 (прибор учета электроэнергии – 1шт).</t>
  </si>
  <si>
    <t>Установка прибора коммерческого учёта электрической энергии, для присоединения жилого дома Ванеева А.Е., расположенного по адресу: Ростовская область, Тарасовский р-н, х. Васильевка, ул. Вишневая, д. 8, к.н. 61:37:0030301:85 (прибор учёта электроэнергии - 1шт)</t>
  </si>
  <si>
    <t>Установка прибора коммерческого учёта электрической энергии, для присоединения ВРУ-0,4 кВ «квартира» Олейниковой Л.А., расположенного по адресу: Ростовская область, Обливский район, хутор Солонецкий, улица 40 лет Победы, дом 12 кв.2 к.н. 61:27:0060102:276 (прибор учёта электроэнергии - 1шт.).</t>
  </si>
  <si>
    <t>Установка прибора коммерческого учёта электрической энергии, для присоединения ВРУ-0,4кВ «квартира» Татарова Д.Н., расположенного по адресу: Ростовская область, Обливский район, поселок Каштановский, улица Школьная, дом 1, кв.2, к.н. 61:27:030101:0011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</si>
  <si>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область, Морозовский р-н, х. Общий, кадастровый номер земельного участка: 00:00:000000:00 (прибор учёта электроэнергии - 1шт.)</t>
  </si>
  <si>
    <t>Обеспечение коммерческим учетом электрической энергии  в точке поставки, по присоединению жилого дома Помазкова В.И., расположенного по адресу: Ростовская область, Белокалитвинский район, х. Грушевка, ул. Учительская, д. № 24, к.н. 61:04:0110102:134 (прибор учета электроэнергии – 1шт)</t>
  </si>
  <si>
    <t>Установка прибора коммерческого учёта электрической энергии, для присоединения жилого помещения Ярыгиной А.С., расположенного по адресу: Ростовская область, Белокалитвинский р-н, х. Крутинский, пер. Овражный, д. 2, к.н. 61:04:0130102:289, (прибор учёта электроэнергии 15 кВт - 1шт)</t>
  </si>
  <si>
    <t>Установка прибора коммерческого учёта электрической энергии, для присоединения жилого дома Рубашкина А.Ф., расположенного по адресу: Ростовская область, Белокалитвинский р-н, с. Литвиновка, ул. Центральная, д. 103., к.н. 61:04:0060109:113,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</si>
  <si>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расположенного по адресу: Ростовская область, Белокалитвинский р-н, х. Марьевка, пер. Ленина, д. 1, к.н.з.у. 00:00:000000:000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</si>
  <si>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расположенного по адресу: Ростовская область, Белокалитвинский р-н, х. Насонтов, ул. Центральная, д. 1, к.н.з.у. 00:00:000000:000 (прибор учёта электроэнергии - 1шт)</t>
  </si>
  <si>
    <t>Установка прибора коммерческого учёта электрической энергии, для жилого дома Костюченко Н.Ф., расположенного по адресу: Ростовская область, Белокалитвинский р-н, х. Ильинка, ул, Новая, д. 6, к.н. 61:04:0140107:91 (прибор учёта электроэнергии - 1шт)</t>
  </si>
  <si>
    <t>Установка прибора коммерческого учёта электрической энергии, для жилого дома Курилкиной Н.И., расположенного по адресу: Ростовская область, Белокалитвинский р-н, х. Поцелуев, ул, Есенина, д. 19, кв.1, к.н. 61:04:0060102:214 (прибор учёта электроэнергии - 1шт)</t>
  </si>
  <si>
    <t>Установка прибора коммерческого учёта электрической энергии, для жилого дома Свинарёвой Н.М., расположенного по адресу: Ростовская область, Белокалитвинский р-н, х. Ленина, ул. Набережная, д. 9, к.н. 61:04:100113:94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</si>
  <si>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 Белокалитвинский р-н, х. Головка.  к.н.з.у. 00:00:00000:000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</si>
  <si>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 Белокалитвинский р-н, х. Семимаячный.  к.н.з.у 00:00:00000:000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</si>
  <si>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 Белокалитвинский р-н, х. Чернышев.  к.н.з.у. 00:00:00000:000 (прибор учёта электроэнергии - 1шт)</t>
  </si>
  <si>
    <t>Установка прибора коммерческого учёта электрической энергии, для присоединения жилого дома Лариной Л.Н., расположенного по адресу: Ростовская область, Морозовский р-н, п. Знаменка, ул. Безменова, д. 36, к.н. 61:24:0090102:5 (прибор учёта электроэнергии - 1шт.)</t>
  </si>
  <si>
    <t>Установка прибора коммерческого учёта электрической энергии, для присоединения жилого дома Львовой Н.Б., расположенного по адресу: Ростовская область, Морозовский р-н, х. Беляев, ул. Чумакова, 13, к.н. 61:24:0070106:32 (прибор учёта электроэнергии - 1шт.)</t>
  </si>
  <si>
    <t>Установка прибора коммерческого учёта электрической энергии, для присоединения жилого дома Маковникова В.В., расположенного по адресу: Ростовская область, Морозовский р-н, х. Вознесенский, ул. Заречная, д. 32, к.н. 00:00:000000:00 (прибор учёта электроэнергии - 1шт.)</t>
  </si>
  <si>
    <t>Установка прибора коммерческого учёта электрической энергии, для присоединения жилого дома Неменова В.В., расположенного по адресу: Ростовская область, Морозовский р-н, х. Грузинов, ул. Центральная, д. 102, к.н. 61:24:0050302:32 (прибор учёта электроэнергии - 1шт.)</t>
  </si>
  <si>
    <t>Установка прибора коммерческого учёта электрической энергии, для присоединения жилого дома Сарипова Ю.У., расположенного по адресу: Ростовская область, Морозовский р-н, х. Чекалов, ул. Молодежная, д 25, к.н. 61:24:070505:0017 (прибор учёта электроэнергии - 1шт.)</t>
  </si>
  <si>
    <t>Установка прибора коммерческого учёта электрической энергии, для присоединения жилого дома Ляпуновой Н.С., расположенного по адресу: Ростовская область, Морозовский р-н, х. Грузинов, пер. Сиреневый, д. 2, к.н. 61:24:0050308:61 (прибор учёта электроэнергии - 1шт.)</t>
  </si>
  <si>
    <t>Установка прибора коммерческого учёта электрической энергии, для присоединения жилого дома Усагалиева А.С., расположенного по адресу: Ростовская область, Морозовский р-н, х п. Комсомольский, ул. Мира, д. 34, кадастровый номер земельного участка: 61:24:0040508:28 (прибор учёта электроэнергии - 1шт.)</t>
  </si>
  <si>
    <t>Установка прибора коммерческого учёта электрической энергии, для присоединения квартиры Пшеничниковой Л.В., расположенной по адресу: Ростовская область, Морозовский р-н, х. Костино-Быстрянский,  ул. Первомайская, д. 1, кв. 1, к.н. 61:24:020107:0056 (прибор учёта электроэнергии - 1шт.)</t>
  </si>
  <si>
    <t>Установка прибора коммерческого учёта электрической энергии, для присоединения жилого дома Пашалиева М., расположенного по адресу: Ростовская область, Морозовский р-н, х. Сибирьки, ул. Большая Садовая, д. 40, кадастровый номер земельного участка: 61:24:0060601:186 (прибор учёта электроэнергии - 1шт.)</t>
  </si>
  <si>
    <t>Установка прибора коммерческого учёта электрической энергии, для присоединения нежилого здания (склада) Святогорова А.В., расположенного по адресу: Ростовская область, Морозовский р-н, 65 метров на запад от ул. Центральная, 114, к.н. 61:24:0600013:522 (прибор учёта электроэнергии - 1шт.)</t>
  </si>
  <si>
    <t>Установка прибора коммерческого учёта электрической энергии, для присоединения конторы ИП Алеткиной А.В., расположенного по адресу: Ростовская область, Морозовский р-н, х. Трофименков, ул. Садовая, д. 12, кадастровый номер земельного участка: 61:24:0020501:173 (прибор учёта электроэнергии - 1шт.)</t>
  </si>
  <si>
    <t>Установка прибора коммерческого учёта электрической энергии, для присоединения магазина ИП Золотущенко Л.Н., расположенного по адресу: Ростовская область, Морозовский р-н, ст-ца. Вольно-Донская, ул. Первомайская, д. 3, кадастровый номер земельного участка: 00:00:000000:000 (прибор учёта электроэнергии - 1шт.)</t>
  </si>
  <si>
    <t>Установка прибора коммерческого учёта электрической энергии, для присоединения жилого дома Алешковой Е.Ю., расположенного по адресу: Ростовская область, Морозовский р-н, х. Вознесенский, ул. Степная, д. 27, кадастровый номер земельного участка: 61:24:0030510:19 (прибор учёта электроэнергии - 1шт.)</t>
  </si>
  <si>
    <t>Установка прибора коммерческого учёта электрической энергии, для присоединения жилого дома Кузьминой М.Л., расположенного по адресу: Ростовская область, Морозовский р-н, п. Знаменка, ул. Степная, д. 3, кадастровый номер земельного участка: 61:24:0090107:162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</si>
  <si>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область, Морозовский р-н, х. Вишневка, кадастровый номер земельного участка: 00:00:000000:00 (прибор учёта электроэнергии - 1шт.)</t>
  </si>
  <si>
    <t>Установка прибора коммерческого учёта электрической энергии, для присоединения Здания пилорамы Сидакова Р.Ю., расположенного по адресу: Ростовская область, Морозовский р-н, х. Костино-Быстрянский, ул. Интернациональная, д. 25 а, кадастровый номер присоединяемого объекта: 61:24:0020103:401 (прибор учёта электроэнергии - 1шт.)</t>
  </si>
  <si>
    <t>Установка прибора коммерческого учёта электрической энергии, для присоединения ВРУ-0,4 кВ здание зернохранилища  Касумова Ш.Г., расположенного по адресу: Ростовская область, Обливский район, п. Пухов, в 162 метрах на север от п. Пухов к.н. 61:27:0600001:797 (прибор учёта электроэнергии - 1шт.)</t>
  </si>
  <si>
    <t>Установка прибора коммерческого учёта электрической энергии, для присоединения жилого дома Тимофей Е.В., расположенного по адресу: Ростовская обл., Обливский р-н, ст. Обливская, пер. Калиманова, д. 10 б, к.н.з.у.: 61:27:0070143:441 (прибор учёта электроэнергии - 1шт.)</t>
  </si>
  <si>
    <t>Установка прибора коммерческого учёта электрической энергии, для присоединения ВРУ-0,4 кВ жилого дома Мишина С.Ю., расположенного по адресу: Ростовская область, Советский район, слобода Чистяково,ул. 1 Мая, д. 15, к.н. 61:36:0020101:28 (прибор учёта электроэнергии - 1шт.)</t>
  </si>
  <si>
    <t>Установка прибора коммерческого учёта электрической энергии, для присоединения ВРУ-0,4 кВ жилого дома Поповой Т.В., расположенного по адресу: Ростовская область, Советский район, поселок Чирский, ул. Речная, д. 20, к.н. 61:36:0030101:223(прибор учёта электроэнергии - 1шт.).</t>
  </si>
  <si>
    <t>Установка прибора коммерческого учёта электрической энергии, для присоединения жилого дома Васюкова Л.В., расположенного по адресу: Ростовская область, Советский  район, слобода Чистяково, ул. Гагарина, д. 18, к.н. 61:36:0020101:232(прибор учёта электроэнергии - 1шт.)</t>
  </si>
  <si>
    <t>Установка прибора коммерческого учёта электрической энергии, для присоединения жилого дома Шаповалова М.Г., расположенного по адресу: Ростовская область, Советский  район, х. Усть-Грязновский, ул. Саманная, д. 2, к.н. 61:36:0030901:543 (прибор учёта электроэнергии - 1шт.)</t>
  </si>
  <si>
    <t>Установка прибора коммерческого учёта электрической энергии, для присоединения квартиры Куликова А.Г., расположенного по адресу: Ростовская область, Советский р-н, х. Осиновский, ул. Центральная, д. 24, кв.2, к.н. 61:36:030701:0124 (прибор учёта электроэнергии - 1шт)</t>
  </si>
  <si>
    <t>Установка прибора коммерческого учёта электрической энергии для присоединения жилого дома Завгороднего С.П., расположенного по адресу: Ростовская область, Тарасовский район,  х. Красновка, ул. 13 Героев, д. 14, к.н. 61:37:00060301:246 (прибор учёта электроэнергии - 1шт).</t>
  </si>
  <si>
    <t>Установка прибора коммерческого учёта электрической энергии, для присоединения жилого дома Доника Ю.Н., расположенного по адресу: Ростовская область, Тарасовский р-н, сл. Колушкино, ул. Мира, д. 17, к.н. 61:37:0090101:111 (прибор учёта электроэнергии 15 кВт - 1шт)</t>
  </si>
  <si>
    <t>Установка прибора коммерческого учёта электрической энергии, для присоединения жилого дома Бондаренко С.В., расположенного по адресу: Ростовская область, Тарасовский р-н, сл. Колушкино, ул. Молодежная, д. 1, к.н. 61:37:0090101:91 (прибор учёта электроэнергии - 1шт)</t>
  </si>
  <si>
    <t>Установка прибора коммерческого учёта электрической энергии, для присоединения жилого дома Слабченко Д.Т., расположенного по адресу: Ростовская область, Тарасовский р-н, сл. Александровка, ул. Автомагистральная, д. 27, к.н. 61:37:080201:0193 (прибор учёта электроэнергии - 1шт)</t>
  </si>
  <si>
    <t>Установка прибора коммерческого учёта электрической энергии, для присоединения ¼  доли жилого дома Кибаловой Т.С., расположенного по адресу: Ростовская область, Тарасовский р-н,  х.Можаевка, ул.Заречная, д.43, к.н. 61:37:0110101:565 (прибор учёта электроэнергии - 1шт)</t>
  </si>
  <si>
    <t>Установка прибора коммерческого учёта электрической энергии, для присоединения жилого дома Вербицкого С.Г., расположенного по адресу: Ростовская область, Тарасовский р-н, п. Весенний, ул. Молодежная, д 1, к.н. 61:37:0040101:761 (прибор учёта электроэнергии - 1шт.)</t>
  </si>
  <si>
    <t>Установка прибора коммерческого учёта электрической энергии, для присоединения жилого дома Кононова Н.Ф., расположенного по адресу: Ростовская область, Тарасовский р-н,  сл. Большинка, ул. Буденного, д.44, к.н. 61:37:0120101:3739 (прибор учёта электроэнергии - 1шт)</t>
  </si>
  <si>
    <t>Установка прибора коммерческого учёта электрической энергии, для присоединения жилого дома Никишиной Г.Ф., расположенного по адресу: Ростовская область, Тарасовский р-н, х. Васильевка, ул. Железнодорожная, д. 28, к.н. 61:37:0030301:28 (прибор учёта электроэнергии - 1шт)</t>
  </si>
  <si>
    <t>Установка прибора коммерческого учёта электрической энергии, для присоединения жилого дома Попович Н.Н., расположенного по адресу: Ростовская область, Тарасовский р-н, х. Елань, ул. Школьная, д 42, к.н. 61:37:0110401:44 (прибор учёта электроэнергии - 1шт.)</t>
  </si>
  <si>
    <t>Установка прибора коммерческого учёта электрической энергии, для присоединения жилого дома Попович Н.Н., расположенного по адресу: Ростовская область, Тарасовский р-н, х. Елань, ул. Школьная, д 58, к.н. 61:37:0110401:28 (прибор учёта электроэнергии - 1шт.)</t>
  </si>
  <si>
    <t>Установка прибора коммерческого учёта электрической энергии, для присоединения строящегося объекта придорожного сервиса (магазин) Курносова А.А., расположенного по адресу: Ростовская область, Тарасовский р-н, 30 м на северо-запад от сл. Колушкино , к.н. 61:37:0600016:503 (прибор учёта электроэнергии - 1шт)</t>
  </si>
  <si>
    <t>Установка прибора коммерческого учёта электрической энергии, для присоединения строящегося объекта придорожного сервиса (магазин) Курносова А.А., расположенного по адресу: Ростовская область, Тарасовский р-н, х. Верхний Митякин, ул. Центральная, д 121, к.н. 61:37:0060101:1799 (прибор учёта электроэнергии - 1шт.)</t>
  </si>
  <si>
    <t>Установка прибора коммерческого учёта электрической энергии, для присоединения жилого дома Гайворона М.П., расположенного по адресу: Ростовская область, Тарасовский р-н, х. Липовка, ул. Пролетарская, д.119, к.н. 61:37:0020301:56 (прибор учёта электроэнергии - 1шт)</t>
  </si>
  <si>
    <t>Установка прибора коммерческого учёта электрической энергии, для присоединения жилого дома Очиченко Т.В., расположенного по адресу: Ростовская область, Тарасовский р-н, х. Красновка, ул. 13 Героев, д 8, к.н. 61:37:0060301:249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</si>
  <si>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«Ростелеком», расположенной по адресу: Ростовская область, Тарасовский р-н, х. Егоро-Калитвенский, к.н.з.у. 00:00:000000:00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</si>
  <si>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«Ростелеком», расположенной по адресу: Ростовская область, Тарасовский р-н,п. Изумрудный, к.н.з.у. 00:00:000000:00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</si>
  <si>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«Ростелеком», расположенной по адресу: Ростовская область, Тарасовский р-н, х. Красновка,  к.н.з.у. 00:00:000000:00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</si>
  <si>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«Ростелеком», расположенной по адресу: Ростовская область, Тарасовский р-н, п. Войково, кадастровый номер земельного участка: 00:00:000000:00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</si>
  <si>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«МТС», расположенной по адресу: Ростовская область, Тарасовский р-н,  х. Россошь, к.н. 61:37:0600005 :ЗУ1 (прибор учёта электроэнергии - 1шт)»</t>
  </si>
  <si>
    <t>Установка прибора коммерческого учёта электрической энергии, для присоединения жилого дома Григорян М.Г., расположенного по адресу: Ростовская область, Тарасовский р-н, п. Тарасовский, ул. Чапаева, д. 65 (прибор учёта электроэнергии - 1шт)</t>
  </si>
  <si>
    <t>Установка прибора коммерческого учёта электрической энергии, для присоединения жилого дома Ревенко С В., расположенного по адресу: Ростовская область, Тарасовский р-н, сл. Колушкино, ул. Советская, д. 40, к.н.з.у. 61:37:0090101:40 (прибор учёта электроэнергии - 1шт)</t>
  </si>
  <si>
    <t>Установка прибора коммерческого учёта электрической энергии, для присоединения ВРУ-0,4 кВ жилого дома Близнюковой А.Н., расположенного по адресу: Ростовская область, Тацинский район, х. Надежёвка ул. Дудыкина, д. 3, к.н. 61:38:0060901:172 (прибор учёта электроэнергии - 1шт.)</t>
  </si>
  <si>
    <t>Установка прибора коммерческого учёта электрической энергии, для присоединения магазина «Весна» ИП Богачева О.Г., расположенного по адресу: Ростовская область, Тацинский район, х. Михайлов, ул. Кирова, д. 4, к.н. 61:38:0030115:25 (прибор учёта электроэнергии - 1шт.)</t>
  </si>
  <si>
    <t>Установка прибора коммерческого учёта электрической энергии, для присоединения ВРУ-0,4 кВ жилого дома Соколовой Т.В., расположенного по адресу: Ростовская обл., Тацинский р-н, х. Пролетарский, ул.  Пролетарская, д. 22, к.н.з.у. 61:38:0061001:35 (прибор учёта электроэнергии - 1шт.)</t>
  </si>
  <si>
    <t>Установка прибора коммерческого учёта электрической энергии, для присоединения нежилой застройки Изудиновой Е.И., расположенного по адресу: Ростовская область, Белокалитвинский р-н, п.Сосны, ул, Заречная, д. 21, к.н. 61:04:150406:0244 (прибор учёта электроэнергии - 1шт)</t>
  </si>
  <si>
    <t>Установка прибора коммерческого учёта электрической энергии, для присоединения жилого дома Диченскова И.М., расположенного по адресу: Ростовская область, Каменский район, х. Астахов, ул. Советская, д. № 86, к.н.з.у. 61:15:0020201:400 (прибор учёта электроэнергии 15 кВт- 1шт.)</t>
  </si>
  <si>
    <t>Установка прибора коммерческого учёта электрической энергии, для присоединения жилого дома Богданова А.Н., расположенного по адресу: Ростовская область, Каменский район, х. Груцинов, ул. Вишневая, д. № 18, к.н.з.у. 61:15:0050101:293 (прибор учёта электроэнергии - 1шт.)</t>
  </si>
  <si>
    <t>Установка прибора коммерческого учёта электрической энергии, для присоединения жилого дома Болдыревой З.В., расположенного по адресу: Ростовская область, Морозовский р-н, ст. Вольно-Донская, ул. Стадионная, д. 15, кв.2, к.н.з.у. 61:24:0060104:59 (прибор учёта электроэнергии - 1шт.)</t>
  </si>
  <si>
    <t>Установка прибора коммерческого учёта электрической энергии, для присоединения ВРУ-0,4 кВ жилого дома Доброквашиной А.А., расположенного по адресу: Ростовская область, Советский р-н, ст. Советская, ул. Лесхозная, д. 10, к.н. 61:36:0010101:138 (прибор учёта электроэнергии - 1шт.)</t>
  </si>
  <si>
    <t>Установка прибора коммерческого учёта электрической энергии, для присоединения ВРУ-0,4 кВ жилого дома Чумакова И.Т., расположенного по адресу: Ростовская обл., Советский р-н, ст. Советская, ул. Мартыненко, д. 37, к.н. 61:36:0010101:0005 (прибор учёта электроэнергии трёхфазный - 1шт.)</t>
  </si>
  <si>
    <t>Установка прибора коммерческого учёта электрической энергии, для присоединения ВРУ-0,4 кВ нежилого здания Герасимовой А.В., расположенного по адресу: Ростовская область, Советский р-н, п. Чирский, ул. Кирпичная, д. 1, к.н. 61:36:0030101:309 (прибор учёта электроэнергии - 1шт.)</t>
  </si>
  <si>
    <t>Установка прибора коммерческого учёта электрической энергии,для присоединения ВРУ-0,4 кВ строящегося жилого дома Желтухина В.В., расположенного по адресу: Ростовская область, Советский р-н, сл. Калач-Куртлак, ул. Веселая, д. 14, к.н. 61:36:0040101:1566 (прибор учёта электроэнергии - 1шт.)</t>
  </si>
  <si>
    <t>Установка прибора коммерческого учёта электрической энергии, для присоединения ½ доли жилого дома Шишкалова А.Н., расположенного по адресу: Ростовская область, Тарасовский р-н, сл. Большинка, ул. Ленина, д. 33, к.н. 61:37:120101:0273 (прибор учёта электроэнергии - 1шт)</t>
  </si>
  <si>
    <t>Установка прибора коммерческого учёта электрической энергии, для присоединения  жилого дома Торяник Е.А., расположенного по адресу: Ростовская область, Тарасовский р-н, сл. Колушкино, ул. Советская, д. 116, к.н. 61:37:0090101:534 (прибор учёта электроэнергии - 1шт)</t>
  </si>
  <si>
    <t>Установка прибора коммерческого учёта электрической энергии, для присоединения жилого дома Зареченского Н.А., расположенного по адресу: Ростовская область, Тарасовский р-н, п. Весенний, ул. Ленина, д. 6, к.н. 61:37:0040101:176 (прибор учёта электроэнергии - 1шт)</t>
  </si>
  <si>
    <t>Установка прибора коммерческого учёта электрической энергии, для присоединения жилого дома Панченко А.И., расположенного по адресу: Ростовская область, Тарасовский р-н, сл. Колушкино, ул. Лесная, д. 19, к.н. 61:37:0090101:141 (прибор учёта электроэнергии - 1шт)</t>
  </si>
  <si>
    <t>Установка прибора коммерческого учёта электрической энергии для присоединения строящегося жилого дома Павлова А.Н., расположенного по адресу: Ростовская область, Белокалитвинский р-н, п. Сосны,  ул. Октябрьская, дом. 41а, к.н.з.у.: 61:04:0000000:5746 (прибор учёта электроэнергии - 1шт.)</t>
  </si>
  <si>
    <t>Установка прибора коммерческого учёта электрической энергии, для магазина Пузанова А.П., расположенного по адресу: Ростовская область, Белокалитвинский р-н, п. Сосны, ул. Зеленая, д.1, к.н. 61:04:0150414:191 (прибор учёта электроэнергии - 1шт)</t>
  </si>
  <si>
    <t>Установка прибора коммерческого учёта электрической энергии, для подключения жилого дома Мигулина Ю.И., расположенного по адресу: Ростовская область, Белокалитвинский р-н, с. Литвиновка, ул. Молодежная, д. 11, кв. 2, к.н. 61:04:0060108:106 (прибор учёта электроэнергии - 1шт)</t>
  </si>
  <si>
    <t>Обеспечение коммерческим учетом электрической энергии  в точке поставки, по присоединению квартиры Кульковой И.А., расположенного по адресу: Ростовская область, Каменский район,  х. Красновка, ул. Мичурина, д. № 32, кв. №2, к.н. 61:15:0000000:5170(прибор учета электроэнергии – 1шт).</t>
  </si>
  <si>
    <t>Обеспечение коммерческим учетом электрической энергии  в точке поставки, по присоединению жилого дома Лахман Н.В., расположенного по адресу: Ростовская область, Каменский район,  х. Верхний Пиховкин, ул. Клубная, д. № 4, к.н. 61:15:120101:0042(прибор учета электроэнергии – 1шт).</t>
  </si>
  <si>
    <t>Установка прибора коммерческого учёта электрической энергии для присоединения жилого дома Зейлик В.В., расположенного по адресу: Ростовская область, Каменский район,  х. Первомайский, ул. Центральная, д. № 2, к.н. 61:15:0050601:91:12 (прибор учёта электроэнергии - 1шт).</t>
  </si>
  <si>
    <t>Установка прибора коммерческого учёта электрической энергии, для присоединения жилого дома Лисянской И.А., расположенного по адресу: Ростовская область, Каменский район, х. Старая Станица, ул. Чапаева, д. № 26, корп. б, к.н. 61:15:0130105:614 (прибор учёта электроэнергии 15 кВт- 1шт)</t>
  </si>
  <si>
    <t>Установка прибора коммерческого учёта электрической энергии, для присоединения жилого дома Королевой Н.В., расположенного по адресу: Ростовская обл., Каменский р-н, х. Старая Станица, ул. Восточная, д. 17, к.н.з.у. 31:15:0130105:99 (прибор учёта электроэнергии 15 кВт- 1шт)</t>
  </si>
  <si>
    <t>Установка прибора коммерческого учёта электрической энергии, для присоединения жилого дома Угленко Г.В., расположенного по адресу: Ростовская область, Каменский район, х. Малая Каменка, ул. Тупикина, д. № 4, к.н.з.у. 61:15:090101:0753 (прибор учёта электроэнергии 15 кВт- 1шт.)</t>
  </si>
  <si>
    <t>Установка прибора коммерческого учёта электрической энергии, для присоединения объекта жилого дома Кундрюцкова В.В., расположенного по адресу: Ростовская область, Каменский район, х. Диченский, ул. Левитана, д. № 42, корп. В, к.н.з.у. 61:15:0130301:1946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</si>
  <si>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«Вымпел-Коммуникации», расположенной по адресу: Ростовская область, Каменский район, х. Красновка, ул. Октябрьская, дом № 80, корп. В. к.н.з.у. 61:15:0080107:1049 (прибор учёта электроэнергии  - 1шт.)</t>
  </si>
  <si>
    <t>Установка прибора коммерческого учёта электрической энергии, для присоединения ВРУ-0,4 кВ Базовой станции/оборудование сотовой связи, расположенной по адресу: Ростовская область, Милютинский район,  х. Новодмитриевский, (прибор учёта электроэнергии - 1 шт.)</t>
  </si>
  <si>
    <t>Установка прибора коммерческого учёта электрической энергии для присоединения ВРУ-0,4 кВ квартиры Куциной О.И., расположенной по адресу: Ростовская область, Милютинский район, х. Юдин, ул. Береговая, д. 28/1, кв.1, к.н.з.у. 61:23:0030101:1788 (прибор учёта электроэнергии - 1 шт.)</t>
  </si>
  <si>
    <t>Установка прибора коммерческого учёта электрической энергии для присоединения жилого дома Коржовой Ю.С, расположенного по адресу: Ростовская область, Милютинский район, п. Аграрный, ул. Черемушки, д. № 31, к.н.з.у. 61:23:0010401:166 (прибор учёта электроэнергии - 1 шт.)</t>
  </si>
  <si>
    <t>Установка прибора коммерческого учёта электрической энергии для присоединения жилого дома Курилиной Т.Ф., расположенного по адресу: Ростовская область, Милютинский район, х. Николовка, пер. Школьный,  д. № 7, кв.1, к.н.з.у. 61:23:040301:11 (прибор учёта электроэнергии - 1 шт.)</t>
  </si>
  <si>
    <t>Установка прибора коммерческого учёта электрической энергии, для присоединения ВРУ-0,4 кВ жилого дома Малика А.В., расположенного по адресу: Ростовская обл., Милютинский р-н, ст. Милютинская, ул. Северная,        д. 45, к.н.з.у. 61:23:030324:0023:689 (прибор учёта электроэнергии – 1 шт.)</t>
  </si>
  <si>
    <t>Установка прибора коммерческого учёта электрической энергии, для присоединения жилого дома Чекулаева М.В., расположенного по адресу: Ростовская область, Милютинский район, х. Сулинский, пер. Кузнечный, д.10/17, к.н. 61:23:0010101:67 (прибор учёта электроэнергии – 1 шт.)</t>
  </si>
  <si>
    <t>Установка прибора коммерческого учёта электрической энергии, для присоединения базовой станции/оборудование сотовой связи ПАО «Ростелеком»., расположенного по адресу: Ростовская область, Тацинский район, х. Калмыков, к.н. 61:38:0070401 (прибор учёта электроэнергии –  1 шт.)</t>
  </si>
  <si>
    <t>Установка прибора коммерческого учёта электрической энергии, для присоединения малоэтажной жилой застройки Гуреевой Н.И., расположенной по адресу: Ростовская область, Белокалитвинский район, г. Белая Калитва, СТД Дружный, уч. 66 д, к.н. 61:47:0010220:230 (прибор учёта электроэнергии - 1шт.)</t>
  </si>
  <si>
    <t>Установка прибора коммерческого учёта электрической энергии для присоединения жилого дома Дмитриевой Е.В., расположенного по адресу: Ростовская область, Белокалитвинский р-н, х. Богураев, ул. Набережная, дом. 46, к.н.з.у.: 61:04:0080201:1135 (прибор учёта электроэнергии - 1шт.)</t>
  </si>
  <si>
    <t>Установка прибора коммерческого учёта электрической энергии для присоединения строящегося жилого дома Баранова И.И., расположенного по адресу: Ростовская область, Белокалитвинский р-н, п. Сосны,  ул. Новая, дом. 5, к.н.з.у.: 61:04:0150405:44 (прибор учёта электроэнергии - 1шт.)</t>
  </si>
  <si>
    <t>Установка прибора коммерческого учёта электрической энергии, для Строящегося жилого дома Таракановой Н.Н., расположенного по адресу: Ростовская область, Белокалитвинский р-н, п. Сосны, ул, Новая, д.21, к.н.з.у. 61:04:0150405:501 (прибор учёта электроэнергии - 1шт)</t>
  </si>
  <si>
    <t>Установка прибора коммерческого учёта электрической энергии, для жилого дома Хорошева Е.А., расположенного по адресу: Ростовская область, Белокалитвинский р-н, х. Богатов, ул, Станкевского, д.2, к.н. 61:04:0080201:116 (прибор учёта электроэнергии - 1шт)</t>
  </si>
  <si>
    <t>Установка прибора коммерческого учёта электрической энергии, для присоединения жилого дома Данилова Г.А., расположенного по адресу: Ростовская область, Белокалитвинский р-н, п. Сосны, ул. Заречная, д. 7а, к.н.з.у.: 61:04:0150406:114 (прибор учёта электроэнергии - 1шт.)</t>
  </si>
  <si>
    <t>Установка прибора коммерческого учёта электрической энергии для присоединения жилого дома Тареевой О.И., расположенного по адресу: Ростовская область, Белокалитвинский р-н, х. Поцелуев, ул. Солнечная, дом. 1, к.н.з.у. 61:04:0050101:337 (прибор учёта электроэнергии - 1шт.)</t>
  </si>
  <si>
    <t>Установка прибора коммерческого учёта электрической энергии для присоединения жилого дома Толстенко Е.А., расположенного по адресу: Ростовская область, Белокалитвинский р-н, х. Ильинка, ул. Советская, дом. 31, к.н.з.у. 61:04:140106:0045 (прибор учёта электроэнергии - 1шт.)</t>
  </si>
  <si>
    <t>Установка прибора коммерческого учёта электрической энергии для присоединения жилого дома Чувашловой А.С., расположенного по адресу: Ростовская область, Белокалитвинский р-н, х. Верхнепопов, ул. Казачья, дом. 5 а, к.н.з.у.: 61:04:0150101:331 (прибор учёта электроэнергии - 1шт.)</t>
  </si>
  <si>
    <t>Установка прибора коммерческого учёта электрической энергии, для присоединения строящегося жилого дома Корниенко С.А., расположенного по адресу: Ростовская область, Белокалитвинский р-н, п. Сосны, ул. Заречная, д. 19, к.н.з.у.: 61:04:0150406:282 (прибор учёта электроэнергии - 1шт.)</t>
  </si>
  <si>
    <t>Установка прибора коммерческого учёта электрической энергии, для присоединения нежилого здания Казаковой Н.В., расположенного по адресу: Ростовская область, г. Белая Калитва, СДТ «Дружный», уч. № 63, к.н.з.у.: 61:47:00100220:239 (прибор учёта электроэнергии – 1 шт.)</t>
  </si>
  <si>
    <t>Установка прибора коммерческого учёта электрической энергии, для жилого дома Картовицкого А.А., расположенного по адресу: Ростовская область, Белокалитвинский р-н, х. Богураев, ул, Центральная, д.62, к.н. 61:04:0160108:409 (прибор учёта электроэнергии - 1шт)</t>
  </si>
  <si>
    <t>Установка прибора коммерческого учёта электрической энергии, для подключения жилого дома Шведчикова Н.М., расположенного по адресу: Ростовская область, Белокалитвинский р-н, ст. Краснодонецкая, ул. Рыновская, д.11, к.н. 61:04:080511:6463 (прибор учёта электроэнергии - 1шт)</t>
  </si>
  <si>
    <t>Установка прибора коммерческого учёта электрической энергии, для подключения строящегося жилого дома Верёвкина В.С, расположенного по адресу: Ростовская обл., Белокалитвинский р-н, п. Сосны, ул, Сиреневая, д.5, к.н. 61:04:0150404:144 (прибор учёта электроэнергии - 1шт)</t>
  </si>
  <si>
    <t>Установка прибора коммерческого учёта электрической энергии, для присоединения Строящегося жилого дома Назаровой В.Т., расположенного по адресу: Ростовская область, Белокалитвинский р-н, х. Дубовой, ул. Степная, д. 75а, к.н.: 61:04:0110502:442 (прибор учёта электроэнергии – 1 шт.)</t>
  </si>
  <si>
    <t>Установка прибора коммерческого учёта электрической энергии, для присоединения нежилого здания Индивидуального предпринимателя Зайцева С.А., расположенного по адресу: Ростовская область, Белокалитвинский р-н, х. Ильинка, к.н.з.у.: 61:04:0600002:414 (прибор учёта электроэнергии – 1 шт.)</t>
  </si>
  <si>
    <t>Установка прибора коммерческого учёта электрической энергии, для присоединения ВРУ -0,4 кВ базовой станции сотовой связи Ростовского филиала ПАО «Ростелеком», расположенного по адресу: Ростовская обл., Каменский р-н, х. Груцинов, к.н.з.у. 00:00:000000 (прибор учёта электроэнергии - 1 шт.)</t>
  </si>
  <si>
    <t>Установка прибора коммерческого учёта электрической энергии, для присоединения ВРУ -0,4 кВ базовой станции сотовой связи Ростовского филиала ПАО «Ростелеком», расположенного по адресу: Ростовская обл., Каменский р-н, х. Плешаков, к.н.з.у. 00:00:000000 (прибор учёта электроэнергии - 1 шт.)</t>
  </si>
  <si>
    <t>Установка прибора коммерческого учёта электрической энергии, для присоединения базовой станции сотовой связи Ростовского филиала ПАО «Ростелеком», расположенного по адресу: Ростовская обл., Каменский р-н, х. Данилов, к.н.з.у. 00:00:000000 (прибор учёта электроэнергии - 1 шт.)</t>
  </si>
  <si>
    <t>Установка прибора коммерческого учёта электрической энергии, для присоединения базовой станции сотовой связи Ростовского филиала ПАО «Ростелеком», расположенного по адресу: Ростовская обл., Каменский р-н, х. Нижнеерохин, к.н.з.у. 00:00:000000 (прибор учёта электроэнергии - 1 шт.)</t>
  </si>
  <si>
    <t>Установка прибора коммерческого учёта электрической энергии, для присоединения жилого дома Чепелева В.Н., расположенного по адресу: Ростовская область, Каменский район, х. Старая Станица, ул. Буденного, дом № 64, к.н.з.у. 61:15:0130102:817(прибор учёта электроэнергии - 1 шт.)</t>
  </si>
  <si>
    <t>Установка прибора коммерческого учёта электрической энергии, для присоединения ВРУ-0,4 кВ жилого дома Мащёнского А.С., расположенной по адресу: Ростовская обл., Милютинский р-н,х. Старокузнецов, пер. Подгорный, д. 8/7, к.н.з.у. 61:23:0030201:125 (прибор учёта электроэнергии - 1шт)</t>
  </si>
  <si>
    <t>Установка прибора коммерческого учёта электрической энергии для присоединения базовой станции АО «Первая Башенная Компания», расположенной по адресу: Ростовская область, Милютинский район,   п. Светоч, ул. Победы, участок в 80 м от д. № 17/13, к.н.з.у. 61:23:0600017 (прибор учёта электроэнергии - 1 шт.)</t>
  </si>
  <si>
    <t>Установка прибора коммерческого учёта электрической энергии для присоединения ВРУ-0,4 кВ жилого дома Шуляковой Н.А., расположенного по адресу: Ростовская область, Милютинский район, х. Юдин, ул. Заречная, д. 40, к.н.з.у. 61:23:0030101:1182 (прибор учёта электроэнергии - 1 шт.)</t>
  </si>
  <si>
    <t>Установка прибора коммерческого учёта электрической энергии для присоединения жилого дома Коржова В.А., расположенного по адресу: Ростовская область, Милютинский район, п. Аграрный, ул. Черемушки, д. № 29, к.н.з.у. 61:23:0010401:86 (прибор учёта электроэнергии - 1 шт.)</t>
  </si>
  <si>
    <t>Установка прибора коммерческого учёта электрической энергии, для присоединения ВРУ-0,4 кВ жилого дома Багамаева М.М, расположенного по адресу: Ростовская область, Милютинский район,  х. Приходько-Придченский, ул. Петровка, д. 9, к.н.з.у. 61:23:0040201:4 (прибор учёта электроэнергии – 1 шт.)</t>
  </si>
  <si>
    <t>Установка прибора коммерческого учёта электрической энергии, для присоединения ВРУ-0,4 кВ жилого дома Бакуна Н.А., расположенного по адресу: Ростовская обл., Милютинский р-н, х. Павловка, ул. Теневая, д. 35, к.н.з.у. 61:23:0021001:169 (прибор учёта электроэнергии – 1 шт.)</t>
  </si>
  <si>
    <t>Установка прибора коммерческого учёта электрической энергии, для присоединения ВРУ-0,4 кВ жилого дома Борисенко А.В., расположенного по адресу: Ростовская обл., Милютинский р-н, ст. Селивановская, ул. Черёмушки, д. 9, к.н.з.у. 61:23:0080101:592 (прибор учёта электроэнергии – 1 шт.)</t>
  </si>
  <si>
    <t>Установка прибора коммерческого учёта электрической энергии, для присоединения ВРУ-0,4 кВ жилого дома Исаевой Л.М., расположенного по адресу: Ростовская обл., Милютинский р-н, х. Новодмитровский, ул. Агеевка,  д. 15, к.н.з.у. 61:23:0150401:147 (прибор учёта электроэнергии – 1 шт.)</t>
  </si>
  <si>
    <t>Установка прибора коммерческого учёта электрической энергии, для присоединения ВРУ-0,4 кВ жилого дома Куфты С.В., расположенного по адресу: Ростовская область, Милютинский район, х. Ивановский, ул. Южная, д. 16, к.н.з.у. 61:23:0040601:100 (прибор учёта электроэнергии - 1 шт.)</t>
  </si>
  <si>
    <t>Установка прибора коммерческого учета, электрической энергии для присоединения жилого дома Ивахненко Т.В., расположенного по адресу: Ростовская область, Милютинский район, ст-ца Селивановская, улица Черемушки, дом № 18, к.н.з.у 61:23:0080101:1454 (прибор учета электроэнергии 1 шт.)</t>
  </si>
  <si>
    <t>Установка прибора коммерческого учёта электрической энергии,для присоединения жилого дома Нерсесяна В.Н., расположенного по адресу: Ростовская область, Морозовский р-н, х. Новопроциков, ул. Речная, д. 4, к.н.з.у.: 61:24:0020301:4 (прибор учёта электроэнергии - 1шт.)</t>
  </si>
  <si>
    <t>Установка прибора коммерческого учёта электрической энергии, для присоединения ВРУ-0,4 кВ «магазин» Черноморовой М.Н., расположенного по адресу: Ростовская область, Обливский район, хутор Кривов, улица Центральная, д. 35а, к.н. 61:27:05:04:02:0093(прибор учёта электроэнергии - 1шт.)</t>
  </si>
  <si>
    <t>Установка прибора коммерческого учёта электрической энергии, для присоединения ВРУ-0,4 кВ «буровая на воду скважина № 9647»   ООО «Обливское МТП», расположенного по адресу: Ростовская  область, район Обливский, в 13 м на запад от п. Шаповаловка, к.н. 61:27:0600003:636 (прибор учёта электроэнергии - 1шт.)</t>
  </si>
  <si>
    <t>Установка прибора коммерческого учёта электрической энергии, для присоединения ВРУ-0,4 кВ «водопроводные сети водоснабжения» Администрации Обливского района, расположенного по адресу: Ростовская область, Обливский район, поселок Северный, к.н.з.у. 61:27:0600011:2124 (прибор учёта электроэнергии - 1шт.)</t>
  </si>
  <si>
    <t>Установка прибора коммерческого учета электрической энергии, для присоединения ВРУ-0,4кВ «квартира» Будариной Н.М., расположенной по адресу: Ростовская область, Обливский район, хутор Ковыленский, улица Полевая, дом 5 кв.1, к.н.з.у.:61:27:0071103:38 (прибор учета электроэнергии -   1 шт.)</t>
  </si>
  <si>
    <t>Установка прибора коммерческого учёта электрической энергии, для  присоединения ВРУ-0,4 кВ «квартира» Чхетиани Н.З., расположенного по адресу: Ростовская область, Обливский район, х. Сеньшин, ул. Березовая, д. 58, кв. 1, к.н.з.у.: 61:27:0070805:47 (прибор учёта электроэнергии - 1шт.)</t>
  </si>
  <si>
    <t>Установка прибора коммерческого учета электрической энергии, для присоединения жилого дома Агекян А.Р., расположенного по адресу: Ростовская область, Обливский район, хутор Алексеевский, улица Зеленая, дом 5, к.н.з.у.:61:27:0020101:441 (прибор учета электроэнергии - 1 шт.)</t>
  </si>
  <si>
    <t>Установка прибора коммерческого учета электрической энергии, для присоединения жилого дома Ашурилаева Ш.А., расположенного по адресу: Ростовская область, Обливский район, хутор Серебряковский, улица Степная, дом 6, к.н.з.у.:61:27:0600007:793 (прибор учета электроэнергии - 1 шт.)</t>
  </si>
  <si>
    <t>Установка прибора коммерческого учета электрической энергии, для присоединения жилого дома Рамазанова М.Т., расположенного по адресу: Ростовская область, Обливский район, поселок Запрудный, улица Центральная, дом 81, к.н.з.у.:61:27:0030201:67 (прибор учета электроэнергии - 1 шт.)</t>
  </si>
  <si>
    <t>Установка прибора коммерческого учета электрической энергии, для присоединения жилого дома Чернышковой Н.И., расположенного по адресу: Ростовская область, Обливский район, хутор Караичев, улица Школьная, дом 22, к.н.з.у.:61:27:0040105:3 (прибор учета электроэнергии - 1 шт.)</t>
  </si>
  <si>
    <t>Установка прибора коммерческого учёта, электрической энергии для присоединения ВРУ-0,4 кВ «комплекс складских помещений» Косикова Н.В., расположенного по адресу: Ростовская область, Обливский район, станица Обливская, к.н.з.у. 61:27:0600011:2130 (прибор учёта электроэнергии - 1шт.)</t>
  </si>
  <si>
    <t>Установка прибора коммерческого учета электрической энергии, для присоединения ВРУ- 0,4 кВ благоустройства участка улицы М. Горького Муниципального образования «Советское сельское поселение», расположенной по адресу: Ростовская область, Советский р-н,  ст. Советская, участок ул. М. Горького от ул. 40 лет Октября до ул. Лесхозная, КНЗУ 61:36:0010101:5239 (прибор учёта электроэнергии - 1шт)</t>
  </si>
  <si>
    <t>Установка прибора коммерческого учета электрической энергии, для присоединения ВРУ-0,4 кВ строящегося нежилого здания Щепелева А.В., расположенного по адресу: Ростовская область, Советский район, примерно 0,15 км на юго-запад от ориентира хутора Наумов, к.н.з.у.:61:36:0600004:150 (прибор учета электроэнергии - 1 шт.)</t>
  </si>
  <si>
    <t>Установка прибора коммерческого учета электрической энергии, для присоединения ВРУ- 0,4 кВ жилого дома Кириленко С.И., расположенного по адресу: Ростовская область, Советский р-н, ст-ца. Советская, ул. Колхозная, дом № 3, К.Н. 61:36:0010101:548 (прибор учёта электроэнергии - 1шт)</t>
  </si>
  <si>
    <t>Установка прибора коммерческого учета электрической энергии, для присоединения ВРУ- 0,4 кВ жилого дома Герасимова И.В. расположенного по адресу: Ростовская область, Советский р-н, слобода Чистяково, ул. Западная, д.15, кв.3 К.Н 61:36:0020101:1375 (прибор учёта электроэнергии - 1шт)</t>
  </si>
  <si>
    <t>Установка прибора коммерческого учета электрической энергии, для присоединения ВРУ- 0,4 кВ жилого дома Курдуманова В.И., расположенного по адресу: Ростовская область, Советский р-н, ст-ца Советская, ул. Лесхозная, д. 49 К.Н 61:36:0010101:816 (прибор учёта электроэнергии - 1шт)</t>
  </si>
  <si>
    <t>Установка прибора комерческого учета электрической энергии, для присоединения ВРУ- 0,4 кВ жилого дома Куликова Г. А., расположенного по адресу: Ростовская область, Советский р-н, х. Аржановский, ул. Береговая, дом № 35, К.Н. 61:36:0030801:30 (прибор учёта электроэнергии - 1шт)</t>
  </si>
  <si>
    <t>Установка прибора комерческого учета электрической энергии, для присоединения ВРУ- 0,4 кВ жилого дома Уса В.В., расположенного по адресу: Ростовская область, Советский р-н, ст-ца Советская,  ул. Пушкина, д. 25 К.Н 61:36:0010101:999 (прибор учёта электроэнергии - 1шт)</t>
  </si>
  <si>
    <t>Установка прибора коммерческого учёта электрической энергии, для присоединения базовой станции сотовой связи ООО «Т2 Мобайл», расположенного по адресу: Ростовская область, Тарасовский р-н, ст. Митякинская, 57 м на юго-запад от здания № 9 по ул. Луначарского, к.н. 61:37:0100101:4332 (прибор учёта электроэнергии - 1шт)</t>
  </si>
  <si>
    <t>Установка прибора коммерческого учёта электрической энергии, для присоединения: склада № 1, склада № 2 и склада № 3 ИП главы К(Ф)Х Ткачева Н.И., расположенных по адресу: Ростовская область, Тарасовский район, х. Егоро-Калитвенский: склад № 1 и склад № 2 (ул. Молодежная, д. 19,  к.н.з.у. № 61:37:0600022:1184 и № 61:37:0600022:1183); склад № 3 (земельный участок № 1/1, к.н.з.у. № 61:37:0600022:1200),(прибор учёта электроэнергии - 1шт)</t>
  </si>
  <si>
    <t>Установка прибора коммерческого учёта электрической энергии для присоединения жилого дома Ковалевой Н.П., расположенного по адресу: Ростовская область, Тарасовский р-н, сл. Колушкино, ул. Советская, д.66, к.н.з.у.: 61:37:090101:0069 (прибор учёта электроэнергии - 1шт.)</t>
  </si>
  <si>
    <t>Установка прибора коммерческого учёта электрической энергии, для присоединения жилого дома Малышева С.Г., расположенного по адресу: Ростовская область, Тарасовский р-н, сл. Колушкино, ул. Садовая, д. 39, к.н.з.у. 61:37:0090101:1273 (прибор учёта электроэнергии - 1шт)</t>
  </si>
  <si>
    <t>Установка прибора коммерческого учёта электрической энергии, для присоединения строящегося склада Петровского В.П., расположенного по адресу: Ростовская область, Тарасовский р-н, х. Рыновка,  ул. Донская, к.н.з.у. 61:37:0050801:56 (прибор учёта электроэнергии - 1шт)</t>
  </si>
  <si>
    <t>Установка прибора коммерческого учёта электрической энергии, для присоединения ВРУ-0,4 кВ жилого дома Сайкиной Н.П., расположенного по адресу: Ростовская область, Тацинский район, х. Верхнеобливский, пер. Центральный, д. 8, к.н. 00:00:0000:000 (прибор учёта электроэнергии - 1шт.)</t>
  </si>
  <si>
    <t>Установка прибора коммерческого учёта электрической энергии, для присоединения ВРУ-0,4 кВ жилого дома Шанаурова В.И., расположенного по адресу: Ростовская область, Тацинский район, х. Крюков, ул. Ленина, д. 31, к.н. 61:38:060701:17. (прибор учёта электроэнергии - 1шт.)</t>
  </si>
  <si>
    <t>Установка прибора коммерческого учёта электрической энергии, для присоединения ВРУ-0,4 кВ строящегося здания Шипелова Д.А., расположенного по адресу: Ростовская область, Тацинский район, х. Ковылкин, ул. Студенческая, д. 14, кв./оф. 1, к.н. 61:38:0110101:22. (прибор учёта электроэнергии - 1шт.)</t>
  </si>
  <si>
    <t>Установка прибора коммерческого учёта электрической энергии, для присоединения ВРУ-0,4кВ жилого дома Гунькина А.Д., расположенного по адресу: Ростовская область, Тацинский район, ст-ца. Ермаковская, ул. Попова, д. 102, к.н. 61:38:0080101:84 (прибор учёта электроэнергии –  1 шт.)</t>
  </si>
  <si>
    <t>Установка прибора коммерческого учёта электрической энергии, для присоединения ВРУ-0,4кВ жилого дома Пономаренко И.И., расположенного по адресу: Ростовская область, Тацинский район, х. Пролетарский, ул. Степная, д. 10, кв./оф.2,  к.н. 61:38:0061001:9 (прибор учёта электроэнергии –  1 шт.)</t>
  </si>
  <si>
    <t>Установка прибора коммерческого учёта электрической энергии, для присоединения ВРУ-0,4 кВ жилого дома Семеновой Е.К., расположенного по адресу: Ростовская область, Тацинский район, х. Пролетарский, ул. Колхозная, д. 4, к.н.з.у. 61:38:0061001:110 (прибор учёта электроэнергии - 1шт.)</t>
  </si>
  <si>
    <t>Установка прибора коммерческого учёта электрической энергии, для присоединения ВРУ-0,4 кВ здания склада Чикова Г.Ф., расположенного по адресу: Ростовская область, Тацинский район, х. Коминтерн, примерно в 0,5 км на север от ул. Молодежная, д. 25, к.н. 61:15:0600007:1130 (прибор учёта электроэнергии - 1шт.)</t>
  </si>
  <si>
    <t>Установка прибора коммерческого учёта электрической энергии, для присоединения ВРУ-0,4 кВ жилого дома Голотова В.А., расположенного по адресу: Ростовская область, Тацинский район, х. Качалин, ул. Харченко, д. 25, кв./оф. 2, к.н. 61:38:0070501:17. (прибор учёта электроэнергии - 1шт.)</t>
  </si>
  <si>
    <t>Установка прибора коммерческого учёта электрической энергии, для присоединения ВРУ-0,4 кВ жилого дома Ливанды Е.В., расположенного по адресу: Ростовская область, Тацинский район, х. Зазерский, ул. Кольцевая, д. 10, к.н. 61:38:0090101:70. (прибор учёта электроэнергии - 1шт.)</t>
  </si>
  <si>
    <t>Установка прибора коммерческого учёта электрической энергии, для присоединения ВРУ-0,4 кВ жилого дома Петухова В.А., расположенного по адресу: Ростовская область, Тацинский район, п. Новосуховый, ул. Колодезная, д. 22, к.н.з.у. 61:38:0100101:177 (прибор учёта электроэнергии - 1шт.)</t>
  </si>
  <si>
    <t>Установка прибора коммерческого учёта электрической энергии, для присоединения ВРУ-0,4 кВ жилого дома Свибовича А.А., расположенного по адресу: Ростовская область, Тацинский район, х. Захаро-Обливский, д. 51, к.н. 61:38:0060501:114. (прибор учёта электроэнергии - 1шт.)</t>
  </si>
  <si>
    <t>Установка прибора коммерческого учёта электрической энергии, для присоединения ВРУ-0,4 кВ жилого дома Скляровой Н.Н., расположенного по адресу: Ростовская область, Тацинский район, х. Качалин, ул. Свободы, д. 16, к.н. 61:15:0070501:62. (прибор учёта электроэнергии - 1шт.)</t>
  </si>
  <si>
    <t>Установка прибора коммерческого учёта электрической энергии для присоединения ВРУ-0,4 кВ здания зерносклада ИП Красноперов П.Ф., расположенного по адресу: Ростовская область, Тацинский район,  х. Верхнекольцов, примерно в 0,7 км на север от ул. Мира, д. 6,  к.н. 61:15:0600015:400 (прибор учёта электроэнергии - 1шт.)</t>
  </si>
  <si>
    <t>Установка прибора коммерческого учёта электрической энергии, для присоединения ВРУ-0,4 кВ здание свинарника-маточника Солошенко А.С., расположенного по адресу: Ростовская область, Тацинский район, посёлок Жирнов, примерно в 1,4 км на север,  к.н.з.у.: 61:38:600008:1157 (прибор учёта электроэнергии - 1шт.)</t>
  </si>
  <si>
    <t>Установка прибора коммерческого учёта электрической энергии, для присоединения ВРУ-0,4 кВ здание склада ИП Сальниковой О.П., расположенного по адресу: Ростовская область, Тацинский район, х. Михайлов, примерно в 76 м на северо-восток от х. Михайлов, к.н. 61:15:600006:0226. (прибор учёта электроэнергии - 1шт.)</t>
  </si>
  <si>
    <t>Установка прибора коммерческого учёта электрической энергии, для присоединения ВРУ-0,4 кВ квартиры Акиншина П.И., расположенной по адресу: Ростовская область, Тацинский район, п. Быстрогорский, пер. Торговый, д. 8, кв./оф. 1, к.н. 61:38:040127:0010. (прибор учёта электроэнергии - 1шт.)</t>
  </si>
  <si>
    <t>Установка прибора коммерческого учёта электрической энергии, для присоединения ВРУ-0,4 кВ строящегося здания ИП Романова Р.В., расположенного по адресу: Ростовская область, Тацинский район, х. Крюков, в 1300 м на северо-запад от пер. Речной, д. 3, к.н. 61:38:0600005:934. (прибор учёта электроэнергии - 1шт.)</t>
  </si>
  <si>
    <t>Установка прибора коммерческого учёта электрической энергии, для присоединения ВРУ-0,4 кВ строящегося здания Кудашева М.В., расположенного по адресу: Ростовская область, Тацинский р-н, х. Михайловка, ул. Луговая, д. 29, корп. б, к.н. 61:15:0060801:414. (прибор учёта электроэнергии - 1шт.)</t>
  </si>
  <si>
    <t>Установка прибора коммерческого учёта электрической энергии, для присоединения ВРУ-0,4 кВ нежилого здания ИП Забродина В.В., расположенного по адресу: Ростовская область, Тацинский район, х. Качалин, ул. Свободы, д. 1, корп. в, к.н. 61:15:0070501:870 (прибор учёта электроэнергии - 1шт.)</t>
  </si>
  <si>
    <t>Установка прибора коммерческого учёта электрической энергии,  для присоединения ВРУ-0,4 кВ строящегося здания Лымарева В.А., расположенного по адресу: Ростовская область, Тацинский район,  ст. Тацинская, ул. Пролетарская, д. 186, к.н. 61:38:0010247:48. (прибор учёта электроэнергии - 1шт.)</t>
  </si>
  <si>
    <t>Установка прибора коммерческого учёта электрической энергии, для присоединения ВРУ-0,4 кВ строящегося здания Мисникова Н.В., расположенного по адресу: Ростовская область, Тацинский район,   х. Верхнекольцов, в 0,2 км на юго-запад от ул. Мира, д. 3, к.н.з.у. 61:38:0600015:444. (прибор учёта электроэнергии - 1шт.)</t>
  </si>
  <si>
    <t>Установка прибора коммерческого учёта электрической энергии, для присоединения ВРУ-0,4 кВ строящегося здания Шитова А.А., расположенного по адресу: Ростовская область, Тацинский р-н, п. Сухая Балка, в 0,5 км на северо-восток от ул. Черёмушки, д. 17, к.н.з.у. 61:38:0600012:1561 (прибор учёта электроэнергии - 1шт.)</t>
  </si>
  <si>
    <t>Установка прибора коммерческого учёта электрической энергии для присоединения ЛЭП-0,4 кВ зернотока ИП Небоженко С.А., расположенного по адресу: Ростовская область, Тацинский район,  п. Новосуховский, примерно в 0,3 км по направлению на северо-восток от ул. Административная, д. 8, к.н. 61:38:0600012:1368 (прибор учёта электроэнергии - 1шт.)</t>
  </si>
  <si>
    <t>Установка прибора коммерческого учёта электрической энергии, для присоединения Административного здания Акционерного общества АО «Почта России» расположенного по адресу: Ростовская область, Белокалитвинский р-н, х. Нижнепопов, ул. Молодежная, д. 10, кадастровый номер земельного участка: 61:04:01500203:448 (прибор учёта электроэнергии – 1 шт.)</t>
  </si>
  <si>
    <t>Установка прибора коммерческого учёта электрической энергии, для присоединения Административного здания Акционерного общества АО «Почта России»., расположенного по адресу: Ростовская область, Белокалитвинский р-н, х. Голубинка, ул. Центральная, д. 24, к.н.з.у.: 61:04:0110201:330 (прибор учёта электроэнергии – 1 шт.)</t>
  </si>
  <si>
    <t>Установка прибора коммерческого учёта электрической энергии, для присоединения Административного здания Акционерного общества АО «Почта России»., расположенного по адресу: Ростовская область, Белокалитвинский р-н, х. Ленина, ул. Комарова, д. 36, кадастровый номер земельного участка: 61:04:0100104:145 (прибор учёта электроэнергии – 1 шт.)</t>
  </si>
  <si>
    <t>Установка прибора коммерческого учёта электрической энергии, для присоединения жилого дома Павлова А.А., расположенного по адресу: Ростовская область, Белокалитвинский р-н,  п. Сосны, ул. Лазоревская, д. 2, к.н.з.у.: 61:04:0150409:102 (прибор учёта электроэнергии – 1 шт.)</t>
  </si>
  <si>
    <t>Установка прибора коммерческого учета, электрической энергии для присоединения Административного/офисного здания АО «Почта России», расположенного по адресу: Ростовская область, Милютинский район,  ст-ца Селивановская, ул. Титова, дом 16/3. к.н.з.у 61:23:0080101:2025  (прибор учета электроэнергии 1 шт.)</t>
  </si>
  <si>
    <t>Установка прибора коммерческого учёта электрической энергии,для присоединения ВРУ-0,4 кВ объекта сельскохозяйственного назначения Шканыбина Н.В., расположенного по адресу: Ростовская обл., Милютинский р-н, х. Севостьянов, ул. Девятинская, д. 28, стр. 2, к.н.з.у. 61:23:0080401:730 (прибор учёта электроэнергии – 1 шт.)</t>
  </si>
  <si>
    <t>Установка прибора коммерческого учёта электрической энергии, для присоединения ВРУ-0,4 кВ Складского здания (помещения) Исаева Н.П., расположенного по адресу: Ростовская обл., Милютинский р-н, х. Новодмитровский, примерно в 2,1 км от ориентира х. Новодмитровский по направлению на юг, к.н.з.у. 61:23:0600001:758 (прибор учёта электроэнергии – 1 шт.)</t>
  </si>
  <si>
    <t>Установка прибора коммерческого учета, электрической энергии для присоединения жилого дома Куфты А.Н., расположенного по адресу: Ростовская область, Милютинский район, хутор Николовка, улица Новая,  дом 16, к.н.з.у 61:23:0040301:191 (прибор учета электроэнергии 1 шт.)</t>
  </si>
  <si>
    <t>Установка прибора коммерческого учета, электрической энергии для присоединения жилого дома Бутенко Н.А., расположенного по адресу: Ростовская область, Милютинский район, хутор Коньков, улица Луговая,  дом 31, к.н.з.у 61:23:0080201:31 (прибор учета электроэнергии 1 шт.)</t>
  </si>
  <si>
    <t>Установка прибора коммерческого учета, электрической энергии для присоединения жилого дома Севостьяновой Ю.С., расположенного по адресу: Ростовская область, Милютинский район, хутор Старокузнецов, улица Центральная, дом 59. к.н.з.у 61:23:0070143:441 (прибор учета электроэнергии 1 шт.)</t>
  </si>
  <si>
    <t>Установка прибора коммерческого учета, электрической энергии для присоединения нежилой застройки Шепелева А.С., расположенного по адресу: Ростовская область, Милютинский район, хутор Новодмитриевский, примерно в 0,6 км от ориентира в х. Новодмитриевском по направлению на Северо-Восток, к.н.з.у 61:23:0000000:1337 (прибор учета электроэнергии 1 шт.)</t>
  </si>
  <si>
    <t>Установка прибора коммерческого учета электрической энергии, для присоединения ВРУ-0,4кВ «вагончик» Корсуновой И.А., расположенного по адресу: Ростовская область, Обливский район, поселок Новополеевский, улица Центральная, к.н.з.у.:61:27:0060301:384 (прибор учета электроэнергии -  1 шт.)</t>
  </si>
  <si>
    <t>Установка прибора коммерческого учета электрической энергии, для присоединения жилого дома Дусинязова Р.С., расположенного по адресу: Ростовская область, Обливский район, поселок Новополеевский, улица Центральная, дом 3, к.н.з.у.:61:27:0060301:259 (прибор учета электроэнергии - 1 шт.)</t>
  </si>
  <si>
    <t>Установка прибора коммерческого учета электрической энергии, для присоединения ВРУ-0,4кВ «квартира» Моторкиной О.В., расположенного по адресу: Ростовская область, Обливский район, поселок Сосновый, улица Жуланова, дом 17, кв.2, к.н.з.у.:61:27:0040401:243 (прибор учета электроэнергии - 1 шт.)</t>
  </si>
  <si>
    <t>Установка прибора коммерческого учета электрической энергии, для присоединения жилого дома Бублик Е.В., расположенного по адресу: Ростовская область, Обливский район, хутор Рябовский, улица 50 лет Победы, дом 51, к.н.з.у.:61:27:0070201:20 (прибор учета электроэнергии - 1 шт.)</t>
  </si>
  <si>
    <t>Установка прибора коммерческого учета электрической энергии, для присоединения жилого дома Захарова А.В., расположенного по адресу: Ростовская область, Обливский район, Садоводческое товарищество «Дачное», улица Лесодачная, дом 25 к.н.з.у.:61:27:500101:254 (прибор учета электроэнергии - 1шт.)</t>
  </si>
  <si>
    <t>Установка прибора коммерческого учета электрической энергии, для присоединения жилого дома Зубковой Е.С., расположенного по адресу: Ростовская область, Обливский район, хутор Рябовский, улица Шолохова,  дом 32, к.н.з.у.:61:27:0070201:271 (прибор учета электроэнергии - 1 шт.)</t>
  </si>
  <si>
    <t>Установка прибора коммерческого учета электрической энергии, для присоединения жилого дома Николаева В.П., расположенного по адресу: Ростовская область, Обливский район, станица Обливская, поселок Мехлесхоз, дом 25, к.н.з.у.:61:27:0070146:37 (прибор учета электроэнергии -   1 шт.)</t>
  </si>
  <si>
    <t>Установка прибора коммерческого учета электрической энергии, для присоединения жилого дома Рекуданова А.А., расположенного по адресу: Ростовская область, Обливский район, хутор Трухин, улица Овражная, дом 12, к.н.з.у.:61:27:0050701:19 (прибор учета электроэнергии - 1 шт.)</t>
  </si>
  <si>
    <t>Установка прибора коммерческого учета электрической энергии, для присоединения жилого дома Скобелевой Л.С., расположенного по адресу: Ростовская область, Обливский район, хутор Трухин, улица Овражная, дом 11, к.н.з.у.:61:27:0050701:22 (прибор учета электроэнергии - 1 шт.)</t>
  </si>
  <si>
    <t>Установка прибора коммерческого учёта, электрической энергии для присоединения ВРУ-0,4 кВ «строящийся жилой дом» Овчинниковой Н.Н., расположенного по адресу: Ростовская область, Обливский район, станица Обливская, п. Мехлесоз, д.31, к.н.з.у. 61:27:0070146:445 (прибор учёта электроэнергии - 1шт.)</t>
  </si>
  <si>
    <t>Установка прибора коммерческого учета электрической энергии для присоединения ВРУ- 0,4 кВ здания клуба, расположенной по адресу:Ростовская область, Советский р-н, сл. Калач-Куртлак, ул. Центральная, д. 20, К.Н 61:36:0040101:345 (прибор учёта электроэнергии - 1шт)</t>
  </si>
  <si>
    <t>Установка прибора коммерческого учёта электрической энергии, для присоединения ВРУ-0,4кВ административного/офисного здания АО «Почта России» расположенного по адресу: Ростовская область, Тацинский район, х. Ковылкин, ул. Мира, д. 14,  к.н. 61:38:0110101:1037 (прибор учёта электроэнергии –  1 шт.)</t>
  </si>
  <si>
    <t>Установка прибора коммерческого учёта электрической энергии для присоединения модульного здания Дома Культуры на 100 мест, расположенного по адресу: Ростовская область, Каменский р-н, х. Гусев, примыкает к земельному участку по ул. Центральная, 21 к.н.з.у. 61:15:0060101:1388 (прибор учёта электроэнергии - 1шт.)</t>
  </si>
  <si>
    <t>Установка прибора коммерческого учёта электрической энергии, для присоединения ВРУ-0,4кВ жилого дома Данченковой Н.А., расположенного по адресу: Ростовская область, Каменский район, х. Старая Станица, ул. Сосновая, д. 28, к.н. 61:15:0130101:618 (прибор учёта электроэнергии –  1 шт.)</t>
  </si>
  <si>
    <t>Установка прибора коммерческого учета электрической энергии (мощности) на границе земельного участка, подключенного от опоры №183-4 ВЛ-0,4 №1 от КТП-183 по ВЛ-10 313 ПС 35 кВ КГ3, для электроснабжения объекта офисного здания заявителя ИП Адиханян А.А., Ростовская обл., р-н. Кагальницкий, ст-ца. Кировская, ул. Кирова, д. 12Г (1 шт.)</t>
  </si>
  <si>
    <t>Строительство ВЛИ - 0,4 кВ от опор №135-45 ВЛ-0,4 кВ №1 от ТП-135 по ВЛ-10 805 ПС 110 БОС и установка коммерческого учета электрической энергии (мощности) для электроснабжения объекта торговли Заявителя ИП Андреянов В.В., Ростовская область, Кагальницкий р-н, п. Мокрый Батай, ул. 40 лет Победы д.13 (ориентировочная протяженность ЛЭП– 0,03 км</t>
  </si>
  <si>
    <t>Установка прибора коммерческого учета электрической энергии (мощности) на границе земельного участка, подключенного от опоры № 51-26 ВЛ 0,4 №2 КТП-51 ВЛ-10 1006 ПС 110 кВ Полячки для технологического присоединения энергопринимающих устройств базовой станции Заявителя ПАО «Ростелеком», Ростовская область, Кагальницкий р-н, х. Родники, N46.57413 E40.13157 (1 шт.)</t>
  </si>
  <si>
    <t>Установка прибора коммерческого учета электрической энергии (мощности) на границе земельного участка, подключенного от опоры №128-103 ВЛ 0,4 №1 КТП-128 ВЛ-10 313 ПС 35 кВ КГ3 для технологического присоединения энергопринимающих устройств жилого дома Заявителя Квартины С.А., Ростовская область, Кагальницкий р-н, ст. Кировская, ул. Менделеева д.16 (1 шт.)</t>
  </si>
  <si>
    <t>Установка прибора коммерческого учета электрической энергии (мощности) на границе земельного участка, подключенного от опоры №130-78 ВЛ 0,4 №3 КТП-130 ВЛ-10 1813 ПС 35 кВ ЗР18 для технологического присоединения энергопринимающих устройств жилого дома Заявителя Сохакян А. Л., Ростовская обл., р-н. Зерноградский, г. Зерноград, ул. Российская,  д. 14 (1 шт.)</t>
  </si>
  <si>
    <t>Установка прибора коммерческого учета электрической энергии (мощности) на границе земельного участка, подключенного от опоры №13-22 ВЛ 0,4 №1 КТП-13 ВЛ-10 612 ПС 35 кВ КГ6 для технологического присоединения энергопринимающих устройств жилого дома Заявителя Бондаренко А.А., Ростовская область, Кагальницкий р-н, с. Новобатайск, ул. Ленина д.8А (1 шт.</t>
  </si>
  <si>
    <t>Установка прибора коммерческого учета электрической энергии (мощности) на границе земельного участка, подключенного от опоры №218-50 ВЛ 0,4 №2 КТП-218 ВЛ-10 605 ПС 35 кВ КГ6 для технологического присоединения энергопринимающих устройств ЛПХ Заявителя Сабуренко Н.Т., Ростовская область, Кагальницкий р-н, с. Новобатайск, пер. Братский д.2А (1 шт.)</t>
  </si>
  <si>
    <t>Установка прибора коммерческого учета электрической энергии (мощности) на границе земельного участка, подключенного от опоры №55-77 ВЛ 0,4 №2 КТП-55 ВЛ-10 1107 ПС 35 кВ ЗР11 для технологического присоединения энергопринимающих устройств ЛПХ Заявителя Васильевой Т.А., Ростовская область, Зерноградский р-н, с. Новоивановка, ул. Школьная д.43 (1 шт.)</t>
  </si>
  <si>
    <t>Установка прибора коммерческого учета электрической энергии (мощности) на границе земельного участка, подключенного от опоры №84-48 ВЛ 0,4 №2 КТП-84 ВЛ-10 415 ПС 35 кВ КГ4 для технологического присоединения энергопринимающих устройств жилого дома Заявителя Дудла Л.П., Ростовская область, Кагальницкий р-н, х. Черниговский, пер. Донской д.19 (1 шт.)</t>
  </si>
  <si>
    <t>Установка прибора коммерческого учета электрической энергии (мощности) на границе земельного участка, подключенного от опоры №96-142 ВЛ 0,4 №5 КТП-96 ВЛ-10 501 ПС 35 кВ ЗР5 для технологического присоединения энергопринимающих устройств жилого дома Заявителя Кишенко Т.Ф., Ростовская область, Зерноградский р-н, х. Гуляй-Борисовка, ул. Есенина д.7 (1 шт.)</t>
  </si>
  <si>
    <t>Установка прибора коммерческого учета электрической энергии (мощности) на границе земельного участка, подключенного от опоры №99-40 ВЛ 0,4 №2 КТП-99 ВЛ-10 114 ПС 220 кВ Зерновая для технологического присоединения энергопринимающих устройств ЛПХ Заявителя Михайлова-Крым А.А., Ростовская область, Зерноградский р-н, в 0,035км от восточной окраины г. Зерноград уч.40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</si>
  <si>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проектируемой ТП от оп. № 6-29 по ВЛ-10 1508 от ПС 110 кВ ЗР15 для технологического присоединения энергопринимающих устройств базовой станции Заявителя ПАО «Ростелеком», Ростовская область, Зерноградский р-н, п. Прудовой, N46.793383 E40.235364 (1 шт.)</t>
  </si>
  <si>
    <t>Установка прибора коммерческого учета электрической энергии (мощности) на трансформаторной подстанции, подключенного от РУ-0,4 от КТП-40 ВЛ-10 103 ПС 35 кВ Звонкая для технологического присоединения энергопринимающих устройств базовой станции Заявителя ПАО «Ростелеком», Ростовская область, Кагальницкий р-н, п. Березовая Роща, N47.0200 E39.58374 (1 шт.)</t>
  </si>
  <si>
    <t>Установка коммерческого учета электрической энергии (мощности) на границе земельного участка, подключенного от оп. №78-70 ВЛ-0,4 кВ №3 КТП 10/0,4 кВ №78 по ВЛ-10 кВ №613 ПС 35/10 кВ "А-6", для электроснабжения жилого дома заявителя Богатыревой Т.И., с. Новомаргаритово, Азовский р-он,  Ростовская область</t>
  </si>
  <si>
    <t>Установка прибора коммерческого учета электрической энергии (мощности) на границе земельного участка, подключенного от опоры №44-19 ВЛ-0,4 кВ №1 КТП 10/0,4кВ №44 ВЛ-10кВ №3125 ПС 110/35/10 кВ «А-31» для технологического присоединения энергопринимающих устройств жилого дома Заявителя Акушевич Е.Н., с. Пешково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</si>
  <si>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Заявителя Министерство транспорта Ростовской области, Азовский район Ростовская область (3 шт.)</t>
  </si>
  <si>
    <t>Установка приборов коммерческого учета электрической энергии (мощности) на границе земельного участка, подключенного от опоры №192-9 ВЛ-0,4 кВ №2 КТП 10/0,4кВ №192 ВЛ-10кВ №1020 ПС 110/35/10 кВ «Самарская» для технологического присоединения энергопринимающих устройств жилого дома Заявителя Гаспарян Н.А., с. Самарское, Азовский район Ростовская область (1 шт.)</t>
  </si>
  <si>
    <t>Установка приборов коммерческого учета электрической энергии (мощности) на границе земельного участка, подключенного от опоры №32-47 ВЛ-0,4 кВ №2 КТП 10/0,4кВ №32 ВЛ-10кВ №2907 РП-29 ПС 35/10 кВ «А-18» для технологического присоединения энергопринимающих устройств жилого дома Заявителя Сазоновой В.И., х. Коса, Азовский район Ростовская область (1 шт.)</t>
  </si>
  <si>
    <t>Установка прибора коммерческого учета электрической энергии (мощности) для технологического присоединения жилого дома Заявителя Аксененко Е.П., Азовский район Ростовская область х. Казачий Ерик, ул. Степная, д. 18 А (1 шт.)</t>
  </si>
  <si>
    <t>Установка прибора коммерческого учета электрической энергии (мощности) на границе земельного участка, подключенного от опоры №б/н ВЛ-0,4кВ (бесхозная) КТП-6/0,4 кВ №101 по ВЛ-6кВ №10701 ПС 110/35/6 кВ «А-1» для технологического присоединения энергопринимающих устройств жилого дома Заявителя Дьяченко Т.В.., г. Азов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</si>
  <si>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№7-1 ВЛ-0,4 кВ №1 КТП 10/0,4кВ №7 ВЛ-10кВ №802 ПС 35/10 кВ «А-8» для технологического присоединения энергопринимающих устройств жилого дома Заявителя Золотухина С.С., х. Павло-Очаково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</si>
  <si>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№1-30 ВЛ-0,4 кВ №3 КТП 10/0,4кВ №1 ВЛ-10кВ №302Н ПС 110/35/6/10 кВ «НС-3» для технологического присоединения энергопринимающих устройств жилого дома Заявителя Симониной Е.Н., х. Еремеевка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</si>
  <si>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№188-79 ВЛ 0,4 кВ №1 КТП 10/0,4кВ №188 ВЛ 10кВ №307Н ПС 110/35/10 кВ НС-3 для технологического присоединения энергопринимающих устройств нежилой застройки Заявителя Коваленко Е.В., х. Еремеевка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</si>
  <si>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№214-53 ВЛ-0,4 кВ №3 КТП-10/0,4 кВ №214 по ВЛ-10 кВ №910 ПС 35/10 кВ «А-9» для технологического присоединения энергопринимающих устройств жилого дома Заявителя Куринной Г. А., Ростовская область. г. Азов, ДНТ «Звездное» (1 шт.)</t>
  </si>
  <si>
    <t>Установка прибора коммерческого учета электрической энергии (мощности) на границе земельного участка, подключенного от опоры №257-90 ВЛ 0,4кВ №3 КТП 6/0,4 кВ №257 ВЛ 6кВ №10701 ПС 110/35/6 кВ А-1 для технологического присоединения энергопринимающих устройств жилого дома Заявителя Лобачева С.А., г. Азов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</si>
  <si>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№27-2 ВЛ-0,4 кВ №1 КТП 10/0,4кВ №27 ВЛ-10кВ №1815 ПС 35/10 кВ «А-18» для технологического присоединения энергопринимающих устройств жилого дома Заявителя Балюнис Л.Е.,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</si>
  <si>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№32-10 ВЛ-0,4 кВ №1 КТП 10/0,4кВ №32 ВЛ-10кВ №2907 РП-29 ПС 35/10 кВ «А-18» для технологического присоединения энергопринимающих устройств жилого дома Заявителя Щепиной Н.С., х. Коса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</si>
  <si>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№34-34 ВЛ 0,4 кВ №1 КТП 10/0,4кВ №34 ВЛ 10кВ №2907 РП-29 ПС 35/10 кВ А-18 для технологического присоединения энергопринимающих устройств жилого дома Заявителя Ткачевой Н.Н., ст-ца. Елизаветинская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</si>
  <si>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№50-15 ВЛ 0,4 кВ №1 КТП 10/0,4кВ №50 ВЛ 10кВ №3017 ПС 220/110//10 кВ А-30 для технологического присоединения энергопринимающих устройств жилого дома Заявителя Вареновой К.В., с. Кугей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</si>
  <si>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0,4кВ КТП 10/0,4 кВ №279 (балансовая принадлежность ИП Усачев В.И. (п. Беловодье) по ВЛ 10кВ №1815 ПС 35/10 кВ А-18 для технологического присоединения энергопринимающих устройств жилого дома Заявителя Жилина А.Н.,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</si>
  <si>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ВЛ-0,4кВ КТП 10/0,4 кВ №279 (балансовая принадлежность ИП Усачев В.И. (п. Беловодье) по ВЛ 10кВ №1815 ПС 35/10 кВ А-18 для технологического присоединения энергопринимающих устройств жилого дома Заявителя Кравцова А.Г.,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</si>
  <si>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 кВ КТП 10/0,4кВ №336 (балансовая принадлежность ВЛ-0,4, КТП 10/0,4 кВ №336 Котиева Т.М.) ВЛ-10кВ №211 ПС 35/10 кВ «А-2» для технологического присоединения энергопринимающих устройств жилого дома Заявителя Кило А.Г.,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</si>
  <si>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№105-18 ВЛ 0,4 кВ №1 КТП 10/0,4кВ №105 ВЛ 10кВ №1913 РП-19 ПС 110/35/10 кВ Самарская для технологического присоединения энергопринимающих устройств жилого дома Заявителя Игнатовой Р.М., х. Степнянский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</si>
  <si>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№111-76 ВЛ 0,4 кВ №3 КТП 10/0,4кВ №111 ВЛ 10кВ №3113 ПС 110/35/10 кВ А-31 для технологического присоединения энергопринимающих устройств жилого дома Заявителя Воробьева К.В., с. Пешково, ул. Вишневая, д. 106 Б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</si>
  <si>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№111-76 ВЛ 0,4 кВ №3 КТП 10/0,4кВ №111 ВЛ 10кВ №3113 ПС 110/35/10 кВ А-31 для технологического присоединения энергопринимающих устройств жилого дома Заявителя Воробьева К.В., с. Пешково, ул. Вишневая, д. 106 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</si>
  <si>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№148-33/1 ВЛ 0,4 кВ №2 КТП 10/0,4кВ №148 ВЛ 10кВ №1019 ПС 110/35/10 кВ Самарская для технологического присоединения энергопринимающих устройств жилого дома Заявителя Гончаровой Т.С., х. Победа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</si>
  <si>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№182-11 ВЛ 0,4 кВ №1 КТП 10/0,4кВ №182 ВЛ 10кВ №3127 ПС 110/35/10 кВ А-31 для технологического присоединения энергопринимающих устройств жилого дома Заявителя Лепило Н.В.,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</si>
  <si>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№18-80 ВЛ-0,4 кВ №3 КТП 10/0,4 кВ №18 по ВЛ 10 кВ №3113 ПС 110/35/10 кВ А-31 для технологического присоединения энергопринимающих устройств жилого дома Заявителя Байтякова П.Д.,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</si>
  <si>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№18-83 ВЛ 0,4 кВ №3 КТП 10/0,4кВ №18 ВЛ 10кВ №3113 ПС 110/35/10 кВ А-31 для технологического присоединения энергопринимающих устройств жилого дома Заявителя Хамайко А.В.,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</si>
  <si>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№201-60 ВЛ 0,4 кВ №2 КТП 10/0,4кВ №201 ВЛ 10кВ №1019 ПС 110/35/10 кВ Самарская для технологического присоединения энергопринимающих устройств жилого дома Заявителя Ивановой Е.Ю., х. Победа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</si>
  <si>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№311-1/1 ВЛ 0,4 кВ №3 КТП 10/0,4кВ №311 ВЛ 10кВ №106Н ПС 110/6/10 кВ НС-1 для технологического присоединения энергопринимающих устройств жилого дома Заявителя Хуршидова Х.Б., СХА "Кулешовское" поле III 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</si>
  <si>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№315-20 ВЛ 0,4 кВ №1 КТП 10/0,4кВ №315 ВЛ 10кВ №2608 ПС 110/10 кВ А-26 для технологического присоединения энергопринимающих устройств жилого дома Заявителя Эммануэль Марк Эно,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</si>
  <si>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№35-40 ВЛ 0,4 кВ №1 КТП 10/0,4кВ №35 ВЛ 10кВ №1904 РП-19 ПС 110/35/10 кВ Самарская для технологического присоединения энергопринимающих устройств жилого дома Заявителя Саргсян А.А., с. Новотроицкое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</si>
  <si>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№58-11 ВЛ 0,4 кВ №1 КТП 10/0,4кВ №58 ВЛ 10кВ №2412 ПС 35/10 кВ А-24 для технологического присоединения энергопринимающих устройств жилого дома Заявителя Баздикян Я. А., х. Дугино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</si>
  <si>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№6-2 ВЛ 0,4 кВ №1 КТП 10/0,4кВ №6 ВЛ 10кВ №3113 ПС 110/35/10 кВ А-31 для технологического присоединения энергопринимающих устройств нежилого здания Заявителя ИП Никитенко А.А.,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</si>
  <si>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№69-80 ВЛ 0,4 кВ №2 КТП 10/0,4кВ №69 ВЛ 10кВ №307Н ПС 110/35/6/10 кВ НС-3 для технологического присоединения энергопринимающих устройств жилого дома Заявителя Биналиевой Ф.И., с. Васильево-Петровское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</si>
  <si>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№71-103 ВЛ 0,4 кВ №2 КТП 10/0,4кВ №71 ВЛ 10кВ №105Н ПС 110/6/10 кВ НС-1 для технологического присоединения энергопринимающих устройств гаража Заявителя Барабанова О.В., х. Усть-Койсуг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</si>
  <si>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№93-14 ВЛ 0,4 кВ №1 КТП 10/0,4кВ №93 ВЛ 10кВ №202Н ПС 110/6/10 кВ НС-2 для технологического присоединения энергопринимающих устройств жилого дома Заявителя Казарян Т.А.,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</si>
  <si>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№418-44 ВЛ 0,4 кВ №2 КТП-418 ВЛ-10кВ №612 ПС 35 кВ Е-6 для технологического присоединения энергопринимающих устройств жилого дома Заявителя Вартанян М.С., х.Шаумяновский Егорлыкский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</si>
  <si>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подключенногона оп. № 172-57 ВЛ-0,4 № 2 КТП-172 ВЛ-10  904  ПС 110 кВ Балко-Грузская., для электроснабжения жилого дома заявителя Слепухина А.Ф., х. Балко-Грузский, ул. Заречная,  д. 143, Егорлыкский р-он Ростовская область (1шт)</t>
  </si>
  <si>
    <t>Строительство участка ВЛИ 0,4кВ от опоры № 135-155 ВЛ-0,4 №4 от КТП-135 по ВЛ-10 805 ПС 110 кВ БОС и системы учета электрической энергии (мощности) на границе земельного участка для электроснабжения ЛПХ заявителя Тохиян А.С., Ростовская область, Кагальницкий р-н, п. Мокрый Батай, ул. Юбилейная д.43 (ориентировочная протяженность ЛЭП – 0,1 км)</t>
  </si>
  <si>
    <t>Установка коммерческого учета электрической энергии (мощности) на границе земельного участка, подключенного от оп. № 42-91 ВЛ-0,4 кВ №1 КТП-10/0,4 кВ №91 по ВЛ-10 кВ №415 ПС 35/10 кВ «КГ-4», для электроснабжения ЛПХ заявителя Степаненко И.Н., х. Лугань, Кагальницкий р-он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</si>
  <si>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№29-49 ВЛ 0,4 №2 КТП-29 ВЛ-10 605 ПС 35 кВ КГ6 для технологического присоединения энергопринимающих устройств ЛПХ Заявителя Мегеры К.Л., Ростовская область, Кагальницкий р-н, с. Новобатайск, ул. Илларионова д.50Б (1 шт.)</t>
  </si>
  <si>
    <t>Установка прибора коммерческого учета электрической энергии (мощности) на границе земельного участка, подключенного от опоры №31-7 ВЛ 0,4 №1 КТП-31 ВЛ-10 313 ПС 35 кВ КГ3 для технологического присоединения энергопринимающих устройств ЛПХ Заявителя Парапоновой Е.А., Ростовская область, Кагальницкий р-н, ст. Кировская, ул. Московская д.75 (1 шт.)</t>
  </si>
  <si>
    <t>Установка прибора коммерческого учета электрической энергии (мощности) на границе земельного участка, подключенного от опоры №3-94 ВЛ 0,4 №2 КТП-3 ВЛ-10 114 ПС 220 кВ Зерновая для технологического присоединения энергопринимающих устройств нежилого помещения Заявителя Хачатурян К.Г., Ростовская область, Зерноградский р-н, п. Кленовый, ул. Кошевого д.4-К (1 шт)</t>
  </si>
  <si>
    <t>Установка прибора коммерческого учета электрической энергии (мощности) на границе земельного участка, подключенного от опоры №72-19 ВЛ 0,4 №1 КТП-72 ВЛ-10 801 ПС 35 кВ ЗР8 для технологического присоединения энергопринимающих устройств жилого дома Заявителя Шепель А.Н. , Ростовская область, Зерноградский р-н, х. Цветной, ул. Солнечная д.31 б (1 шт.)</t>
  </si>
  <si>
    <t>Строительство системы учета для технологического присоединения энергопринимающих устройств Заявителей: Корниенко Д.В., Стрельцова В.В., Азовский р-он, Ростовская область</t>
  </si>
  <si>
    <t>Строительство участка ВЛИ 0,4кВ от опоры № 104-15 ВЛ 0,4 кВ №2 КТП 10/0,4 кВ №104 ВЛ 10кВ №3113 ПС 110/35/10 кВ А-31 и системы учета электрической энергии (мощности) на границе земельного участка для электроснабжения жилого дома заявителя Чертова А.П., с. Пешково, Азовский район, Ростовская область (ориентировочная протяженность ЛЭП – 0,170 км)</t>
  </si>
  <si>
    <t>Установка прибора коммерческого учета электрической энергии (мощности) на границе земельного участка, подключенного от опоры №311-17 ВЛ-0,4 кВ №3 КТП-10/0,4 кВ №311 по ВЛ-10 кВ №106Н ПС 110/6/10 кВ «НС-1» для технологического присоединения энергопринимающих устройств жилого дома Заявителя Согомонян С.Г., Кулешовское сельское поселение, ТСН «СНТ Белгорос»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</si>
  <si>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Безсонова Д.С., Ким Р.Н., Скокова В.В.,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</si>
  <si>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№108-21 ВЛ-0,4 кВ №1 КТП 10/0,4кВ №108 ВЛ-10кВ №1908 РП-19 ПС 110/35/10 кВ «Самарская» для технологического присоединения энергопринимающих устройств жилого дома Заявителя Бабоян Л.В., х. Большевик Азовский район, Ростовская область (1 шт.)</t>
  </si>
  <si>
    <t>Строительство участка ВЛИ 0,4кВ от опоры №160-18 ВЛ-0,4 кВ №1 КТП 10/0,4 кВ №160 ВЛ-10кВ №1904 РП-19 ПС 110/35/10 кВ «Самарская» и системы учета электрической энергии (мощности) на границе земельного участка для электроснабжения здания заявителя Ткачевой Е.А., с. Новотроицкое, Азовский район, Ростовская область (ориентировочная протяженность ЛЭП – 0,100 км)</t>
  </si>
  <si>
    <t>Строительство участка ВЛИ 0,4кВ от опоры №42-71 ВЛ-0,4 кВ №2 КТП 10/0,4 кВ №42 ВЛ-10кВ №1802 ПС 35/10 кВ «А-18» и системы учета электрической энергии (мощности) на границе земельного участка для электроснабжения жилого дома заявителя Касич М.М., х. Рогожкино, Азовский район, Ростовская область (ориентировочная протяженность ЛЭП – 0,04 км)</t>
  </si>
  <si>
    <t>Установка прибора коммерческого учета электрической энергии (мощности) на границе земельного участка, подключенного от опоры №144-45 ВЛ 0,4 кВ №2 КТП 10/0,4кВ №144 ВЛ 10кВ №1107 ПС 35/10 кВ А-11 для технологического присоединения энергопринимающих устройств жилого дома Заявителя Колтаковой О.М.,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</si>
  <si>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 №342-6 ВЛ-0,4 кВ №1 КТП-10/0,4 кВ №342 по ВЛ-10 кВ №107Н ПС 110/6/10 кВ «НС-1» для технологического присоединения энергопринимающих устройств жилого дома Заявителя Мищенко Н.В., ДНТ "Задонье", Азовский район Ростовская область (1 шт.)</t>
  </si>
  <si>
    <t>Строительство участка ВЛИ 0,4кВ от опоры №98-42 ВЛ 0,4 кВ №2 КТП 10/0,4 кВ №98 ВЛ 10 кВ 3127 ПС 110/35/10 кВ А-31 и системы учета электрической энергии (мощности) на границе земельного участка для электроснабжения жилого дома заявителя Курленко О.И., с. Займо-Обрыв, Азовский район, Ростовская область (ориентировочная протяженность ЛЭП – 0,050 км)</t>
  </si>
  <si>
    <t>Установка прибора коммерческого учета электрической энергии (мощности) на границе земельного участка, подключенного от опоры №144-49 ВЛ-0,4 кВ №2 КТП-10/0,4 кВ №144 по ВЛ-10 кВ № 1107 ПС 35/10 кВ «А-11» для технологического присоединения энергопринимающих устройств жилого дома Заявителя Смешко М.Н.,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</si>
  <si>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№174-20 ВЛ 0,4 кВ №2 КТП 10/0,4кВ №174 ВЛ 10кВ №902 ПС 35/10 кВ А-9 для технологического присоединения энергопринимающих устройств жилого дома Заявителя Медовой И.А., х. Павловка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</si>
  <si>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№182-20 ВЛ-0,4 кВ №1 КТП-10/0,4 кВ №182 по ВЛ-10 кВ №3127 ПС 110/35/10 кВ «А-31» для технологического присоединения энергопринимающих устройств жилого дома Заявителя Рыбалко Е.К.,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</si>
  <si>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№228-8 ВЛ 0,4 кВ №1 КТП 10/0,4кВ №228 ВЛ 10кВ №106Н ПС 110/6/10 кВ НС-1 для технологического присоединения энергопринимающих устройств жилого дома Заявителя Тищенко С.В., п. Овощной,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</si>
  <si>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Министерство транспорта РО, Шевченко А.А., Старовойтова А.М., Азовский район Ростовская область (3 шт.)</t>
  </si>
  <si>
    <t>Установка приборов коммерческого учета электрической энергии (мощности) на границе земельного участка, подключенного от оп. №99-6 ВЛ-0,4 кВ №1 КТП-10/0,4 кВ №99 по ВЛ-10 кВ №106Н ПС 110/6/10 кВ «НС-1» для технологического присоединения энергопринимающих устройств жилого дома Заявителя Шадрина В.А.,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</si>
  <si>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№14-33 ВЛ 0,4 кВ №2 КТП 10/0,4кВ №14 ВЛ 10кВ №3125 ПС 110/35/10 кВ А-31 для технологического присоединения энергопринимающих устройств жилого дома Заявителя Якобишина М.Ю., с. Головатовка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</si>
  <si>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№165-8 ВЛ 0,4 кВ №1 КТП 10/0,4кВ №165 ВЛ 10кВ №1107 ПС 35/10 кВ А-11 для технологического присоединения энергопринимающих устройств жилого дома Заявителя Жигулина Э.С., х. Узяк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</si>
  <si>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№21-55 ВЛ 0,4 кВ №2 КТП 10/0,4кВ №21 ВЛ 10кВ №1411 РП-14 ПС 110/35/10 кВ А-32 для технологического присоединения энергопринимающих устройств объектов наружного освещения Заявителя Министерство транспорта Ростовской области, с. 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</si>
  <si>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№217-33 ВЛ 0,4 кВ №2 КТП 10/0,4кВ №217 ВЛ 10кВ №1107 ПС 35/10 кВ А-11 для технологического присоединения энергопринимающих устройств жилого дома Заявителя Царевой Н.Н.,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</si>
  <si>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№311-1/6 ВЛ 0,4 кВ №3 КТП 10/0,4кВ №311 ВЛ 10кВ №106Н ПС 110/6/10 кВ НС-1 для технологического присоединения энергопринимающих устройств жилого дома Заявителя Короченской Т.А., СХА "Кулешовское" поле III 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</si>
  <si>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№14-72/1 ВЛ 0,4 кВ №3 КТП 10/0,4кВ №14 ВЛ 10кВ №106Н ПС 110/6/10 кВ НС-1 для технологического присоединения энергопринимающих устройств жилого дома Заявителя Дорошенко Е.И.,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</si>
  <si>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№239-138 ВЛ 0,4 кВ №3 КТП 10/0,4кВ №239 ВЛ 10кВ №106Н ПС 110/6/10 кВ НС-1 для технологического присоединения энергопринимающих устройств жилого дома Заявителя Кулаковой О.А.,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</si>
  <si>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№240-145 ВЛ 0,4 кВ №3 КТП 10/0,4кВ №240 ВЛ 10кВ №106Н ПС 110/6/10 кВ НС-1 для технологического присоединения энергопринимающих устройств жилого дома Заявителя Заблоцкого В.А.,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</si>
  <si>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№148П (балансовая принадлежность Шацкого Ю.В.)  ВЛ 10кВ №106Н ПС 110/6/10 кВ НС-1 для технологического присоединения энергопринимающих устройств жилого дома Заявителя Бежковой Н.В., п. Овощной Азовский район, Ростовская область (1 шт.)</t>
  </si>
  <si>
    <t>Установка прибора коммерческого учета электрической энергии (мощности), подключенного на оп. №335-31 ВЛ-0,4 № 2 КТП-335 ВЛ-10 217 ПС 110 кВ Егорлыкская, для электроснабжения базовой станции заявителя ПАО «Ростелеком», х. Ютин, № 46.631842  40.633208, Егорлыкский р-он, Ростовская область (1шт)</t>
  </si>
  <si>
    <t>Установка прибора коммерческого учета электрической энергии (мощности), подключенного на оп. №39-2 ВЛ-0,4 № 1 КТП-39 ВЛ-10 203 ПС 110 кВ Егорлыкская, для электроснабжения базовой станции заявителя ПАО «Ростелеком», х. Заря, Егорлыкский р-он, Ростовская область (1шт)</t>
  </si>
  <si>
    <t>Установка прибора коммерческого учета электрической энергии (мощности) на границе земельного участка, подключенного от опоры №212-7 ВЛ 0,4 кВ №1 КТП-212 ВЛ-10кВ №612 ПС 35 кВ Е-6 для технологического присоединения энергопринимающих устройств жилой летней кухни Заявителя Авакян А.А., х. Шаумяновский, Егорлыкский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</si>
  <si>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 211-100 ВЛ-0,4 № 3 КТП-211 ВЛ-10 612   ПС 35кВ Е-6 для технологического присоединения энергопринимающих устройств жилого дома Заявителя Аванесян А.Г., х.Шаумяновский Егорлыкский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</si>
  <si>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 103-7 ВЛ-0,4 № 1 КТП-103 ВЛ-10 702 ПС 35 кВ Е-7 для технологического присоединения энергопринимающих устройств нежилого здания (склад) Заявителя ИП Воробьевой М.В., х.Таганрогский, Егорлыкский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</si>
  <si>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 167-6 ВЛ-0,4 № 1 КТП-167 ВЛ-10 908 ПС 110 кВ Балко-Грузская для технологического присоединения энергопринимающих устройств нежилого здания (склад) Заявителя ИП Димитренко Г.Р., х.Мирный, Егорлыкский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</si>
  <si>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 292-1 ВЛ-0,4 № 1 КТП-292 ВЛ-10 908 ПС 110 кВ Балко-Грузская для технологического присоединения энергопринимающих устройств магазина Заявителя ИП Иванченко И.В., х.Мирный, Егорлыкский район, Ростовская область (1 шт.)</t>
  </si>
  <si>
    <t>Строительство участка ВЛИ 0,4кВ от опоры № 55-9 ВЛ-0,4 №2 от КТП-55 по ВЛ-10 1209 ПС 110 кВ Манычская и системы учета электрической энергии (мощности) на границе земельного участка для электроснабжения ангара заявителя главы крестьянского (фермерского) хозяйства Юнкиной И.В., Ростовская область, Зерноградский р-н, п. Междупольный, в 3,322км на северо-запад от северо-западной его окраины (ориентировочная протяженность ЛЭП – 0,15 км)</t>
  </si>
  <si>
    <t>Строительство участка ВЛИ 0,4кВ от опоры № 85-34 ВЛ-0,4 №2 от КТП-85 по ВЛ-10 119 ПС 220 кВ Зерновая и системы учета электрической энергии (мощности) на границе земельного участка для электроснабжения ЛПХ заявителя Горстка В.Н., Ростовская область, Зерноградский р-н, п. Дубки, ул. Коптева д.7 (ориентировочная протяженность ЛЭП – 0,05 км)</t>
  </si>
  <si>
    <t>Строительство участка ВЛИ 0,4кВ от опоры №134-2 ВЛ-0,4 №1 от КТП-134 по ВЛ-10 101 ПС 220 кВ Зерновая и системы учета электрической энергии (мощности) на границе земельного участка для электроснабжения жилого дома заявителя Бардачевой В.И., Ростовская область г. Зерноград ул. Аксайская д.10 (ориентировочная протяженность ЛЭП – 0,04 км)</t>
  </si>
  <si>
    <t>Строительство участка ВЛИ-0,4кВ от опоры №132-66 ВЛ-0,4 кВ №1 КТП-132 по ВЛ-10 кВ № 506 ПС 35/10 кВ Е-5 и установка системы учета электрической энергии (мощности) на границе земельного участка для электроснабжения жилого дома заявителя Мурадова К.С., х.Объединенный, Егорлыкский р-он, Ростовская область (ориентировочная протяженность ЛЭП – 0,030 км)</t>
  </si>
  <si>
    <t>Строительство участка ВЛИ 0,4кВ от оп.67-14 ВЛ-0,4 №1 от КТП-67 по ВЛ-10 1319 ПС 35 кВ ЗР13 и системы учета электрической энергии (мощности) на границе земельного участка для электроснабжения жилого дома заявителя Погорелова М.Н., Ростовская область, Зерноградский р-н, х. Лесхоз, ул. Лесная д.12 (ориентировочная протяженность ВЛИ-0,4  – 0,21 км)</t>
  </si>
  <si>
    <t>Установка прибора коммерческого учета электрической энергии (мощности) на границе земельного участка, подключенного от опоры №4-70 ВЛ 0,4 №2 КТП-4 ВЛ-10 305 ПС 35 кВ КГ3 для технологического присоединения энергопринимающих устройств ЛПХ Заявителя Адиханян А.А., Ростовская область, Кагальницкий р-н, ст. Кировская, ул. Садовая д.61 (1 шт.)</t>
  </si>
  <si>
    <t>Установка прибора коммерческого учета электрической энергии (мощности) на границе земельного участка, подключенного от опоры №29-54 ВЛ 0,4 №4 КТП-29 ВЛ-10 605 ПС 35 кВ КГ6 для технологического присоединения энергопринимающих устройств ЛПХ Заявителя Грибенюк Н.И., Ростовская область, Кагальницкий р-н, с. Новобатайск, ул. Илларионова д.58 (1 шт.)</t>
  </si>
  <si>
    <t>Установка прибора коммерческого учета электрической энергии (мощности) на границе земельного участка, подключенного от опоры №29-36 ВЛ 0,4 №2 КТП-29 ВЛ-10 605 ПС 35 кВ КГ6 для технологического присоединения энергопринимающих устройств жилого дома Заявителя Дрозд С.И., к.н: 61:14:0040123:5 ,Ростовская область, Кагальницкий р-н, с. Новобатайск (1 шт)</t>
  </si>
  <si>
    <t>Установка прибора коммерческого учета электрической энергии (мощности) на границе земельного участка, подключенного от опоры №72-33 ВЛ 0,4 №1 КТП-72 ВЛ-10 413 ПС 35 кВ КГ4 для технологического присоединения энергопринимающих устройств ЛПХ Заявителя Жолоб Н.В., Ростовская область, Кагальницкий р-н, х. Федоровка, ул. Луговая д.11 (1 шт.)</t>
  </si>
  <si>
    <t>Установка прибора коммерческого учета электрической энергии (мощности) на границе земельного участка, подключенного от опоры №202-5 ВЛ 0,4 №1 КТП-202 ВЛ-10 319 ПС 35 кВ КГ3 для технологического присоединения энергопринимающих устройств ЛПХ Заявителя Козубов В.И., Ростовская область, Кагальницкий р-н, п. Мокрый Батай, ул. Солнечная д.61 (1 шт.)</t>
  </si>
  <si>
    <t>Установка прибора коммерческого учета электрической энергии (мощности) на границе земельного участка, подключенного от опоры №208-43 ВЛ 0,4 №3 КТП-208 ВЛ-10 612 ПС 35 кВ КГ6 для технологического присоединения энергопринимающих устройств ЛПХ Заявителя Рыбасов Р.С., Ростовская область, Кагальницкий р-н, с. Новобатайск, ул. Садовая д.25А (1 шт.)</t>
  </si>
  <si>
    <t>Установка прибора коммерческого учета электрической энергии (мощности) на границе земельного участка, подключенного от опоры №117-3 ВЛ 0,4 №1 КТП-117 ВЛ-10 805 ПС 110 кВ БОС для технологического присоединения энергопринимающих устройств ЛПХ Заявителя Шелестенко О.Г., к.н: 61:14:0060106:12, Ростовская область, Кагальницкий р-н, п. Мокрый Батай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</si>
  <si>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Копиной Н.М., Старцевой А.С., Погорелова Д.В., Азовский р-он Ростовская область (3 шт.)</t>
  </si>
  <si>
    <t>Строительство участка ВЛИ 0,4кВ от опоры № 56-1 ВЛ 0,4 кВ №1 КТП 10/0,4 кВ №56 ВЛ 10кВ №3127 ПС 110/35/10 кВ «А-31» и системы учета электрической энергии (мощности) на границе земельного участка для электроснабжения жилого дома заявителя Кваша Е.А., х. Береговой, Азовский район, Ростовская область (ориентировочная протяженность ЛЭП – 0,05 км)</t>
  </si>
  <si>
    <t>Строительство участка ВЛИ 0,4кВ от опоры № 10-7 ВЛ-0,4 кВ №1 КТП 10/0,4 кВ №10 ВЛ-10кВ №3202 ПС 110/35/10 кВ «А-32» и системы учета электрической энергии (мощности) на границе земельного участка для электроснабжения жилого дома заявителя Курина М.П., с.Александровка, Азовский район, Ростовская область (ориентировочная протяженность ЛЭП – 0,035 км)</t>
  </si>
  <si>
    <t>Установка прибора коммерческого учета электрической энергии (мощности) на границе земельного участка, подключенного от опоры №113-2 ВЛ-0,4 кВ №1 КТП 10/0,4кВ №113 ВЛ-10кВ №3113 ПС 110/35/10 кВ «А-31» для технологического присоединения энергопринимающих устройств жилого дома Заявителя Дудник Н.Ф., с. Пешково Азовский район, Ростовская область (1 шт.</t>
  </si>
  <si>
    <t>Строительство участка ВЛИ 0,4кВ от опоры № 181-22 ВЛ-0,4 кВ №1 КТП 10/0,4 кВ №181 ВЛ-10кВ №3113 ПС 110/35/10 кВ «А-31» и системы учета электрической энергии (мощности) на границе земельного участка для электроснабжения жилого дома заявителя Лопатина А.В., с. Пешково, Азовский район, Ростовская область (ориентировочная протяженность ЛЭП – 0,03 км)</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</si>
  <si>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Тарабанова П.В., Евдокимова О.Г., Карпинской Э.В.,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</si>
  <si>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№14-144 ВЛ 0,4 кВ №4 КТП 10/0,4кВ №14 ВЛ 10кВ №106Н ПС 110/6/10 кВ НС-1 для технологического присоединения энергопринимающих устройств жилого дома Заявителя Алешиной Е.В.,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</si>
  <si>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№31-166 ВЛ 0,4 кВ №2 КТП 10/0,4кВ №31 ВЛ 10кВ №2907 РП-29 ПС 35/10 кВ А-18 для технологического присоединения энергопринимающих устройств жилого дома Заявителя Рукина А.В., ст-ца. Елизаветинская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</si>
  <si>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Саламатина А.А., Куницыной И.А., Азовский район Ростовская область (2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</si>
  <si>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Подушко С.Е., Ярмаркиной И.А., Азовский район Ростовская область (2 шт.)</t>
  </si>
  <si>
    <t>Установка прибора коммерческого учета электрической энергии (мощности) на границе земельного участка, подключенного от опоры №56-29 ВЛ-0,4 кВ №1 КТП 10/0,4кВ №56 ВЛ-10кВ №3127 ПС 110/35/10 кВ «А-31» для технологического присоединения энергопринимающих устройств жилого дома Заявителя Чесноковой И.В., х. Береговой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</si>
  <si>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№115-6 ВЛ 0,4 кВ №1 КТП 10/0,4кВ №115 ВЛ-10кВ №3125 ПС 110/35/10 кВ «А-31» для технологического присоединения энергопринимающих устройств жилого дома Заявителя Мазепа А.М.,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</si>
  <si>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№358-15 ВЛ 0,4 кВ №2 КТП 10/0,4кВ №358 ВЛ 10кВ №202Н ПС 110/6/10 кВ НС-2 для технологического присоединения энергопринимающих устройств жилого дома Заявителя Джелауховой С.А., ЗАО «Обильное», поля 86-88, 1 км от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</si>
  <si>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№381-41 ВЛ-0,4кВ №1 КТП 10/0,4 кВ №381 ВЛ-10кВ №106Н ПС 110/6/10 кВ НС-1 для технологического присоединения энергопринимающих устройств жилого дома Заявителя Чукариной Г.И., тер. ДНТ СН «Кулешовка-2», Азовский район, Ростовская область (1 шт.)</t>
  </si>
  <si>
    <t>Строительство участка ВЛИ 0,4кВ от опоры №10-18 ВЛ-0,4 кВ №1 КТП 10/0,4 кВ №10 ВЛ-10 кВ 3125 ПС 110/35/10 кВ А-31 и системы учета электрической энергии (мощности) на границе земельного участка для электроснабжения жилого дома заявителя Григорьевой О.И., с. Пешково, Азовский район, Ростовская область (ориентировочная протяженность ЛЭП – 0,080 км)</t>
  </si>
  <si>
    <t>Строительство участка ВЛИ 0,4кВ от опоры №334-22 ВЛ-0,4 кВ №1 КТП 10/0,4 кВ №334 ВЛ-10 кВ №202Н ПС 110/6/10 кВ НС-2 и системы учета электрической энергии (мощности) на границе земельного участка для электроснабжения жилого дома заявителя Кисловой Л.Ф., ЗАО Обильное, поля 86-88, 1 км от с. Кулешовка, Азовский район, Ростовская область (ориентировочная протяженность ЛЭП – 0,03 км)</t>
  </si>
  <si>
    <t>Строительство участка ВЛИ 0,4кВ от опоры №311-16 ВЛ-0,4 кВ №2 МТП 10/0,4 кВ №311 ВЛ-10 кВ №106Н ПС 110/6/10 кВ НС-1 и системы учета электрической энергии (мощности) на границе земельного участка для электроснабжения строительной площадки заявителя Наконечной А.Е., СХА «Кулешовское» поле III о, Азовский район, Ростовская область (ориентировочная протяженность ЛЭП – 0,03 км)</t>
  </si>
  <si>
    <t>Строительство участка ВЛИ 0,4кВ от опоры №51-46 ВЛ 0,4 кВ №1 КТП 10/0,4 кВ №51 ВЛ 10 кВ №211 ПС 35/10 кВ А-2 и системы учета электрической энергии (мощности) на границе земельного участка для электроснабжения жилого дома заявителя Алексеева Р.Ю., х.Новоалександровка, Азовский район, Ростовская область (ориентировочная протяженность ЛЭП – 0,05 км)</t>
  </si>
  <si>
    <t>Строительство участка ВЛИ 0,4кВ от опоры №329-46 ВЛ 0,4 кВ №2 ТП 10/0,4 кВ №329 ВЛ 10 кВ №106Н ПС 110/6/10 кВ НС-1 и системы учета электрической энергии (мощности) на границе земельного участка для электроснабжения жилого дома заявителя Терешковой Е.В., ТСН «Белгорос», Азовский район, Ростовская область (ориентировочная протяженность ЛЭП – 0,030 км)</t>
  </si>
  <si>
    <t>Установка прибора коммерческого учета электрической энергии (мощности) на границе земельного участка, подключенного от опоры №31-12 ВЛ 0,4 кВ №1 КТП 10/0,4кВ №31 ВЛ 10кВ №2907 РП-29 ПС 35/10 кВ А-18 для технологического присоединения энергопринимающих устройств жилого дома Заявителя Токаревой Е.И., ст-ца. Елизаветинская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</si>
  <si>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№23-4 ВЛ-0,4 кВ № 1 ТП-10/0,4 кВ №23 ВЛ-10 кВ №1507 от ПС 110/10 кВ «ЗР-15», для электроснабжения склада заявителя Белого В.И., Ростовская область, Зерноградский р-н, г. Зерноград, ул. им. Самохвалова д.23х ( 1 шт.)</t>
  </si>
  <si>
    <t>Строительство участка ВЛИ 0,4кВ от РУ-0,4 от КТП-25 по ВЛ-10 1009 ПС 110 кВ ЗР10 и системы учета электрической энергии (мощности) на границе земельного участка для электроснабжения скважины заявителя Администрация Зерноградского городского поселения, Ростовская область, Зерноградский р-н, г. Зерноград, ул. Строителей в 0,4км на запад от дома 40 (ориентировочная протяженность ВЛИ-0,4  – 0,09 км)</t>
  </si>
  <si>
    <t>Строительство ВЛИ- 0,4 кВ от РУ-0,4 кВ КТП-159 по ВЛ-10 1508  ПС 110 кВ ЗР15, совместным подвесом с ВЛ-10 1508 ПС 110 кВ ЗР-15 и системы учета электрической энергии (мощности) на границе земельного участка для электроснабжения скважины заявителя Администрация Зерноградского городского поселения, Ростовская область, Зерноградский, п. Прудовой, в 0,47км на север от северо-западной его окраины, кадастровый номер земельного участка: 61:12:0601401:504. (ориентировочная протяженность ВЛИ-0,4 кВ – 0,18 км)</t>
  </si>
  <si>
    <t>Строительство участка ВЛИ 0,4кВ от оп. №97-1 ВЛ-0,4 №1 от КТП-97 по ВЛ-10 805 ПС 110 кВ БОС и системы учета электрической энергии (мощности) на границе земельного участка для электроснабжения станции технического обслуживания заявителя Тан С.С., Ростовская область, Кагальницкий р-н, п. Мокрый Батай, ул. Зеленая д.1-М (ориентировочная протяженность ВЛИ-0,4 – 0,07 км)</t>
  </si>
  <si>
    <t>Строительство участка ВЛИ 0,4кВ от РУ 0,4 кВ КТП 10/0,4 кВ №192 ВЛ 10кВ 1020 ПС 110/35/10 кВ Самарская и системы учета электрической энергии (мощности) на границе земельного участка для электроснабжения жилого дома заявителя Ковальчук Т.Г., с. Самарское, Азовский район Ростовская область (ориентировочная протяженность ЛЭП – 0,200км)</t>
  </si>
  <si>
    <t>Установка прибора коммерческого учета электрической энергии (мощности) на границе земельного участка, подключенного от опоры №117-34 ВЛ-0,4 кВ №2 КТП-10/0,4 кВ №117 по ВЛ-10 кВ №3127 ПС 110/35/10 кВ «А-31» для технологического присоединения энергопринимающих устройств жилого дома Заявителя Шинкевич Н.А., с. Головатовка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</si>
  <si>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№48-22 ВЛ-0,4 кВ №2 КТП 10/0,4кВ №48 ВЛ-10кВ №1815 ПС 35/10 кВ «А-18» для технологического присоединения энергопринимающих устройств жилого дома Заявителя Ковтун А.И., Рыболовецкий колхоз им. Ленина Азовский район, Ростовская область (1 шт.)</t>
  </si>
  <si>
    <t>Строительство участка ВЛИ 0,4кВ от проектируемой ВЛ 0,4 кВ (по договору ТП № 61-1-20-00533517 от 28.09.2020 г.) КТП 10/0,4 кВ №329 ВЛ 10кВ 106Н ПС 110/6/10 кВ «НС-1» и системы учета электрической энергии (мощности) на границе земельного участка для электроснабжения жилых домов заявителей Джемакулова И.Д., Кургинян А.Г., Рамазановой О.В., ДНТ «Виктория», Азовский район, Ростовская область (ориентировочная протяженность ЛЭП – 0,160 км)</t>
  </si>
  <si>
    <t>Строительство участка ВЛИ 0,4кВ от оп. №145-26 ВЛ-0,4 кВ №2 КТП 10/0,4 кВ №145 ВЛ-10 кВ №3125 от ПС 110/35/10 кВ А-31 и системы учета электрической энергии (мощности) на границе земельного участка для электроснабжения жилого дома заявителя Глушпак Г.И., с. Пешково, Азовский район, Ростовская область (ориентировочная протяженность ЛЭП – 0,130 км)</t>
  </si>
  <si>
    <t>Строительство участка ВЛИ 0,4кВ от оп. № 164-51 ВЛ-0,4 кВ №3 КТП 10/0,4 кВ №164 ВЛ-10 кВ №1101 от ПС 35/10 кВ А-11 и системы учета электрической энергии (мощности) на границе земельного участка для электроснабжения жилого дома заявителя Курбацкого П.П., с. Кагальник, Азовский район, Ростовская область (ориентировочная протяженность ЛЭП – 0,065 км)</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</si>
  <si>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Белоусовой Т.Н., Комаровой А.Т., Жаркова С.В.,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</si>
  <si>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№40-51 ВЛ-0,4 кВ №2 КТП 10/0,4кВ №40 ВЛ-10кВ №1802 ПС 35/10 кВ «А-18» для технологического присоединения энергопринимающих устройств жилого дома Заявителя Остапенко Д.С., х. Рогожкино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</si>
  <si>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№32-72 ВЛ 0,4 кВ №3 КТП 10/0,4кВ №32 ВЛ 10кВ №2907 РП-29 ПС 35/10 кВ А-18 для технологического присоединения энергопринимающих устройств жилого дома Заявителя Татариновой О.А., х. Коса, сад. СТ «Экран»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</si>
  <si>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№187-13 ВЛ-0,4кВ №4 КТП 10/0,4 кВ №187 ВЛ-10кВ №106Н ПС 110/6/10 кВ НС-1 для технологического присоединения энергопринимающих устройств жилого дома Заявителя Круглякова С.В., территория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</si>
  <si>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№42-102 ВЛ-0,4 кВ №1 КТП 10/0,4кВ №42 ВЛ-10кВ №1802 ПС 35/10 кВ «А-18» для технологического присоединения энергопринимающих устройств жилого дома Заявителя Копылова С.В., х. Рогожкино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</si>
  <si>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оп. №316-4 ВЛ-0,4кВ №1 МТП 10/0,4 кВ №316 ВЛ-10кВ №211 ПС 35/10 кВ А-2 для технологического присоединения энергопринимающих устройств жилого дома Заявителя Семергей Е. А.,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</si>
  <si>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№120-44 ВЛ 0,4 кВ №1 КТП 10/0,4кВ №120 ВЛ 10кВ №1107 ПС 35/10 кВ А-11 для технологического присоединения энергопринимающих устройств жилого дома Заявителя Павлова А.А.,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</si>
  <si>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№27-81 ВЛ 0,4 кВ №3 КТП 10/0,4кВ №27 ВЛ 10кВ №1815 ПС 35/10 кВ А-18 для технологического присоединения энергопринимающих устройств жилого дома Заявителя Клих Ф.Р.,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</si>
  <si>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№6 (на балансе Администрации Александровского сельского поселения) ВЛ 10кВ №1606 ПС 35/10 кВ А-16 для технологического присоединения энергопринимающих устройств жилого дома Заявителя Колтунова А.А., п. Ленинский Лесхоз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</si>
  <si>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№105-85 ВЛ 0,4 кВ №1 КТП 10/0,4кВ №105 ВЛ 10кВ №2608 ПС 110/10 кВ А-26 для технологического присоединения энергопринимающих устройств жилого дома Заявителя Пименовой Т.П.,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</si>
  <si>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№112-29/1 ВЛ 0,4 кВ №1 КТП 10/0,4кВ №112 ВЛ 10кВ №3113 ПС 110/35/10 кВ А-31 для технологического присоединения энергопринимающих устройств жилого дома Заявителя Духопельниковой И.Л.,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</si>
  <si>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№14-80 ВЛ 0,4 кВ №3 КТП 10/0,4кВ №14 ВЛ 10кВ №3125 ПС 110/35/10 кВ А-31 для технологического присоединения энергопринимающих устройств жилого дома Заявителя Манченко С.В., с. Головатовка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</si>
  <si>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№334-23 ВЛ 0,4 кВ №1 КТП 10/0,4кВ №334 ВЛ 10кВ №202Н ПС 110/6/10 кВ НС-2 для технологического присоединения энергопринимающих устройств жилого дома Заявителя Назаретян Л.В., ЗАО «Обильное», поля 86-88, 1 км от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</si>
  <si>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№46-13 ВЛ 0,4 кВ №1 КТП 10/0,4кВ №46 ВЛ 10кВ №1106 ПС 35/10 кВ А-11 для технологического присоединения энергопринимающих устройств павильона розничной торговли Заявителя ИП Тагировой Г.А., г. Азов, по ул. Победы,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</si>
  <si>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№48-22 ВЛ 0,4 кВ №2 КТП 10/0,4кВ №48 ВЛ 10кВ №1815 ПС 35/10 кВ А-18 для технологического присоединения энергопринимающих устройств жилого дома Заявителя Ткаченко Е.П., на территории Елизаветинского СП от ПТ "Пять братьев" 800 м на северо-восток,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</si>
  <si>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№5-1 ВЛ 0,4 кВ №1 КТП 10/0,4кВ №5 (балансовая принадлежность Руденец Л.А.) ВЛ 10кВ №1802 ПС 35/10 кВ А-18 для технологического присоединения энергопринимающих устройств жилого дома Заявителя Агеева И.И., х. Дугино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</si>
  <si>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№58-84 ВЛ 0,4 кВ №3 КТП 10/0,4кВ №58 ВЛ 10кВ №2204 РП-22 ПС 110/35/10 кВ Самарская для технологического присоединения энергопринимающих устройств жилого дома Заявителя Тимченко Г.В., х. Левобережный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</si>
  <si>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№75-38 ВЛ-0,4 кВ №2 КТП 10/0,4 кВ №75 по ВЛ 10 кВ №3125 ПС 110/35/10 кВ А-31 для технологического присоединения энергопринимающих устройств жилого дома Заявителя Ткаченко Е.А.,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</si>
  <si>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№75-50 ВЛ 0,4 кВ №2 КТП 10/0,4кВ №75 ВЛ 10кВ №606 ПС 35/10 кВ А-6 для технологического присоединения энергопринимающих устройств жилого дома Заявителя Мороз Н.И., с. Порт-Катон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</si>
  <si>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№82-61 ВЛ 0,4 кВ №2 КТП 10/0,4кВ №82 ВЛ 10кВ №3127 ПС 110/35/10 кВ А-31 для технологического присоединения энергопринимающих устройств жилого дома Заявителя Крупеня Л.С., с. 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</si>
  <si>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№8-62 ВЛ 0,4 кВ №2 КТП 10/0,4кВ №8 ВЛ 10кВ №1515 ПС 35/10 кВ А-15 для технологического присоединения энергопринимающих устройств базовой станции сотовой связи Заявителя ПАО "Ростелеком", х. Харьковский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</si>
  <si>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№88-6 ВЛ 0,4 кВ №1 КТП 10/0,4кВ №88 ВЛ 10кВ №3127 ПС 110/35/10 кВ А-31 для технологического присоединения энергопринимающих устройств жилого дома Заявителя Черкашиной С.Г., с. 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</si>
  <si>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 кВ КТП 10/0,4кВ №35 (балансовая принадлежность Администрация Елизаветинского с/п) ВЛ-10кВ №1814 ПС 35/10 кВ «А-18» для технологического присоединения энергопринимающих устройств жилого дома Заявителя Анишина М.М., х. Дугино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</si>
  <si>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проектируемой ВЛИ-0,4 кВ (по договору ТП №61-1-20-00580815 от 08.06.2020г.) ТП 10/0,4 кВ №311 ВЛ-10кВ №106Н ПС 110/6/10 кВ «НС-1» для технологического присоединения энергопринимающих устройств жилого дома Заявителя Попилишко С.В., СХА "Кулешовское" поле III 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</si>
  <si>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проектируемой ВЛИ-0,4 кВ (по договору ТП №61-1-21-00559767 от 16.02.2021г.) ТП 10/0,4 кВ №311 ВЛ-10кВ №106Н ПС 110/6/10 кВ «НС-1» для технологического присоединения энергопринимающих устройств жилого дома Заявителя Пучка И.В., СХА "Кулешовское" поле III о Азовский район, Ростовская область (1 шт.)</t>
  </si>
  <si>
    <t>Строительство ВЛИ 0,4 кВ от РУ 0,4кВ КТП 10/0,4кВ №100 ВЛ 10кВ №2412 ПС 35/10 кВ А-24 и установка коммерческого учета электрической энергии (мощности) на границе земельного участка для электроснабжения жилого дома заявителя Гелета В.А., х. Лагутник, Азовский р-он Ростовская область (ориентировочная протяженность ЛЭП – 0,130 км)</t>
  </si>
  <si>
    <t>Строительство ВЛ - 0,4 кВ от РУ 0,4кВ КТП 10/0,4кВ №174 ВЛ 10кВ 1011 ПС 110/35/10 кВ «Самарская» и установка коммерческого учета электрической энергии (мощности) на границе земельного участка для электроснабжения жилого дома заявителя Шрамко А.А., Ростовская обл.  р-н. Азовский, с. Самарское в границах землепользования бывшего ТОО «Самарское» (ориентировочная протяженность ЛЭП – 0,08 км)</t>
  </si>
  <si>
    <t>Строительство ВЛ 0,4 кВ от №172-10 ВЛ 0,4 кВ №1 КТП 10/0,4 кВ №172 ВЛ 10 кВ №1702 ПС 35/10 кВ А-17 и установка коммерческого учета электрической энергии (мощности) на границе земельного участка для электроснабжения жилого дома заявителя Петрикова М.В., Ростовская обл.  р-н. Азовский, с. Стефанидинодар (ориентировочная протяженность ЛЭП – 0,035 км)</t>
  </si>
  <si>
    <t>Строительство ВЛ 0,4 кВ от №3-106 ВЛ 0,4кВ №3 КТП 10/0,4 кВ №3 ВЛ 10кВ №2903 РП-29 ПС 35/10 кВ А-18 и установка коммерческого учета электрической энергии (мощности) на границе земельного участка для электроснабжения жилого дома заявителя Керенцева В.Н., х. Обуховка, Азовский район, Ростовская область (ориентировочная протяженность ЛЭП – 0,05 км)</t>
  </si>
  <si>
    <t>Строительство ВЛ 0,4 кВ от проектируемой ВЛ 0,4 кВ (по договору ТП № 61-1-21-00580815 от 08.06.2021г.) МТП 10/0,4 кВ №311 ВЛ-10 кВ №106Н ПС 110/6/10 кВ НС-1 и установка коммерческого учета электрической энергии (мощности) на границе земельных участков для электроснабжения жилого дома заявителя Соломиной А.В., ТСН «СНТ Белгорос», Азовский р-он Ростовская область (ориентировочная протяженность ЛЭП – 0,05 км</t>
  </si>
  <si>
    <t>Строительство участка ВЛИ 0,4кВ от оп. №6-5 ВЛ-0,4 кВ №1 КТП 10/0,4 кВ №6 ВЛ-10 кВ №3113 ПС 110/35/10 кВ А-31 и системы учета электрической энергии (мощности) на границе земельного участка для электроснабжения нежилого здания заявителя Мухонько Д.А., с. Пешково, Азовский район, Ростовская область (ориентировочная протяженность ЛЭП – 0,125 км)</t>
  </si>
  <si>
    <t>Строительство ВЛ 0,4 кВ от №102-56 ВЛ 0,4 кВ №1 КТП 10/0,4 кВ №102 ВЛ 10кВ №2907 РП-29 ПС 35/10 кВ А-18 и установка коммерческого учета электрической энергии (мощности) на границе земельного участка для электроснабжения жилого дома заявителя Елисеенко А.В., х. Обуховка, Азовский район, Ростовская область (ориентировочная протяженность ЛЭП – 0,045 км)</t>
  </si>
  <si>
    <t>Установка коммерческого учета электрической энергии (мощности) на границе земельного участка, подключенного от оп. №25-16 ВЛ-0,4 кВ №1 КТП-10/0,4 кВ №25 по ВЛ-10 кВ № 1815 ПС 35/10 кВ «А-18», для электроснабжения магазина заявителя ИП Поляковой С.В., х. Колузаево, Азовский р-он Ростовская область</t>
  </si>
  <si>
    <t>Установка приборов коммерческого учета электрической энергии (мощности) на границе земельного участка, подключенного от опоры №18-12 ВЛ-0,4кВ №1 КТП-10/0,4 кВ №18 ВЛ-10кВ №1815 ПС 35/10 кВ «А-18» для технологического присоединения энергопринимающих устройств гаража Заявителя Дереза О.В., х. Курган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</si>
  <si>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№51-6 ВЛ 0,4 кВ №1 КТП 10/0,4кВ №51 ВЛ 10кВ №1815 ПС 35/10 кВ А-18 для технологического присоединения энергопринимающих устройств жилого дома Заявителя Карелидзе М. Н., х. Обуховка Азовский район, Ростовская область (1 шт.)</t>
  </si>
  <si>
    <t>Установка приборов коммерческого учета электрической энергии (мощности) на границе земельного участка, подключенного от опоры №16-27 ВЛ-0,4 кВ №1 КТП 10/0,4кВ №16 ВЛ-10кВ №2608 ПС 110/10 кВ «А-26» для технологического присоединения энергопринимающих устройств жилого дома Заявителя Башковой С.А.,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</si>
  <si>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№69-23 технически перевооружаемой ВЛИ-0,4 кВ КТП 10/0,4 кВ №69 ВЛ-10 кВ 1509 ПС 35/10 кВ А-15 для технологического присоединения энергопринимающих устройств жилого дома Заявителя Кочубеева Д.М., х. Марков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</si>
  <si>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Гапонова А.А., ООО «ДонАвтономГаз», Азовский район Ростовская область (2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</si>
  <si>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Журавкова Е.В., Захарченко Е.М., Азовский район Ростовская область (2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</si>
  <si>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Сараханова А.А., Зайцевой Ю.А., Николаевой О.М. Азовский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</si>
  <si>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Шлыковой В.М., Басова А.Г., Цай Е.Ю., Азовский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</si>
  <si>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Савченко А.В., Алексишвили М.З., Азовский район Ростовская область (2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</si>
  <si>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Карзакова Р.Ю., Кириченко Л.В., Жадина И.И., Азовский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</si>
  <si>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Давыдова С.А., Литвинова В.В., Азовский район Ростовская область (2 шт.)</t>
  </si>
  <si>
    <t>Установка прибора коммерческого учета электрической энергии (мощности) на границе земельного участка, подключенного от опоры № 217-44 ВЛ-0,4  № 1 КТП-217  ВЛ-10  405   ПС 35кВ Е-4 для технологического присоединения энергопринимающих устройств квартиры Заявителя Асланова Х.П., Ростовская область, Егорлыкский р-н,  х.Ильинский к.н. 61:10:0050301:901 (1 шт.)</t>
  </si>
  <si>
    <t>Установка прибора коммерческого учета электрической энергии (мощности) на границе земельного участка, подключенного от опоры № 72-10 ВЛ-0,4 № 1 КТП-72 ВЛ-10 707   ПС 35кВ Е-7 для технологического присоединения энергопринимающих устройств нежилого здания(склад), заявителя Сафроновой Г.А., Ростовская область, Егорлыкский р-н, х. Войнов, к.н. 61:10:0030101:1489 (1 шт.)</t>
  </si>
  <si>
    <t>Установка прибора коммерческого учета электрической энергии (мощности) на границе земельного участка, подключенного от опоры № 211-97 ВЛ-0,4 № 3 КТП-211 ВЛ-10 612 ПС 35кВ Е-6 для технологического присоединения энергопринимающих устройств квартиры Заявителя Тумасян И.А., Ростовская область, Егорлыкский р-н, х. Шаумяновский, к.н. 61:10:0090101:826 (1 шт.)</t>
  </si>
  <si>
    <t>Установка прибора коммерческого учета электрической энергии (мощности) на границе земельного участка, подключенного от опоры № 363-7   ВЛ-0,4 № 1 КТП-363 ВЛ-10  801  ПС 110кВ Роговская для технологического присоединения энергопринимающих устройств жилого дома Заявителя Горковец В.Н., Ростовская область, Егорлыкский р-н, п.Роговский, к.н. 61:10:110101:0110 (1 шт.)</t>
  </si>
  <si>
    <t>Установка прибора коммерческого учета электрической энергии (мощности) на границе земельного участка, подключенного от опоры  № 39-58 ВЛ-0,4  № 2 КТП-39  ВЛ-10  203   ПС 110кВ Егорлыкская для технологического присоединения энергопринимающих устройств здания коровника Заявителя ИП Воробьева С.А., Ростовская область, Егорлыкский р-н, х. Заря, к.н. 61:10:600014:1086 (1 шт.)</t>
  </si>
  <si>
    <t>Установка прибора коммерческого учета электрической энергии (мощности) на границе земельного участка, подключенного от опоры  № 408-26   ВЛ-0,4 № 1 КТП-408 ВЛ-10  612  ПС 35 кВ Е-6 для технологического присоединения энергопринимающих устройств жилого дома Заявителя Каспарян Г.С., Ростовская область, Егорлыкский  р-н, х. Шаумяновский,  к.н. земельного участка: 61:10:0090101:43 (1 шт.)</t>
  </si>
  <si>
    <t>Установка коммерческого учета электрической энергии (мощности) на границе земельного участка, подключенного от опоры №187-55 ВЛ- 0,4 кВ №2 КТП 10/0,4 кВ №187 по ВЛ-10 кВ №106Н ПС 110/6/10 кВ "НС-1", для электроснабжения жилого дома заявителя Крюкова А.А., ДНТ "Кулешовка", Ростовская область</t>
  </si>
  <si>
    <t>Установка коммерческого учета электрической энергии (мощности) на границе земельного участка, подключенного от опоры №205-20 ВЛ-0,4 кВ №2 КТП-10/0,4 кВ №205 по ВЛ-10 кВ №3127 ПС 110/35/10 кВ "А-31", для электроснабжения жилого дома заявителя Кашириной И.Е., х.Береговой, Ростовская область</t>
  </si>
  <si>
    <t>Установка коммерческого учета электрической энергии (мощности) на границе земельного участка, подключенного от опоры №350-57/10 ВЛ-0,4 кВ №2 КТП-6/0,4 кВ №350 по ВЛ-6 кВ №207Н ПС 110/6/10 кВ "НС-2", для электроснабжения жилого дома заявителя Евдокимовой В.В.,СНТ "Квант",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</si>
  <si>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№46-92 ВЛ-0,4 кВ №3 КТП-10/0,4 кВ №46 по ВЛ-10 кВ № 3207 ПС 110/35/10 кВ «А-32», для электроснабжения жилого дома заявителя Папка С.С., с. Александровка,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</si>
  <si>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№140-33 ВЛ-0,4 кВ №1 КТП-10/0,4 кВ №140 по ВЛ-10 кВ №3202 ПС 110/35/10 кВ "А-32", для электроснабжения жилого дома заявителя Саньковой М.М., с. Александровка,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</si>
  <si>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№1-93 ВЛ-0,4 кВ №1 КТП 10/0,4 кВ №1 по ВЛ-10 кВ 1310 ПС 35/10 кВ "А-13", для электроснабжения жилого дома заявителя Чугуй В.В., с. Елизаветовка, Азовский р-он,  Ростовская область</t>
  </si>
  <si>
    <t>Установка коммерческого учета электрической энергии (мощности) на границе земельного участка, подключенного от РУ-0,4 кВ КТП-10/0,4 кВ №178 (балансовая принадлежность Негреевой О.Н.) по ВЛ-10 кВ №3113 ПС 110/35/10 кВ "А-31", для электроснабжения БС №61-0268 заявителя ПАО "МТС", с. Пешково, Азовский р-он  Ростовская область</t>
  </si>
  <si>
    <t>Установка коммерческого учета электрической энергии (мощности) на границе земельного участка, подключенного от оп. №173-89 ВЛ-0,4 кВ №2 КТП-10/0,4 кВ №173 по ВЛ-10 кВ № 902 ПС 35/10 кВ «А-9», для электроснабжения жилого дома заявителя Скударновой О.Н., х. Павловка, Азовский р-он Ростовская область</t>
  </si>
  <si>
    <t>Установка коммерческого учета электрической энергии (мощности) на границе земельного участка, подключенного от оп. №350-62 ВЛ-0,4 кВ №3 КТП-6/0,4 кВ №350 по ВЛ-6 кВ № 207Н ПС 110/6/10 кВ «НС-2», для электроснабжения участка заявителя Король П.П., СНТ «Квант», Азовский р-он Ростовская область</t>
  </si>
  <si>
    <t>Установка коммерческого учета электрической энергии (мощности) на границе земельного участка, подключенного от оп. №350-62/2 ВЛ-0,4 кВ №3 КТП-6/0,4 кВ №350 по ВЛ-6 кВ № 207Н ПС 110/6/10 кВ «НС-2», для электроснабжения участка заявителя Будниковой З.В., СНТ «Квант», Азовский р-он Ростовская область</t>
  </si>
  <si>
    <t>Строительство системы учета для технологического присоединения энергопринимающих устройств Заявителей: ИП Цай Т.Б., Финенко С.А., Сорокиной В.Л., Боровского В.А., Шабанова А.С., Бабковой Н.Н., Пузыренко О.А., Свирюковой М.В.,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</si>
  <si>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№144-1 ВЛ 0,4 кВ №1 КТП 10/0,4 кВ №144 по ВЛ 10 кВ № 1019 ПС 110/35/10 кВ «Самарская», для электроснабжения складского помещения заявителя Половинко В.В., х. Победа, Азовский район Ростовская область (1шт)</t>
  </si>
  <si>
    <t>Установка прибора коммерческого учета электрической энергии (мощности) на границе земельного участка, подключенного от опоры №22-4 ВЛ-0,4 кВ №1 КТП 10/0,4кВ №22 ВЛ-10кВ №505 ПС 35/10 кВ «А-5» для технологического присоединения энергопринимающих устройств жилого дома Заявителя Пономаренко В.И., с. Отрадовка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</si>
  <si>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Морозова В.С., Зозуля И.Г., Шароян О.В., Азовский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</si>
  <si>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Олейник А.Н., Духова С.В., Пугачевой А.В.,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</si>
  <si>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№316-12 ВЛ 0,4 кВ №1 КТП 10/0,4кВ №316 ВЛ 10кВ №211 ПС 35/10 кВ А-2 для технологического присоединения энергопринимающих устройств жилого дома Заявителя Завгородней С.В., 2,9 км на восток от пункта ГГС "Красногоровка"Азовский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</si>
  <si>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№152-94 ВЛ-0,4 кВ №3 КТП 10/0,4кВ №152 ВЛ-10кВ №3207 ПС 110/35/10 кВ «А-32» для технологического присоединения энергопринимающих устройств жилого дома Прозвонковой И.П., с. 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</si>
  <si>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№329-42 ВЛ 0,4 кВ №2 КТП 10/0,4кВ №329 ВЛ 10кВ №106Н ПС 110/6/10 кВ НС-1 для технологического присоединения энергопринимающих устройств жилого дома Заявителя Сейранова А.А., Кулешовское сельское поселение, ДНТ «Виктория»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</si>
  <si>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№351-6 ВЛ 0,4 кВ №2 КТП 10/0,4кВ №351 ВЛ 10кВ №207Н ПС 110/6/10 кВ НС-2 для технологического присоединения энергопринимающих устройств нежилой застройки Заявителя Смышляева А.Г., СТ «Квант»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</si>
  <si>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№18-6 ВЛ 0,4 кВ №1 КТП 10/0,4кВ №18 ВЛ 10кВ №1815 ПС 35/10 кВ А-18 для технологического присоединения энергопринимающих устройств жилого дома Судаковой Т.В., х. Курган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</si>
  <si>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№211-257/7 ВЛ-0,4 кВ №5 КТП 10/0,4кВ №211 ВЛ-10кВ №910 ПС 35/10 кВ «А-9» для технологического присоединения энергопринимающих устройств дачи Заявителя Сухорада В.В. ДНТ «Южное»,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</si>
  <si>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№381-59 ВЛ 0,4 кВ №1 КТП 10/0,4кВ №381 ВЛ 10кВ №106Н ПС 110/6/10 кВ НС-1 для технологического присоединения энергопринимающих устройств жилого дома Заявителя Чукариной Т.Т., ДНТ СН Кулешовка-2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</si>
  <si>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№381-60 ВЛ-0,4 кВ №1 КТП 10/0,4кВ №381 ВЛ-10кВ №106Н ПС 110/6/10 кВ «НС-1» для технологического присоединения энергопринимающих устройств жилого дома Заявителя Асеева А.Е., ДНТ СН «Кулешовка-2»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</si>
  <si>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№42-89 ВЛ-0,4 кВ №2 КТП 10/0,4кВ №42 ВЛ-10кВ №1802 ПС 35/10 кВ «А-18» для технологического присоединения энергопринимающих устройств жилого дома Заявителя Вегеря Е.В., х. Рогожкино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</si>
  <si>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№100-180 ВЛ-0,4 кВ №1 КТП 10/0,4кВ №100 ВЛ-10кВ №2412 ПС 35/10 кВ «А-24» для технологического присоединения энергопринимающих устройств нежилой застройки Заявителя Сакевич Д.В., х. Лагутник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</si>
  <si>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№21-5 ВЛ-0,4 кВ №1 КТП 10/0,4кВ №21 ВЛ-10кВ №1815 ПС 35/10 кВ «А-18» для технологического присоединения энергопринимающих устройств жилого дома Заявителя Санина Р.А.,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</si>
  <si>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№228-6 ВЛ-0,4 кВ №1 КТП 10/0,4кВ №228 ВЛ-10кВ №106Н ПС 110/6/10 кВ «НС-1» для технологического присоединения энергопринимающих устройств жилого дома Заявителя Семиугловой О.А.,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</si>
  <si>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№185-10 ВЛ 0,4 кВ №1 КТП 10/0,4кВ №185 ВЛ 10кВ №106Н ПС 110/6/10 кВ НС-1 для технологического присоединения энергопринимающих устройств жилого дома Заявителя Турянской Н.В.,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</si>
  <si>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№122-18 ВЛ 0,4 кВ №1 КТП 10/0,4кВ №122 ВЛ 10кВ №1101 ПС 35/10 кВ А-11 для технологического присоединения энергопринимающих устройств базовой станции сотовой связи Заявителя ПАО "Вымпел-Коммуникации",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</si>
  <si>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№223-57 ВЛ 0,4 кВ №3 КТП 10/0,4кВ №223 ВЛ-10кВ №901 ПС 35/10 кВ А-9 для технологического присоединения энергопринимающих устройств жилого дома Заявителя Султанова Э.И., с. Высочино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</si>
  <si>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№228-11 ВЛ 0,4 кВ №1 КТП 10/0,4кВ №228 ВЛ 10кВ №106Н ПС 110/6/10 кВ НС-1 для технологического присоединения энергопринимающих устройств жилого дома Заявителя Жуковой А.Ю.,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</si>
  <si>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№311-15 ВЛ 0,4 кВ №1 КТП 10/0,4кВ №311 ВЛ 10кВ №106Н ПС 110/6/10 кВ НС-1 для технологического присоединения энергопринимающих устройств жилого дома Заявителя Акташ Т.С., СХА "Кулешовское" поле III 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</si>
  <si>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№42-35 ВЛ 0,4 кВ №1 КТП 10/0,4кВ №42 ВЛ 10кВ №1802 ПС 35/10 кВ А-18 для технологического присоединения энергопринимающих устройств жилого дома Заявителя ООО «161 Эксперт», х. Рогожкино,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</si>
  <si>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№44-42 ВЛ 0,4 кВ №3 КТП 10/0,4кВ №44 ВЛ 10кВ №1107 ПС 35/10 кВ А-11 для технологического присоединения энергопринимающих устройств нежилой застройки Заявителя Рыжевского Е.В.,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</si>
  <si>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№44-6 ВЛ 0,4 кВ №3 КТП 10/0,4кВ №44 ВЛ 10кВ №1107 ПС 35/10 кВ А-11 для технологического присоединения энергопринимающих устройств жилого дома Заявителя Борцовой Н.В.,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</si>
  <si>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№71-18 ВЛ 0,4 кВ №1 КТП 10/0,4кВ №71 ВЛ 10кВ №105Н ПС 110/6/10 кВ НС-1 для технологического присоединения энергопринимающих устройств жилого дома Заявителя Киргинцева В.В., х. Усть-Койсуг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</si>
  <si>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№98-107 ВЛ 0,4 кВ №3 КТП 10/0,4кВ №98 ВЛ 10кВ №1815 ПС 35/10 кВ А-18 для технологического присоединения энергопринимающих устройств жилого дома Заявителя Микитюк И.П., х. Колузаево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</si>
  <si>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№102-4 ВЛ 0,4 кВ №1 КТП 10/0,4 кВ №102 по ВЛ 10 кВ № 2907 РП-29 ПС 35/10 кВ «А-18» для технологического присоединения энергопринимающих устройств жилого дома Заявителя Рудакова П.М.,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</si>
  <si>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№103-20 ВЛ 0,4 кВ №1 КТП 10/0,4кВ №103 ВЛ 10кВ №2608 ПС 110/10 кВ А-26 для технологического присоединения энергопринимающих устройств жилого дома Заявителя Папояна А.Г.,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</si>
  <si>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№108-39 ВЛ-0,4 кВ №3 КТП-10/0,4 кВ №108 по ВЛ-10 кВ № 1107 ПС 35/10 кВ «А-11» для технологического присоединения энергопринимающих устройств базовой станции сотовой связи Заявителя ПАО "Вымпел-Коммуникации",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</si>
  <si>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№18-2 ВЛ 0,4 кВ №1 КТП 10/0,4кВ №18 ВЛ 10кВ №1815 ПС 35/10 кВ А-18 для технологического присоединения энергопринимающих устройств жилого дома Заявителя Давыденко В.В., х. Курган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</si>
  <si>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№8-11 ВЛ 0,4 кВ №1 КТП 10/0,4кВ №8 ВЛ 10кВ №1014 ПС 110/35/10 кВ «Самарская» для технологического присоединения энергопринимающих устройств нежилого здания Заявителя ООО "Объединенный оператор", КМ 1103 автомагистрали М-4 "Дон" Азовский район, Ростовская область (1 шт.)</t>
  </si>
  <si>
    <t>Установка приборов коммерческого учета электрической энергии (мощности) на границе земельного участка, подключенного от оп. №311-3/4 ВЛ-0,4 кВ №2 КТП-10/0,4 кВ №311 по ВЛ-10 кВ №106Н ПС 110/6/10 кВ «НС-1»для технологического присоединения энергопринимающих устройств жилого дома Заявителя Алексанян В.Г., Азовский район Ростовская область (1 шт.)</t>
  </si>
  <si>
    <t>Установка приборов коммерческого учета электрической энергии (мощности) на границе земельного участка, подключенного от оп. №381-23 ВЛ-0,4 кВ №1 КТП 10/0,4кВ №381 ВЛ-10кВ №106Н ПС 110/6/10 кВ «НС-1» для технологического присоединения энергопринимающих устройств жилого дома Заявителя Овсепян А.Ф.,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</si>
  <si>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№10-61 ВЛ 0,4 кВ №3 КТП 10/0,4кВ №10 ВЛ 10кВ №3125 ПС 110/35/10 кВ А-31 для технологического присоединения энергопринимающих устройств жилого дома Заявителя Сидорова Г.И.,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</si>
  <si>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№156-33 ВЛ 0,4 кВ №1 КТП 10/0,4кВ №156 ВЛ 10кВ №910 ПС 35/10 кВ А-9 для технологического присоединения энергопринимающих устройств жилого дома Заявителя Пешкова П.В., х. Павловка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</si>
  <si>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№185-7 ВЛ 0,4 кВ №1 КТП 10/0,4кВ №185 ВЛ-10кВ №106Н ПС 110/6/10 кВ НС-1 для технологического присоединения энергопринимающих устройств жилого дома Заявителя Коваленко С.А.,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</si>
  <si>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№187-14 ВЛ 0,4 кВ №3 КТП 10/0,4кВ №187 ВЛ 10кВ №106Н ПС 110/6/10 кВ НС-1 для технологического присоединения энергопринимающих устройств жилого дома Заявителя Ткаченко В.С.,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</si>
  <si>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№21-6 ВЛ 0,4 кВ №1 КТП 10/0,4кВ №21 ВЛ 10кВ №1702 ПС 35/10 кВ А-17 для технологического присоединения энергопринимающих устройств жилого дома Заявителя Клюевой С.В., с. Стефанидинодар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</si>
  <si>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№24-4 ВЛ 0,4 кВ №1 ЗТП 10/0,4кВ №24 КЛ 10кВ №1205 ПС 110/10 кВ А-12 для технологического присоединения энергопринимающих устройств жилого дома Заявителя Прядько Я.С.,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</si>
  <si>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№27-101 ВЛ 0,4 кВ №3 КТП 10/0,4кВ №27 ВЛ 10кВ №1701 ПС 35/10 кВ А-17 для технологического присоединения энергопринимающих устройств жилого дома Заявителя Талпа С.Б.,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</si>
  <si>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№27-65 ВЛ 0,4 кВ №3 КТП 10/0,4кВ №27 ВЛ 10кВ №1701 ПС 35/10 кВ А-17 для технологического присоединения энергопринимающих устройств жилого дома Заявителя Бутко А.И.,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</si>
  <si>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№315-20 ВЛ 0,4 кВ №1 КТП 10/0,4кВ №315 ВЛ 10кВ №2608 ПС 110/10 кВ А-26 для технологического присоединения энергопринимающих устройств жилого дома Заявителя Кудряшова Е.В.,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</si>
  <si>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№329-8 ВЛ 0,4 кВ №1 КТП 10/0,4кВ №329 ВЛ 10кВ №106Н ПС 110/6/10 кВ НС-1 для технологического присоединения энергопринимающих устройств жилого дома Заявителя Супрунюк Н.В., СХА(К) Кулешовское поле III 0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</si>
  <si>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№41-92 ВЛ 0,4 кВ №3 ЗТП 10/0,4кВ №41 (бесхозная) ВЛ 10кВ №2608 ПС 110/10 кВ А-26 для технологического присоединения энергопринимающих устройств жилого дома Заявителя Сидуловой Е.П.,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</si>
  <si>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проектируемой ВЛИ-0,4 кВ (по договору ТП №61-1-20-00543967 от 10.11.2020г.) ТП 10/0,4кВ №311 ВЛ 10кВ №106Н ПС 110/6/10 кВ НС-1 для технологического присоединения энергопринимающих устройств жилого дома Заявителя Береза С.С., СХА "Кулешовское" поле III 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</si>
  <si>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№100-11 ВЛ 0,4 кВ №1 КТП 10/0,4кВ №100 ВЛ 10кВ №1708 ПС 35/10 кВ А-17 для технологического присоединения энергопринимающих устройств жилого дома Заявителя Демидченко И.В.,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</si>
  <si>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№10-64 ВЛ 0,4 кВ №2 КТП 10/0,4кВ №10 ВЛ 10кВ №3202 ПС 110/35/10 кВ А-32 для технологического присоединения энергопринимающих устройств жилого дома Заявителя Мурадова Г.Б., с. 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</si>
  <si>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№14-137 ВЛ 0,4 кВ №4 КТП 10/0,4кВ №14 ВЛ 10кВ №106Н ПС 110/6/10 кВ НС-1 для технологического присоединения энергопринимающих устройств жилого дома Заявителя Захарян О.В.,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</si>
  <si>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№148-6 ВЛ 0,4 кВ №1 КТП 10/0,4кВ №148 ВЛ 10кВ №1019 ПС 110/35/10 кВ Самарская для технологического присоединения энергопринимающих устройств жилого дома Заявителя Котляровой О.Б., х. Победа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</si>
  <si>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№156-63 ВЛ 0,4 кВ №3 КТП 10/0,4кВ №156 ВЛ 10кВ №1701 ПС 35/10 кВ А-17 для технологического присоединения энергопринимающих устройств жилого дома Заявителя Горской Е.В.,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</si>
  <si>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№160-20/1 ВЛ 0,4 кВ №1 КТП 10/0,4кВ №160 ВЛ 10кВ №1101 ПС 35/10 кВ А-11 для технологического присоединения энергопринимающих устройств жилого дома Заявителя Огурной О.В.,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</si>
  <si>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№240-48 ВЛ 0,4 кВ №2 КТП 10/0,4кВ №240 ВЛ 10кВ №106Н ПС 110/6/10 кВ НС-1 для технологического присоединения энергопринимающих устройств жилого дома Заявителя Жлуктенко А.А.,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</si>
  <si>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№329-28/3 ВЛ 0,4 кВ №2 КТП 10/0,4кВ №329 ВЛ 10кВ №106Н ПС 110/6/10 кВ НС-1 для технологического присоединения энергопринимающих устройств жилого дома Заявителя Егиазаряна А.П., ДНТ «Виктория»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</si>
  <si>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№45-28 ВЛ 0,4 кВ №1 ЗТП 10/0,4кВ №45 ВЛ 10кВ №211 ПС 35/10 кВ А-2 для технологического присоединения энергопринимающих устройств жилого дома Заявителя Зубова И.В.,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</si>
  <si>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№48-25 ВЛ 0,4 кВ №2 КТП 10/0,4кВ №48 ВЛ 10кВ №1815 ПС 35/10 кВ А-18 для технологического присоединения энергопринимающих устройств жилого дома Заявителя Головина О.В., на территории Елизаветинского СП от ПТ "Пять братьев" 800 м на северо-восток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</si>
  <si>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№48-26 ВЛ 0,4 кВ №2 КТП 10/0,4кВ №48 ВЛ 10кВ №1815 ПС 35/10 кВ А-18 для технологического присоединения энергопринимающих устройств жилого дома Заявителя Заблоцкой Н.И., на территории Елизаветинского СП от ПТ "Пять братьев" 800 м на северо-восток, Азовский район, Ростовская область (1 шт.)</t>
  </si>
  <si>
    <t xml:space="preserve">Установка прибора коммерческого учета электрической энергии (мощности) на границе земельного участка, подключенного от опоры №48-28 ВЛ 0,4 кВ №2 КТП 10/0,4кВ №48 ВЛ 10кВ №1815 ПС 35/10 кВ А-18 для технологического присоединения энергопринимающих устройств жилого дома Заявителя Лызганова М.С., Рыболовецкий колхоз им.Ленина,в границах квартала 61:01:0600002 на территории Елизаветинского СП от ПТ "Пять братьев" 800 м на северо-восток Азовский район, Ростовская область (1 шт.)
</t>
  </si>
  <si>
    <t>Установка прибора коммерческого учета электрической энергии (мощности) на границе земельного участка, подключенного от опоры №49-13 ВЛ 0,4кВ №1 КТП 10/0,4 кВ №49 ВЛ 10кВ №2608 ПС 110/10 кВ А-26 для технологического присоединения энергопринимающих устройств объекта торговли Заявителя ИП Кутровской Н.В.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</si>
  <si>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№59-73 ВЛ 0,4кВ №2 КТП 10/0,4 кВ 59 ВЛ 10кВ №2608 ПС 110/10 кВ А-26 для технологического присоединения энергопринимающих устройств хозяйственной постройки Гусейновой Э.Э.,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</si>
  <si>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№82-57 ВЛ 0,4 кВ №3 КТП 10/0,4кВ №82 ВЛ 10кВ №3127 ПС 110/35/10 кВ А-31 для технологического присоединения энергопринимающих устройств жилого дома Заявителя Абдразакова Р.А., с. 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</si>
  <si>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№8-27 ВЛ 0,4 кВ №1 КТП 10/0,4кВ №8 ВЛ 10кВ №502 ПС 35/10 кВ А-5 для технологического присоединения энергопринимающих устройств жилого дома Заявителя Ельниковой И.В., с. Отрадовка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</si>
  <si>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№85-53 ВЛ 0,4 кВ №3 КТП 10/0,4кВ №85 ВЛ 10кВ №2608 ПС 110/10 кВ А-26 для технологического присоединения энергопринимающих устройств гаража Заявителя Зыкова И.П.,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</si>
  <si>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№9-43 ВЛ 0,4 кВ КТП 10/0,4кВ №9 (балансовая принадлежность ООО «Рыбколхоз им. Ленина) ВЛ 10кВ №1815 ПС 35/10 кВ А-18 для технологического присоединения энергопринимающих устройств жилого дома Заявителя Миронова И.И.,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</si>
  <si>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проектируемой ВЛИ-0,4 кВ (по договору ТП №61-1-20-00561587 от 01.03.2021г.) КТП 10/0,4 кВ №166 ВЛ 10кВ №1701 ПС 35/10 кВ А-17 для технологического присоединения энергопринимающих устройств жилого дома Заявителя Зигаева Д.Ю.,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</si>
  <si>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№111-75 ВЛ-0,4 кВ №3 КТП 10/0,4 кВ №111 по ВЛ 10 кВ №3113 ПС 110/35/10 кВ А-31 для технологического присоединения энергопринимающих устройств жилого дома Заявителя Богданова М.С.,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</si>
  <si>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№48-21 ВЛ 0,4 кВ №2 КТП 10/0,4кВ №48 ВЛ 10кВ №1815 ПС 35/10 кВ А-18 для технологического присоединения энергопринимающих устройств жилого дома Заявителя Ильченко В.В., на территории Елизаветинского СП от ПТ "Пять братьев" 800 м на северо-восток,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</si>
  <si>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Высавского Ю.Ф., Трунова В.А., Коломийцева В.В. Азовский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</si>
  <si>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Скляровой А.Г., Табунщиковой Н.И., Шевченко А.В.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</si>
  <si>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№81-78 ВЛ 0,4 №3 КТП-81 ВЛ-10 501 ПС 35 кВ ЗР5 для технологического присоединения энергопринимающих устройств нежилого здания Заявителя Борового Г.А., Ростовская область, Зерноградский р-н, х. Гуляй-Борисовка, пер. 50 лет ВЛКСМ 9А/62 (1 шт.)</t>
  </si>
  <si>
    <t>Установка прибора коммерческого учета электрической энергии (мощности) на границе земельного участка, подключенного от опоры №15-5 ВЛ-0,4 кВ №2 ТП 10/0,4 кВ №15 по ВЛ 10 кВ №106Н ПС 110/10/6 кВ НС-1 для технологического присоединения энергопринимающих устройств складского здания/помещения Заявителя ИП Стрельцов В.Н.,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</si>
  <si>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№99-10 ВЛ 0,4 №1 КТП-99 ВЛ-10 114 ПС 220 кВ Зерновая для технологического присоединения энергопринимающих устройств дачного дома Заявителя Бжеленко С.Н., Ростовская область, Зерноградский р-н, в 0,035 км от восточной окраины г. Зерноград, уч.10 (1 шт.)</t>
  </si>
  <si>
    <t>Установка прибора коммерческого учета электрической энергии (мощности) на границе земельного участка, подключенного от опоры №51-40 ВЛ 0,4 №2 КТП-51 ВЛ-10 318 ПС 35 кВ КГ3 для технологического присоединения энергопринимающих устройств магазина Заявителя Вакуленко М.А., Ростовская область, Кагальницкий р-н, ст. Кировская, ул. Кирова д.1В (1 шт.)</t>
  </si>
  <si>
    <t>Установка прибора коммерческого учета электрической энергии (мощности) на границе земельного участка, подключенного от опоры №17-8 ВЛ-0,4 кВ №1 КТП 10/0,4 кВ №17 по ВЛ 10 кВ №107Н ПС 110/6/10 кВ НС-1 для технологического присоединения энергопринимающих устройств нежилой застройки дома Заявителя ИП Калашник И.Н., п. Овощной, Азовский район, Ростовская область, к.н. 61:01:0130101:4975 (1 шт.)</t>
  </si>
  <si>
    <t>Установка прибора коммерческого учета электрической энергии (мощности) на границе земельного участка, подключенного от опоры №28-253 ВЛ-0,4 №3 ЗТП-28 ВЛ-10 313 ПС 35 кВ КГ3 для технологического присоединения  энергопринимающих устройств ЛПХ Заявителя Лузина Е.Ф. Ростовская область, Кагальницкий р-н, ст. Кировская, ул. Новостройки д.33 к.н. 61:14:0050126:260 (1 шт.)</t>
  </si>
  <si>
    <t>Установка прибора коммерческого учета электрической энергии (мощности) на границе земельного участка, подключенного от опоры №9-56 ВЛ-0,4 №2 КТП-9 ВЛ-10 501 ПС 35 кВ ЗР5 для технологического присоединения  энергопринимающих устройств ЛПХ Заявителя Игнатенко А.С. Ростовская область, Зерноградский р-н, х. Гуляй-Борисовская, ул. Николаенко д.6 кв.2 к.н. 61:12:0011225:63 (1 шт.)</t>
  </si>
  <si>
    <t>Установка прибора коммерческого учета электрической энергии (мощности) на границе земельного участка, подключенного от опоры №135-94 ВЛ-0,4 №3 КТП-135 ВЛ-10 805 ПС 110 кВ БОС для технологического присоединения  энергопринимающих устройств жилого дома Заявителя Пархоменко Д.Н. Ростовская область, Кагальницкий р-н, п. Мокрый Батай, ул. Майская, д.7 к.н. 61:14:0060107:653 (1 шт.)</t>
  </si>
  <si>
    <t>Установка прибора коммерческого учета электрической энергии (мощности) на границе земельного участка, подключенного от опоры №52-35 ВЛ-0,4 №3 КТП-52 ВЛ-10 319 ПС 35 кВ КГ3 для технологического присоединения  энергопринимающих устройств ЛПХ Заявителя Адиханян М.А. Ростовская область, Кагальницкий р-н, ст. Кировская, ул. Ленина д.106А к.н. 61:14:0050138:75 (1 шт.</t>
  </si>
  <si>
    <t>Установка прибора коммерческого учета электрической энергии (мощности) на границе земельного участка, подключенного от опоры №27-69 ВЛ-0,4 №2 КТП-27 ВЛ-10 605 ПС 35 кВ КГ6 для технологического присоединения  энергопринимающих устройств ЛПХ Заявителя Епатко В.В. Ростовская область, Кагальницкий р-н, с. Новобатайск, ул. Илларионова д.50А к.н. 61:14:0040143:140 (1 шт.)</t>
  </si>
  <si>
    <t>Установка прибора коммерческого учета электрической энергии (мощности) на границе земельного участка, подключенного от опоры №7-21 ВЛ-0,4 №2 КТП-7 ВЛ-10 501 ПС 35 кВ ЗР5 для технологического присоединения  энергопринимающих устройств ЛПХ Заявителя Болохова К.Л.,  Ростовская область, Зерноградский р-н. х. Гуляй-Борисовка, ул. 60 лет СССР д.15А к.н. 61:12:0011217:106 (1 шт.)</t>
  </si>
  <si>
    <t>Установка прибора коммерческого учета электрической энергии (мощности) на границе земельного участка, подключенного от опоры №31-7 ВЛ-0,4 №4 КТП-31 ВЛ-10 1402 от ПС 35 кВ ЗР14 для технологического присоединения энергопринимающих устройств объекта сельскохозяйственного производства Заявителя Болдинова Н.В., Ростовская обл., Зерноградский р-н,к.н. 61:12:0020201:1651 (1шт)</t>
  </si>
  <si>
    <t>Установка прибора коммерческого учета электрической энергии (мощности) на границе земельного участка, подключенного от опоры №109-47 ВЛ-0,4 №2 КТП-109 ВЛ-10 805 ПС 110 кВ БОС для технологического присоединения  энергопринимающих устройств ЛПХ Заявителя Белоусова Н.В. Ростовская область, Кагальницкий р-н, п. Мокрый Батай, ул. Строителей д.2А к.н. 61:14:0060108:1043 (1 шт.)</t>
  </si>
  <si>
    <t>Установка прибора коммерческого учета электрической энергии (мощности) на границе земельного участка, подключенного от опоры №18-57 ВЛ-0,4 №1 КТП-18 ВЛ-10 605 от ПС 35 кВ КГ4 для технологического присоединения энергопринимающих устройств нежилого здания заявителя  ИП Заргаряан В.Р., Ростовская обл., Кагальницкий р-н., с. Новобатайск к.н. 61:14:0040113:55 (1 шт.)</t>
  </si>
  <si>
    <t>Установка прибора коммерческого учета электрической энергии (мощности) на границе земельного участка, подключенного от опоры №27-25 ВЛ-0,4 №1 КТП-27 ВЛ-10 605 ПС 35 кВ КГ6 для технологического присоединения  энергопринимающих устройств жилого дома Заявителя Согомонян К.С. Ростовская область, Кагальницкий р-н, с. Новобатайск, пер. Калининский д.13А к.н. 61:14:0040144:160 (1 шт.)</t>
  </si>
  <si>
    <t>Установка прибора коммерческого учета электрической энергии (мощности) на границе земельного участка, подключенного от опоры №188-4 ВЛ-0,4 №1 КТП-188 ВЛ-10 319 ПС 35 кВ КГ3 для технологического присоединения  энергопринимающих устройств жилого дома Заявителя Лисунова В.Г. Ростовская область, Кагальницкий р-н, ст. Кировская, ул. Полевая д.11А к.н. 61:14:0050116:167 (1 шт.)</t>
  </si>
  <si>
    <t>Установка прибора коммерческого учета электрической энергии (мощности) на границе земельного участка, подключенного от опоры №30-39 ВЛ-0,4 №2 КТП-30 ВЛ-10 605 от ПС 35 кВ КГ6 для технологического присоединения энергопринимающих устройств жилого дома Заявителя Шульги О.В., Ростовская обл., Кагальницкий р-н., с. Новобатайск, к.н. 61:14:0040156:14 (1 шт)</t>
  </si>
  <si>
    <t>Установка прибора коммерческого учета электрической энергии (мощности) на границе земельного участка, подключенного от опоры №15-52   ВЛ-0,4 №3 КТП-15 ВЛ-10 605  ПС 35 кВ КГ6 для технологического присоединения энергопринимающих устройств жилого дома Заявителя Холод А.О., Ростовская область, Кагальницкий  р-н, с. Новобатайск, ул. Мичуринская д.32  к.н. 61:14:0000000:00 (1 шт.)</t>
  </si>
  <si>
    <t>Установка прибора коммерческого учета электрической энергии (мощности) на границе земельного участка, подключенного от опоры №42-19 ВЛ-0,4 №1 КТП-42 ВЛ-10 505 от ПС 35 кВ ЗР5 для технологического присоединения энергопринимающих устройств объекта дорожного хозяйства заявителя Министерство транспорта Ростовской области, Ростовская обл., Зерноградский р-н., ст-ца. Мечетинская-с. Гуляй-Борисовка-п. Нижнекугоейский, к.н. 61:12:0000000:61 (1 шт.)</t>
  </si>
  <si>
    <t>Установка прибора коммерческого учета электрической энергии (мощности) на границе земельного участка, подключенного от опоры №10-40 ВЛ-0,4 кВ №3 КТП 10/0,4 кВ №10 по ВЛ 10 кВ №3125 ПС 110/35/10 кВ А-31 для технологического присоединения энергопринимающих устройств жилого дома Заявителя Резниковой Е.А.,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</si>
  <si>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№162-13 ВЛ 0,4 кВ №2 КТП 10/0,4кВ №162 ВЛ 10кВ №1101 ПС 35/10 кВ А-11 для технологического присоединения энергопринимающих устройств жилого дома Заявителя Фисенко П.В.,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</si>
  <si>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№187-12 ВЛ 0,4кВ №4 КТП 10/0,4 кВ №187 ВЛ 10кВ №106Н ПС 110/6/10 кВ НС-1 для технологического присоединения энергопринимающих устройств жилого дома Заявителя Терещенко И.О.,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</si>
  <si>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№211-266 ВЛ 0,4 кВ №5 КТП 10/0,4кВ №211 ВЛ 10кВ №910 ПС 35/10 кВ А-9 для технологического присоединения энергопринимающих устройств жилого дома Заявителя Квиринг К.В., ДНТ «Южное»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</si>
  <si>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№27-6 ВЛ 0,4 кВ №1 КТП 10/0,4кВ №27 ВЛ 10кВ №1815 ПС 35/10 кВ А-18 для технологического присоединения энергопринимающих устройств жилого дома Заявителя Скрипникова Б.А.,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</si>
  <si>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№329-9 ВЛ 0,4 кВ №1 КТП 10/0,4кВ №329 ВЛ 10кВ №106Н ПС 110/6/10 кВ НС-1 для технологического присоединения энергопринимающих устройств жилого дома Заявителя Файзуллоева Б.Н., СХА(К) Кулешовское поле III 0,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</si>
  <si>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№329-9 ВЛ 0,4 кВ №1 КТП 10/0,4кВ №329 ВЛ 10кВ №106Н ПС 110/6/10 кВ НС-1 для технологического присоединения энергопринимающих устройств жилого дома Заявителя Пушкаренко Д.А., ТСН «СНТ Белгорос»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</si>
  <si>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№381-31 ВЛ 0,4кВ №1 КТП 10/0,4 кВ №381 ВЛ 10кВ №106Н ПС 110/6/10 кВ НС-1 для технологического присоединения энергопринимающих устройств жилого дома Заявителя Казарян Л.К., ДНТ СН «Кулешовка-2»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</si>
  <si>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№38-49 ВЛ 0,4 кВ №1 КТП 10/0,4кВ №38 ВЛ 10кВ №106Н ПС 110/6/10 кВ НС-1 для технологического присоединения энергопринимающих устройств жилого дома Заявителя Тимофеева В.И.,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</si>
  <si>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0,4кВ КТП 10/0,4 кВ №279 (балансовая принадлежность ИП Усачев В.И. (п. Беловодье) по ВЛ-10кВ №1815 ПС 35/10 кВ А-18 для технологического присоединения энергопринимающих устройств жилого дома Заявителя Скорой Л.В.,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</si>
  <si>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№239-58 ВЛ 0,4 кВ №2 КТП 10/0,4кВ №239 ВЛ 10кВ №106Н ПС 110/6/10 кВ НС-1 для технологического присоединения энергопринимающих устройств жилого дома Заявителя Богдановой Я.А., п.Овощной,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</si>
  <si>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№212-92 ВЛ 0,4 кВ №4 КТП 10/0,4кВ №212 ВЛ 10кВ №910 ПС 35/10 кВ А-9 для технологического присоединения энергопринимающих устройств жилого дома Заявителя Гагуновой Л.В., СНТ «Южное»,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</si>
  <si>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№33-32 ВЛ 0,4 кВ №2 КТП 10/0,4кВ №33 ВЛ 10кВ №2907 РП-29 ПС 35/10 кВ А-18 для технологического присоединения энергопринимающих устройств жилого дома Заявителя Ирхиной Н.А., х. Коса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</si>
  <si>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№105-86 ВЛ 0,4 кВ №1 КТП 10/0,4кВ №105 ВЛ 10кВ №2608 ПС 110/10 кВ А-26 для технологического присоединения энергопринимающих устройств жилого дома Заявителя Каримова Р.Р.,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</si>
  <si>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№66-37 ВЛ 0,4 кВ №2 КТП 10/0,4кВ №66 ВЛ 10кВ №307Н ПС 110/35/6/10 кВ НС-3 для технологического присоединения энергопринимающих устройств жилого дома Заявителя Кийко Р.И., х. Зеленый Мыс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</si>
  <si>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№97-36 ВЛ 0,4 кВ №2 КТП 10/0,4кВ №97 ВЛ 10кВ №1101 ПС 35/10 кВ А-11 для технологического присоединения энергопринимающих устройств жилого дома Заявителя Колесникова И.Н.,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</si>
  <si>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№239-111 ВЛ-0,4 кВ №4 КТП 10/0,4кВ №239 ВЛ-10кВ №106Н ПС 110/6/10 кВ НС-1 для технологического присоединения энергопринимающих устройств жилого дома Заявителя Кривонос Д.В., п.Овощной,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</si>
  <si>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№184-32 ВЛ-0,4 кВ №3 КТП 10/0,4 кВ №184 по ВЛ 10 кВ №3113 ПС 110/35/10 кВ А-31 для технологического присоединения энергопринимающих устройств жилого дома Заявителя Кузьменко В.Ю., с.Пешково, Азовский район, Ростовская область (1 шт.) (по дог.ТП 61-1-21-00622995 от 29.12.2021)</t>
  </si>
  <si>
    <t>Установка прибора коммерческого учета электрической энергии (мощности) на границе земельного участка, подключенного от опоры №184-32 ВЛ-0,4 кВ №3 КТП 10/0,4 кВ №184 по ВЛ 10 кВ №3113 ПС 110/35/10 кВ А-31 для технологического присоединения энергопринимающих устройств жилого дома Заявителя Кузьменко В.Ю., с.Пешково, Азовский район, Ростовская область (1 шт.) (по дог.ТП 61-1-21-00623007 от 29.12.2021)</t>
  </si>
  <si>
    <t>Установка прибора коммерческого учета электрической энергии (мощности) на границе земельного участка, подключенного от опоры №89-65 ВЛ 0,4 кВ №1 КТП 10/0,4кВ №89 ВЛ 10кВ №1014 ПС 110/35/10 кВ Самарская для технологического присоединения энергопринимающих устройств жилого дома Заявителя Лавруковой Ю.С., х. Ельбузд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</si>
  <si>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№358-15 ВЛ 0,4 кВ №2 КТП 10/0,4кВ №358 ВЛ 10кВ №202Н ПС 110/6/10 кВ НС-2 для технологического присоединения энергопринимающих устройств жилого дома Заявителя Лаптевой А.А., ЗАО Обильное,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</si>
  <si>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№27-22 ВЛ 0,4 кВ №1 КТП 10/0,4кВ №27 ВЛ 10кВ №1815 ПС 35/10 кВ А-18 для технологического присоединения энергопринимающих устройств жилого дома Заявителя Личкановской Н.Л., х.Городище,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</si>
  <si>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№36-40 ВЛ-0,4 кВ №2 КТП 10/0,4 кВ №36 по ВЛ 10 кВ №1702 ПС 35/10 кВ А-17 для технологического присоединения энергопринимающих устройств жилого дома Заявителя Макарова А.А., с. Стефанидинодар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</si>
  <si>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№185-62/24 ВЛ-0,4кВ №4 КТП 10/0,4 кВ №185 ВЛ-10кВ №106Н ПС 110/6/10 кВ НС-1 для технологического присоединения энергопринимающих устройств жилого дома Заявителя Пантелеевой Н.В., ДНТ «Эдем»,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</si>
  <si>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№334-26 ВЛ-0,4 кВ №1 КТП 10/0,4 кВ №334 по ВЛ 10 кВ №202Н ПС 110/6/10 кВ НС-2 для технологического присоединения энергопринимающих устройств жилого дома Заявителя Пелевец Н.А., ЗАО Обильное,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</si>
  <si>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№316-8 ВЛ 0,4 кВ №1 МТП 10/0,4кВ №316 ВЛ 10кВ №211 ПС 35/10 кВ А-2 для технологического присоединения энергопринимающих устройств жилого дома Заявителя Рыбак М.В., 2,9 км на восток от пункта ГГС "Красногоровка" (СХКА им ХХ Партсъезда поле №8,9),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</si>
  <si>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№111-73 ВЛ-0,4 кВ №3 КТП 10/0,4 кВ №111 по ВЛ 10 кВ №3113 ПС 110/35/10 кВ А-31 для технологического присоединения энергопринимающих устройств жилого дома Заявителя Рыжаковой Ю.Н.,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</si>
  <si>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№185-43 ВЛ-0,4 кВ №2 КТП 10/0,4 кВ №185 по ВЛ 10 кВ №3125 ПС 110/35/10 кВ А-31 для технологического присоединения энергопринимающих устройств жилого дома Заявителя Таранова В.В.,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</si>
  <si>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№97-38 ВЛ 0,4 кВ №2 КТП 10/0,4кВ №97 ВЛ 10кВ №1101 ПС 35/10 кВ А-11 для технологического присоединения энергопринимающих устройств жилого дома Заявителя Чайкиной М.П.,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</si>
  <si>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№71-8 ВЛ 0,4 кВ №1 КТП 10/0,4кВ №71 ВЛ 10кВ №105Н ПС 110/6/10 кВ НС-1 для технологического присоединения энергопринимающих устройств жилого дома Заявителя Шаповал Н.В., х. Усть-Койсуг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</si>
  <si>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№175-6 ВЛ 0,4 кВ №1 КТП 10/0,4кВ №175 ВЛ 10кВ №3105 ПС 110/35/10 кВ А-31 для технологического присоединения энергопринимающих устройств жилого дома Заявителя Шерозия В.Д., с.Займо-Обрыв,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</si>
  <si>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№20-2 ВЛ-0,4 №1 КТП-20 ВЛ-10 803 ПС 35 кВ ЗР8 для технологического присоединения энергопринимающих устройств магазина Заявителя ИП Ширай В.А., Ростовская область, Зерноградский р-н, х. Донской, ул. Цветной Бульвар, д. 30А (1 шт.)</t>
  </si>
  <si>
    <t>Установка прибора коммерческого учета электрической энергии (мощности) на границе земельного участка, подключенного от опоры №92-20 ВЛ 0,4 №1 КТП-92 ВЛ-10 415 ПС 35 кВ КГ4 для технологического присоединения энергопринимающих устройств жилого дома Заявителя Ивченко В.А., Ростовская область, Кагальницкий р-н, с.Иваново-Шамшево, к.н: 61:14:030305:0001 (1 шт.)</t>
  </si>
  <si>
    <t xml:space="preserve">Установка прибора коммерческого учета электрической энергии (мощности) на границе земельного участка, подключенного от опоры №28-126 ВЛ 0,4 №4 от ЗТП10 /0,4 №28 ВЛ-10 №313 ПС 35/10 кВ КГ3 для технологического присоединения энергопринимающих устройств объекта торговли Заявителя ИП Бондарь В.С., Ростовская область, Кагальницкий р-н, ст. Кировская, к.н: 61:14:0050130:86  (1 шт.)
</t>
  </si>
  <si>
    <t xml:space="preserve">Установка прибора коммерческого учета электрической энергии (мощности) на границе земельного участка, подключенного от оп. №1-18 ВЛ-10 1507 от ПС 110 кВ ЗР15 (принадлежностью филиала ПАО «Россети Юг»-«Ростовэнерго»); КТП, ВЛ-0,4 (принадлежность ИП Харьковская А.А.; ООО «Ремстрой») для технологического присоединения энергопринимающих устройств складского здания Заявителя ООО «Амида», Ростовская обл., Зерноградский р-н, г. Зерноград к.н. 61:12:0040102:771 (1 шт.)
</t>
  </si>
  <si>
    <t>Установка прибора коммерческого учета электрической энергии (мощности) на границе земельного участка, подключенного от опоры №32-16 ВЛ-0,4 №1 КТП-32 ВЛ-10 1402 ПС 35 кВ ЗР14 для технологического присоединения  энергопринимающих устройств ремонтной мастерской Заявителя Быстрова Л.А. Ростовская область, Зерноградский р-н, с. Светлоречное, ул. Мира д.18Б к.н. 61:12:0020201:1404 (1 шт.)</t>
  </si>
  <si>
    <t>Установка прибора коммерческого учета электрической энергии (мощности) на границе земельного участка, подключенного от опоры №52-68 ВЛ-0,4 №2 КТП-52 ВЛ-10 319 от ПС 35 кВ КГ3 для технологического присоединения энергопринимающих устройств жилого дома Заявителя Веевник Е.Н., Ростовская обл., Кагальницкий, ст. Кировская к.н. 61:14:0050138:62 (1 шт.)</t>
  </si>
  <si>
    <t>Установка прибора коммерческого учета электрической энергии (мощности) на границе земельного участка, подключенного от опоры №162-36 ВЛ-0,4 №2 КТП-162 ВЛ-10 605 ПС 35 кВ КГ6 для технологического присоединения  энергопринимающих устройств жилого дома Заявителя Веселов А.В. Ростовская область, Кагальницкий р-н, с. Новобатайск, ул. Ленина д.92А к.н. 61:14:0040122:338 (1 шт.)</t>
  </si>
  <si>
    <t>Установка прибора коммерческого учета электрической энергии (мощности) на границе земельного участка, подключенного от опоры №66-35   ВЛ-0,4 № 1 КТП-66 ВЛ-10 319  ПС 35 кВ КГ3 для технологического присоединения энергопринимающих устройств жилого дома Заявителя Головачева А.В., Ростовская область, Кагальницкий   р-н, п. Малодубравный пер. Победный д.2 ,  к.н. земельного участка: 61:14:0600019:3291(1 шт.)</t>
  </si>
  <si>
    <t>Установка прибора коммерческого учета электрической энергии (мощности) на границе земельного участка, подключенного от опоры №8-34   ВЛ-0,4 №1 КТП-8 ВЛ-10 305  ПС 35 кВ КГ3 для технологического присоединения энергопринимающих устройств нежилой застройки Заявителя Зайцев А.П., Ростовская область, Кагальницкий   р-н, п. Глубокий Яр  к.н.: 61:14:0050301:216 (1 шт.)</t>
  </si>
  <si>
    <t>Установка прибора коммерческого учета электрической энергии (мощности) на границе земельного участка, подключенного от опоры №18-5 ВЛ-0,4 №1 КТП-18 ВЛ-10 605 ПС 35 кВ КГ6 для технологического присоединения  энергопринимающих устройств нежилой застройки Заявителя Клименко В.М. Ростовская область, Кагальницкий р-н, с. Новобатайск, ул. Ленина д.66А к.н. 61:14:0040158:6 (1 шт.)</t>
  </si>
  <si>
    <t>Установка прибора коммерческого учета электрической энергии (мощности) на границе земельного участка, подключенного от опоры №128-18 ВЛ-0,4 №1 КТП-128 ВЛ-10 313 ПС 35 кВ КГ3 для технологического присоединения  энергопринимающих устройств жилого дома Заявителя Кольцов С.А. Ростовская область, Кагальницкий р-н, ст. Кировская, ул. Павлова д.8А к.н. 61:14:0050106:327 (1 шт.)</t>
  </si>
  <si>
    <t>Установка прибора коммерческого учета электрической энергии (мощности) на границе земельного участка, подключенного от опоры №148-17 ВЛ-0,4 №1 КТП-148 ВЛ-10 202 ПС 110 кВ Краснолучинская для технологического присоединения  энергопринимающих устройств ЛПХ Заявителя Лебедев В.В. Ростовская область, Зерноградский р-н, с. Новокузнецовка, ул. Свободы д.8 к.н. 61:12:0080101:8 (1 шт.)</t>
  </si>
  <si>
    <t>Установка прибора коммерческого учета электрической энергии (мощности) на границе земельного участка, подключенного от опоры №42-13   ВЛ-0,4 № 1 КТП-42 ВЛ-10 515  ПС 35 кВ ЗР5 для технологического присоединения  энергопринимающих устройств фоторадарного комплекса Заявителя Министрство транспорта РО.,  Ростовская область, Зерноградский р-н. х. Гуляй-Борисовка –п. Нижнекугоейский,  к.н. земельного участка: 61:12:0000000:1355 (1 шт.)</t>
  </si>
  <si>
    <t>Установка прибора коммерческого учета электрической энергии (мощности) на границе земельного участка, подключенного от опоры №218-40 ВЛ-0,4 №2 КТП-218 ВЛ-10 605 ПС 35 кВ КГ6 для технологического присоединения  энергопринимающих устройств жилого дома Заявителя Мисько А.П. Ростовская область, Кагальницкий р-н, с. Новобатайск, пер. Лермонтова д.7 к.н. 61:14:0040110:104 (1 шт.)</t>
  </si>
  <si>
    <t>Установка прибора коммерческого учета электрической энергии (мощности) на границе земельного участка, подключенного от опоры №18-19 ВЛ-0,4 №2 КТП-18 ВЛ-10 605 ПС 35 кВ КГ6 для технологического присоединения  энергопринимающих устройств ЛПХ Заявителя Павленко С.П. Ростовская область, Кагальницкий р-н, с. Новобатайск, ул. Ленина д.34 к.н. 61:14:0040128:16 (1 шт.)</t>
  </si>
  <si>
    <t>Установка прибора коммерческого учета электрической энергии (мощности) на границе земельного участка, подключенного от опоры №59-2 ВЛ-0,4 №1 КТП-59 ВЛ-10 319 ПС 35 кВ КГ3 для технологического присоединения  энергопринимающих устройств жилого дома Заявителя Паладий А.П. Ростовская область, Кагальницкий р-н, х. Дачный, ул. Речная д.60 к.н. 61:14:0050401:29 (1 шт.)</t>
  </si>
  <si>
    <t>Установка прибора коммерческого учета электрической энергии (мощности) на границе земельного участка, подключенного от опоры №183-4 ВЛ-0,4 №1 КТП-183 ВЛ-10 313 ПС 35 кВ КГ3 для технологического присоединения  энергопринимающих устройств жилого дома Заявителя Попхадзе Ю.И. Ростовская область, Кагальницкий р-н, ст. Кировская, ул. Кирова д.16 к.н. 61:14:0050126:8 (1 шт.)</t>
  </si>
  <si>
    <t>Установка прибора коммерческого учета электрической энергии (мощности) на границе земельного участка, подключенного от опоры  №28-250 ВЛ-0,4  № 1 ЗТП-28  ВЛ-10  313   ПС 35 кВ КГ3 для технологического присоединения энергопринимающих устройств жилого дома Заявителя Присяжнюк А.И. Ростовская область,ст. Кировская ул. Центральная д.17 к.н. 61:14:0050126:498 (1 шт.)</t>
  </si>
  <si>
    <t>Установка прибора коммерческого учета электрической энергии (мощности) на границе земельного участка, подключенного от проектируемой опоры ВЛ 0,4 №1 КТП-41 ВЛ-10 801 ПС 35 кВ ЗР8 для технологического присоединения энергопринимающих устройств базовой станции Заявителя ПАО "Ростелеком", Ростовская обл., р-н. Зерноградский, х. Пишванов (1 шт.)</t>
  </si>
  <si>
    <t>Установка прибора коммерческого учета электрической энергии (мощности) на границе земельного участка, подключенного от опоры №3-91 ВЛ-0,4 №3 КТП-3 ВЛ-10 305 ПС 35 кВ КГ3 для технологического присоединения  энергопринимающих устройств нежилой застройки Заявителя Пухир К.Н. Ростовская область, Кагальницкий р-н, ст. Кировская, ул. Транспортная д.6 к.н. 61:14:0600020:2446 (1 шт.)</t>
  </si>
  <si>
    <t>Установка прибора коммерческого учета электрической энергии (мощности) на границе земельного участка, подключенного от опоры  №89-18 ВЛ-0,4  № 1 КТП-89  ВЛ-10  319   ПС 35 кВ КГ3 для технологического присоединения энергопринимающих устройств жилого дома Заявителя Радченко Н.И. Ростовская область, ст. Кировская ул. Рабочая д.15 к.н. 61:14:0050112:345 (1 шт.)</t>
  </si>
  <si>
    <t>Установка прибора коммерческого учета электрической энергии (мощности) на границе земельного участка, подключенного от опоры №28-219 ВЛ-0,4 №1 ЗТП-28 ВЛ-10 313 ПС 35 кВ КГ3 для технологического присоединения энергопринимающих устройств ЛПХ Заявителя Саносян В.Н. Ростовская область, Кагальницкий р-н, ст. Кировская, ул. Новостройки д.33А к.н. 61:14:0050126:507 (1 шт.)</t>
  </si>
  <si>
    <t>Установка прибора коммерческого учета электрической энергии (мощности) на границе земельного участка, подключенного от опоры №204-57 ВЛ-0,4 №2 КТП-204 ВЛ-10 605 ПС 35 кВ КГ6 для технологического присоединения  энергопринимающих устройств жилого дома Заявителя Световой Р.Н. Ростовская область, Кагальницкий р-н, с. Новобатайск, ул. Набережная д.17 к.н. 61:14:0040128:37 (1 шт.)</t>
  </si>
  <si>
    <t>Установка прибора коммерческого учета электрической энергии (мощности) на границе земельного участка, подключенного от опоры №183-4 ВЛ-0,4 №1 КТП-183 ВЛ-10 313 ПС 35 кВ КГ3 для технологического присоединения  энергопринимающих устройств жилого дома Заявителя Чапидзе Т.Д. Ростовская область, Кагальницкий р-н, ст. Кировская, ул. Кирова д.14 к.н. 61:14:0050126:133 (1 шт.)</t>
  </si>
  <si>
    <t>Установка прибора коммерческого учета электрической энергии (мощности) на границе земельного участка, подключенного от опоры №18-61 ВЛ-0,4 №3 КТП-18 ВЛ-10 104 ПС 110 кВ Звонкая для технологического присоединения  энергопринимающих устройств жилого дома Заявителя Шило М.А. Ростовская область, Кагальницкий р-н, ст. Хомутовская, ул. Верхне-Набережная д.11Б к.н. 61:14:0000000:00 (1 шт.)</t>
  </si>
  <si>
    <t>Установка прибора коммерческого учета электрической энергии (мощности) на границе земельного участка, подключенного от опоры № 99-30   ВЛ-0,4 № 2 КТП-99 ВЛ-10  114  ПС 220 кВ Зерновая для технологического присоединения энергопринимающих устройств садового дома Заявителя Штраус А.А., Ростовская область, г. Зерноград , к.н. 61:12:0600801:931 (1 шт.)</t>
  </si>
  <si>
    <t>Установка прибора коммерческого учета электрической энергии (мощности) на границе земельного участка, подключенного от опоры №28-225 ВЛ-0,4 №3 ЗТП-28 ВЛ-10 313 ПС 35 кВ КГ3 для технологического присоединения  энергопринимающих устройств жилого дома Заявителя Шульженко Н.В. Ростовская область, Кагальницкий р-н, ст. Кировская, ул. Жукова д.2А к.н. 61:14:0050129:620 (1 шт.)</t>
  </si>
  <si>
    <t>Установка прибора коммерческого учета электрической энергии (мощности) на границе земельного участка, подключенного от опоры №60-42 ВЛ-0,4 №3 КТП-60 ВЛ-10 318 ПС 35 кВ КГ3 для технологического присоединения  энергопринимающих устройств жилого дома Заявителя Айрапетян И.Э. Ростовская область, Кагальницкий р-н, х. Николаевский, ул. Луговая д.165 к.н. 61:14:0050702:106 (1 шт.)</t>
  </si>
  <si>
    <t>Установка прибора коммерческого учета электрической энергии (мощности) на границе земельного участка, подключенного от опоры№28-30 ВЛ-0,4 №1 ЗТП-28 ВЛ-10 313 ПС 35 кВ КГ3 для технологического присоединения  энергопринимающих устройств жилого дома Заявителя Авдалян Г.Э. Ростовская область, Кагальницкий р-н, ст. Кировская, ул. Космонавтов д.30 к.н. 61:14:0050126:12 (1 шт.)</t>
  </si>
  <si>
    <t>Установка прибора коммерческого учета электрической энергии (мощности) на границе земельного участка, подключенного от опоры №99-37   ВЛ-0,4 № 2 КТП-99 ВЛ-10 114  ПС 220 кВ Зерновая для технологического присоединения  энергопринимающих устройств для садового дома Заявителя Арутюнова В.О.,  Ростовская область, Зерноградский р-н. г. Зерноград,  к.н. земельного участка: 61:12:0600801:839 (1 шт.)</t>
  </si>
  <si>
    <t>Установка прибора коммерческого учета электрической энергии (мощности) на границе земельного участка, подключенного от опоры №99-37  ВЛ-0,4 №2 КТП-99 ВЛ-10 114  ПС 220 кВ Зерновая для технологического присоединения  энергопринимающих устройств садового дома Заявителя Арутюнова В.К. Ростовская область, г. Зерноград, к.н. земельного участка: 61:12:0600801:838(1 шт.)</t>
  </si>
  <si>
    <t>Установка прибора коммерческого учета электрической энергии (мощности) на границе земельного участка, подключенного от опоры №28-252 ВЛ-0,4 №1 ЗТП-28 ВЛ-10 313 ПС 35 кВ КГ3 для технологического присоединения  энергопринимающих устройств жилого дома Заявителя Аристакесян А.А. Ростовская область, Кагальницкий р-н, ст. Кировская, ул. Новостройки д.14А к.н. 61:14:0050126:505 (1 шт.)</t>
  </si>
  <si>
    <t>Установка прибора коммерческого учета электрической энергии (мощности) на границе земельного участка, подключенного от опоры №28-287 ВЛ-0,4 №1 ЗТП-28 ВЛ-10 313 ПС 35 кВ КГ3 для технологического присоединения  энергопринимающих устройств ЛПХ Заявителя Аристакесян С.А. Ростовская область, Кагальницкий р-н, ст. Кировская, ул. Космонавтов д.34 к.н. 61:14:0050126:497 (1 шт.)</t>
  </si>
  <si>
    <t>Установка прибора коммерческого учета электрической энергии (мощности) на границе земельного участка, подключенного от опоры №29-33 ВЛ-0,4 №2 КТП-29 ВЛ-10 605 ПС 35 кВ КГ6 для технологического присоединения  энергопринимающих устройств жилого дома Заявителя Баженов А.В. Ростовская область, Кагальницкий р-н, с. Новобатайск, пер. Свердлова д.51 кв.2 к.н. 61:14:0040139:85 (1 шт.)</t>
  </si>
  <si>
    <t>Установка прибора коммерческого учета электрической энергии (мощности) на границе земельного участка, подключенного от опоры №204-62 ВЛ-0,4 №2 КТП-204 ВЛ-10 605 ПС 35 кВ КГ6 для технологического присоединения  энергопринимающих устройств жилого дома Заявителя Быков Б.А. Ростовская область, Кагальницкий р-н, с. Новобатайск, ул. Набережная д.5 к.н. 61:14:0040128:3 (1 шт.)</t>
  </si>
  <si>
    <t>Установка прибора коммерческого учета электрической энергии (мощности) на границе земельного участка, подключенного от опоры  № 290-9 ВЛ-0,4  № 1 КТП-290  ВЛ-10  908   ПС 110кВ Балко-Грузская для технологического присоединения энергопринимающих устройств жилого дома Заявителя Горбенко Г.Л., Ростовская область, Егорлыкский  р-н, х. Мирный,  к.н. земельного участка: 61:10:0020301:3258 (1 шт.)</t>
  </si>
  <si>
    <t>Установка прибора коммерческого учета электрической энергии (мощности) на границе земельного участка, подключенного от опоры  № 172-22   ВЛ-0,4 № 1 КТП-172 ВЛ-10  904  ПС 110 кВ Балко-Грузская для технологического присоединения энергопринимающих устройств жилого дома Заявителя Бойченко В.А., Ростовская область, Егорлыкский  р-н, х. Балко-Грузский,  к.н. земельного участка: 61:10:0020101:785 (1 шт.)</t>
  </si>
  <si>
    <t>Установка прибора коммерческого учета электрической энергии (мощности) на границе земельного участка, подключенного от опоры № 114-47   ВЛ-0,4 № 1 КТП-114 ВЛ-10  801  ПС 110 кВ Роговская для технологического присоединения  энергопринимающих устройств административного/офисного здания Заявителя АО «Почта России» Ростовская область, Егорлыкский  р-н, п. Роговский, ул. Им Сергея Пешеходько, д. 29,  к.н. земельного участка: 61:10:0110101:1355 (1 шт.)</t>
  </si>
  <si>
    <t>Установка прибора коммерческого учета электрической энергии (мощности) на границе земельного участка, подключенного от опоры № 290-38  ВЛ-0,4 № 4 КТП-290 ВЛ-10  908  ПС 110 кВ Балко-Грузская для технологического присоединения  энергопринимающих устройств административного/офисного здания Заявителя АО «Почта России» Ростовская область, Егорлыкский  р-н, х. Мирный, ул. Почтовая,  д. 10, к.н. земельного участка: 61:10:0020301:1482 (1 шт.)</t>
  </si>
  <si>
    <t>Установка прибора коммерческого учета электрической энергии (мощности) на границе земельного участка, подключенного от опоры  № 432-12   ВЛ-0,4 № 1 КТП-432 ВЛ-10  605  ПС 35 кВ Е-6 для технологического присоединения  энергопринимающих устройств административного/офисного здания Заявителя АО «Почта России» Ростовская область, Егорлыкский  р-н, х. Кавалерский, ул. Ленина,  д. 33 , кадастровый номер земельного участка: 61:10:0060101:3182 (1 шт)</t>
  </si>
  <si>
    <t>Установка прибора коммерческого учета электрической энергии (мощности) на границе земельного участка, подключенного от опоры № 73-40  ВЛ-0,4 № 3 КТП-73 ВЛ-10  405  ПС 35 кВ Е-4для технологического присоединения  энергопринимающих устройств административного/офисного здания Заявителя АО «Почта России» Ростовская область, Егорлыкский  р-н, х. Кугейский, ул. Октябрьская,  д. 31, кадастровый номер земельного участка: 61:10:0050101:1436 (1 шт)</t>
  </si>
  <si>
    <t>Установка прибора коммерческого учета электрической энергии (мощности) на границе земельного участка, подключенного от опоры №16-61 ВЛ 0,4кВ №2 КТП 10/0,4 кВ №16 ВЛ 10кВ №2608 ПС 110/10 кВ А-26 для технологического присоединения энергопринимающих устройств жилого дома Заявителя Ольшанского С.В.,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</si>
  <si>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№240-167 ВЛ-0,4 кВ №3 КТП 10/0,4кВ №240 ВЛ-10кВ №106Н ПС 110/6/10 кВ НС-1 для технологического присоединения энергопринимающих устройств жилого дома Заявителя Немашкало К.Г.,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</si>
  <si>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№17-92 ВЛ-0,4 кВ №3 КТП 10/0,4 кВ №17 по ВЛ 10 кВ №107Н ПС 110/6/10 кВ НС-1 для технологического присоединения энергопринимающих устройств жилого дома Заявителя Авдеевой И.В., п.Овощной,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</si>
  <si>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№34-49 ВЛ 0,4 кВ №3 КТП 10/0,4кВ №34 ВЛ 10кВ №1904 РП-19 ПС 110/35/10 кВ Самарская для технологического присоединения энергопринимающих устройств жилого дома Заявителя Варданяна А.Л., с. Новотроицкое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</si>
  <si>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№105-9 ВЛ 0,4 кВ №1 КТП 10/0,4кВ №105 ВЛ 10кВ №2608 ПС 110/10 кВ А-26 для технологического присоединения энергопринимающих устройств жилого дома Заявителя Даргис Г.В.,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</si>
  <si>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№219-24 ВЛ-0,4 кВ №1 КТП 10/0,4 кВ №219 по ВЛ 10 кВ №901 ПС 35/10 кВ А-9 для технологического присоединения энергопринимающих устройств жилого дома Заявителя Иванова С.Н., с. Высочино,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</si>
  <si>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№49-13 ВЛ-0,4 кВ №1 КТП 10/0,4 кВ №49 по ВЛ 10 кВ №2608 ПС 110/10 кВ А-26 для технологического присоединения энергопринимающих устройств объекта торговли Заявителя ИП Кутровская Н.В.,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</si>
  <si>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№157-21 ВЛ 0,4 кВ №2 КТП 10/0,4кВ №157 ВЛ 10кВ №301Н ПС 110/6/10 кВ НС-3 для технологического присоединения энергопринимающих устройств жилого дома Заявителя Мустафаева А.Ш., х. Песчаный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</si>
  <si>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№34-31 ВЛ 0,4 кВ №3 КТП 10/0,4кВ №34 ВЛ 10кВ №1904 РП-19 ПС 110/35/10 кВ Самарская для технологического присоединения энергопринимающих устройств жилого дома Заявителя Осиповой Г.А., с. Новотроицкое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</si>
  <si>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№55-60 ВЛ 0,4 кВ №3 КТП 10/0,4кВ №55 ВЛ 10кВ №1019 ПС 110/35/10 кВ Самарская для технологического присоединения энергопринимающих устройств жилого дома Заявителя Пя Л.А., х. Победа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</si>
  <si>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№358-3 ВЛ-0,4 кВ №1 КТП 10/0,4 кВ №358 по ВЛ 10 кВ №202Н ПС 110/6/10 кВ НС-2 для технологического присоединения энергопринимающих устройств жилого дома Заявителя Фадеева В.Е., ЗАО «Обильное»,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</si>
  <si>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№40-77 ВЛ 0,4 кВ №1 КТП 10/0,4кВ №40 ВЛ 10кВ №1802 ПС 35/10 кВ А-18 для технологического присоединения энергопринимающих устройств жилого дома Заявителя Барсуковой М.И., х.Рогожкино, Азовский район, Ростовская область, кадастровый (условный) номер объекта: 61:01:0160101:1451(1 шт.)</t>
  </si>
  <si>
    <t>Установка прибора коммерческого учета электрической энергии (мощности) на границе земельного участка, подключенного от опоры №212-93 ВЛ 0,4 кВ №4 КТП 10/0,4кВ №212 ВЛ 10кВ №910 ПС 35/10 кВ А-9 для технологического присоединения энергопринимающих устройств жилого дома Заявителя Дорошенко Р.В., г.Азов, Ростовская область, кадастровый (условный) номер объекта: 61:45:0000380:479 (1 шт.)</t>
  </si>
  <si>
    <t>Установка прибора коммерческого учета электрической энергии (мощности) на границе земельного участка, подключенного от опоры №151-15 ВЛ 0,4 кВ №1 КТП 10/0,4кВ №151 ВЛ 10кВ №505 ПС 35/10 кВ А-5 для технологического присоединения энергопринимающих устройств жилого дома Заявителя Котова В.И., с. Отрадовка, Азовский район, Ростовская область, к.н. 61:01:0120101:284:97 (1 шт.)</t>
  </si>
  <si>
    <t>Установка прибора коммерческого учета электрической энергии (мощности) на границе земельного участка, подключенного от опоры №311-3/8 ВЛ 0,4 кВ №2 КТП 10/0,4кВ №311 ВЛ 10кВ №106Н ПС 110/6/10 кВ НС-1 для технологического присоединения энергопринимающих устройств жилого дома Заявителя Мулоабдуева А.Ф., ТСН «СНТ Белгорос», Азовский район, Ростовская область, к.н. 61:01:0600006:4965 (1 шт.)</t>
  </si>
  <si>
    <t>Установка прибора коммерческого учета электрической энергии (мощности) на границе земельного участка, подключенного от опоры №103-33 ВЛ 0,4 кВ №2 КТП 10/0,4кВ №103 ВЛ 10кВ №2608 ПС 110/10 кВ А-26 для технологического присоединения энергопринимающих устройств жилого дома Заявителя Романенко Д.В., с. Кулешовка, Азовский район, Ростовская область, к.н. 61:01:0090102:2158 (1 шт.)</t>
  </si>
  <si>
    <t>Установка прибора коммерческого учета электрической энергии (мощности) на границе земельного участка, подключенного от опоры №74-65 ВЛ 0,4 №3 КТП-74 ВЛ-10 1107 ПС 35 кВ ЗР11 для технологического присоединения энергопринимающих устройств жилого дома Заявителя Кривощековой Н.В., Ростовская область, Зерноградский р-н, с. Новоивановка, к.н: 61:12:010801:0081 (1 шт.)</t>
  </si>
  <si>
    <t>Установка прибора коммерческого учета электрической энергии (мощности) на границе земельного участка, подключенного от опоры №30-31 ВЛ-0,4 №1 КТП-30 ВЛ-10 205 ПС 35кВ КГ2 для технологического присоединения энергопринимающих устройств ЛПХ Заявителя Богданенко С.Ф., Ростовская обл. Кагальницкий р-н. п. Светлый Яр, ул. Речная  д.3 к.н. 61:14:0020301:52 (1 шт.)</t>
  </si>
  <si>
    <t>Установка прибора коммерческого учета электрической энергии (мощности) на границе земельного участка, подключенного от РУ-0,4 ЗТП-36 ВЛ-10 803 ПС 35 кВ ЗР8 для технологического присоединения энергопринимающих устройств административного здания Заявителя АО «Почта России», Ростовская область, Зерноградский р-н, х. Донской, ул. Цветной Бульвар, д.26 к.н. 61:12:0080207:330 (1 шт.)</t>
  </si>
  <si>
    <t>Установка прибора коммерческого учета электрической энергии (мощности) на границе земельного участка, подключенного опоры №5-40 ВЛ-0,4 №3 КТП-5 ВЛ-10 602 ПС 35 кВ ЗР6 для технологического присоединения энергопринимающих устройств административного здания Заявителя АО «Почта России», Ростовская область, Зерноградский р-н, х. Чернышевка, ул. Торговая д.7 п.1 к.н. 61:12:0090114:474 (1 шт.)</t>
  </si>
  <si>
    <t>Установка прибора коммерческого учета электрической энергии (мощности) на границе земельного участка, подключенного от опоры №41-8 ВЛ-0,4 №1 КТП-41 ВЛ-10 801 от ПС 35 кВ ЗР8 для технологического присоединения энергопринимающих устройств ЛПХ Заявителя Бережной Е.В., Ростовская обл., Зерноградский р-н, х. Пишванов к.н. 61:12:0080302:93 (1 шт.)</t>
  </si>
  <si>
    <t>Установка прибора коммерческого учета электрической энергии (мощности) на границе земельного участка, подключенного от опоры №83-175 ВЛ-0,4 №2 КТП-83 ВЛ-10 415 ПС 35 кВ КГ4 для технологического присоединения  энергопринимающих устройств жилого дома Заявителя Гриненко А.Н. Ростовская область, Кагальницкий р-н, с. Васильево-Шамшево, ул. Специалистов д.9 к.н. 61:14:0030104:26 (1 шт.)</t>
  </si>
  <si>
    <t>Установка прибора коммерческого учета электрической энергии (мощности) на границе земельного участка, подключенного от опоры №29-33 ВЛ-0,4 №2 КТП-29 ВЛ-10 605 ПС 35 кВ КГ6 для технологического присоединения  энергопринимающих устройств жилого дома Заявителя Елфимова Д.В. Ростовская область, Кагальницкий р-н, с. Новобатайск, ул. Северная д.4 к.н. 61:14:0000000:00 (1 шт.)</t>
  </si>
  <si>
    <t>Установка прибора коммерческого учета электрической энергии (мощности) на границе земельного участка, подключенного от опоры №126-6 ВЛ-0,4 №1 КТП-126 ВЛ-10 1608 ПС 35 кВ ЗР16 для технологического присоединения энергопринимающих устройств жилого дома Заявителя Жиляев М.А. Ростовская область, Зерноградский р-н, х. 1-й Россошинский, ул. Садовая д.50А к.н. 61:12:030308:2 (1 шт.)</t>
  </si>
  <si>
    <t>Установка прибора коммерческого учета электрической энергии (мощности) на границе земельного участка, подключенного от опоры №18-5 ВЛ-0,4 №1 КТП-18 ВЛ-10 605 ПС 35 кВ КГ6 для технологического присоединения  энергопринимающих устройств магазина Заявителя ИП Клименко В.В.,  Ростовская область, Кагальницкий р-н, с. Новобатайск, ул. Ленина д.66 к.н.: 61:14:0040124:4 (1 шт.)</t>
  </si>
  <si>
    <t>Установка прибора коммерческого учета электрической энергии (мощности) на границе земельного участка, подключенного от опоры №56-13 ВЛ-0,4 №1 КТП-56 ВЛ-10 1205 от ПС 110 кВ Манычская для технологического присоединения энергопринимающих устройств ЛПХ Заявителя  Кушнаревой А.Е., Ростовская обл., Зерноградский р-н., х. Булочкин, к.н. 1:12:0060601:19 (1 шт.)</t>
  </si>
  <si>
    <t>Установка прибора коммерческого учета электрической энергии (мощности) на границе земельного участка, подключенного от опоры № 85-67 ВЛ-0,4 №1 КТП-85 ВЛ-10 415 от ПС 35 кВ КГ4 для технологического присоединения энергопринимающих устройств жилого дома Заявителя Назырова М. Р., Ростовская обл., Кагальницкий р-н, х. Кагальничек, к.н. 61:14:0030401:116 (1 шт)</t>
  </si>
  <si>
    <t>Установка прибора коммерческого учета электрической энергии (мощности) на границе земельного участка, подключенного от опоры №117-18   ВЛ-0,4 № 1 КТП-117 ВЛ-10 805  ПС 110 кВ БОС для технологического присоединения энергопринимающих устройств нежилой постройки Заявителя Нарицына В.В., Ростовская область, Кагальницкий   р-н, п. Мокрый Батай ул. Садовая д.28Б,  к.н. земельного участка: 61:14:0060105:880(1 шт.)</t>
  </si>
  <si>
    <t>Установка прибора коммерческого учета электрической энергии (мощности) на границе земельного участка, подключенного от опоры №31-7 ВЛ-0,4 №4 КТП-31 ВЛ-10 1402 ПС 35 кВ ЗР14 для технологического присоединения  энергопринимающих устройств ЛПХ Заявителя Оганьян Г.А. Ростовская область, Кагальницкий р-н, ст. Кировская, ул. Кривошлыкова д.76 к.н. 61:14:0050150:80 (1 шт.)</t>
  </si>
  <si>
    <t>Установка прибора коммерческого учета электрической энергии (мощности) на границе земельного участка, подключенного от опоры №17-32   ВЛ-0,4 № 1 КТП-17 ВЛ-10 1608  ПС 35 кВ ЗР16 для технологического присоединения энергопринимающих устройств жилого дома Заявителя Пироженко Е.С., Ростовская область, Зерноградский   р-н, х. 1-й Россошиннский, ул. Заречная д. 5 к.н. земельного участка: 61:12:00666149:5(1 шт.)</t>
  </si>
  <si>
    <t>Установка прибора коммерческого учета электрической энергии (мощности) на границе земельного участка, подключенного от опоры  № 109-37 ВЛ-0,4  №2  КТП-109  ВЛ-10 805   ПС 110 кВ БОС для технологического присоединения энергопринимающих устройств жилого дома Заявителя Самойлов С.В. Ростовская область, Кагальницкий р-н. п. Мокрый Батай ул. Строителей д.25 к.н. 61:14:0060110:13 (1 шт.)</t>
  </si>
  <si>
    <t>Установка прибора коммерческого учета электрической энергии (мощности) на границе земельного участка, подключенного от опоры №122-105 ВЛ-0,4 №4 КТП-122 ВЛ-10 313 от ПС 35 кВ КГ3 для технологического присоединения энергопринимающих устройств садового дома Заявителя Селивестренко Ю.А., Ростовская обл., Аксайский р-н., СНТ «Железнодорожник», к.н. 61:02:0504801:1048 (1 шт.)</t>
  </si>
  <si>
    <t>Установка прибора коммерческого учета электрической энергии (мощности) на границе земельного участка, подключенного от опоры №96-76 ВЛ-0,4 №3 КТП-96 ВЛ-10 501 от ПС 35 кВ ЗР5 для технологического присоединения энергопринимающих устройств ЛПХ Заявителя Сухановой Н.Н., Ростовская обл., Зерноградский р-н, х. Гуляй-Борисовка к.н. 61:12:0011216:34 (1 шт.)</t>
  </si>
  <si>
    <t>Установка прибора коммерческого учета электрической энергии (мощности) на границе земельного участка, подключенного от опоры №14-16 ВЛ-0,4 №1 КТП-14 ВЛ-10 603  ПС 35 кВ ЗР6 для технологического присоединения энергопринимающих устройств малоэтажной жилой застройки Заявителя Харитонов Д.Е., Ростовская область, Зерноградский р-н, х. Чернышевка, пер. Березовый д.4  к.н. 61:12:0090110:232(1 шт.)</t>
  </si>
  <si>
    <t>Установка прибора коммерческого учета электрической энергии (мощности) на границе земельного участка, подключенного от опоры №137-63 ВЛ-0,4 №3 КТП-137 ВЛ-10 801 от ПС 35 кВ ЗР8 для технологического присоединения энергопринимающих устройств ЛПХ Заявителя Шаламова В.В., Ростовская обл., Зерноградский р-н, х. Пишванов, к.н. 61:12:0080302:105 (1 шт.)</t>
  </si>
  <si>
    <t>Установка прибора коммерческого учета электрической энергии (мощности) на границе земельного участка, подключенного от опоры №19-32 ВЛ-0,4 №2 КТП-19 ВЛ-10 612  ПС 35 кВ КГ6 для технологического присоединения энергопринимающих устройств малоэтажной жилой застройки Заявителя Шикуля Г.В. , Ростовская область, Кагальницкий р-н, с. Новобатайск , пер. Братский д.34  к.н. 61:14:0040108:64(1 шт.)</t>
  </si>
  <si>
    <t>Установка прибора коммерческого учета электрической энергии (мощности) на границе земельного участка, подключенного от проектируемой ВЛИ-0,4 кВ проектируемой ТП 10/0,4 кВ (по договору ТП №61-1-21-00601903 от 15.09.2021г.) ВЛ 10кВ №2412 ПС 35/10 кВ А-24 для технологического присоединения энергопринимающих устройств жилого дома Заявителя Еременко С.А., х. Полушкин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</si>
  <si>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№27-4 ВЛ 0,4 кВ №1 КТП 10/0,4 кВ №27 ВЛ-10кВ №1815 ПС 35/10 кВ А-18 для технологического присоединения энергопринимающих устройств базовой станции сотовой связи Заявителя ПАО «Ростелеком» х. Городище, Азовский район Ростовская область (1 шт.)</t>
  </si>
  <si>
    <t>Установка коммерческого учета электрической энергии (мощности) на границе балансовой принадлежности, подключенного от опоры №16-99 ВЛ-10 кВ №805 ПС 110 кВ БОС, для электроснабжения объекта производственное здание заявителя АО «Кагальницкий мясокостный завод», Ростовская область, Кагальницкий р-н, 1.5 км северо-западнее п. Мокрый Батай (1 шт)</t>
  </si>
  <si>
    <t>Установка прибора коммерческого учета электрической энергии (мощности) на границе земельного участка, подключенного от опоры №11-23 ВЛ 0,4 кВ №2 КТП 10/0,4кВ №11 ВЛ 10кВ №202Н ПС 110/6/10 кВ НС-2 для технологического присоединения энергопринимающих устройств нежилого помещения Заявителя Подлесных В.В., п. Тимирязевский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</si>
  <si>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№8-107 ВЛ 0,4 кВ №4 КТП 10/0,4кВ №8 ВЛ 10кВ №3125 ПС 110/35/10 кВ А-31 для технологического присоединения энергопринимающих устройств магазина Заявителя Бугаенко С.А., с. Пешково Азовский район, Ростовская область (1 шт.)</t>
  </si>
  <si>
    <t>Строительство ВЛ 0,4 кВ от проектируемой ВЛ 0,4 кВ (по договору ТП № 61-1-21-00580815 от 08.06.2021г.) МТП 10/0,4 кВ №311 ВЛ-10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Губиной С.О., ТСН «СНТ Белгорос» Азовский район, Ростовская область (ориентировочная протяженность ЛЭП – 0,025 км)</t>
  </si>
  <si>
    <t>Установка прибора коммерческого учета электрической энергии (мощности) на границе земельного участка, подключенного от опоры №127-21 тех.перевооружаемой ВЛ 0,4 кВ №1 КТП 10/0,4кВ №127 ВЛ 10кВ №1310 ПС 35/10 кВ А-13 для технологического присоединения энергопринимающих устройств жилого дома Заявителя Дуюн С.В., с.Елизаветовка, Азовский район, Ростовская область, кадастровый (условный) номер объекта: 61-61-03/023/2008-237(1 шт.)</t>
  </si>
  <si>
    <t>Установка прибора коммерческого учета электрической энергии (мощности) на границе земельного участка, подключенного от опоры № 24-126 ВЛ-0,4 № 3 КТП-24  ВЛ-10 807 ПС 110кВ Роговская для технологического присоединения энергопринимающих устройств нежилого помещения № 8 Заявителя МБУ ЕР "ЦСОГПВиИ", ст.Новороговская, Егорлыкский район, Ростовская область, к.н. 61:10:0070101:797 (1 шт.)</t>
  </si>
  <si>
    <t>Установка прибора коммерческого учета электрической энергии (мощности) на границе земельного участка, подключенного от опоры №121-14 ВЛ-0,4 №1 КТП-121 ВЛ-10 122 от ПС 220 кВ Зерновая для технологического присоединения энергопринимающих устройств садового дома Заявителя Денисенко А.И., Ростовская обл., Зерноградский р-н, х. Ракитный, СО «Селекционер» к.н.61:12:06000901:671 (1 шт.)</t>
  </si>
  <si>
    <t>Установка прибора коммерческого учета электрической энергии (мощности) на границе земельного участка, подключенного от опоры №74-77 ВЛ-0,4 №1 КТП-74 ВЛ-10 1209 от ПС 110 кВ Манычская для технологического присоединения энергопринимающих устройств жилого дома Заявителя Степанова А.А., Ростовская обл., Зерноградский р-н, п. Междупольный, к.н. 61:12:0060701:118 (1 шт.)</t>
  </si>
  <si>
    <t>Установка прибора коммерческого учета электрической энергии (мощности) на границе земельного участка, подключенного от опоры №8-7  ВЛ-0,4 № 1 КТП-8 ВЛ-10 305  ПС 35 кВ КГ3 для технологического присоединения  энергопринимающих устройств жилого дома Заявителя Шапаренко И.А. Ростовская область, п. Глубокий Яр, ул. Кленовая д.14 кв.1 , к.н. земельного участка: 61:14:0050301:43(1 шт.)</t>
  </si>
  <si>
    <t>Установка прибора коммерческого учета электрической энергии (мощности) на границе земельного участка, подключенного от опоры  № 3-48 ВЛ-0,4  №1  КТП-3  ВЛ-10 305   ПС 35 кВ КГ3 для технологического присоединения энергопринимающих устройств жилого дома Заявителя Лякина В.В. Ростовская область, Кагальницкий р-н. ст. Кировская ул. Подтелкова д.41  к.н. 61:14:0050148:358 (1 шт.)</t>
  </si>
  <si>
    <t>Установка прибора коммерческого учета электрической энергии (мощности) на границе земельного участка, подключенного от опоры №28-156   ВЛ-0,4 № 4 ЗТП-28 ВЛ-10 313  ПС 35 кВ КГЗ для технологического присоединения энергопринимающих устройств жилого дома Заявителя Синогиной О.В., Ростовская область, Кагальницкий   р-н, ст. Кировская ул. Спортивная д.5А,  к.н. земельного участка: 61:14:0050144:244(1 шт.</t>
  </si>
  <si>
    <t>Установка прибора коммерческого учета электрической энергии (мощности) на границе земельного участка, подключенного от опоры         №64-2 ВЛ-0,4 №1 КТП-64 ВЛ-10 319 ПС 35кВ КГ3 для технологического присоединения энергопринимающих устройств жилого дома Заявителя Бондаренко А.Н., Ростовская обл. Кавгальницкий р-н. п. Новоракитный ул. Климова д.4 кв.1 к.н. 61:14:18026208:350(1 шт.)</t>
  </si>
  <si>
    <t>Установка прибора коммерческого учета электрической энергии (мощности) на границе земельного участка, подключенного от опоры  №121-77 ВЛ-0,4  №1  КТП-121  ВЛ-10 313 ПС 35 кВ КГ3 для технологического присоединения энергопринимающих устройств жилого дома Заявителя Бучнева А.С. Ростовская область, Аксайский р-н, х.0Истомино СНТ «Железноророжник»  к.н. 61:02:0504801:1615 (1 шт.)</t>
  </si>
  <si>
    <t>Установка прибора коммерческого учета электрической энергии (мощности) на границе земельного участка, подключенного от опоры  №5-20 ВЛ-0,4  №1  КТП-5  ВЛ-10 1407   ПС 35 кВ ЗР14 для технологического присоединения энергопринимающих устройств жилого дома Заявителя Иванова И.И. Ростовская область, х. Гуляй-Борисовка ул. Заречная д.30  к.н. 61:12:0011228:1 (1 шт.)</t>
  </si>
  <si>
    <t>Установка прибора коммерческого учета электрической энергии (мощности) на границе земельного участка, подключенного от опоры №141-28  ВЛ-0,4 № 1 КТП-141 ВЛ-10 141  ПС 35 кВ КГ3 для технологического присоединения энергопринимающих устройств жилого дома Заявителя Соловьев В.Н., Ростовская область, Кагальницкий   р-н, ст. Кагальницкая п. Малиновка ул. Специалистов д.6а,  к.н. земельного участка: 61:14:0010302:876(1 шт.)</t>
  </si>
  <si>
    <t>Установка прибора коммерческого учета электрической энергии (мощности) на границе земельного участка, подключенного от опоры №141-28  ВЛ-0,4 № 1 КТП-141 ВЛ-10 141  ПС 35 кВ КГ3 для технологического присоединения энергопринимающих устройств жилого дома Заявителя Соловьев В.Н., Ростовская область, Кагальницкий   р-н, ст. Кагальницкая п. Малиновка ул. Специалистов д.6в,  к.н. земельного участка: 61:14:0010302:875(1 шт.)</t>
  </si>
  <si>
    <t>Установка прибора коммерческого учета электрической энергии     (мощности) на границе земельного участка, подключенного от опоры №141-28  ВЛ-0,4 № 1 КТП-141 ВЛ-10 141  ПС 35 кВ КГ3 для технологического присоединения энергопринимающих устройств жилого дома Заявителя Соловьев В.Н., Ростовская область, Кагальницкий   р-н, ст. Кагальницкая п. Малиновка ул. Специалистов д.6б,  к.н. земельного участка: 61:14:0010302:877(1 шт.)</t>
  </si>
  <si>
    <t>Установка прибора коммерческого учета электрической энергии (мощности) на границе земельного участка, подключенного от опоры №1 ВЛ 0,4 кВ №1 КТП 10/0,4кВ №5 ВЛ 10кВ №114 ПС 220/110/35/10 кВ Зерновая для технологического присоединения энергопринимающих устройств производственного здания Заявителя СППК «Донской Маяк», Ростовская область, Зерноградский район, п. Кленовый, к.н.61:12:0600801:1228 (1 шт)</t>
  </si>
  <si>
    <t>Установка прибора коммерческого учета электрической энергии (мощности) на границе земельного участка, подключенного от 157-78   ВЛ-0,4 № 3 КТП-157 ВЛ-10  807  ПС 110 кВ Роговская для технологического присоединения энергопринимающих устройств жилого дома Заявителя Даниелян В.А., Ростовская область, Егорлыкский р-он, ст.Новороговская, к.н. 61:10:0070101:650 (1 шт)</t>
  </si>
  <si>
    <t>Установка прибора коммерческого учета электрической энергии (мощности) на границе земельного участка, подключенного от № 115-51   ВЛ-0,4 № 2 КТП-115 ВЛ-10  801  ПС 110 кВ Роговская для технологического присоединения энергопринимающих устройств жилого дома Заявителя Коробка С.А., Ростовская область, Егорлыкский р-он, п.Роговский, к.н. 61:10:0110101:889 (1 шт)</t>
  </si>
  <si>
    <t>Установка прибора коммерческого учета электрической энергии (мощности) на границе земельного участка, подключенного от опоры № 62-7   ВЛ-0,4 № 1 КТП-62 ВЛ-10  405  ПС 35 кВ Е-4 для технологического присоединения энергопринимающих устройств жилого дома Заявителя Башатова Н.З., х.Ильинский, Егорлыкский район, Ростовская область, к.н. 61:10:0050301:115 (1 шт.)</t>
  </si>
  <si>
    <t xml:space="preserve">Установка прибора коммерческого учета электрической энергии (мощности) на границе земельного участка, подключенного от опоры №14-31 ВЛ-0,4 кВ №1 КТП 10/0,4 кВ №14 по ВЛ 10 кВ №106Н ПС 35/10 кВ НС-1 для технологического присоединения энергопринимающих устройств административного здания Заявителя Акционерное общество «Почта России».,п. Овощной, Азовский район, Ростовская область, к.н. 61:01:0130101:3648 (1 шт) </t>
  </si>
  <si>
    <t xml:space="preserve">Установка прибора коммерческого учета электрической энергии (мощности) на границе земельного участка, подключенного от опоры №27-23 ВЛ-0,4 кВ №1 КТП 10/0,4 кВ №27 по ВЛ 10 кВ №1701 ПС 35/10 кВ А-17 для технологического присоединения энергопринимающих устройств административного здания Заявителя Акционерное общество «Почта России»., с. Круглое, Азовский район, Ростовская область, к.н. 61:01:0070101:4723 (1 шт) </t>
  </si>
  <si>
    <t xml:space="preserve">Установка прибора коммерческого учета электрической энергии (мощности) на границе земельного участка, подключенного от опоры №74-105 ВЛ-0,4 кВ №3 КТП 10/0,4 кВ №74 по ВЛ 10 кВ №613 ПС 35/10 кВ А-6 для технологического присоединения энергопринимающих устройств жилого дома Заявителя Борисова А.Д., с. Новомаргаритово, Азовский район, Ростовская область, к.н. 61:01:0100201:1749 (1 шт) </t>
  </si>
  <si>
    <t>Установка прибора коммерческого учета электрической энергии (мощности) на границе земельного участка, подключенного от опоры №160-33 ВЛ-0,4 кВ №1 КТП 10/0,4 кВ №160 по ВЛ 10 кВ №1101 ПС 35/10 кВ А-11 для технологического присоединения энергопринимающих устройств жилого дома Заявителя Волобуева Н.В., с. Кагальник, Азовский район, Ростовская область, к.н. 61:01:0060101:12663 (1 шт)</t>
  </si>
  <si>
    <t xml:space="preserve">Установка прибора коммерческого учета электрической энергии (мощности) на границе земельного участка, подключенного от опоры №64-27 ВЛ-0,4 кВ №1 КТП 10/0,4 кВ №64 по ВЛ 10 кВ №606 ПС 35/10 кВ А-6 для технологического присоединения энергопринимающих устройств жилого дома Заявителя Подсвирова К.И., с. Порт-Катон, Азовский район, Ростовская область, к.н. 61:01:0100301:645 (1 шт) (код объекта строительства 612001213439), </t>
  </si>
  <si>
    <t xml:space="preserve">Установка прибора коммерческого учета электрической энергии (мощности) на границе земельного участка, подключенного от опоры №66-12 ВЛ-0,4 кВ №1 КТП 10/0,4 кВ №66 по ВЛ 10 кВ №307Н ПС 110/35/10 кВ НС-3 для технологического присоединения энергопринимающих устройств объекта крестьянского хозяйства Заявителя Общество с Огранической Ответственностью «Фермерское хозяйства Лозовое»., Азовский район, Ростовская область, к.н. 61:01:0600013:2358 (1 шт) </t>
  </si>
  <si>
    <t xml:space="preserve">Установка прибора коммерческого учета электрической энергии (мощности) на границе земельного участка, подключенного от опоры №85-4 ВЛ-0,4 кВ №1 КТП 10/0,4 кВ №85 по ВЛ 10 кВ №2608 ПС 110/10 кВ А-26 для технологического присоединения энергопринимающих устройств жилого дома Заявителя Прочухан В.В., с. Кулешовка, Азовский район, Ростовская область, к.н. 61:01:0090102:287 (1 шт) </t>
  </si>
  <si>
    <t xml:space="preserve">Установка прибора коммерческого учета электрической энергии (мощности) на границе земельного участка, подключенного от опоры №61-13 ВЛ-0,4 кВ №1 КТП 10/0,4 кВ №61 по ВЛ 10 кВ №3127 ПС 110/35/10 кВ А-31 для технологического присоединения энергопринимающих устройств жилого дома Заявителя Фадеевой И.Л., с. Круглое, Азовский район, Ростовская область, к.н. 61:01:0070101:2444 (1 шт) </t>
  </si>
  <si>
    <t>Установка прибора коммерческого учета электрической энергии (мощности) на границе земельного участка, подключенного от опоры №182-10 ВЛ-0,4 кВ №1 КТП 10/0,4кВ №182 ВЛ-10кВ №3127 ПС 110/35/10 кВ А-31 для технологического присоединения энергопринимающих устройств строительной площадки Заявителя Егоркиной Т.М., с. Круглое, Азовский район, Ростовская область, к.н. 61:01:0070101:369 (1 шт.)</t>
  </si>
  <si>
    <t xml:space="preserve">Установка прибора коммерческого учета электрической энергии (мощности) на границе земельного участка, подключенного от опоры №8-44 ВЛ-0,4 кВ №2 КТП 10/0,4 кВ №8 по ВЛ 10 кВ №3125 ПС 110/35/10 кВ  А-31 для технологического присоединения энергопринимающих  устройств жилого дома Заявителя Горлановой В.Е., с. Пешково, Азовский район, Ростовская область,  к.н. 61:01:0140101:8774 (1 шт) </t>
  </si>
  <si>
    <t xml:space="preserve">Установка прибора коммерческого учета электрической энергии (мощности) на границе земельного участка, подключенного от опоры №172-14 ВЛ-0,4 кВ №1 КТП 10/0,4 кВ №172 по ВЛ 10 кВ №1702 ПС 35/10 кВ А-17 для технологического присоединения энергопринимающих устройств жилого дома Заявителя Самсоновой Е.А., с. Стефанидинодар, Азовский район, Ростовская область, к.н. 61:01:0070201:1389 (1 шт) </t>
  </si>
  <si>
    <t xml:space="preserve">Установка прибора коммерческого учета электрической энергии (мощности) на границе земельного участка, подключенного от опоры №48-13 ВЛ 0,4 кВ №1 КТП 10/0,4кВ №48 ВЛ 10кВ №1815 ПС 35/10 кВ А-18 для технологического присоединения энергопринимающих устройств объекта жилого дома Заявителя Сусоева А.И., х. Береговой, Азовский район, Ростовская область, к.н. 61:01:0600002:2549 (1 шт.)  </t>
  </si>
  <si>
    <t>Установка прибора коммерческого учета электрической энергии (мощности) на границе земельного участка, подключенного от опоры №358-11 ВЛ 0,4 кВ №2 КТП 10/0,4кВ №358 ВЛ 10кВ №202Н ПС 110/6/10 кВ НС-2 для технологического присоединения энергопринимающих устройств объекта жилого дома Заявителя Барушевой Л.Н., ЗАО «Обильное», Азовский район, Ростовская область, к.н. 61:01:0600006:7327 (1 шт.)</t>
  </si>
  <si>
    <t xml:space="preserve">Установка прибора коммерческого учета электрической энергии (мощности) на границе земельного участка, подключенного от опоры №106-5 ВЛ-0,4 кВ №1 КТП 10/0,4 кВ №106 по ВЛ 10 кВ №105Н ПС 110/6/10 кВ НС-1 для технологического присоединения энергопринимающих устройств жилого дома Заявителя Дзыс В.А., х. Усть-Койсуг, Азовский район, Ростовская область, к.н. 61-61-03/057/2006-226 (1 шт) </t>
  </si>
  <si>
    <t xml:space="preserve">Установка прибора коммерческого учета электрической энергии (мощности) на границе земельного участка, подключенного от опоры №64-61 ВЛ 0,4 кВ №3 КТП 10/0,4кВ №64 ВЛ 10кВ №606 ПС 35/10 кВ А-6 для технологического присоединения энергопринимающих устройств объекта жилого дома Заявителя Полтавцевой Е.В., с. Порт-Катон, Азовский район, Ростовская область, к.н. 61:01:0100301:4147 (1 шт.) </t>
  </si>
  <si>
    <t xml:space="preserve">Установка прибора коммерческого учета электрической энергии (мощности) на границе земельного участка, подключенного от опоры №48-70 ВЛ-0,4 кВ №1 КТП 10/0,4 кВ №48 по ВЛ 10 кВ №1815 ПС 35/10 кВ А-18 для технологического присоединения энергопринимающих устройств жилого дома Заявителя Родионовой Т.В., Рыболовецкий колхоз им.Ленина, Азовский район, Ростовская область, к.н. 61:01:0600002:3200 (1 шт) </t>
  </si>
  <si>
    <t xml:space="preserve">Установка прибора коммерческого учета электрической энергии (мощности) на границе земельного участка, подключенного от опоры №34-69 ВЛ 0,4 кВ №2 КТП 10/0,4кВ №34 ВЛ 10кВ №1707 ПС 35/10 кВ А-17 для технологического присоединения энергопринимающих устройств объекта жилого дома Заявителя Исоченко Л.Ш., с. Круглое, Азовский район, Ростовская область, к.н. 61:01:0070101:1587 (1 шт.) </t>
  </si>
  <si>
    <t xml:space="preserve">Установка прибора коммерческого учета электрической энергии (мощности) на границе земельного участка, подключенного от опоры №111-88 ВЛ 0,4 кВ №3 КТП 10/0,4кВ №111 ВЛ 10кВ №3113 ПС 110/35/10 кВ А-31 для технологического присоединения энергопринимающих устройств объекта жилого дома Заявителя Зворыкиной И.В., с. Пешково, Азовский район, Ростовская область, к.н. 61:01:0140101:2173 (1 шт.) </t>
  </si>
  <si>
    <t>Установка прибора коммерческого учета электрической энергии (мощности) на границе земельного участка, подключенного от опоры №48-6 ВЛ 0,4 кВ №1 КТП 10/0,4кВ №48 ВЛ 10кВ №1815 ПС 35/10 кВ А-18 для технологического присоединения энергопринимающих устройств объекта жилого дома Заявителя Холупенко Е.В., Рыболовецкий колхоз им.Ленина, Азовский район, Ростовская область, к.н. 61:01:0600002:2464 (1 шт.)</t>
  </si>
  <si>
    <t xml:space="preserve">Установка прибора коммерческого учета электрической энергии (мощности) на границе земельного участка, подключенного от опоры №27-53 ВЛ 0,4 кВ №1 КТП 10/0,4кВ №27 ВЛ 10кВ №1815 ПС 35/10 кВ А-18 для технологического присоединения энергопринимающих устройств объекта жилого дома и солнечных батарей Заявителя Желтобрюхова С.А., х. Городище, Азовский район, Ростовская область, к.н. 61:01:0600006:2076 (1 шт.) </t>
  </si>
  <si>
    <t xml:space="preserve">Установка прибора коммерческого учета электрической энергии (мощности) на границе земельного участка, подключенного от опоры №20-6 ВЛ 0,4 кВ №1 КТП 10/0,4кВ №20 ВЛ 10кВ №3127 ПС 110/35/10 кВ А-31 для технологического присоединения энергопринимающих устройств объекта административного здания Заявителя Акционерное общество «Почта России», с. Займо-Обрыв, Азовский район, Ростовская область, к.н. 61:01:0140401:17 (1 шт.) </t>
  </si>
  <si>
    <t xml:space="preserve">Установка прибора коммерческого учета электрической энергии (мощности) на границе земельного участка, подключенного от опоры №122-40 ВЛ 0,4 кВ №2 КТП 10/0,4кВ №122 ВЛ 10кВ №3017 ПС 220/110/10 кВ А-30 для технологического присоединения энергопринимающих устройств объекта административного здания Заявителя Акционерное общество «Почта России», с. Кугей, Азовский район, Ростовская область, к.н. 61:01:0080101:1373 (1 шт.) </t>
  </si>
  <si>
    <t>Установка прибора коммерческого учета электрической энергии (мощности) на границе земельного участка, подключенного от опоры №64-2 ВЛ 0,4 кВ №1 КТП 10/0,4кВ №64 ВЛ 10кВ №606 ПС 35/10 кВ А-6 для технологического присоединения энергопринимающих устройств объекта административного здания Заявителя Акционерное общество «Почта России», с. Порт-Катон, Азовский район, Ростовская область, к.н. 61:01:0100301:1564 (1 шт.)</t>
  </si>
  <si>
    <t>Установка прибора коммерческого учета электрической энергии (мощности) на границе земельного участка, подключенного от опоры №92-70 ВЛ 0,4 кВ №2 КТП 10/0,4кВ №92 ВЛ 10кВ №803 ПС 35/10 кВ А-8 для технологического присоединения энергопринимающих устройств объекта административного здания Заявителя Акционерное общество «Почта России», с. Семибалки, Азовский район, Ростовская область, к.н. 61:01:0180101:1533 (1 шт.)</t>
  </si>
  <si>
    <t xml:space="preserve">Установка прибора коммерческого учета электрической энергии (мощности) на границе земельного участка, подключенного от опоры №206-25 ВЛ-0,4кВ №2 КТП 10/0,4 кВ №206 ВЛ-10кВ №3113 ПС 110/35/10 кВ «А-31» для технологического присоединения энергопринимающих устройств жилого дома Заявителя Афониной Э.А., с. Пешково, Азовский район, Ростовская область, к.н. 61:01:0140101:8121 (1 шт.) </t>
  </si>
  <si>
    <t xml:space="preserve">Установка прибора коммерческого учета электрической энергии (мощности) на границе земельного участка, подключенного от опоры №111-31 ВЛ 0,4 кВ №2 КТП 10/0,4кВ №111 ВЛ 10кВ №3113 ПС 110/35/10 кВ А-31 для технологического присоединения энергопринимающих устройств жилого дома Заявителя Филимоновой О.И., с. Пешково, Азовский район, Ростовская область, к.н. 61:01:0140101:9131 (1 шт.) </t>
  </si>
  <si>
    <t xml:space="preserve">Установка прибора коммерческого учета электрической энергии (мощности) на границе земельного участка, подключенного от опоры №35-43 ВЛ-0,4 кВ №1 КТП 10/0,4кВ №35 ВЛ-10кВ №1904 РП-19 ПС 110/35/10 кВ Самарская для технологического присоединения энергопринимающих устройств жилого дома Заявителя Ведута С.Н., с. Новотроицкое, Азовский район, Ростовская область, к.н. 61:01:0040801:27 (1 шт.) </t>
  </si>
  <si>
    <t xml:space="preserve">«Установка прибора коммерческого учета электрической энергии (мощности) на границе земельного участка, подключенного от опоры №175-26 ВЛ 0,4 кВ №1 КТП 10/0,4кВ №175 ВЛ 10кВ №3105 ПС 110/35/10 кВ А-31 для технологического присоединения энергопринимающих устройств объекта жилого дома Заявителя Баландина А.Н., Азовский район, Ростовская область, к.н. 61:01:0140401:1081 (1 шт.) </t>
  </si>
  <si>
    <t>Установка прибора коммерческого учета электрической энергии (мощности) на границе земельного участка, подключенного от опоры №28-8 ВЛ 0,4 кВ №1 КТП 10/0,4кВ №28 ВЛ 10кВ №1411 ПС 110/35/10 кВ А-32 для технологического присоединения энергопринимающих устройств объекта жилого дома Заявителя Прохоров И.В., х. Полтава 1-я, Азовский район, Ростовская область, к.н. 61:01:0080201:1128 (1 шт.)</t>
  </si>
  <si>
    <t xml:space="preserve">Установка прибора коммерческого учета электрической энергии (мощности) на границе земельного участка, подключенного от опоры №б/н ВЛ 0,4 кВ КТП 10/0,4кВ №6 (на балансе Администрации Александровского сельского поселения) ВЛ 10кВ №1513 ПС 35/10 кВ А-15 для технологического присоединения энергопринимающих устройств объекта базовой станции сотовой связи Заявителя ПАО «Ростелеком»., п. Ленинский Лесхоз, Азовский район, Ростовская область, к.н. 61:01:0010401 (1 шт.) </t>
  </si>
  <si>
    <t xml:space="preserve">Установка прибора коммерческого учета электрической энергии (мощности) на границе земельного участка, подключенного от опоры №31-110 ВЛ 0,4 кВ №2 КТП 10/0,4кВ №31 ВЛ 10кВ №2907 РП-29 ПС 35/10 кВ А-18 для технологического присоединения энергопринимающих устройств объекта жилого дома Заявителя Степаненко М.Ю., х. Коса, Азовский район, Ростовская область, к.н. 61:01:0030601:7000 (1 шт.)  </t>
  </si>
  <si>
    <t xml:space="preserve">Установка прибора коммерческого учета электрической энергии (мощности) на границе земельного участка, подключенного от опоры №144-23 ВЛ 0,4 кВ №2 КТП 10/0,4кВ №144 ВЛ 10кВ №1107 ПС 35/10 кВ А-11 для технологического присоединения энергопринимающих устройств жилого дома Заявителя Рубанова А.П., с.Кагальник, Азовский район, Ростовская область, кадастровый (условный) номер объекта: 61:01:0060101:2894(1 шт.) </t>
  </si>
  <si>
    <t xml:space="preserve">Установка прибора коммерческого учета электрической энергии (мощности) на границе земельного участка, подключенного от опоры №32-7 ВЛ-0,4 кВ №1 КТП 10/0,4 кВ №32 по ВЛ 10 кВ №2907 РП-29 ПС 35/10 кВ А-18 для технологического присоединения энергопринимающих устройств магазина Заявителя Дергачева Д.В., х.Коса, Азовский район, Ростовская область, к.н. 61:01:0030601:7241 (1 шт.) </t>
  </si>
  <si>
    <t xml:space="preserve">Установка прибора коммерческого учета электрической энергии (мощности) на границе земельного участка, подключенного от опоры №36-85 ВЛ-0,4 кВ №3 КТП 10/0,4 кВ №36 по ВЛ 10 кВ №1702 ПС 35/10 кВ А-17 для технологического присоединения энергопринимающих устройств жилого дома Заявителя Перегудова В.В., с.Стефанидинодар, Азовский район, Ростовская область, к.н. 61:01:0070201:4404 (1 шт.) </t>
  </si>
  <si>
    <t xml:space="preserve">Установка прибора коммерческого учета электрической энергии (мощности) на границе земельного участка, подключенного от опоры №45-56 ВЛ-0,4 кВ №3 КТП 10/0,4 кВ №45 по ВЛ 10 кВ №2907 РП-29 ПС 35/10 кВ А-18 для технологического присоединения энергопринимающих устройств жилого дома Заявителя Сивцовой С.Р., х.Курган, Азовский район, Ростовская область, к.н. 61:01:0030701:1348 (1 шт.) </t>
  </si>
  <si>
    <t>Установка прибора коммерческого учета электрической энергии (мощности) на границе земельного участка, подключенного от опоры №14-132 ВЛ-0,4 кВ №4 КТП 10/0,4 кВ №14 по ВЛ 10 кВ №106Н ПС 110/6/10 кВ НС-1 для технологического присоединения энергопринимающих устройств хозяйственной постройки Заявителя Барсегян Г.А., п. Овощной, Азовский район, Ростовская область, к.н. 61:01:0130101:4067 (1 шт)</t>
  </si>
  <si>
    <t xml:space="preserve">Установка прибора коммерческого учета электрической энергии (мощности) на границе земельного участка, подключенного от опоры №29-30 ВЛ-0,4 кВ №1 КТП 10/0,4 кВ №29 по ВЛ 10 кВ №3113 ПС 110/35/10 кВ А-31 для технологического присоединения энергопринимающих устройств жилого дома Заявителя Зублева Е.А., с. Головатовка, Азовский район, Ростовская область, к.н. 61:01:0140301:2815 (1 шт) </t>
  </si>
  <si>
    <t xml:space="preserve">Установка прибора коммерческого учета электрической энергии (мощности) на границе земельного участка, подключенного от опоры №44-110 ВЛ-0,4 кВ №3 КТП 10/0,4 кВ №44 по ВЛ 10 кВ №803 ПС 35/10 кВ А-8 для технологического присоединения энергопринимающих устройств жилого дома Заявителя Селищевой С.Е., с. Семибалки, Азовский район, Ростовская область, к.н. 61:01:0180101:4741 (1 шт) , </t>
  </si>
  <si>
    <t xml:space="preserve">Установка прибора коммерческого учета электрической энергии (мощности) на границе земельного участка, подключенного от опоры №184-34 ВЛ-0,4 кВ №3 КТП 10/0,4 кВ №184 по ВЛ 10 кВ №3113 ПС 110/35/10 кВ А-31 для технологического присоединения энергопринимающих устройств жилого дома Заявителя Шерстобитова Е.А., с. Пешково, Азовский район, Ростовская область, к.н. 61:01:0140101:8817 (1 шт) </t>
  </si>
  <si>
    <t xml:space="preserve">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61-1-22-00624829 от 26.01.2022г. с заявителем Сониной Л.В.) КТП 10/0,4 кВ №10 ВЛ 10кВ №3125 ПС 110/35/10 кВ А-31 для технологического присоединения энергопринимающих устройств жилого дома Заявителя Григорьевой О.С., Ростовская область, Азовский район, с.Пешково, к.н. 61:01:0140101:8686 (1 шт.) </t>
  </si>
  <si>
    <t xml:space="preserve">Установка прибора коммерческого учета электрической энергии (мощности) на границе земельного участка, подключенного от опоры №7-55 ВЛ-0,4 кВ №2 КТП 10/0,4 кВ №7 по ВЛ 10 кВ №3125 ПС 110/35/10 кВ А-31 для технологического присоединения энергопринимающих устройств жилого дома Заявителя Гладкий А.В., с. Пешково, Азовский район, Ростовская область, к.н. 61:01:0140101:8259 (1 шт) </t>
  </si>
  <si>
    <t xml:space="preserve">Установка прибора коммерческого учета электрической энергии (мощности) на границе земельного участка, подключенного от опоры №43-16 ВЛ-0,4 кВ №1 КТП 10/0,4 кВ №43 по ВЛ 10 кВ №105Н ПС 110/6/10 кВ НС-1 для технологического присоединения энергопринимающих устройств жилого дома Заявителя Посиделовой Н.Н., х. Шмат, Азовский район, Ростовская область, к.н. 61:01:0031001:38 (1 шт) </t>
  </si>
  <si>
    <t>Установка прибора коммерческого учета электрической энергии (мощности) на границе земельного участка, подключенного от опоры №111-94 ВЛ-0,4 кВ №3 КТП 10/0,4 кВ №111 по ВЛ 10 кВ №3113 ПС 110/35/10 кВ А-31 для технологического присоединения энергопринимающих устройств жилого дома Заявителя Чебанова И.С., с. Пешково, Азовский район, Ростовская область, к.н. 61:01:0140101:7497 (1 шт)</t>
  </si>
  <si>
    <t xml:space="preserve">Установка прибора коммерческого учета электрической энергии (мощности) на границе земельного участка, подключенного от опоры №14-85 ВЛ-0,4 кВ №3 КТП 10/0,4 кВ №14 по ВЛ 10 кВ №106Н ПС 110/6/10 кВ НС-1 для технологического присоединения энергопринимающих устройств жилого дома Заявителя Степанцова Я.А., п. Овощной, Азовский район, Ростовская область, к.н. 61:01:0130101:4707 (1 шт) </t>
  </si>
  <si>
    <t xml:space="preserve">Установка прибора коммерческого учета электрической энергии (мощности) на границе земельного участка, подключенного от опоры №162-1 ВЛ-0,4 кВ №1 КТП 10/0,4 кВ №162 по ВЛ 10 кВ №1101 ПС 35/10 кВ А-11 для технологического присоединения энергопринимающих устройств сквера Заявителя Администрации Кагальницкого сельского поселения., с. Кагальник, Азовский район, Ростовская область, к.н. 61:01:0060101:9148 (1 шт) </t>
  </si>
  <si>
    <t>Установка прибора коммерческого учета электрической энергии (мощности) на границе земельного участка, подключенного от опоры №б/н ВЛ-0,4 кВ КТП 10/0,4 кВ №279 (балансовая принадлежность ИП Усачев В.И. (п. Беловодье) по ВЛ 10 кВ №1815 ПС 35/10 кВ А-18 для технологического присоединения энергопринимающих устройств жилого дома Заявителя Глазырина И.Л., х. Обуховка, Азовский район, Ростовская область, к.н. 61:01:0600002:3212 (1 шт)</t>
  </si>
  <si>
    <t>Установка прибора коммерческого учета электрической энергии (мощности) на границе земельного участка, подключенного от опоры №б/н ВЛ-0,4 кВ КТП 10/0,4 кВ №279 (балансовая принадлежность ИП Усачев В.И. (п. Беловодье) по ВЛ 10 кВ №1815 ПС 35/10 кВ А-18 для технологического присоединения энергопринимающих устройств жилого дома Заявителя Глазырина И.Л., х. Обуховка, Азовский район, Ростовская область, к.н. 61:01:0600002:3285 (1 шт)</t>
  </si>
  <si>
    <t>Установка прибора коммерческого учета электрической энергии (мощности) на границе земельного участка, подключенного от опоры №б/н ВЛ-0,4 кВ КТП 10/0,4 кВ №279 (балансовая принадлежность ИП Усачев В.И. (п. Беловодье) по ВЛ 10 кВ №1815 ПС 35/10 кВ А-18 для технологического присоединения энергопринимающих устройств жилого дома Заявителя Глазырина И.Л., х. Обуховка, Азовский район, Ростовская область, к.н. 61:01:0600002:3286 (1 шт)</t>
  </si>
  <si>
    <t>Установка прибора коммерческого учета электрической энергии (мощности) на границе земельного участка, подключенного от опоры №167-11 ВЛ-0,4 кВ №1 КТП 10/0,4 кВ №167 по ВЛ 10 кВ №106Н ПС 110/6/10 кВ НС-1 для технологического присоединения энергопринимающих устройств жилого дома Заявителя Переходько Н.Н., ДНТ «Кулешовка», Азовский район, Ростовская область, к.н. 61:01:0600006:1487 (1 шт)</t>
  </si>
  <si>
    <t xml:space="preserve">Установка прибора коммерческого учета электрической энергии (мощности) на границе земельного участка, подключенного от опоры №233-21 ВЛ-0,4 кВ №1 КТП 10/0,4 кВ №233 по ВЛ 10 кВ №1815 ПС 35/10 кВ А-18 для технологического присоединения энергопринимающих устройств жилого дома Заявителя Чернявской А.Ю., СТ «Надежда-4», Азовский район, Ростовская область, к.н. 61:01:0500301:235 (1 шт) </t>
  </si>
  <si>
    <t xml:space="preserve">Установка прибора коммерческого учета электрической энергии (мощности) на границе земельного участка, подключенного от опоры №187-1 ВЛ-0,4 кВ №1 КТП 10/0,4 кВ №187 по ВЛ 10 кВ №106Н ПС 110/6/10 кВ НС-1 для технологического присоединения энергопринимающих устройств жилого дома Заявителя Давидюк Т.М., ДНТ «Кулешовка», Азовский район, Ростовская область, к.н. 61:01:0600006:1644 (1 шт) </t>
  </si>
  <si>
    <t xml:space="preserve">Установка прибора коммерческого учета электрической энергии (мощности) на границе земельного участка, подключенного от опоры №18-6 ВЛ-0,4 кВ №1 КТП 10/0,4 кВ №18 по ВЛ 10 кВ №107Н ПС 110/6/10 кВ НС-1 для технологического присоединения энергопринимающих устройств нежилого здания Заявителя Перковой А.И., Азовский район, Ростовская область, к.н. 61:01:0600006:3487 (1 шт)  </t>
  </si>
  <si>
    <t xml:space="preserve">Установка прибора коммерческого учета электрической энергии (мощности) на границе земельного участка, подключенного от опоры №186-24 ВЛ-0,4 кВ №1 КТП 10/0,4 кВ №186 по ВЛ 10 кВ №3113 ПС 110/35/10 кВ А-31 для технологического присоединения энергопринимающих устройств жилого дома Заявителя Исаевой Е.А., с. Пешково, Азовский район, Ростовская область, к.н. 61:01:0140101:6897 (1 шт) </t>
  </si>
  <si>
    <t>Установка прибора коммерческого учета электрической энергии (мощности) на границе земельного участка, подключенного от опоры №21-72 ВЛ-0,4 кВ №2 КТП 10/0,4 кВ №21 по ВЛ 10 кВ №1411 ПС 110/35/10 кВ А-32 для технологического присоединения энергопринимающих устройств жилого дома Заявителя Свириденко А.М., х. Полтава 1-я, Азовский район, Ростовская область, к.н. 61:01:0080201:1440 (1 шт)</t>
  </si>
  <si>
    <t xml:space="preserve">Установка прибора коммерческого учета электрической энергии (мощности) на границе земельного участка, подключенного от опоры №213-23 ВЛ-0,4 кВ №1 КТП 10/0,4 кВ №213 по ВЛ 10 кВ №910 ПС 35/10 кВ А-9 для технологического присоединения энергопринимающих устройств жилого дома Заявителя Гусакова Д.В., СНТ «Южное», Азовский район, Ростовская область, к.н. 61:01:0000380:262 (1 шт) </t>
  </si>
  <si>
    <t xml:space="preserve">Установка прибора коммерческого учета электрической энергии (мощности) на границе земельного участка, подключенного от опоры №213-23 ВЛ-0,4 кВ №1 КТП 10/0,4 кВ №213 по ВЛ 10 кВ №910 ПС 35/10 кВ А-9 для технологического присоединения энергопринимающих устройств жилого дома Заявителя Юрковой Е.В., СНТ «Южное», Азовский район, Ростовская область, к.н. 61:45:0000380:263 (1 шт) </t>
  </si>
  <si>
    <t>Установка прибора коммерческого учета электрической энергии (мощности) на границе земельного участка, подключенного от опоры №212-29 ВЛ-0,4 кВ №2 КТП 10/0,4 кВ №212 по ВЛ 10 кВ №910 ПС 35/10 кВ А-9 для технологического присоединения энергопринимающих устройств жилого дома Заявителя Ефименко Е.С., СНТ «Южное», Азовский район, Ростовская область, к.н. 61:45:0000380:46 (1 шт)</t>
  </si>
  <si>
    <t>Установка прибора коммерческого учета электрической энергии (мощности) на границе земельного участка, подключенного от опоры №111-1 ВЛ-0,4 кВ №1 КТП 10/0,4 кВ №111 по ВЛ 10 кВ №801 ПС 35/10 кВ А-8 для технологического присоединения энергопринимающих устройств закусочной летнего типа Заявителя Зубарева П.Е., Павло-Очаковская коса, Азовский район, Ростовская область, к.н. 61:01:0600010:69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</si>
  <si>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61-1-21-00601851 от 20.09.2021г. с заявителем Ионовой А.В.) КТП 10/0,4 кВ №334 ВЛ 10кВ №202Н ПС 110/6/10 кВ НС-2 для технологического присоединения энергопринимающих устройств жилого дома Заявителя Айтекова А.К., Ростовская область, Азовский район, ЗАО «Обильное», к.н. 61:01:0600006:6819 (1 шт.)</t>
  </si>
  <si>
    <t>Установка прибора коммерческого учета электрической энергии (мощности) на границе земельного участка, подключенного от опоры №17-33 ВЛ-0,4 №1 КТП-17 ВЛ-10 1608  ПС 35 кВ ЗР16 для технологического присоединения энергопринимающих устройств нежилого помещения Заявителя АО «Почта России», Ростовская область, Зерноградский р-н, х. 1-й Россошинский, ул. Заречная д.4 кв.1  к.н. 61:12:0030306:128 (1 шт.)</t>
  </si>
  <si>
    <t>Установка прибора коммерческого учета электрической энергии (мощности) на границе земельного участка, подключенного от опоры  №141-29 ВЛ-0,4  №2  КТП-141 ВЛ-10 215 ПС 35 кВ КГ2 для технологического присоединения энергопринимающих устройств малоэтажной жилой застройки Заявителя Арутюнов О.В. Ростовская область, Кагальницкий р-н, п. Малиновка, ул. Специалистов д.6Г к.н. 61:14:001302:882 (1 шт.)</t>
  </si>
  <si>
    <t>Установка прибора коммерческого учета электрической энергии (мощности) на границе земельного участка, подключенного от опоры  № 74-15 ВЛ-0,4  №1  КТП-74  ВЛ-10 801 ПС 35 кВ ЗР8 для технологического присоединения энергопринимающих устройств малоэтажной жилой застройки Заявителя Деменин А.В. Ростовская область, Зерноградский р-н, х. Клюев, ул. Восточная д.1А к.н. 61:12:0090601:1259 (1 шт.)</t>
  </si>
  <si>
    <t>Установка прибора коммерческого учета электрической энергии (мощности) на границе земельного участка, подключенного от опоры  № 121-4 ВЛ-0,4  №1  КТП-121  ВЛ-10 122 ПС 220 кВ Зерновая для технологического присоединения энергопринимающих устройств малоэтажной жилой застройки Заявителя Денисенко А.И. Ростовская область, Зерноградский р-н, х. Ракитный, ул. Заречная д.28 к.н. 61:12:0051001:857 (1 шт.)</t>
  </si>
  <si>
    <t>Установка прибора коммерческого учета электрической энергии (мощности) на границе земельного участка, подключенного от опоры №80-16   ВЛ-0,4 № 1 КТП-80 ВЛ-10 501  ПС 35 кВ ЗР5 для технологического присоединения энергопринимающих устройств жилого дома Заявителя Железняк И.А., Ростовская область, Кагальницкий   р-н, х. Болдиновка ул. Пушкина д.79 ,  к.н. земельного участка: 61:12:0011101:8(1 шт.)</t>
  </si>
  <si>
    <t>Установка прибора коммерческого учета электрической энергии (мощности) на границе земельного участка, подключенного от опоры  №44-45 ВЛ-0,4  №3 МТП-44  ВЛ-10  1002   ПС 110 кВ ЗР10 для технологического присоединения энергопринимающих устройств жилого дома Заявителя Занина А.С. Ростовская область, Зерноградский р-н, г. Зерноград, ул. Пшеничная д.2А к.н. 61:12:0040105:768 (1 шт.)</t>
  </si>
  <si>
    <t>Установка прибора коммерческого учета электрической энергии (мощности) на границе земельного участка, подключенного от опоры №36-23 ВЛ-0,4  №1  КТП-36 ВЛ-10 313 ПС 35 кВ КГ3 для технологического присоединения энергопринимающих устройств малоэтажной жилой застройки Заявителя Иванченко В.А. Ростовская область, Кагальницкий р-н, ст. Кировская, ул. Кирова д. 119 к.н. 61:14:0050111:131 (1 шт.)</t>
  </si>
  <si>
    <t>Установка прибора коммерческого учета электрической энергии (мощности) на границе земельного участка, подключенного от опоры №61-128   ВЛ-0,4 №2 КТП-128 ВЛ-10 313  ПС 35 кВ КГ3 для технологического присоединения энергопринимающих устройств магазина Заявителя ИП Воронина С.В., Ростовская область, Кагальницкий   р-н, ст. Кировская ул. Кирова д.84В,  к.н.: 61:14:0050109:98(1 шт.)</t>
  </si>
  <si>
    <t>Установка прибора коммерческого учета электрической энергии (мощности) на границе земельного участка, подключенного от опоры №28-264  ВЛ-0,4 №3 ЗТП-28 ВЛ-10 313  ПС 35 кВ КГ3 для технологического присоединения  энергопринимающих устройств объекта торговли Заявителя ИП Адиханян А.А. Ростовская область, Кагальницкий р-н, ст. Кировская, ул. Кирова д.2С к.н.: 61:14:0050130:85 (1 шт.)</t>
  </si>
  <si>
    <t>Установка прибора коммерческого учета электрической энергии (мощности) на границе земельного участка, подключенного от опоры №194-5  ВЛ-0,4 №1 КТП-194 ВЛ-10 313  ПС 35 кВ КГ3 для технологического присоединения  энергопринимающих устройств нежилой застройки Заявителя ИП Адиханян А.А. Ростовская область, Кагальницкий р-н, ст. Кировская, ул. Кирова д.8Г к.н.: 61:14:0050129:390(1 шт.)</t>
  </si>
  <si>
    <t>Установка прибора коммерческого учета электрической энергии (мощности) на границе земельного участка, подключенного от опоры №90-85 ВЛ-0,4 №3 КТП-90 ВЛ-10 413  ПС 35 кВ КГ4 для технологического присоединения энергопринимающих устройств нежилой застройки Заявителя ИП Лиходедов В.Н., Ростовская область, Кагальницкий   р-н, с. Иваново-Шамшево, ул. Ростовская д.2А  к.н.: 61:14:0030301:48 (1 шт.)</t>
  </si>
  <si>
    <t>Установка прибора коммерческого учета электрической энергии (мощности) на границе земельного участка, подключенного от опоры № 18-24 ВЛ-0,4  №1  КТП-18  ВЛ-10 605 ПС 35 кВ КГ3 для технологического присоединения энергопринимающих устройств нежилой застройки Заявителя ИП Петров Л.В. Ростовская область, р-н. Кагальницкий с. Новобатайск ул. Ленина  д.15А к.н. 61:14:00672413:305 (1 шт.)</t>
  </si>
  <si>
    <t>Установка прибора коммерческого учета электрической энергии (мощности) на границе земельного участка, подключенного от опоры №22-50 ВЛ-0,4 №1 КТП-22 ВЛ-10 1006  ПС 110 кВ Полячки для технологического присоединения энергопринимающих устройств малоэтажной жилой застройки Заявителя ИП Соломко В.Т.,  Ростовская область, Кагальницкий р-н, х. Красный Яр, ул. Ветеранов д.3  к.н.: 61:14:0080301:1 (1 шт.)</t>
  </si>
  <si>
    <t>Установка прибора коммерческого учета электрической энергии (мощности) на границе земельного участка, подключенного от опоры №196-16 ВЛ-0,4 №1 КТП-196 ВЛ-10 606  ПС 35 кВ КГ6 для технологического присоединения энергопринимающих устройств малоэтажной жилой застройки Заявителя Исаков Е.Ю., Ростовская область, Кагальницкий р-н, с. Новобатайск, пер. Дачный д.35  к.н. 61:14:0040117:164 (1 шт.)</t>
  </si>
  <si>
    <t>Установка прибора коммерческого учета электрической энергии (мощности) на границе земельного участка, подключенного от опоры  № 135-161 ВЛ-0,4  №4  КТП-135  ВЛ-10 805 ПС 110 кВ БОС для технологического присоединения энергопринимающих устройств малоэтажной жилой застройки Заявителя Калиенко О.В. Ростовская область, Кагальницкий р-н, п. Мокрый Батай, ул. Майская д.3А к.н. 61:14:0060107:683 (1 шт.)</t>
  </si>
  <si>
    <t>Установка прибора коммерческого учета электрической энергии (мощности) на границе земельного участка, подключенного от опоры №80-52 ВЛ-0,4 №2 КТП-80 ВЛ-10 501  ПС 35 кВ ЗР5 для технологического присоединения энергопринимающих устройств нежилой застройки Заявителя Коношенко С.А., Ростовская область, Зерноградский р-н, х. Болдиновка , ул. Пушкина  д.41 к.н. 61:12:0011101:125 (1 шт.)</t>
  </si>
  <si>
    <t>Установка прибора коммерческого учета электрической энергии (мощности) на границе земельного участка, подключенного от опоры №23-18 ВЛ-0,4 №5 КТП-23 ВЛ-10 1507  ПС 110 кВ ЗР15 для технологического присоединения энергопринимающих устройств нежилой застройки Заявителя Кулешов А.А., Ростовская область, Зерноградский р-н, г. Зерноград, ул. им. Самохвалова д.23К  к.н. 61:12:0040102:786 (1 шт.)</t>
  </si>
  <si>
    <t>Установка прибора коммерческого учета электрической энергии (мощности) на границе земельного участка, подключенного от опоры №44-51 ВЛ-0,4 №3 КТП-44 ВЛ-10 1002 ПС 110 кВ ЗР10 для технологического присоединения  энергопринимающих устройств жилого дома Заявителя Левченко В.А. Ростовская область, Зерноградский р-н, ул. Пшеничная д.12 к.н. 61:14:0040105:518 (1 шт.)</t>
  </si>
  <si>
    <t>Установка прибора коммерческого учета электрической энергии (мощности) на границе земельного участка, подключенного от опоры  №4-97 ВЛ-0,4  №3  КТП-97 ВЛ-10 805 ПС 110 кВ БОС для технологического присоединения энергопринимающих устройств нежилой застройки Заявителя Марченко Н.А. Ростовская область, Кагальницкий р-н, п. Мокрый Батай, ул. Зеленая д.1-Д  к.н. 61:14:0060101:2531 (1 шт.)</t>
  </si>
  <si>
    <t>Установка прибора коммерческого учета электрической энергии (мощности) на границе земельного участка, подключенного от опоры №9-18 ВЛ-0,4 №2 КТП-9 ВЛ-10 612 ПС 35 кВ КГ6 для технологического присоединения  энергопринимающих устройств жилого дома Заявителя Новосельцев А.И. Ростовская область, Кагальницкий р-н, с. Новобатайск, ул. Садовая д.12 кв.1 к.н. 61:14:0040103:286 (1 шт.)</t>
  </si>
  <si>
    <t>Установка прибора коммерческого учета электрической энергии (мощности) на границе земельного участка, подключенного от опоры №1-14  ВЛ-0,4 №1 КТП-1 ВЛ-10 612  ПС 35 кВ КГ6 для технологического присоединения энергопринимающих устройств малоэтажной жилой застройки Заявителя Падалица А.Г., Ростовская область, Кагальницкий   р-н, с. Новобатайск,  ул. Октябрьская д.3 к.н.: 61:14:0040101:52(1 шт.)</t>
  </si>
  <si>
    <t>Установка прибора коммерческого учета электрической энергии (мощности) на границе земельного участка, подключенного от опоры  № 80-10 ВЛ-0,4  №1  КТП-80  ВЛ-10 501 ПС 35 кВ ЗР85для технологического присоединения энергопринимающих устройств малоэтажной жилой застройки Заявителя Степаненко В.П. Ростовская область, Зерноградский р-н, х. Болдиновка , ул. Пушкина  д.75 к.н. 61:12:0011101:897 (1 шт.)</t>
  </si>
  <si>
    <t>Установка прибора коммерческого учета электрической энергии (мощности) на границе земельного участка, подключенного от проектируемой опоры ВЛ 0,4 №1 КТП-65 ВЛ-10 1205 ПС 110 кВ Манычская для технологического присоединения энергопринимающих устройств базовой станции Заявителя ПАО "Ростелеком", Ростовская обл., р-н. Зерноградский, х. Средние Хороли (1 шт.)</t>
  </si>
  <si>
    <t>Установка прибора коммерческого учета электрической энергии (мощности) на границе земельного участка, подключенного от проектируемой опоры ВЛ 0,4 №1 КТП-163 ВЛ-10 202 ПС 110 кВ Краснолучинская для технологического присоединения энергопринимающих устройств базовой станции Заявителя ПАО"Ростелеком",  Ростовская обл., р-н. Зерноградский, х. Попов (1 шт.)</t>
  </si>
  <si>
    <t>Установка прибора коммерческого учета электрической энергии (мощности) на границе земельного участка, подключенного от проектируемой опоры ВЛ 0,4 №1 КТП-40 ВЛ-10 1706 ПС 35 кВ ЗР17 для технологического присоединения энергопринимающих устройств базовой станции Заявителя ПАО "Ростелеком", Ростовская обл., р-н. Зерноградский, х. Краснюков (1 шт.)</t>
  </si>
  <si>
    <t>Установка прибора коммерческого учета электрической энергии (мощности) на границе земельного участка, подключенного от проектируемой опоры №1 ВЛ 0,4 №1 КТП-83 ВЛ-10 1501 ПС 110 кВ ЗР15 для технологического присоединения энергопринимающих устройств базовой станции Заявителя ПАО "Ростелеком", Ростовская обл., р-н. Зерноградский, х. Каменный (1 шт.)</t>
  </si>
  <si>
    <t>Установка прибора коммерческого учета электрической энергии (мощности) на границе земельного участка, подключенного от проектируемой опоры ВЛ 0,4 №1 КТП-36 ВЛ-10 1704 ПС 35 кВ ЗР17 для технологического присоединения энергопринимающих устройств базовой станции Заявителя ПАО "Ростелеком", Ростовская обл., р-н. Зерноградский, х. Голубовка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</si>
  <si>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Стрелец Т.В., расположенного по адресу: Ростовская область, Чертковский  район, х. Ястребиновский, ул. Ясная, д.15, кв. 2,  к.н.з.у. 61:42:0040501:45</t>
  </si>
  <si>
    <t>Установка прибора учета электрической энергии (мощности) в точке поставки и установка шкафа 0,4 кВ с коммутационным аппаратом для электроснабжения ВРУ-0,4 кВ для строительства МТФ №1, заявителя, ИП Глава К(Ф)Х Фомин В. В., расположенного по адресу: Ростовская область, Чертковский район, х. Ходаков, ул. Молодежная, д. 29, к.н.з.у. 61:42:0170301:105</t>
  </si>
  <si>
    <t>Установка прибора учета электрической энергии (мощности) в точке поставки и установка шкафа 0,4 кВ с коммутационным аппаратом для электроснабжения магазина, заявителя, ИП Коваленко О.Н., расположенного по адресу: Ростовская область, Чертковский район, с. Алексеево-Лозовское, ул. Лисичкина, д. 22-Г, к.н.з.у. 61:42:0010101:4487</t>
  </si>
  <si>
    <t>Установка прибора учета электрической энергии (мощности) в точке поставки и установка шкафа 0,4 кВ с коммутационным аппаратом для электроснабжения объекта туристической отрасли (гостиница), заявителя, ИП Курьянов С.В., расположенного по адресу: Ростовская область, Чертковский район х. Нагибин, ул. Молодежная, д. 60, к.н.з.у. 61:42:0100201:1132</t>
  </si>
  <si>
    <t>Установка прибора учета электрической энергии (мощности) в точке поставки и установка шкафа 0,4кВ с коммутационным аппаратом для электроснабжения квартиры заявителя Богатых Э.М., расположенного по адресу: Ростовская область, Шолоховский  район,ст.Базковская ,ул.Калинина д.62,кв.3 к.н.з.у. 61:43:0010102:1414</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</si>
  <si>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Ермилина А.К., расположенного по адресу: Ростовская область, Шолоховский район, х. Лебяженский, ул. Плоткина, д. 13, к.н.з.у. 61:43:0020501:156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</si>
  <si>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Путрина В.Н., расположенного по адресу: Ростовская область, Миллеровский  район, х. Екатериновка, ул. Юбилейная, д. 82, к.н.з.у. 61:22:0050401:217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</si>
  <si>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Шалакина Н.М., расположенного по адресу: Ростовская область, Миллеровский  район, х. Малотокмацкий, ул. Степная, д. 6, к.н.з.у. 61:22:0120101:88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</si>
  <si>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Тончинского С.А., расположенного по адресу: Ростовская область, Миллеровский  район, сл. Волошино, ул. Межевая, д. 13, (61:22:0020101:189)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</si>
  <si>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Ващук Д.В., расположенного по адресу: Ростовская область, Миллеровский  район, сл. Волошино, ул. Межевая, д. 14, (61:22:0020101:777)</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</si>
  <si>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Садового А.Н., расположенного по адресу: Ростовская область, Миллеровский район, х. Сулин, ул. Набережная, д. 25, к.н.з.у. 61:22:140101:0161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</si>
  <si>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Гирина В.А., расположенного по адресу: Ростовская область, Миллеровский район, х. Треневка, ул. Восточная, д.23, к.н.з.у. 61:22:0061101:186»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</si>
  <si>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Омельченко Е.Г., расположенного по адресу: Ростовская область, Миллеровский район, сл. Поповка, ул. Жигулевская, д. 5, к.н.з.у. 61:22:0071001:39»</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</si>
  <si>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Мамедова С.А., расположенной по адресу: Ростовская область, Миллеровский район, х. Красная Заря, ул. Полевая, д. 8, кв, 1 к.н.з.у. 61:22:0010501:14»</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</si>
  <si>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Черенковой Г.Г., расположенного по адресу: Ростовская область, Миллеровский район, х. Кринички, Треневское сельское поселение, к.н.з.у. 61:22:0060701:328»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</si>
  <si>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Бабенко А.А., расположенного по адресу: Ростовская область, Миллеровский  район, с.Зеленая Роща  ул.Центральная  д.24 к.н.з.у. 61:22:0070501:63»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</si>
  <si>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Савченко В.И., расположенного по адресу: Ростовская область, Миллеровский  район, сл.Волошино ул.Северная  д.32 к.н.з.у. 61:22:0020101:762»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</si>
  <si>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Савченко Н.П, расположенного по адресу: Ростовская область, Миллеровский  район, сл.Волошино ул.Северная  д.27 к.н.з.у. 61:22:0020101:788»</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</si>
  <si>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Папченко В.Г., расположенной по адресу: Ростовская область, Миллеровский район, сл. Никольская, ул. Молодежная, д. 8, кв./оф. 3, к.н.з.у. 61:22:0100101:222»</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</si>
  <si>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Хилько И.А., расположенного по адресу: Ростовская область, Миллеровский район, сл. Позднеевка, ул. Комсомольская, д. 3, к.н.з.у. 61:22:0050801:919»</t>
  </si>
  <si>
    <t>«Установка прибора учета электрической энергии (мощности) в точке поставки и установка шкафа 0,4 кВ с коммутационным аппаратом для электроснабжения нежилого здания заявителя, ООО "Поливенко", расположенного по адресу: Ростовская область, Миллеровский  район, х. Малотокмацкий, ул. Школьная, д. 9, корп. а,  к.н.з.у. 61:22:0020101:592»</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</si>
  <si>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Датченко О.Ю., расположенного по адресу: Ростовская область, Миллеровский район,  х. Каменка, ул. Школьная, к.н.з.у. 61:22:0100401:652»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</si>
  <si>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Ганжина А.Н., расположенного по адресу: Ростовская область, Миллеровский район, х. Малотокмацкий, пер. Северный, д.2, к.н.з.у. 61:22:0120101:143»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</si>
  <si>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Леонтьева В.И., расположенного по адресу: Ростовская область, Миллеровский  район, х. Треневка, ул. Заречная, д. 19,»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</si>
  <si>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Головченко И.М., расположенного по адресу: Ростовская область,Кашарский  район, х. Лененский, ул. Заветная, д.7, к.н.з.у. 61:16:0170401:179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</si>
  <si>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Арабаджиевой Л.А., расположенного по адресу: Ростовская область,Кашарский  район, с. Верхнекалиновка, ул. Центральная, д.30, к.н.з.у. 61:16:0100301:242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</si>
  <si>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Примакова А.Н., расположенного по адресу: Ростовская область, Боковский район, х. Дуленков, ул. Огородная, д. 18, к.н.з.у. 61:05:0000000:209»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</si>
  <si>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Ишмахометовой Г.А., расположенного по адресу: Ростовская область, Боковский район, х. Коньков, ул. Коньковская, д. 71, к.н.з.у. 61:05:0040502:51»</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</si>
  <si>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Конкиной С.Д., расположенной по адресу: Ростовская область, Боковский район, х. Дуленков, ул. Песчаная, д. 34-а, кв. 3, к.н.з.у. 61:05:0010603:251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</si>
  <si>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Шевцова А.В., расположенного по адресу: Ростовская область, Боковский район, ст. Боковская, ул. Совхозная, д. 7Б, к.н.з.у. 61:05:0010104:1205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</si>
  <si>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метеостанции заявителя, ФГБУ «Северо-Кавказское управление по гидрометеорологии и мониторингу окружающей среды», расположенной по адресу: Ростовская область, Боковский район, ст. Боковская, пер. Виноградный, д. 34, к.н.з.у. 61:05:0600004:337»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</si>
  <si>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Лошадкина Н.П., расположенного по адресу: Ростовская область, Боковский район, х. Климовка, ул. Заречная, д. 17, к.н.з.у. 61:05:0040402:31»</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</si>
  <si>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Попова В.А., расположенного по адресу: Ростовская область, Боковский  район, х. Попов, ул. Заречная, д. 4,  к.н.з.у. 61:05:0040703:2»</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</si>
  <si>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Ступникова М.М., расположенной по адресу: Ростовская область, Боковский район, х. Большенаполовский, ул. Школьная, д. 105, кв. 2, к.н.з.у. 61:05:0020205:74»</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</si>
  <si>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Тарасова В.Г., расположенного по адресу: Ростовская область, Боковский район, ст. Каргинская, ул. Соловьева, д. 24, к.н.з.у. 61:05:0040106:9»,</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</si>
  <si>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Пятиков Н.Ю., расположенного по адресу: Ростовская область, Боковский район, х.Вислогузов, ул. Вислогузовская, д. 26 В, к.н.з.у. 61:05:0000000:5819»</t>
  </si>
  <si>
    <t>«Установка прибора учета электрической энергии (мощности) в точке поставки и установка шкафа 0,4 кВ с коммутационным аппаратом (1 шт.), для электроснабжения уличного освещения Заявителя, Администрация Кашарского сельского поселения., расположенного по адресу: Ростовская область, Кашарский район, сл. Кашары, ул. Красноармейская, к.н.з.у. 61:16:00000003353»</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</si>
  <si>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Хаверев В.И., расположенной по адресу: Ростовская область, Кашарский район, х. Сычевка, ул. Новая, д. 4, кв. 1 к.н.з.у. 61:16:0060301:25»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</si>
  <si>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Коваленко Е.Е., расположенного по адресу: Ростовская область, Кашарский район, с. Первомайское, ул. Почтовая, д. 16, к.н.з.у. 61:16:0110105:76»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</si>
  <si>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Кошиковского Н.И., расположенного по адресу: Ростовская область, Кашарский район, с. Первомайское, ул. Советская, д. 12, к.н.з.у. 61:16:0110102:314»</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</si>
  <si>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Закарлюка Т.А., расположенного по адресу: Ростовская область, Кашарский район, х. Краснояровка, ул. Центральная, д. 20, к.н.з.у. 61:16:0140301:108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</si>
  <si>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Борисова Н.И., расположенного по адресу: Ростовская область, Кашарский район, с. Первомайское, ул. Калинина, д. 67, к.н.з.у. 61:16:0110102:673»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</si>
  <si>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Бреславец Е.Ф., расположенного по адресу: Ростовская область, Кашарский район, с. Первомайское, ул. Набережная, д. 3, к.н.з.у. 61:16:0110102:377»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</si>
  <si>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Иванкова Т.Г., расположенного по адресу: Ростовская область, Кашарский район, с. Верхнекалиновка, ул. Центральная, д. 42, к.н.з.у. 61:16:0100301:580»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</si>
  <si>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Лазаревой Р.И., расположенного по адресу: Ростовская область, Кашарский район, с. Россошь, ул. Центральная, 16, к.н.з.у. 61:16:0140101:149»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</si>
  <si>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Сысоева А.П., расположенного по адресу: Ростовская область, Шолоховский район, х. Кружилинский, ул. Садовая, д.21, к.н.з.у. 61:43:0070101:332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</si>
  <si>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Чернуха С.В., расположенного по адресу: Ростовская область, Кашарский район, сл. Верхнемакеевка, ул. Октябрьская, д. 100, к.н.з.у. 61:16:0030105:110»</t>
  </si>
  <si>
    <t>«Установка прибора учета электрической энергии (мощности) в точке поставки и установка шкафа 0,4 кВ с коммутационным аппаратом (1 шт.), для электроснабжения ВРУ 0,4 кВ базовой станции х. Вишневка, заявитель, ПАО «Ростелеком», расположенного по адресу: Ростовская область, Кашарский район, х. Вишневка к.н.з.у. 00:00:00000»</t>
  </si>
  <si>
    <t>«Установка прибора учета электрической энергии (мощности) в точке поставки и установка шкафа 0,4 кВ с коммутационным аппаратом (1 шт.), для электроснабжения ВРУ 0,4 кВ базовой станции с. Новопавловка, заявитель, ПАО «Ростелеком», расположенного по адресу: Ростовская область, Кашарский район, с. Новопавловка к.н.з.у. 00:00:00000»</t>
  </si>
  <si>
    <t>«Установка прибора учета электрической энергии (мощности) в точке поставки и установка шкафа 0,4 кВ с коммутационным аппаратом (1 шт.), для электроснабжения ВРУ 0,4 кВ базовой станции п. Теплые Ключи, заявитель, ПАО «Ростелеком», расположенного по адресу: Ростовская область, Кашарский район, п. Теплые Ключи к.н.з.у. 00:00:00000»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</si>
  <si>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Саналатий Н.П., расположенного по адресу: Ростовская область, Кашарский район, пер. Школьный д.8 кв.1, ул. к.н.з.у. 61:16:0130105:112»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</si>
  <si>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Печерской Е.В., расположенного по адресу: Ростовская область, Миллеровский район, х. Зеленая Роща, ул. Школьная, д. 21, к.н.з.у. 61:22:0070501:60</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</si>
  <si>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Козырева К.А., расположенного по адресу: Ростовская область, Миллеровский район, х. Новоталовка, ул. Солнечная, д. 3, к.н.з.у. 61:22:0011001:31»</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</si>
  <si>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Грищенко А.Ф., расположенной по адресу: Ростовская область, Миллеровский район, сл. Никольская, ул. Центральная, д. 22, кв. 2, к.н.з.у. 61:22:0100101:202»</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</si>
  <si>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расположенной по адресу: Ростовская область, Миллеровский район, х. Зеленая Роща,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</si>
  <si>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расположенной по адресу: Ростовская область, Миллеровский район, сл. Нижнекамышинка,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</si>
  <si>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расположенной по адресу: Ростовская область, Миллеровский район, п. Ярский,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</si>
  <si>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Хрипко А.С., расположенного по адресу: Ростовская область, Миллеровский район, сл. Терновая, ул. Молодежная, д. 4, к.н.з.у. 61:22:0110501:1007»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</si>
  <si>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Симонова И.И., расположенного по адресу: Ростовская область, Кашарский район, с. Новопавловка, ул. Южная, д. 6, к.н.з.у. 61:16:010303:0078»</t>
  </si>
  <si>
    <t>Установка прибора учета для технологического присоединения магазина № 61 заявителя, ИП Курдюмов В.П., расположенного по адресу: Ростовская область, Кашарский район, х. Пономарев, ул. Центральная, д. 5, к.н.з.у. 00:00:000000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</si>
  <si>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Соколовой Н.Б., расположенного по адресу: Ростовская область, Кашарский район, сл. Верхнемакеевка, ул. Октябрьская, д. 113, к.н.з.у. 61:16:0030105:28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</si>
  <si>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Агуреев А.И., расположенного по адресу: Ростовская область, Кашарский район, сл. Верхнемакеевка ул Советская д. 26, к.н.з.у. 61:16:0030101:131</t>
  </si>
  <si>
    <t>Установка прибора учета электрической энергии (мощности) в точке поставки и установка шкафа 0,4 кВ с коммутационным аппаратом для электроснабжения пожарного депо на 2 автомобиля заявителя, ИП Глава КФХ Левина Н.А., расположенного по адресу: Ростовская область, Боковский район, ст. Краснокутская, ул. Социалистическая, д. 67,  к.н.з.у. 61:05:0060105:23</t>
  </si>
  <si>
    <t>Установка прибора учета электрической энергии (мощности) в точке поставки и установка шкафа 0,4 кВ с коммутационным аппаратом для электроснабжения магазина заявителя, ООО "Союз-А", расположенного по адресу: Ростовская область, Боковский район, ст. Краснокутская, ул. Социалистическая, д. 35, к.н.з.у. 61:05:00600106:44</t>
  </si>
  <si>
    <t>Установка прибора учета электрической энергии (мощности) в точке поставки и установка шкафа 0,4 кВ с коммутационным аппаратом для электроснабжения ЗАВа-20 заявителя, ИП (Глава КФХ) Сутуловой Н.И., расположенного по адресу: Ростовская область, Боковский район, х. Земцов, ул. Центральная, д. 53 а, к.н.з.у. 61:05:0070502:141</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</si>
  <si>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расположенной по адресу: 346181 Российская Федерация, Ростовская обл., р-н. Верхнедонской, х. Казанская Лопатина ориентир №49.933030; Е41.241054,  кадастровый квартал 61:07:0020101</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</si>
  <si>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расположенной по адресу: 346184 Российская Федерация, Ростовская обл., р-н. Верхнедонской, х. Быковский, ориентир №49.87402494; Е41.48465781, кадастровый квартал 61:07:0070101</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</si>
  <si>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расположенного по адресу: 346166 Российская Федерация, Ростовская обл., р-н. Верхнедонской, х. Алексеевский, ориентир №49.452639-Е41.128167, кадастровый квартал 61:07:012070</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</si>
  <si>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расположенного по адресу: 346166 Российская Федерация, Ростовская обл., р-н. Верхнедонской, х. Солонцовский, ориентир №49.788424; Е41.318429, кадастровый квартал 61:07:0060401</t>
  </si>
  <si>
    <t>Установка прибора учета электрической энергии (мощности)в точке поставки и установка шкафа 0,4 кВ с коммутационным аппаратом для электроснабжения Базовой станции сотовой связи (БС-2758) заявителя Общество с ограниченной ответственностью "Т2 Мобайл", расположенной по адресу: 346163 Российская Федерация, Ростовская обл., р-н. Верхнедонской, х. Мещеряковский, ул. Садовая, д. 27 б, кадастровый квартал 61:07:0120201</t>
  </si>
  <si>
    <t>Установка прибора учета для технологического присоединения жилого дома заявителя, Сысоева А.А., расположенного по адресу: Ростовская область, Шолоховский район, х. Кружилинский, ул. Садовая, д. 21а, к.н.з.у. 61:43:0070101:2616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</si>
  <si>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Иванченко Р.А., расположенной по адресу: Ростовская область, Шолоховский  район, х. Дубровский, пер. Школьный, д 11, кв. 1, к.н.з.у. 61:43:0030101:497»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</si>
  <si>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Ушакова Н.П., расположенного по адресу: Ростовская область, Шолоховский район, х. Нижнекривской, ул. Родниковая, д. 93, к.н.з.у. 61:43:0050401:34»</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</si>
  <si>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Казьминой О.В., расположенного по адресу: Ростовская область, Шолоховский  район, х. Дударевский, ул. Набережная, д. 5, к.н.з.у. 61:43:0040101:567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</si>
  <si>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Благородовой Л.В., расположенного по адресу: Ростовская область, Шолоховский  район, х. Дубровский, ул. Центральная, д. 40, к.н.з.у. 61:43:0030101:320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</si>
  <si>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Топольскова С.В., расположенного по адресу: Ростовская область, Шолоховский  район, х. Дударевский, ул. Южная, д. 2, к.н.з.у. 61:43:0040101:242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</si>
  <si>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Айгубова Р.М., расположенного по адресу: Ростовская область, Шолоховский район, х. Максаевский, ул. Южная, д.49, к.н.з.у. 61:43:0070301:116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</si>
  <si>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Токина В.М., расположенного по адресу: Ростовская область, Шолоховский район, х. Гороховский, ул. Северная, д. 9, к.н.з.у. 61:43:0060401:78»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</si>
  <si>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Бирюлиной Л.И., расположенного по адресу: Ростовская область, Шолоховский район, х. Дубровский, пер. Грибной, д. 4, к.н.з.у. 61:43:0030101:548»</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</si>
  <si>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Глазуновой Н.В., расположенной по адресу: Ростовская область, Шолоховский  район, х. Кружилинский, ул. Молодежная, д 7, кв. 1, к.н.з.у. 61:43:0070101:851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</si>
  <si>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Рябчикова А.В., расположенного по адресу: Ростовская область, Шолоховский  район, ст. Базковская, ул. Зотьева, д. 6, к.н.з.у. 61:43:0010102:1479</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</si>
  <si>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Афанасьева Р.А., расположенной по адресу: Ростовская область, Шолоховский район, х. Дубровский, пер. Школьный, д. 7, кв. 2, к.н.з.у. 61:43:0030101:0062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</si>
  <si>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Галиловой Р.Д., расположенного по адресу: Ростовская область, Шолоховский  район, х. Пигаревский, ул. Красноселовская, д. 20, к.н.з.у. 61:43:0020602:81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</si>
  <si>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Кривцова С.И., расположенного по адресу: Ростовская область, Шолоховский район, х. Альшанский, пер. Панский, д. 3, к.н.з.у. 61:43:0010201:282</t>
  </si>
  <si>
    <t>Установка прибора учета электрической энергии (мощности) в точке поставки и установка шкафа 0,4 кВ с коммутационным аппаратом для электроснабжения склада Заявителя, ООО "Миллеровский Торговый Комплекс", расположенного по адресу: Ростовская область, Миллеровский район, г. Миллерово, к.н.з.у. 61:54:0050001:227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</si>
  <si>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Глущенко Т.Ф., расположенного по адресу: Ростовская область, Миллеровский район, сл. Нижнекамышинка, ул. Центральная, д. 19, к.н.з.у. 61:22:0020601:104</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</si>
  <si>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Головятенко С.В., расположенного по адресу: Ростовская область, Миллеровский район, Дегтевское сельское поселение, к.н.з.у. 61:22:0030101:2333</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</si>
  <si>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Коршунова А.В., расположенного по адресу: Ростовская область, Верхнедонской  район, х. Макаровский, ул. Макаровская, д. 19, к.н.з.у. 61:07:0100101:67"</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</si>
  <si>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Соколова Ф.Б., расположенного по адресу: Ростовская область, Верхнедонской  район, х. Поповка, ул. Атаманская, д. 31, к.н.з.у. 61:07:0040401:601"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</si>
  <si>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Гурова М.В., расположенного по адресу: Ростовская область, Шолоховский  район, х. Затонский, ул. Центральная, д. 21, к.н.з.у. 61:43:0080401:111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</si>
  <si>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Браташевой Н.В., расположенного по адресу: Ростовская область,Кашарский  район, х. Калашников, ул. Береговая, д. 28, к.н.з.у. 61:16:0040601:152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</si>
  <si>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Радченко В.Ф., расположенного по адресу: Ростовская область, Чертковский  район, х. Могилянский, ул. Мира, д.18, к.н.з.у. 61:42:0040201:142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</si>
  <si>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Горбачева В.Н., расположенного по адресу: Ростовская область,Кашарский  район, х. Талловеров, ул. Киевская, д.52, к.н.з.у. 61:16:00000003470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</si>
  <si>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Скарга А.И., расположенного по адресу: Ростовская область,Кашарский  район, х. Федоровка, ул. Восточная, д.43, к.н.з.у. 61:16:0160501:37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</si>
  <si>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Аникиной Н.А., расположенного по адресу: Ростовская область, Верхнедонской  район, ст. Мешковская, ул. Тихая, д. 2, к.н.з.у. 61:07:0110501:44</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</si>
  <si>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Еровенко А.В., расположенной по адресу: Ростовская область,Кашарский  район, п. Индустриальный, ул. Ждановская, д. 21, к.н.з.у. 61:16:060101:594</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</si>
  <si>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Бочкова А.И., расположенного по адресу: Ростовская область, Чертковский  район, с. Ольховчик, ул. Советская, д. 7, к.н.з.у. 61:42:110101:0103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</si>
  <si>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Погребан И.В., расположенного по адресу: Ростовская область,Кашарский  район, х. Талловеров, ул. Украдыженко, д.143, к.н.з.у. 61:16:0160101:487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</si>
  <si>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Северинова П.В., расположенного по адресу: Ростовская область, Чертковский  район, х. Петровский, ул. Мира, д. 74, к.н.з.у. 61:42:01110201:145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</si>
  <si>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Сердиченко Т.Г., расположенного по адресу: Ростовская область, Боковский  район, х. Попов, ул. Заречная, д. 8, к.н.з.у. 61:05:0040703:8</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</si>
  <si>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Киреевой И.П., расположенной по адресу: Ростовская область, Верхнедонской район, п. Придонский, ул. Придонская, д. 5, кв. 1, к.н.з.у. 61:07:0090101:57</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</si>
  <si>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Бондаренко В.А., расположенной по адресу: Ростовская область,Кашарский  район, п. Красный Колос, ул. Пушкинская, д. 2, кв.1, к.н.з.у. 61:16:0080101:192 (1шт.)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</si>
  <si>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Ганеевой Н.И., расположенного по адресу: Ростовская область,Кашарский  район, с. Верхнегреково, ул. Центральная, д.17, к.н.з.у. 61:16:0020102:216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</si>
  <si>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Дьякова В.Н., расположенной по адресу: Ростовская область, Шолоховский  район, х. Дударевский, ул. Асфальтная, д 7, кв. 2, к.н.з.у. 61:43:0040101:714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</si>
  <si>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Василенко Г.Н., расположенного по адресу: Ростовская область,Кашарский  район, с. Усть- Мечетка, ул. Вербовая, д. 45, к.н.з.у. 61:16:160401:0154</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</si>
  <si>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Никишина Н.В., расположенного по адресу: Ростовская область, Чертковский  район, с. Маньково- Калитвенское, ул. Садовая, д.50, к.н.з.у. 61:42:0080128:40</t>
  </si>
  <si>
    <t>Установка прибора учета электрической энергии (мощности) в точке поставки и установка шкафа 0,4 кВ с коммутационным аппаратом для электроснабжения магазина заявителя ИП Любченко А.С., расположенного по адресу: Ростовская область,Кашарский  район, с. Первомайское, ул. Калинина, 23, к.н.з.у. 61:16:0110102:715</t>
  </si>
  <si>
    <t xml:space="preserve">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станции/оборудование сотовой связи заявителя, ООО "ТехноСтройГрупп"., расположенного по адресу: Ростовская область, Боковский  район, ст. Каргинская, ул. Совхозная, </t>
  </si>
  <si>
    <t xml:space="preserve">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сотовой связи заявителя, ООО "ТехноСтройГрупп"., расположенного по адресу: Ростовская область, Верхнедонской  район, х. Новониколаевский, ул. Новая, 11, к.н.з.у. 61:07:0010301 </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</si>
  <si>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Черкасовой С.А., расположенного по адресу: Ростовская область, Кашарский район, с. Первомайское, ул. Кирова, д. 4, к.н.з.у. 61:16:0110102:648</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</si>
  <si>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Пугач Л.Г., расположенной по адресу: Ростовская область, Кашарский район, с. Первомайское, ул. Лермонтова, д. 18, кв. 4, к.н.з.у. 61:16:0110102:494</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</si>
  <si>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Абакумова А.И., расположенного по адресу: Ростовская область, Шолоховский район, х. Дударевский, ул. Набережная, д. 10, к.н.з.у. 61:43:0040101:577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</si>
  <si>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Бортниковой С.А., расположенного по адресу: Ростовская область, Чертковский район, с. Греково-Степановка, ул. Дружбы, д. 39, к.н.з.у. 61:42:0040101:31»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</si>
  <si>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Куркчи Г.В., расположенного по адресу: Ростовская область, Боковский район, ст. Каргинская, ул. Архиповская, д.9, к.н.з.у. 61:05:0040101:11»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</si>
  <si>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Власенко Н.Н., расположенного по адресу: Ростовская область, Кашарский район, п. Дибровый, ул. Центральная, д. 7, к.н.з.у. 61:16:0130303:97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</si>
  <si>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Лобанова Ю.В., расположенного по адресу: Ростовская область, Боковский район, х. Грачев, ул. Заречная, д. 34, к.н.з.у. 61:05:00301110:30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</si>
  <si>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Кошелева А.В., расположенного по адресу: Ростовская область, Шолоховский район, х. Андроповский, ул. Агеева, д. 24, к.н.з.у. 61:43:0020201:220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</si>
  <si>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Кружилиной Н.Г., расположенного по адресу: Ростовская область, Шолоховский район, х. Кривской, ул. Кривская, д. 16, к.н.з.у. 61:43:0040201:45</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</si>
  <si>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Лопаткина А.С., расположенной по адресу: Ростовская область, Чертковский район, с. Маньково-Калитвенское, ул. Юбилейная, д. 9, кв. 2, к.н.з.у. 61:42:0080119:51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</si>
  <si>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Стоколосова А.Н., расположенного по адресу: Ростовская область, Чертковский район, с. Греково-Степановка, ул. Подгорная, 17, к.н.з.у. 61:42:0040101:196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</si>
  <si>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Гришиной А.М., расположенного по адресу: Ростовская область, Шолоховский район, х. Гороховский, ул. Асфальтная, д. 84, к.н.з.у. 61:43:0060401:631</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</si>
  <si>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Ярмакович Т.Г., расположенного по адресу: Ростовская область, Боковский район, х. Дуленков, ул. Песчаная, д. 30, кв. 1, к.н.з.у. 61:05:0010603:58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</si>
  <si>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Колундаева С.Н., расположенного по адресу: Ростовская область, Боковский район, х. Грачев, ул. Заречная, д. 5, к.н.з.у. 61:05:0030109:102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</si>
  <si>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Авраменко А.А., расположенного по адресу: Ростовская область, Боковский район, х. Верхнечирский, ул. Мира, д. 91, к.н.з.у. 61:05:0000000:5823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</si>
  <si>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Бирюлина А.В., расположенной по адресу: Ростовская область, Боковский район, х. Грачев, ул. Молодежная, д. 19, кв. 2, к.н.з.у. 61:05:0030108:29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</si>
  <si>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Буханцова Н.Н., расположенного по адресу: Ростовская область, Боковский район, ст. Каргинская, пер. Козырина, д.3, к.н.з.у. 61:05:0040104:76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</si>
  <si>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Гуляченко А.Н., расположенного по адресу: Ростовская область, Кашарский район, п. Индустриальный, ул. Школьная, д.10, к.н.з.у. 61:16:060101:274,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</si>
  <si>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Токиной А.О., расположенного по адресу: Ростовская область, Боковский район, ст. Боковская, пер. Чкалова, д. 67, к.н.з.у. 61:05:0010102:691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</si>
  <si>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Кривошлыковой Л.И., расположенного по адресу: Ростовская область, Боковский район, х. Каменка, ул. Песчаная, д. 6, к.н.з.у. 61:05:0060301:3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</si>
  <si>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Турилина Р.Ф., расположенного по адресу: Ростовская область, Шолоховский район, х. Дударевский, ул. Школьная, д. 4, к.н.з.у. 61:43:0040101:402</t>
  </si>
  <si>
    <t>Установка прибора учета электрической энергии (мощности) в очке поставки и установка шкафа 0,4 кВ с коммутационным аппаратом для электроснабжения жилого дома заявителя, Авраменко А.А., расположенного по адресу: Ростовская область, Боковский район, х. Верхнечирский, ул. Мира, д. 79, к.н.з.у. 61:05:02 7(08 02):0009</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</si>
  <si>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Вошанова Н.М., расположенной по адресу: Ростовская область, Кашарский район, п. Дибровый, ул. Дружбы, д. 52, кв. 2,  к.н.з.у. 61:16:0130301:222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</si>
  <si>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Егорова С.Г., расположенного по адресу: Ростовская область, Кашарский район, сл. Верхнемакеевка, ул. Горная, д. 1, к.н.з.у. 61:16:0030101:578</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</si>
  <si>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Вдовиченко Г.В., расположенной по адресу: Ростовская область,  Кашарский район, х. Вяжа, ул. Центральная, д. 19, кв.2, к.н.з.у. 61:16:0050102:138</t>
  </si>
  <si>
    <t>Установка прибора учета электрической энергии (мощности) в точке поставки и установка шкафа 0,4 кВ с коммутационным аппаратом для электроснабжения гаража, Заявителя Гордиенко В.А., расположенного по адресу: Ростовская область, Чертковский район, с. Маньково-Калитвенское, пер. Луначарского, д. 30, к.н.з.у. 61:42:0080116:37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</si>
  <si>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Писковатсковой В.А., расположенного по адресу: Ростовская область, Шолоховский район,              х. Громковский, ул. Почтовая, д. 425, к.н.з.у. 61:43:0010501:1173</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</si>
  <si>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Осичкина Н.И., расположенной по адресу: Ростовская область, Верхнедонской район, х. Мещеряковский, ул. Больничная, д. 2, кв. 1, к.н.з.у. 61:07:0120201:0:27:2</t>
  </si>
  <si>
    <t>Установка прибора учета электрической энергии (мощности) в точке поставки и установка шкафа 0,4 кВ с коммутационным аппаратом для электроснабжения земельного участка для сельскохозяйственного производства заявителя, ИП Лысенко Р.В., расположенного по адресу: Ростовская область, Кашарский район, с. Первомайское, примерно 1 км. от здания Первомайского сельского поселения на северо-восток, к.н.з.у. 61:16:0600020:737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</si>
  <si>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Саенко С.А., расположенного по адресу: Ростовская область, Кашарский район, с. Первомайское, ул. Калинина, д. 53, к.н.з.у. 61:16:0110102:685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</si>
  <si>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Ряснова С.А., расположенного по адресу: Ростовская область, Чертковский район, с. Осиково, ул. Садовая д. 20, к.н.з.у. 61:42:0190101:529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</si>
  <si>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Зубчик К.А., расположенного по адресу: Ростовская область, Чертковский район, с. Маньково-Калитвенское, ул. Заречная, д. 18, к.н.з.у. 61:42:0080125:10</t>
  </si>
  <si>
    <t>Установка прибора учета электрической энергии (мощности) в точке поставки и установка шкафа 0,4 кВ с коммутационным аппаратом для технологического присоединения наружного освещения заявителя, Министерство транспорта Ростовской области, расположенного по адресу: Ростовская область, Кашарский р-н, с. Первомайское, участок автодороги 2+760, 3+620, к.н.з.у. 61:16:0110104:203</t>
  </si>
  <si>
    <t>Установка прибора учета электрической энергии (мощности) в точке поставки и установка шкафа 0,4 кВ с коммутационным аппаратом для технологического присоединения наружного освещения заявителя, Министерство транспорта Ростовской области, расположенного по адресу: Ростовская область, Кашарский р-н, с. Первомайское, участок автодороги 3+650, 4+415, к.н.з.у. 61:16:0110104:203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</si>
  <si>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Ветчинкина А.А., расположенного по адресу: Ростовская область, Шолоховский район, х. Дударевский, ул. Центральная, д. 18, к.н.з.у. 61:43:0040101:443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</si>
  <si>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Кравцова И.Н., расположенного по адресу: Ростовская область, Боковский район, ст. Боковская, пер. Абрикосовый, д. 1, к.н.з.у. 61:05:0600004:300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</si>
  <si>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Данченко Н.И., расположенного по адресу: Ростовская область, Кашарский район, с. Россошь, ул. Лесная, д. 7, к.н.з.у. 61:16:0140101:218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</si>
  <si>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Евсеенко П.П., расположенного по адресу: Ростовская область, Кашарский район, с. Первомайское, ул. Советская, д. 33, к.н.з.у. 61:16:0110102:290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</si>
  <si>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Грицаева В.Н., расположенного по адресу: Ростовская область, Кашарский район, с. Первомайское, ул. Лермонтова, д. 55, к.н.з.у. 61:16:0110102:454</t>
  </si>
  <si>
    <t>Установка прибора учета электрической энергии (мощности) в точке поставки и установка шкафа 0,4 кВ с коммутационным аппаратом для электроснабжения земельного участка заявителя, ИП Полякова Н.В., расположенного по адресу: Ростовская область, Кашарский район, п. Теплые Ключи, ул. Прудная к.н.з.у. 61:16:0090101:586</t>
  </si>
  <si>
    <t>Установка прибора учета для технологического присоединения строящегося жилого дома заявителя, Гулян А.Н., расположенного по адресу: Ростовская область, Чертковский район, с. Маньково-Калитвенское, пер. Почтовый, д.14, к.н.з.у. 61:42:0080110:32</t>
  </si>
  <si>
    <t>Установка прибора учета для технологического присоединения дома охотника заявителя, Военно-охотничье общество Северо-Кавказского военного округа, межрегиональная спортивная общественная организация, расположенного по адресу: Ростовская область, Кашарский район, х. Ольховый, ул. Лесная, д. 33, к.н.з.у. 61:16:050302:0035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</si>
  <si>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Шаповалова А.И., расположенного по адресу: Ростовская область, Миллеровский район, х. Луки, ул. Лесная, д. 26, к.н.з.у. 61:22:0100501:16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</si>
  <si>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Лазаревой Е.М., расположенного по адресу: Ростовская область, Шолоховский район, х. Гороховский, ул. Северная, д. 1, к.н.з.у. 61:43:0060401:322</t>
  </si>
  <si>
    <t>Установка прибора учета электрической энергии (мощности) в точке поставки и установка шкафа 0,4 кВ с коммутационным аппаратом для электроснабжения земельного участка заявителя, Рудько А.М., расположенного по адресу: Ростовская область, Кашарский район, с. Верхнесвечниково, ул. Набережная, д. 10, к.н.з.у. 61:16:0040102:57</t>
  </si>
  <si>
    <t>Установка прибора учета для технологического присоединения жилого дома заявителя, Алексеев В.В., расположенного по адресу: Ростовская область, Верхнедонской район, х. Раскольный, ул. Раскольная, д. 5, к.н.з.у. 61:07:0010401:81</t>
  </si>
  <si>
    <t>Установка прибора учета для технологического присоединения земельного участка заявителя, Баглаев А.А., расположенного по адресу: Ростовская область, Верхнедонской район, х. Кукуевский, ул. Октябрьская, д. 5 А, к.н.з.у. 61:07:0040501:945</t>
  </si>
  <si>
    <t>Установка прибора учета для технологического присоединения нежилого помещения заявителя, ИП Грищенко Е.Г., расположенного по адресу: Ростовская область, Миллеровский район, г. Миллерово, ул. Котовского, д. 33, корп. б, к.н.з.у. 61:54:0050001:493</t>
  </si>
  <si>
    <t>Установка прибора учета для технологического присоединения жилого дома заявителя, Юркин В.А., расположенного по адресу: Ростовская область, Верхнедонской район, х. Мещеряковский, ул. Заречная, д. 16, к.н.з.у. 61:07:0120201:617</t>
  </si>
  <si>
    <t>Установка прибора учета для технологического присоединения объектов наружного освещения заявителя, Администрация муниципального образования «Алексеево-Лозовское сельское поселение», расположенного по адресу: Ростовская область, Чертковский район, с. Греково-Степановка, ул. Центральная, ул. Дружбы, ул. Веселая</t>
  </si>
  <si>
    <t>Установка прибора учета для технологического присоединения строящегося жилого дома заявителя, Ковалев А.С., расположенного по адресу: Ростовская область, Боковский район, ст. Каргинская, ул. Архиповская, д.48а, к.н.з.у. 61:05:0040110:171</t>
  </si>
  <si>
    <t>Установка прибора учета для технологического присоединения жилого дома заявителя, Опашко С.П., расположенного по адресу: Ростовская область, Чертковский район, с. Алексеево-Лозовское, ул. Кирова, д.70/2, к.н.з.у. 61:42:0010101:4804</t>
  </si>
  <si>
    <t>Установка прибора учета для технологического присоединения квартиры заявителя, Закиев А.Р., расположенной по адресу: Ростовская область, Боковский район, х. Попов, ул. Заречная, д.5, кв. 1, к.н.з.у. 61:05:0040703:4</t>
  </si>
  <si>
    <t>Установка прибора учета для технологического присоединения складского здания заявителя, ООО «Поповское», расположенного по адресу: Ростовская область, Верхнедонской район, х. Поповка, ул. Петровского, д. 55-а, к.н.з.у. 61:07:0040401:1140</t>
  </si>
  <si>
    <t>Установка прибора учета для технологического присоединения здания заявителя, ООО «Поповское», расположенного по адресу: Ростовская область, Верхнедонской район, х. Поповка, ул. Шолохова, д. 15, к.н.з.у. 61:07:0040401:715</t>
  </si>
  <si>
    <t>Установка прибора учета для технологического присоединения строящегося жилого дома, Заявителя Колесников М.П., расположенного по адресу: Ростовская область, Чертковский район, с. Маньково-Калитвенское, ул. Кирова, д.47, к.н.з.у. 61:42:0080112:79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</si>
  <si>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Трофименко О.А., расположенной по адресу: Ростовская область, Кашарский район, с. Россошь, ул. Центральная, д. 45, к.н.з.у. 61:16:0140101:166</t>
  </si>
  <si>
    <t>Установка прибора учета для технологического присоединения жилого дома заявителя, Степчихин Я.А., расположенного по адресу: Ростовская область, Верхнедонской район, х. Быковский, ул. Быковская, д. 10, к.н.з.у. 61:07:0070101:81</t>
  </si>
  <si>
    <t>Установка прибора учета для технологического присоединения жилого дома заявителя Потапова И.С., расположенного по адресу: Ростовская область, Боковский район, х. Климовка, ул. Заречная, д. 9, к.н.з.у. 61:05:0040402:23</t>
  </si>
  <si>
    <t>Установка прибора учета для технологического присоединения жилого помещения заявителя, Коновалов В.А., расположенного по адресу: Ростовская область, Верхнедонской район, х. Верхняковский, ул. Квартал Новый, д. 6, кв. 1, к.н.з.у. 61:07:0100501:433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</si>
  <si>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Варивода Ю.А., расположенной по адресу: Ростовская область, Кашарский район, х. Сычевка, ул. Средняя, д. 6, к.н.з.у. 61:16:060301:7</t>
  </si>
  <si>
    <t>Установка прибора учета для технологического присоединения строящегося жилого дома заявителя, Ковалев Д.С., расположенного по адресу: Ростовская область, Боковский район, ст. Каргинская, ул. Чирская, д.14, к.н.з.у. 61:05:0040102:130</t>
  </si>
  <si>
    <t>Установка прибора учета для технологического присоединения жилого дома заявителя, Аксенов А.И., расположенной по адресу: Ростовская область, Боковский район, х. Вислогузов, ул. Вислогузовская, д. 10, к.н.з.у. 61:05:0040201:83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</si>
  <si>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Фоменко А.Л., расположенной по адресу: Ростовская область, Кашарский район, с. Первомайское, ул. Почтовая, д. 7, к.н.з.у. 61:16:0110102:360</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</si>
  <si>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Дмитриченко Е.А., расположенной по адресу: Ростовская область, Кашарский район, х. Драчевка, ул. Маслозаводская, д. 55, кв. 2 к.н.з.у. 61:16:0110202:147</t>
  </si>
  <si>
    <t>Установка прибора учета для технологического присоединения здания отделения почтовой связи заявителя, АО «Почта России», расположенного по адресу: Ростовская область, Боковский район, х. Грачев, ул. Школьная, д. 2, к.н.з.у. 61:05:0030108:85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</si>
  <si>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Апанасенко Н.С., расположенной по адресу: Ростовская область, Кашарский район, х. Драчевка, ул. Маслозаводская, д. 63, к.н.з.у. 61:16:0110202:118</t>
  </si>
  <si>
    <t>Установка прибора учета для технологического присоединения жилого дома заявителя, Бедрин В.А., расположенного по адресу: Ростовская область, Чертковский район, с. Сохрановка, ул. Школьная, д.14, к.н.з.у. 61:42:0150101:217</t>
  </si>
  <si>
    <t>Установка прибора учета для технологического присоединения жилого дома заявителя, Ромащенко В.А., расположенного по адресу: Ростовская область, Миллеровский район, х. Банниково-Александровский, ул. Студенческая, д. 56, к.н.з.у. 61:22:01020:0127</t>
  </si>
  <si>
    <t>Установка прибора учета для технологического присоединения жилого дома заявителя, Гераськин А.С., расположенного по адресу: Ростовская область, Миллеровский район, сл. Дегтево, ул. Лесная, д. 29, к.н.з.у. 61:22:0030101:501</t>
  </si>
  <si>
    <t>Установка прибора учета для технологического присоединения жилого дома заявителя, Назаренко Ю.Н., расположенного по адресу: Ростовская область, Миллеровский район, х. Хмызов, ул. Шолохова, д. 77, к.н.з.у. 61:22:0080101:245</t>
  </si>
  <si>
    <t>Установка прибора учета для технологического присоединения жилого дома заявителя, Тончинская Т.В., расположенного по адресу: Ростовская область, Миллеровский район, сл. Волошино, ул. Украинская, д.14, к.н.з.у. 00:00:000000:0000</t>
  </si>
  <si>
    <t>Установка прибора учета для технологического присоединения здания правления заявителя, ООО «Агро-Союз», расположенного по адресу: Ростовская область, Чертковский район, с. Тихая Журавка, ул. Широкая, д.27, стр. 2, к.н.з.у. 61:42:0100101:1864</t>
  </si>
  <si>
    <t>Установка прибора учета для технологического присоединения жилого дома заявителя, Мокаев А.К., расположенного по адресу: Ростовская область, Чертковский район, с. Михайлово-Александровка, ул. Большевистская, д.30, к.н.з.у. 61:42:0090101:317</t>
  </si>
  <si>
    <t>Установка прибора учета для технологического присоединения жилого дома заявителя, Шевцов В.И., расположенного по адресу: Ростовская область, Миллеровский район, сл. Дегтево, ул. Степная, д. 29, к.н.з.у. 61:22:0030101:9</t>
  </si>
  <si>
    <t>Установка прибора учета для технологического присоединения личного подсобного хозяйства заявителя, Чертоева Т.Ф., расположенного по адресу: Ростовская область, Миллеровский район, х. Банниково-Александровский, пер. Новый, д. 8, к.н.з.у. 61:22:0010201:225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</si>
  <si>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Сливина А.И., расположенного по адресу: Ростовская область, Миллеровский район, с. Сулин, ул. Набережная, д. 29, к.н.з.у. 00:00:000000:00 (1 шт.)</t>
  </si>
  <si>
    <t>Установка прибора учета для технологического присоединения жилого дома заявителя, Усманова Я.Х., расположенного по адресу: Ростовская область, Боковский район, п.Стожки, ул. Вишневая, д. 6, к.н.з.у. 61:05:0600009:204</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</si>
  <si>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Федорова А.С., расположенной по адресу: Ростовская область, Кашарский район, с. Первомайское, ул. Калинина, д. 4, к.н.з.у. 61:16:0110102:700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</si>
  <si>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Глущенко А.И., расположенной по адресу: Ростовская область, Кашарский район, х. Драчевка, ул. Маслозаводская, д. 42, к.н.з.у. 61:16:0110202:0017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</si>
  <si>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Кадыковой Е.А., расположенного по адресу: Ростовская область, Боковский район,ст.Боковская пер.Коньковский д.13-а,к.н.з.у. 61:05:0010104:1202</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</si>
  <si>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Бородиной Е.П., расположенного по адресу: Ростовская область, Верхнедонской  район ст.Мигулинская,ул.Пушкина д.9. 61:07:0090201:608</t>
  </si>
  <si>
    <t>Установка прибора учета электрической энергии (мощности) в точке поставки и установка шкафа 0,4 кВ с коммутационным аппаратом для электроснабжения ШНО-1 х. Коноваловский, линии наружного освещения подъезда от автодороги "Магистраль Дон"- ст. Мешковская- ст.Казанская к х. Мещеряковский на участке км 4+730-км 6+235 заявителя, Министерство транспорта Ростовской области, расположенного по адресу: Ростовская область, Верхнедонской  район, х. Коноваловский, кв. к.н.з.у. 61:07:0000000:339</t>
  </si>
  <si>
    <t>Установка прибора учета электрической энергии (мощности) в точке поставки и установка шкафа 0,4 кВ с коммутационным аппаратом для электроснабжения Административного здания заявителя, Администрация Мещеряковского сельского поселения., расположенного по адресу: Ростовская область, Верхнедонской район, х. Мещеряковский, ул. Плешакова, д. 10 к.н.з.у. 61:07:0120201:921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</si>
  <si>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Колесниченко Е.И., расположенного по адресу: Ростовская область, Шолоховский район, х. Гороховский, ул. Северная, д. 2, к.н.з.у. 61:43:0060401:316 (1 шт.)</t>
  </si>
  <si>
    <t>Установка прибора учета для технологического присоединения Административного здания заявителя, ИП Гирун Н.А., расположенного по адресу: Ростовская область, Верхнедонской район, х. Павловский, ул. Павловская, д. 72, к.н.з.у. 61:07:0100401:103</t>
  </si>
  <si>
    <t>Установка прибора учета для технологического присоединения жилого дома, заявителя Колесникова Т.Г., расположенного по адресу: Ростовская область, Чертковский район, с. Маньково-Калитвенское, ул. Садовая, д. 46, к.н.з.у. 61:42:080128:0042</t>
  </si>
  <si>
    <t>Установка прибора учета для технологического присоединения базовой станции заявителя, ПАО "Ростелеком", расположенного по адресу: Ростовская область, Верхнедонской район, х. Колодезный, к.н.з.у. 61:07:0020301</t>
  </si>
  <si>
    <t>Установка прибора учета для технологического присоединения базовой станции заявителя, ПАО "Ростелеком", расположенного по адресу: Ростовская область, Верхнедонской район, х. Макаровский, к.н.з.у. 61:07:0100101:252</t>
  </si>
  <si>
    <t>Установка прибора учета для технологического присоединения базовой станции заявителя, ПАО "Ростелеком", расположенного по адресу: Ростовская область, Верхнедонской район, х. Михайловский, к.н.з.у. 61:07:0100203</t>
  </si>
  <si>
    <t>Установка прибора учета для технологического присоединения жилого дома заявителя, Сетракова Н.И., расположенного по адресу: Ростовская область, Верхнедонской район, ст. Мешковская, пер. Зеленый, д. 9, к.н.з.у. 61:07:0110501:29</t>
  </si>
  <si>
    <t>Установка прибора учета для технологического присоединения Административного здания заявителя АО «Почта России», расположенного по адресу: Ростовская область, Верхнедонской район, ст. Мешковская, пр-кт Победы, д. 21, к.н.з.у. 61:07:0110501:1832 (1 шт.)</t>
  </si>
  <si>
    <t>«Установка прибора учета для технологического присоединения здания МБУК Донского сельского поселения заявителя Донское сельское поселение, расположенного по адресу: Ростовская область, Чертковский район, х. Артамошкин, ул. Центральная, д. 6, к.н.з.у. 61:42:0050101:822»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</si>
  <si>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Рогозина Р.А., расположенного по адресу: Ростовская область,Кашарский  район, с. Первомайское, ул. Ленина, д.5, к.н.з.у. 61:16:0110104:211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</si>
  <si>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Федориненко В.М., расположенного по адресу: Ростовская область, Кашарский район, с. Новопавловка, ул. Октябрьская, д. 2, к.н.з.у. 61:16:0010301:154</t>
  </si>
  <si>
    <t>Установка прибора учета для технологического присоединения жилого дома заявителя, Плужникова Л.И., расположенного по адресу: Ростовская область, Миллеровский район, сл. Дегтево, ул. Школьная, д. 17, к.н.з.у. 61:22:0030101:171</t>
  </si>
  <si>
    <t>Установка прибора учета для технологического присоединения объектов наружного освещения заявителя, Министерство транспорта Ростовской области, расположенных по адресу: Ростовская область, Кашарский район, автомобильная дорога с. Усть-Мечетка - х. Талловеров - с. Верхнесвечниково, на участке км 9+388-км 12+250  к.н.з.у. 61:16:0160101:1088</t>
  </si>
  <si>
    <t>Установка прибора учета для технологического присоединения личного подсобного хозяйства заявителя, Дегтярев И.А., расположенного по адресу: Ростовская область, Миллеровский район, х. Ореховка, ул. Терновая, д. 13, корп. а, к.н.з.у. 61:22:0120901:159</t>
  </si>
  <si>
    <t>Установка прибора учета для технологического присоединения жилого дома заявителя, Гришкова Н.В., расположенного по адресу: Ростовская область, Кашарский район, х. Ленинский, ул. Заветная, д.11, к.н.з.у. 00:16:0170401:174</t>
  </si>
  <si>
    <t>Установка прибора учета для технологического присоединения жилого дома заявителя, Колычев В.Н., расположенного по адресу: Ростовская область, Кашарский район, х. Вяжа, ул. Садовая, д. 50, к.н.з.у. 00:16:0050103:23</t>
  </si>
  <si>
    <t>Установка прибора учета для технологического присоединения жилого дома заявителя, Гриценко А.П., расположенного по адресу: Ростовская область, Миллеровский район, ст. Мальчевская, ул. Октябрьская, д.91, к.н.з.у. 61:22:0070101:1334</t>
  </si>
  <si>
    <t>Установка прибора учета для технологического присоединения жилого дома заявителя, Бережной А.А., расположенного по адресу: Ростовская область, Миллеровский район, сл. Кудиновка, ул. Мира, д.3, к.н.з.у. 00:00:000000:00</t>
  </si>
  <si>
    <t>«Установка прибора учета для технологического присоединения Свято-Никольского храма заявителя, Местная религиозная организация православный Приход Никольского храма сл. Кашары Ростовской области Шахтинской Епархии Русской Православной Церкви (Московский Патриархат) расположенного по адресу: Ростовская область, Кашарский район, сл. Кашары, ул. Антона Байдака, д. 16. к.н.з.у. 00:00:000000»</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</si>
  <si>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Кузнецова А.В., расположенного по адресу: Ростовская область, Боковский  район, х. Большенаполовский, ул. Школьная,  д. 135,  к.н.з.у. 61:05:0020207:11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</si>
  <si>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Лебедева Ю.Н., расположенного по адресу: Ростовская область, Чертковский  район, х. Терновский, ул. Мира, д.59, к.н.з.у. 61:42:0000000:2851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</si>
  <si>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Дахновой Т.А., расположенного по адресу: Ростовская область, Боковский  район, ст. Боковская, ул. Ленина, д. 145, к.н.з.у. 61:05:0010101:99</t>
  </si>
  <si>
    <t>Установка прибора учета электрической энергии (мощности) в точке поставки и установка шкафа 0,4 кВ с коммутационным аппаратом для электроснабжения ВРУ-0,4 кВ, строительство автодороги по ул. Ленина от пер. Земцовский до а/д "ст. Обливская - ст. Советская -ст. Боковская - ст. Каргинская" в ст. Боковская, заявителя, Администрация Боковского района, расположенного по адресу: Ростовская область, Боковский  район, ст. Боковская, ул.Ленина</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</si>
  <si>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Соболькова Д.С., расположенной по адресу: Ростовская область, Шолоховский  район, х. Кружилинский, ул. Центральная, д. 52, кв. 1, к.н.з.у. 61:43:0070101:705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</si>
  <si>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Ковалевой В.Т., расположенного по адресу: Ростовская область, Шолоховский район, х. Дубровский, ул. Ольховая, д. 6, к.н.з.у. 61:43:0030101:435</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</si>
  <si>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Козловой Н.С., расположенной по адресу: Ростовская область, Шолоховский район, х. Верхнетокинский, ул. им. Анны Рассказовой, д. 16, кв. 2, к.н.з.у. 61:43:0010401:98»</t>
  </si>
  <si>
    <t>«Установка прибора учета электрической энергии (мощности) в точке поставки и установка шкафа 0,4 кВ с коммутационным аппаратом для электроснабжения нежилого здания Заявителя, Лиховидова И.А., расположенного по адресу: Ростовская область, Боковский район, х. Грачев, ул. Рожнова, д. 42, к.н.з.у. 61:05:0030102:403»</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</si>
  <si>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расположенной по адресу: Ростовская область, Чертковский район, х. Новостепановский,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</si>
  <si>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сквера Заявителя, Администрация Первомайского сельского поселения., расположенного по адресу: Ростовская область, Кашарский район, с. Первомайское, ул. Мира, к.н.з.у. 61:16:0110104:272</t>
  </si>
  <si>
    <t>Установка прибора учета электрической энергии (мощности) в точке поставки и установка шкафа 0,4 кВ с коммутационным аппаратом для электроснабжения магазина заявителя, Рабочей Н.Н., расположенного по адресу: Ростовская область, Миллеровский район, сл. Кудиновка, ул. Победы, д. 22, к.н.з.у. 61:22:0040401:1283</t>
  </si>
  <si>
    <t>Установка прибора учета электрической энергии (мощности) в точке поставки и установка шкафа 0,4 кВ с коммутационным аппаратом для электроснабжения склада, заявителя, ООО «Вектор-1», расположенного по адресу: Ростовская область, Чертковский район, х. Сетраки, ул. Подгорная, д. 27б, к.н.з.у. 61:42:0140101:2420</t>
  </si>
  <si>
    <t>«Установка прибора учета электрической энергии (мощности) в точке поставки и установка шкафа 0,4 кВ с коммутационным аппаратом для электроснабжения объекта незавершенного строительства заявителя, Лиховидовой С.В., расположенного по адресу: Ростовская область, Кашарский район, сл. Кашары, ул. Степана Товстика, д. 6, к.н.з.у. 61:16:0010104:64,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</si>
  <si>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нежилого здания (коровника) заявителя, ИП Глава К(Ф)Х Губарев В.В., расположенного по адресу: Ростовская область, Чертковский район, 750 м. на восток от х. Шевченковский, к.н.з.у. 61:42:0600007:1065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</si>
  <si>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Осипова Н.Н., расположенного по адресу: Ростовская область, Кашарский район, х. Вишневка, ул. Заречная, д. 2, к.н.з.у. 61:16:140202:0022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</si>
  <si>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Морозова Д.И., расположенного по адресу: Ростовская область, Шолоховский район, х. Дубровский, ул. Центральная, д. 8, к.н.з.у. 61:43:0030101:0169</t>
  </si>
  <si>
    <t>Установка прибора учета для технологического присоединения жилого дома заявителя, Ткаченко О.А., расположенного по адресу: Ростовская область, Боковский район, ст. Боковская, пер. Виноградный, д. 27, к.н.з.у. 61:05:0000000:5502</t>
  </si>
  <si>
    <t>Установка прибора учета для технологического присоединения жилого дома заявителя, Сапрыкин Ю.А., расположенного по адресу: Ростовская область, Шолоховский район, х. Дударевский, ул. Луговая, д. 14, к.н.з.у. 61:43:0040101:632</t>
  </si>
  <si>
    <t>Установка прибора учета для технологического присоединения жилого дома заявителя, Кайдалов В.В., расположенного по адресу: Ростовская область, Шолоховский район, х. Дударевский, ул. Восточная, д. 7, к.н.з.у. 61:43:0040101:679</t>
  </si>
  <si>
    <t>Установка прибора учета для технологического присоединения зарядной станции электромобилей заявителя, ИП Апонович К.С., расположенной по адресу: Ростовская область, Чертковский район, с. Алексеево-Лозовское, в 20 м на юг от границ земельного участка с кадастровым номером 61:42:0010101:3156, к.н.з.у. 61:42:0010101:4464</t>
  </si>
  <si>
    <t>Установка прибора учета для технологического присоединения квартиры заявителя, Негода И.А., расположенной по адресу: Ростовская область, Кашарский район, п. Дибровый, ул. Дружбы, д. 40, кв. 2, к.н.з.у. 61:16:0130301:235</t>
  </si>
  <si>
    <t>Установка прибора учета для технологического присоединения жилого дома заявителя, Вислогузов Г.И., расположенной по адресу: Ростовская обл, Боковский район, х. Попов, ул. Заречная, д. 20, к.н.з.у. 61:05:0040703:13</t>
  </si>
  <si>
    <t>Установка прибора учета для технологического присоединения жилого дома заявителя, Копачев С.Е., расположенного по адресу: Ростовская область, Боковский район, х. Попов, ул. Садовая, д.3, к.н.з.у. 61:05:0040701:8</t>
  </si>
  <si>
    <t>«Установка прибора учета для технологического присоединения жилого дома заявителя, Бадаева Н.М., расположенного по адресу: Ростовская область, Шолоховский район, х. Колундаевский, ул. Школьная, д. 39, к.н.з.у. 61:43:0060101:101» (1 шт.),</t>
  </si>
  <si>
    <t>«Установка прибора учета для технологического присоединения административного здания, Заявителя ГКУ РО «Противопожарная служба Ростовской области», расположенного по адресу: Ростовская область, Чертковский район, с. Михайлово-Александровка, ул. Большевистская, д.38, к.н.з.у. 61:42:0090101:267 (1 шт.)»</t>
  </si>
  <si>
    <t>«Установка прибора учета для технологического присоединения жилого дома заявителя, Сапельников В.В., расположенного по адресу: Ростовская область, Боковский район, ст. Боковская, ул. Виноградная, д.4, к.н.з.у. 61:05:0010104:871»</t>
  </si>
  <si>
    <t>Установка прибора учета для технологического присоединения жилого дома заявителя, Бородаенко Н.Н., расположенного по адресу: Ростовская область, Кашарский район, п. Красный Колос, ул. Пушкинская, д. 8. к.н.з.у. 61:16:0080101:183</t>
  </si>
  <si>
    <t>"Установка прибора учета для технологического присоединения жилого дома заявителя Решетникова А А,расположенного по адресу: Ростовская область,Миллеровский район,сл.Титовка,ул.Колхозная д.2,к.н.з.у.61:22:0150101:320(1 шт.)</t>
  </si>
  <si>
    <t>"Установка прибора учета для технологического присоединения административного здания АО "Почта России",расположенного по адресу:Ростовская область,Миллеровский район,сл.Волошино,ул.Ленина д.26,к.н.з.у. 61:22:0020101:1101(1шт.)</t>
  </si>
  <si>
    <t>«Установка прибора учета для технологического присоединения административного здания заявителя, АО «Почта России», расположенного по адресу: Ростовская область, Шолоховский район, х. Меркуловский, пер. Победы, д. 7, к.н.з.у. 61:43:0080101:2973 (1 шт.)»</t>
  </si>
  <si>
    <t>«Установка прибора учета для технологического присоединения жилого дома заявителя, Корвякова В.Е., расположенного по адресу: Ростовская область, Миллеровский район, х. Туроверово-Глубокинский, ул. Береговая, д. 7, к.н.з.у. 61:22:0011401:51 (1 шт.)»</t>
  </si>
  <si>
    <t>«Установка прибора учета для технологического присоединения административного здания заявителя, АО «Почта России», расположенного по адресу: Ростовская область, Кашарский район, с. Первомайское, ул. Мира, д. 12, к.н.з.у. 61:16:0110104:253 (1 шт.)»</t>
  </si>
  <si>
    <t>Установка прибора учета для технологического присоединения ВРУ-0,4 кВ строящегося жилого дома заявителя, Мигуля О.В., расположенного по адресу: Ростовская область, Чертковский район, с. Маньково-Калитвенское, пер. Почтовый, д. 66а, к.н.з.у. 61:42:0080113:174 (1шт.)</t>
  </si>
  <si>
    <t>Установка прибора учета для технологического присоединения жилого дома заявителя Мурадбекова Р.А., расположенного по адресу: Ростовская область, Чертковский район, х. Артамошкин, ул. Ивановская, д. 1а, к.н.з.у. 61:42:0600020:473 (1шт.)</t>
  </si>
  <si>
    <t>«Установка прибора учета для технологического присоединения земельного участка под личное подсобное хозяйство заявителя, Думчев П.П., расположенного по адресу: Ростовская область, Кашарский район, п. Индустриальный, ул. Советская, 12, к.н.з.у. 61:16:00601:331 (1 шт.)»</t>
  </si>
  <si>
    <t>Установка прибора учета для технологического присоединения жилого дома заявителя, Бурмистров В.П., расположенного по адресу: Ростовская область, Миллеровский район, х. Новоандреевка, ул. Донецкая, д. 1, к.н.з.у. 61:22:0010801:376 (1 шт.)</t>
  </si>
  <si>
    <t>«Установка прибора учета для технологического присоединения жилого дома заявителя, Голубенко В.Н., расположенного по адресу: Ростовская область, Миллеровский район, х. Кринички, ул. Родниковая, д. 26, к.н.з.у. 61:22:060701:19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</si>
  <si>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ЩРУ-0,4 кВ на земельном участке, для ведения личного подсобного хозяйства заявителя, Гончарова Н.А., расположенного по адресу: Ростовская область, Кашарский  район, с. Каменка, ул. Песчаная, д. 23, к.н.з.у. 61:16:0130401:438</t>
  </si>
  <si>
    <t>Установка прибора учета электрической энергии (мощности) в точке поставки и установка шкафа 0,4 кВ с коммутационным аппаратом для электроснабжения ШНО-3 х. Мещеряковсий, линии наружного освещения подъезда от автодороги "Магистраль Дон"- ст. Мешковская- ст.Казанская к х. Мещеряковский на участке км 13+680-км 14+522 заявителя, Министерство транспорта Ростовской области, расположенного по адресу: Ростовская область, Верхнедонской  район, х. Мещеряковский, кв. к.н.з.у. 61:07:0000000:339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</si>
  <si>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Галушко В.В., расположенного по адресу: Ростовская область, Чертковский  район, с. Осиково, ул. Садовая, д. 51, к.н.з.у. 61:42:0190101:110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</si>
  <si>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Гончаровой Т.Н., расположенного по адресу: Ростовская область, Кашарский район, с. Каменка, ул. Песчаная, д. 15 А, к.н.з.у. 61:16:0130402:150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</si>
  <si>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Жидковой В.Н., расположенного по адресу: Ростовская область,Кашарский  район, с. Первомайское, ул. Кирова, д.8, к.н.з.у. 61:16:0110102:644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</si>
  <si>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Сабадина Н.В., расположенного по адресу: Ростовская область, Боковский  район, ст. Каргинская, ул. Соловьева, д. 38, к.н.з.у. 61:05:040107:0002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</si>
  <si>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магазина, заявителя, ИП Зозуля Т.В., расположенного по адресу: Ростовская область, Чертковский  район, х. Тихая Журавка, ул. Широкая, д. 5 а,  к.н.з.у. 61:42:0100101:1879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</si>
  <si>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ШНО-4 х. Мрыховский, линии наружного освещения подъезда от автодороги "Магистраль Дон" - ст. Мешковская - ст. Казанская к х. Мещеряковский на участке км 12+500-км 12+800 заявителя, Министерство транспорта Ростовской области, расположенного по адресу: Ростовская область, Верхнедонской район, х. Мрыховский, ул. Мрыховская. к.н.з.у. 61:07:0000000:339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</si>
  <si>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Калмыкова Н.В., расположенного по адресу: Ростовская область, Шолоховский район, х. Громковский, ул. Почтовая, д. 373, к.н.з.у. 61:43:0010501:349</t>
  </si>
  <si>
    <t>Установка прибора учета электрической энергии (мощности) в точке поставки и установка шкафа 0,4 кВ с коммутационным аппаратом для электроснабжения объектов оптовой и розничной торговли заявителя, ИП Репетунова А.С., расположенных по адресу: Ростовская область, Чертковский  район, с. Маньково- Калитвенское, ул. Кирова, д.10, к.н.з.у. 61:42:0080116:68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</si>
  <si>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Полякова М.И., расположенного по адресу: Ростовская область, Шолоховский район, х. Колундаевский, ул. Школьная, д. 22, к.н.з.у. 61:43:0060101:285»</t>
  </si>
  <si>
    <t>«Установка прибора учета электрической энергии (мощности) в точке поставки и установка шкафа 0,4 кВ с коммутационным аппаратом для электроснабжения магазина Заявителя, ИП Марущенко С.Ш., расположенного по адресу: Ростовская область, Чертковский район, с. Алексеево-Лозовское, ул. Лисичкина, 22/1а, к.н.з.у. 61:42:0010101:4739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</si>
  <si>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Ковалева А.С., расположенного по адресу: Ростовская область, Боковский район, ст. Каргинская, ул. Архиповская, д.50, к.н.з.у. 61:05:040110:0050</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</si>
  <si>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Антонюк М.П., расположенной по адресу: Ростовская область, Боковский район, х. Попов, ул. Школьная, д. 29, кв. 1, к.н.з.у. 61:05:0040701:34</t>
  </si>
  <si>
    <t>Установка прибора учета электрической энергии (мощности) в точке поставки и установка шкафа 0,4 кВ с коммутационным аппаратом для электроснабжения ВРУ 0,4 кВ базовой станции х. Верхнечирский, заявитель, ПАО «Ростелеком», расположенной по адресу: Ростовская область, Боковский район, х. Верхнечирский, (№49.411890; Е41.324040) Ростовская область, Боковский район, х. Верхнечирский, (№49.411890; Е41.324040)</t>
  </si>
  <si>
    <t>Установка прибора учета электрической энергии (мощности) в точке поставки и установка шкафа 0,4 кВ с коммутационным аппаратом для электроснабжения ВРУ 0,4 кВ базовой станции х. Белавин, заявитель, ПАО «Ростелеком», расположенной по адресу: Ростовская область, Боковский район, х. Белавин, (№49.304124; Е42.005336)</t>
  </si>
  <si>
    <t>Установка прибора учета электрической энергии (мощности) в точке поставки и установка шкафа 0,4 кВ с коммутационным аппаратом для электроснабжения ВРУ 0,4 кВ базовой станции с. Пономаревка, заявитель, ПАО «Ростелеком», расположенной по адресу: Ростовская область, Боковский район, с. Пономаревка, (№49.191866; Е41.710339)</t>
  </si>
  <si>
    <t>Установка прибора учета электрической энергии (мощности) в точке поставки и установка шкафа 0,4 кВ с коммутационным аппаратом для электроснабжения ВРУ 0,4 кВ базовой станции х. Попов, заявитель, ПАО «Ростелеком», расположенной по адресу: Ростовская область, Боковский район, х. Попов, д.65, (№49.298790; Е41.793080)</t>
  </si>
  <si>
    <t>Установка прибора учета электрической энергии (мощности) в точке поставки и установка шкафа 0,4 кВ с коммутационным аппаратом для электроснабжения ВРУ-0,4 кВ для электроснабжения коровника, заявителя, ИП Глава К(Ф)Х Гайдамакина Е.Е., расположенного по адресу: Ростовская область, Чертковский район, с. Шептуховка, ул. Центральная, д. 59, к.н.з.у. 61:42:0600017:968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</si>
  <si>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Баранова А.Н., расположенного по адресу: Ростовская область, Боковский район, х. Дуленков, ул. Заречная, д. 17, к.н.з.у. 61:05:0010606:18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</si>
  <si>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Тамарадзе М.И., расположенного по адресу: Ростовская область, Чертковский район, с. Маньково-Калитвенское, пер. Почтовый, д. 7, к.н.з.у. 61:42:0080115:6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</si>
  <si>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Быковой О.В., расположенного по адресу: Ростовская область, Боковский район, х. Илларионов, ул. Мигрицкого А.В., д. 31, к.н.з.у. 61-61-21/014/2009-172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</si>
  <si>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Афанасьевой Е.А., расположенного по адресу: Ростовская область, Боковский район, ст. Боковская, ул. Гагарина, д. 15, к.н.з.у. 61:05:0010101:21</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</si>
  <si>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Калюжного В.А., расположенной по адресу: Ростовская область, Шолоховский район, х. Дударевский, ул. Молодежная, д. 14, кв. 2, к.н.з.у. 61:43:0040101:612</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</si>
  <si>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Сухоручко С.А., расположенной по адресу: Ростовская область, Боковский район, х. Попов, ул. Школьная, д. 25, кв. 2, к.н.з.у. 61:05:0040701:457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</si>
  <si>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Глушковой Е.Н., расположенного по адресу: Ростовская область, Боковский район, х. Дуленков, ул. Песчаная, д. 82, к.н.з.у. 61:05:0010604:333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</si>
  <si>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Кучеренко О.С., расположенного по адресу: Ростовская область, Чертковский район, с. Маньково-Калитвенское, ул. Ленина, д. 30, к.н.з.у. 61:42:0080133:63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</si>
  <si>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Вишнякова Р.Ю., расположенного по адресу: Ростовская область, Боковский район, ст. Боковская, пер. Вольный, д. 7, к.н.з.у. 61:05:0010101:244</t>
  </si>
  <si>
    <t>Установка прибора учета для технологического присоединения квартиры заявителя, Стародымов Л.А., расположенной по адресу: Ростовская область, Боковский район, ст. Боковская, ул. Совхозная, д. 14, кв. 2, к.н. 61:05:0010101:0:265/2 (1 шт.)</t>
  </si>
  <si>
    <t>Установка прибора учета для технологического присоединения жилого дома заявителя, Дьяченко Л.И., расположенного по адресу: Ростовская область, Шолоховский район, х. Гороховский, ул. Школьная, д. 9, к.н.з.у. 61:43:060401:0580 (1 шт.)</t>
  </si>
  <si>
    <t>Установка прибора учета для технологического присоединения здания бани заявителя, ИП Козлов Е.И., расположенного по адресу: Ростовская область, Шолоховский район, х. Меркуловский, ул. Шолохова, д. 5, к.н.з.у. 61:43:0080101:1635 (1 шт.)</t>
  </si>
  <si>
    <t>Установка прибора учета для технологического присоединения жилого дома заявителя, Доронина Л.С., расположенного по адресу: Ростовская область, Шолоховский район, х. Рубежинский, ул. Береговая, д. 33, к.н.з.у. 61:43:0060501:72 (1 шт.)</t>
  </si>
  <si>
    <t>Установка прибора учета для технологического присоединения жилого дома заявителя, Шведов Н.М., расположенного по адресу: Ростовская область, Боковский район, х. Верхнечирский, ул. Мира, д. 105, к.н.з.у. 61:05:0020102:47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</si>
  <si>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Кирилова С.Н., расположенного по адресу: Ростовская область, Боковский район, х. Земцов, ул. Луговая, д.61, к.н.з.у. 61:05:0070503:301 (1 шт.)</t>
  </si>
  <si>
    <t>Установка прибора учета для технологического присоединения жилого дома заявителя, Тисленко В.И., расположенного по адресу: Ростовская обл, Шолоховский район, х. Меркуловский, пер. Донской, д. 29, к.н.з.у. 61:43:080101:0625 (1 шт.)</t>
  </si>
  <si>
    <t>Установка прибора учета для технологического присоединения жилого дома заявителя, Семеновой Е.Н., расположенного по адресу: Ростовская область, Боковский район, ст. Боковская, пер. Строительный, д.1В, к.н.з.у. 61:05:0010104:1130 (1 шт.)</t>
  </si>
  <si>
    <t>Установка прибора учета для технологического присоединения строящегося склада заявителя, ИП Конак С.В., расположенного по адресу: Ростовская область, Боковский район, х. Малаховский, ул. Центральная, д. 1, кв. 2, к.н.з.у. 61:05:0600013:511 (1 шт.)</t>
  </si>
  <si>
    <t>Установка прибора учета для технологического присоединения квартиры заявителя, Симоновой О.А., расположенной по адресу: Ростовская область, Боковский район, ст. Боковская, ул. Совхозная, д. 7, кв. 1, к.н.з.у. 61:05:0010104:1026 (1 шт.)</t>
  </si>
  <si>
    <t>Установка прибора учета для технологического присоединения жилого дома заявителя, Савина М.П., расположенного по адресу: Ростовская область, Боковский район, х. Коньков, ул. Комунная, д.3, к.н.з.у. 61:05:0040501:3 (1 шт.)</t>
  </si>
  <si>
    <t>Установка прибора учета для технологического присоединения жилого дома заявителя, Линник А.И., расположенного по адресу: Ростовская область, Боковский район, ст. Боковская, пер. Виноградный, д.19, к.н.з.у. 61:05:0600004:229 (1 шт.)</t>
  </si>
  <si>
    <t>Установка прибора учета для технологического присоединения жилого дома заявителя, Антиповой С.Е., расположенного по адресу: Ростовская область, Шолоховский район, х. Кружилинский, ул. Шолохова, д. 39, к.н.з.у. 61:43:0070101:599 (1 шт.)</t>
  </si>
  <si>
    <t>Установка прибора учета для технологического присоединения гаража-склада, производственного здания заявителя, ООО «ТК Феникс», расположенного по адресу: Ростовская область, Миллеровский район, х. Новоспасовка, ул. Лесная, д. 49, к.н.з.у. 61:22:0120701:385( 1 шт)</t>
  </si>
  <si>
    <t>Установка прибора учета для технологического присоединения квартиры заявителя Жаркова В.А., расположенной по адресу: Ростовская область, Верхнедонской район, х. Новониколаевский, ул. Овражная, д. 1, корп.4 кв. 4, (1 шт.)</t>
  </si>
  <si>
    <t>Установка прибора учета для технологического присоединения нежилого помещения заявителя, АО «Почта России», расположенного по адресу: Ростовская область, Кашарский район, сл. Поповка, ул. Центральная, д. 24, к.н.з.у. 61:16:0130105:139 (1 шт.)</t>
  </si>
  <si>
    <t>Установка прибора учета для технологического присоединения жилого дома заявителя Кушнарева М.В., расположенного по адресу: Ростовская область, Кашарский район, х. Краснояровка, ул. Школьная, д. 6, к.н.з.у. 61:16:0140301:149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</si>
  <si>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склада тракторной бригады №5 заявителя, ИП Глава КФХ Лукьянцев А.Ю., расположенного по адресу: Ростовская область, Чертковский  район, с. Михайлово-Александровка, ул. Коммунарская, б/н,  к.н.з.у. 61:42:0600021:698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</si>
  <si>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Полиенко Е.М., расположенного по адресу: Ростовская область, Миллеровский  район, сл. Волошино, ул. Партизанская, д. 54, к.н.з.у. 61:22:0020101:592</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</si>
  <si>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Даденко Г.П., расположенной по адресу: Ростовская область, Кашарский район, х. Вишневка, ул. Молодежная, д. 3, кв. 1, к.н.з.у. 61:16:0170101:165</t>
  </si>
  <si>
    <t>Установка прибора учета электрической энергии (мощности) в точке поставки и установка шкафа 0,4 кВ с коммутационным аппаратом для электроснабжения объектов наружного освещения Заявителя, Администрация муниципального образования «Донское сельское поселение», расположенных по адресу: Ростовская область, Чертковский район, х. Артамошкин, ул. Безымянная, ул. Песчаная, к.н.з.у. 61:16:0110104:272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</si>
  <si>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Буханцовой Н.В., расположенного по адресу: Ростовская область, Боковский район, ст. Каргинская, ул. Соловьева, д.52, к.н.з.у. 61:05:0040107:16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</si>
  <si>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Калинкиной В.М., расположенного по адресу: Ростовская область, Боковский район, ст. Краснокутская, ул. Школьная, д. 48, к.н.з.у. 61:05:0060102:17</t>
  </si>
  <si>
    <t>Установка прибора учета для технологического присоединения строящегося жилого дома заявителя, Черноусов А.Г., расположенного по адресу: Ростовская область, Боковский район, ст. Боковская, ул. Энергетиков, д.1, к.н.з.у. 61:05:010101:217</t>
  </si>
  <si>
    <t>Установка прибора учета для технологического присоединения ВРУ 0,4 кВ ПТО заявителя, Мельников А.Н., расположенного по адресу: Ростовская область, Боковский район, х. Земцов, ул. Школьная, д.57 а, к.н.з.у. 61:05:0070502:180</t>
  </si>
  <si>
    <t>Установка прибора учета для технологического присоединения здания склада общего назначения заявителя, Шорин С.С., расположенного по адресу: Ростовская область, Боковский район, ст. Краснокутская, ул. Социалистическая, д.80, к.н.з.у. 61:05:0060104:227</t>
  </si>
  <si>
    <t>Установка прибора учета для технологического присоединения склада заявителя, Мурадбеков А.И., расположенного по адресу: Ростовская область Боковский район, х. Белавин, ул. Степная, д.46П, к.н.з.у. 61:05:0600006:682</t>
  </si>
  <si>
    <t>Установка прибора учета для технологического присоединения жилого дома заявителя, Надаева Р.С., расположенного по адресу: Ростовская область, Боковский район, п. Стожки, ул. Вишневая, д. 4, к.н.з.у. 61:05:0050301:77</t>
  </si>
  <si>
    <t>«Установка прибора учета для технологического присоединения земельного участка под личное подсобное хозяйство заявителя, Авсецин Н.Н., расположенного по адресу: Ростовская область, Боковский район, ст. Боковская, пер. Абрикосовый, 20, к.н.з.у. 61:05:0600004:306 (1 шт.)»</t>
  </si>
  <si>
    <t>«Установка прибора учета для электроснабжения сквера заявителя, Администрация муниципального образования «Боковское сельское поселение», расположенного по адресу: Ростовская область, Боковский район, ст. Боковская, пер. Чкалова, д. 106Е, к.н.з.у. 61:05:0010104:1552»</t>
  </si>
  <si>
    <t>Установка прибора учета для технологического присоединения жилого дома заявителя Ильенко А.А., расположенного по адресу: Ростовская область, Чертковский район, с. Осиково, ул. Садовая, д. 36, к.н.з.у. 61:42:0190101:100 (1шт.)</t>
  </si>
  <si>
    <t>Установка прибора учета для технологического присоединения личного подсобного хозяйства заявителя Опенченко К.А., расположенного по адресу: Ростовская область, Миллеровский район, х. Хмызов, ул. Ленина, д. 18, к.н.з.у. 61:22:0080101:141 (1шт.)</t>
  </si>
  <si>
    <t>Установка прибора учета для технологического присоединения объектов уличного освещения заявителя, Администрация Дубровского сельского поселения, расположенного по адресу: Ростовская область, Шолоховский район, х. Антиповский, ул. Заречная, к.н.з.у. 61:43:0030201 (1 шт.)</t>
  </si>
  <si>
    <t>«Установка прибора учета для технологического присоединения земельного участка заявителя, Ишмаметова Р.И., расположенного по адресу: Ростовская область, Кашарский район, сл. Поповка, к.н.з.у. 61:16:0600002:320 (1 шт.)».</t>
  </si>
  <si>
    <t>Установка прибора учета для технологического присоединения жилого дома заявителя Юрченко К.В., расположенного по адресу: Ростовская область, Чертковский район, с. Тарасово-Меловское, ул. Молодежная, д. 1а, к.н.з.у. 61:42:0160101:1147 (1шт.)</t>
  </si>
  <si>
    <t>Установка прибора учета для технологического присоединения жилого дома заявителя Клещ Е.И., расположенного по адресу: Ростовская область, Миллеровский район, х. Тарадинка, ул. Дружбы, д. 6, к.н.з.у. 61:22:0100701:3 (1шт.)</t>
  </si>
  <si>
    <t>Установка прибора учета для технологического присоединения личного подсобного хозяйства заявителя Бычковой О.Н., расположенного по адресу: Ростовская область, Миллеровский район, х. Терновой, ул. Школьная, д. 31, корп. а, к.н.з.у. 61:22:0061001:804 (1шт.)</t>
  </si>
  <si>
    <t>Установка прибора учета для технологического присоединения жилого дома заявителя Бондарева Н.В., расположенного по адресу: Ростовская область, Миллеровский район, х. Кумшацкий, ул. Майская, д. 9, к.н.з.у. 61:22:0010601:374 (1шт.)</t>
  </si>
  <si>
    <t>Установка прибора учета для технологического присоединения квартиры заявителя Никонова А.Г., расположенной по адресу: Ростовская область, Миллеровский район, х. Малотокмацкий, ул. Школьная, д. 4, к.н.з.у. 61:22:0120101:183 (1шт.)</t>
  </si>
  <si>
    <t>Установка прибора учета для технологического присоединения котельной заявителя ИП Балдина А.Н., расположенной по адресу: Ростовская область, Миллеровский район, сл. Кудиновка, ул. Победы, д. 18, к.н.з.у. 61:22:0040401:1222 (1шт.)</t>
  </si>
  <si>
    <t>Установка прибора учета для технологического присоединения жилого дома заявитель Рудой В.Н., расположенного по адресу: Ростовская область, Миллеровский район, сл. Колодези, ул. Ленина, д. 61, к.н.з.у. 61:22:040101:0025 (1шт.)</t>
  </si>
  <si>
    <t>Установка прибора учета для технологического присоединения жилого дома заявитель Горбаткова М.С, расположенного по адресу: Ростовская область, Миллеровский район, сл. Дегтево, ул. Российская, д. 4, к.н.з.у. 61:22:030101:0280 (1шт.)</t>
  </si>
  <si>
    <t>Установка прибора учета для технологического присоединения личного подсобного хозяйства заявитель Дикунов Н.Н, расположенного по адресу: Ростовская область, Миллеровский район, сл. Колодези, ул. Мира, д. 3, к.н.з.у. 61:22:0040101:122 (1шт.)</t>
  </si>
  <si>
    <t xml:space="preserve">Установка приборов учета для присоединения ВРУ 0,4 кВ жилых домов, расположенных по адресу: Ростовская обл., р-н Аксайский, р-н Азовский, (93шт.)
</t>
  </si>
  <si>
    <t>Установка приборов учета для присоед. Заявителей расположенных по адресу: Ростовская обл. р-н Аксайский, г.Аксай, п.Темерницкий, п.Водопадный, п.Щепкин, п.Нижнетемерницкий,х.Большой Лог, п. Российский, ст-ца Ольгинская, ст-ца Мишкинская, х. Алескандровка, р-н Азовский п. Красный Сад (39шт)</t>
  </si>
  <si>
    <t>Установка приборов учета для присоединения ВРУ 0,4 кВ жилых домов, расположенных по адресу: Р.О., Аксайский р-н, Азовский р-н. КН: 61:33:0600015:1351; 61:02:0600005:11327; 61:02:0600005:8882;61:02:0600011:1705; 61:01:0600007:1613;  61:01:0600007:2085; 61:01:0600007:1612;61:01:0600007:1650;  61:02:0600006:2532; 61:02:0070201:1455; 61:01:0600007:1610; 61:01:0600007:1895; 61:01:0600007:1776; 61:01:0600007:1666; 61:01:0600007:1796; 61:01:0600007:1780 (33 шт.)</t>
  </si>
  <si>
    <t>Установка прибора учета для присоединения жилого дома Карапетян Ю.С., расположенного по адресу: Ростовская область, Багаевский район, ст. Манычская, ул. Горбачева, д. 46 (1 шт)</t>
  </si>
  <si>
    <t>Установка прибора учета для присоединения ВРУ 0,4 кВ жилого дома Зиненко А.И., расположенного по адресу: Ростовская обл., р-н Багаевский, х. Тузлуков, ул. Береговая, д. 1/1Н, к.н. 61:03:0600011:1065 (1шт.)</t>
  </si>
  <si>
    <t>Установка прибора учета для присоединения жилого дома Миркиной В. В. расположенного по адресу: РО, Веселовский район, п. Веселый, ул. Береговая, 1/10 к.н. 61:06:0010140:24 (1шт)</t>
  </si>
  <si>
    <t>Установка прибора учета для присоединения ВРУ 0,4 кВ жилого дома заявителя Симакиной В.Н., расположенного по адресу: РО., Семикаракорский р-н, х. Чебачий, ул. Школьная, 29, к.н.:61:35:0060201:66(1шт)</t>
  </si>
  <si>
    <t>Установка приборов учета для присоединения ВРУ 0,4 кВ жилых домов, расположенных по адресу: Р.О., г. Новочеркасск, г. Аксай, Аксайский р-н, Азовский р-н)» (75 шт.)</t>
  </si>
  <si>
    <t>Установке приборов учета для присоединения ВРУ 0,4 кВ заявителей, расположенных по адресу: Р.О., Аксайский р-н, Азовский р-н (к.н з/у 61:01:0600007:1966;61:01:0600007:1738;  61:02:0600010:15589;61:01:0600007:1959;61:01:0600007:1704;61:01:0130201:5220;61:01:0600007:2082;61:01:0600007:1701;61:02:0600009:1245;61:02:000000:0:217;61:02:0600010:12364;61:02:0600010:12355;61:02:0600010:9882;61:02:0600010:13251;61:02:0600010:14237;61:33:0600015:1067;61:02:001101:3390; 61:02:001101:3389;61:02:0080108:619;61:0260020401:1790;61:02:0600010:19603;61:01:0600007:2158;61:02:06000010:17703;61:02:0600005:8486;61:02:600011:1707;61:02:0600007:126;61:01:0600007:1907;61:02:0600006:4334;61:33:0600015:1028;61:02:600011:1041;61:01:0600007:1904;61:02:0110102:4280;61:01:0600007:1657, 61:02:0100501:75, 61:02:0600010:19568) (129 шт.)</t>
  </si>
  <si>
    <t>Установка приборов учета для присоединения жилых домов Самсонова А.Б., Самсонова Н.А. расположенных по адресу: Ростовская обл., р-н Багаевский, х. Кудинов, ул. Новая, д. 5, к.н. 61:03:0030201:240, ул. Новая, д. 55, к.н. 61:03:0030201:1172 (2шт.)</t>
  </si>
  <si>
    <t>Установка прибора учета для присоединения малоэтажной жилой застройки (индивидуальный жилой дом/садовый/дачный дом) Джарагян А.С. расположенных по адресу: Ростовская обл., х. Слава Труда, ул. Славянская, д. 8, к.н. 61:02:0020301:78 (1шт.)</t>
  </si>
  <si>
    <t>Установка прибора учета для присоединения жилого дома Фарапонова А. Ю. расположенного по адресу: РО, Веселовский район, п. Веселый, ул. Береговая, 1-е к.н. 61:06:0010140:416(1 шт.)</t>
  </si>
  <si>
    <t>Установка прибора учета для присоединения спасательного поста Администрации Веселовского сельского поселения, расположенного по адресу: РО., п. Веселый, пер. Волго-Донской, 66 а к.н. 61:06:0010101:687(1шт)</t>
  </si>
  <si>
    <t>Установка прибора учета для присоединения жилого дома Рябущенко Е. В. расположенного по адресу: РО, Веселовский район, х. Верхнесоленый, ул. Центральная, 52-г к.н. 61:06:0020106:607</t>
  </si>
  <si>
    <t>Установка прибора учета для присоединения жилого дома Веренич Э. А. расположенного по адресу: РО, Веселовский район, х. Нижнесоленый, ул. Казима Мустафаева, 15 к.н. 61:06:0020308:29</t>
  </si>
  <si>
    <t>Установка прибора учета для присоединения магазина Гусейнова С. Х. расположенного по адресу: РО, Веселовский район, х. Верхнесоленый, ул. Строителей, 35-а к.н. 61:06:0020105:814» (1 шт.)</t>
  </si>
  <si>
    <t>Установка прибора учета для присоединения модульного здания участкового пункта полиции Администрации Веселовского сельского поселения Веселовского района расположенного по адресу: РО, Веселовский район, п. Веселый, ул. Почтовая, 85 а к.н. 61:06:0010126:1012</t>
  </si>
  <si>
    <t>Установка прибора учета для присоединения магазина Чумаковой С. А. расположенного по адресу: РО, Веселовский район, п. Веселый, ул. Октябрьская, 104 к.н. 61:06:0010127:109 (1 шт)</t>
  </si>
  <si>
    <t>Установка прибора учета для присоединения магазина Махмудова Б. М. расположенного по адресу: РО, Веселовский район, п. Веселый, ул. Октябрьская, 18-а к.н. 61:06:0010135:245»(1шт)</t>
  </si>
  <si>
    <t>Установка прибора учета для присоединения жилого дома Поливенко В. С. расположенного по адресу: РО, Веселовский район, х. Каракашев, ул. Старая, 64-в к.н. 61:06:0600012:1104» (1шт.)</t>
  </si>
  <si>
    <t>Установка прибора учета для присоединения магазина ИП Авагян А. Ш. расположенного по адресу: РО, Веселовский район, п. Веселый, ул. Октябрьская, 62-а к.н. 61:06:0010130:648» (1 шт.)</t>
  </si>
  <si>
    <t>Установка прибора учета для присоединения жилого дома Харькова И. Л. расположенного по адресу: РО, Веселовский район, п. Веселый, ул. Береговая, 2-л к.н. 61:06:0600012:867</t>
  </si>
  <si>
    <t>Установка прибора учета для присоединения  жилого дома Гилевой Т.И., расположенного по адресу: Ростовская область, Багаевский район, х. Арпачин, ул. Ленина, д. 20А, к.н. 61:03:0040214:52</t>
  </si>
  <si>
    <t>Установка прибора учета для присоединения  нежилого дома Миненко А.В., расположенного по адресу: Ростовская область, Багаевский район, х. Арпачин, ул. Береговая, д. 2-к</t>
  </si>
  <si>
    <t>Установка прибора учета для присоединения жилого дома Дербановой Е. В. расположенного по адресу: Ростовская область, Веселовский район, х. Красное Знамя, ул. Дружбы, 63 к.н. 61:06:0060205:46</t>
  </si>
  <si>
    <t>Установка прибора учета для присоединения ВРУ 0,4 кВ нежилого здания Чагочкина С.Н., расположенного по адресу: РО, р-н. Семикаракорский, примерно в 20 м на запад от х. Маломечетный, к.н.: 61:35:060005:662</t>
  </si>
  <si>
    <t>Установка прибора учета для присоединения объекта жилой дом Богославцева И.А., жилого дома Еремеевой Е.Ф., жилого дома Ивановой Т.А., административного здания Администрации Задоно-Кагальницкого сельского поселения., Дома культуры Администрации Золотаревского сельского поселения., жилого дома Лефельбейн Н.И., жилого дома заявителя Мутиева А.Х., жилого дома Топилина С. С., жилого дома Костина И. И., жилого дома Куприковой В.Е., жилого дома Процевской Л.А., расположенных по адресу: р-н. Семикаракорский, х. Лиманский, пер. 2-й, д. 3, кв./оф. 1., ст-ца. Новозолотовская, ул. Октябрьская, д. 2/1., х. Лиманский, ул. Садовая, д. 42., ст-ца. Задоно-Кагальницкая, пер. Советский, д. 3., ст-ца. Новозолотовская, ул. Малиновского, д. 19/1., х. Кузнецовка, ул. Ленина, д.22., г. Семикаракорск, ул. Олега Кошевого, 11., г. Семикаракорск, ул. Солнечная, 1/31., х. Кузнецовка, ул. 50 лет Октября, д.52 кв.2., ст-ца Новозолотовская, ул. Речная, 4.  (11 шт)</t>
  </si>
  <si>
    <t>Установка прибора учета для присоединения жилого дома Абдулаевой С.И. расположенного по адресу: Ростовская область, Багаевский район, х. Елкин ул. Широкая , д.33 к.н. 61:03:0030149:1</t>
  </si>
  <si>
    <t>Установка прибора учета для присоединения ВРУ 0,4 кВ базовой станции заявителя ПАО «Ростелеком»., расположенного по адресу: Ростовская обл., р-н. Семикаракорский, х. Балабинка</t>
  </si>
  <si>
    <t>Установка прибора учета для присоединения ВРУ 0,4 кВ базовой станции заявителя ПАО «Ростелеком»., расположенного по адресу: Ростовская обл., р-н. Семикаракорский, х. Новоромановский</t>
  </si>
  <si>
    <t>Установка прибора учета для присоед. ВРУ 0,4кВ жил.дома заявит.Шмелевой О.В. р-н.Семикаракорский, х.Чебачий, ул.Малькова,33, к.н.:61:35:0060201:39</t>
  </si>
  <si>
    <t xml:space="preserve">Установка прибора учета для присоединения объекта медицинского учреждения МБУЗ "Центральная Районная Больница" Семикаракорского р-на, расположенного по адресу: Ростовская обл., Семикаракорский р-н, х. Слободской, ул. Ленина, 22 Б  </t>
  </si>
  <si>
    <t>Установка прибора учета для присоединения ВРУ 0,4 кВ производственного здания заявителя ООО «Агросегмент» расположенного по адресу: РО., р-н. Семикаракорский, примерно в 5,0 м на восток от г. Семикаракорск, ул. Авилова, 2</t>
  </si>
  <si>
    <t>Установка прибора учета для присоединения ВРУ 0,4 кВ нежилого помещения Шахова Д. В., расположенного по адресу: Ростовская обл., Аксайский р-н, х. Камышеваха, ул. Светлая, 2В, участок с КН 61:02:0600010:10306</t>
  </si>
  <si>
    <t>Установка прибора учета для присоединения нежилого здания Харченко Л.И., расположенного по адресу: Ростовская обл., р-н. Аксайский, ст-ца Ольгинская, ул. Красноармейская, кадастровый номер земельного участка: 61:02:0090103:3042</t>
  </si>
  <si>
    <t xml:space="preserve">Установка прибора учета для присоединения объекта торговли ИП Черный И. С., расположенного по адресу: Ростовская обл., р-н. Аксайский, г. Аксай, ул. Объездная, участок с КН 61:02:0120103:1243 </t>
  </si>
  <si>
    <t>Установка прибора учета для присоединения производственного здания/помещения ИП Сафарян А. А., расположенного по адресу: Ростовская обл., р-н Аксайский, х. Большой Лог, кадастровый номер земельного участка:  61:02:0600011:1922</t>
  </si>
  <si>
    <t xml:space="preserve">Установка прибора учета для присоединения объекта торговли Эйснер А. В., расположенного по адресу: Ростовская обл., р-н Аксайский, п. Щепкин, ул. Дорожная, 11А, кадастровый номер земельного участка:  61:02:0080505:887 </t>
  </si>
  <si>
    <t>Установка прибора учета для присоединения  нежилой застройки  Кахкцян А.Р. расположенного по адресу: Ростовская область, Аксайский район, х. Камышеваха, ул. Малахитовая, д. 36</t>
  </si>
  <si>
    <t>Установка прибора учета для присоединения  жилого дома Ни С.В., расположенного по адресу: Ростовская область, Багаевский район, х. Елкин, пер. Партизанский, д. 17-г</t>
  </si>
  <si>
    <t xml:space="preserve">Установка прибора учета для присоединения  дачного домика Федорова С.А., расположенного по адресу: Ростовская область, Багаевский район, ст. Манычская, ул. Береговая, д. 1-Р </t>
  </si>
  <si>
    <t>Установка прибора учета для присоединения магазина Мартиросян Г. Г. расположенного по адресу: Ростовская область, Веселовский район, п. Веселый, ул. Октябрьская, 132 а к.н. 61:06:060010125:467</t>
  </si>
  <si>
    <t>Установка прибора учета для присоединения жилого дома Сульженко И. В. расположенного по адресу: Ростовская область, Веселовский район, п. Веселый, ул. Береговая, 1-д к.н. 61:06:0000000:2536</t>
  </si>
  <si>
    <t>Установка прибора учета для присоединения жилого дома со встроенными нежилыми помещениями литер Д помещение №1 в магазин №1 и помещение №4 в магазин №2 ИП Хлгатяна М. Р. расположенного по адресу: Р.О., Веселовский район, п. Веселый, ул. Октябрьская, д.138</t>
  </si>
  <si>
    <t>Установка прибора учета для присоединения жилого дома Токарчук М. А. расположенного по адресу: Ростовская область, Веселовский район, п. Веселый, ул. Луговая, д.21, к. н. 61:06:0010138:821</t>
  </si>
  <si>
    <t xml:space="preserve">Установка прибора учета для присоединения жилого дома Новохатской Е. В. расположенного по адресу: Р.О., Веселовский район, п. Веселый, пер. Западный, д.44 </t>
  </si>
  <si>
    <t>Установка прибора учета для присоед. жил.дома Бочарова В.И. Веселовский район, х.Спорный, ул.Центральная,56 к.н.61:06:0040404:8</t>
  </si>
  <si>
    <t>Установка прибора учета для присоединения жилого дома Рыкова А. В. расположенного по адресу: Ростовская область, Веселовский район, п. Веселый, ул. Думенко, 155</t>
  </si>
  <si>
    <t xml:space="preserve">Установка прибора учета для присоединения квартиры Снипич А. И., расположенной по адресу: Ростовская обл., р-н. Веселовский, х. Маныч-Балабинка, ул. Озерная, д. 13. кв 1. К.Н. 61:06:0040204:8 </t>
  </si>
  <si>
    <t>Установка прибора учета для присоединения базовой станции ПАО «Ростелеком» расположенной по адресу: Ростовская область, Веселовский район, х. Верхний Хомутец</t>
  </si>
  <si>
    <t>Установка прибора учета для присоединения жилого дома Ивакиной Т. В. расположенного по адресу: Ростовская область, Веселовский район, х. Позднеевка, ул. Мира, 25</t>
  </si>
  <si>
    <t>Установка прибора учета для присоединения базовой станции ПАО «Ростелеком» расположенной по адресу: Ростовская область, Веселовский район, х. Каракашев</t>
  </si>
  <si>
    <t>Установка прибора учета для присоединения магазина ИП Туголуковой Е. Ю. расположенного по адресу: Ростовская область, Веселовский район, п. Веселый, ул. Октябрьская, 101-в к.н. 61:06:0010123:369</t>
  </si>
  <si>
    <t>Установка прибора учета для присоединения жилого дома Кравчук В. Г. расположенного по адресу: Ростовская область, Веселовский район, п. Веселый, пер. Кленовый, 24 к.н. 61:06:0600012:931</t>
  </si>
  <si>
    <t xml:space="preserve">Установка прибора учета для электроснабжения ВРУ-0,4 кВ Базовой станции сотовой связи заявителя АО "Первая Башенная Компания" по адресу: РО., р-н. Веселовский, х. Верхнесоленый, ул. Центральная, 73-а </t>
  </si>
  <si>
    <t>Установка прибора учета для присоединения жилых .домов, расположенных по адресу: Ростовская область, Веселовский район, п. Веселый, ул. Октябрьская, 130 к.н. 61:06:0010125:350, пер. Западный, 56 к.н. 61:06:0010110:68</t>
  </si>
  <si>
    <t>Установка прибора учета для присоединения ВРУ 0,4 кВ жилого дома заявителя Жук С.В., расположенного по адресу: Ростовская обл., р-н. Семикаракорский, х. Чебачий, ул. Шахтинская, д.9 кв.2 к.н.:61:35:0060201:615</t>
  </si>
  <si>
    <t>Установка прибора учета для присоединения ВРУ 0,4 кВ жилого дома заявителя Сироткина В.А., расположенного по адресу: Ростовская обл., г. Семикаракорск, ул. Серегина, 25, к.н.:61:35:0110208:256</t>
  </si>
  <si>
    <t xml:space="preserve">Строительство ТП 10/0,4 кВ, ВЛ0,4 кВ, ВЛ 10 кВ от ВЛ 10 кВ №3 ПС 35 кВ Б.Салы для электроснабжения малоэтажной жилой застройки расположенной по адресу: РО, район Аксайский, в границах плана земель АО «Темерницкое», поле №6 </t>
  </si>
  <si>
    <t xml:space="preserve">Техническое перевооружение ТП 10 кВ №460 ВЛ 10 кВ №1103 ПС 110 кВ АС11 для электроснабжения ВРУ 0,4 кВ жилого дома Корнелюк О. А. по адресу: Ростовской обл., р-н Аксайский, х. Киров, ул. 50 лет Октября, 50, участок с КН 61:02:0070301:130 </t>
  </si>
  <si>
    <t xml:space="preserve">Установка приборов учета для присоединения ВРУ 0,4 кВ жилых домов расположенных по адресу: Ростовская обл. р-н Аксайский, п. Россйский, п. Янтарный, п. Водопадный, п. Нижнетемерницкий, х. Камышеваха (195 шт.) </t>
  </si>
  <si>
    <t>Установка приборов учета для присоединения ВРУ 0,4 кВ жилых домов расположенных по адресу: Ростовская обл. г. Батайск;  р-н Аксайский: п. Красный Сад, х. Ленина, х. Истомино. (65 шт.)</t>
  </si>
  <si>
    <t>Установка приборов учета для присоединения ВРУ 0,4 кВ жилых домов расположенных по адресу: Ростовская обл. р-н Аксайский, ст. Ольгинская, ст. Старочеркасская, х. Алитуб, х. Махин, п. Нижнеподпольный, п. Дорожный, п. Верхнеподпольный, п. Островский, п. Краснодворск (90 шт.)</t>
  </si>
  <si>
    <t>Установка приборов учета для присоединения ВРУ 0,4 кВ жилых домов расположенных по адресу: Ростовская обл.  р-н Аксайский, х. Каменный Брод, п. Красный Колос, п. Октябрьский, х. Александровка, ст. Мишкинская, х. Киров, ст. Грушевская, п. Рассвет, х. Веселый (99 шт.)</t>
  </si>
  <si>
    <t xml:space="preserve">Установка приборов учета для присоединения ВРУ 0,4 кВ жилых домов расположенных по адресу: Ростовская обл.  р-н Аксайский, г. Аксай, х. Большой Лог, п. Опытный, х. Пчеловодный, п. Реконструктор (83 шт.) </t>
  </si>
  <si>
    <t>Установка приборов учета для присоединения ВРУ 0,4 кВ жилых домов расположенных по адресу: Ростовская обл.  р-н Аксайский, п. Темерницкий, п. Щепкин, п. Возрожденный, (97 шт.)</t>
  </si>
  <si>
    <t>Установка приборов учета для присоединения ВРУ 0,22 кВ жилых домов расположенных по адресу: Ростовская обл. р-н Аксайский, г. Аксай, х. Большой Лог, п. Опытный,  (19 шт.)</t>
  </si>
  <si>
    <t xml:space="preserve">Установка приборов учета для присоединения ВРУ 0,22 кВ жилых домов расположенных по адресу: Ростовская обл. г. Новочеркасск;  р-н Аксайский, п. Красный Колос, ст. Мишкинская, п. Октябрьский, п. Александровка  (6 шт.) </t>
  </si>
  <si>
    <t>Установка приборов учета для присоединения ВРУ 0,22 кВ жилых домов расположенных по адресу: Ростовская обл. р-н Аксайский, п. Красный сад, х. Маяковского, х. Ленина. (43 шт.)</t>
  </si>
  <si>
    <t>Установка приборов учета для присоединения ВРУ 0,22 кВ жилых домов расположенных по адресу: Ростовская обл. р-н Аксайский, ст. Старочеркасская, ст. Ольгинская, х. Нижнеподпольный, п. Осторовский  (8 шт.)</t>
  </si>
  <si>
    <t>Установка приборов учета для присоединения ВРУ 0,22 кВ жилых домов расположенных по адресу: Ростовская обл., р-н Аксайский, х. Нижнетемерницкий, п. Щепкин (6 шт.)</t>
  </si>
  <si>
    <t>Установка приборов учета для присоединения ВРУ 0,22 кВ жилых домов расположенных по адресу: Ростовская обл. р-н Аксайский, п. Россйский, п. Янтарный, (4 шт.)</t>
  </si>
  <si>
    <t>Установка прибора учета для присоединения столовой Недайвозова С.П. расположенных по адресу: Ростовская обл., р-н Багаевский, х. Ажинов, ул. Заярного, д. 4, к.н. 61:03:0020108:2 (1шт.)</t>
  </si>
  <si>
    <t>Установка прибора учета для присоединения жилого дома Давришева А.А. расположенного по адресу: Ростовская обл., р-н Багаевский, х. Елкин, пер. Партизанский, д. 17В, к.н. 61:03:0030147:389 (1шт.)</t>
  </si>
  <si>
    <t>Установка прибора учета для присоединения жилого дома Сердюкова А.А. расположенного по адресу: Ростовская обл., р-н Багаевский, х. Елкин, пер. Партизанский, д. 15-б, к.н. 61:03:0030147:98 (1шт.)</t>
  </si>
  <si>
    <t>Установка прибора учета для присоединения квартиры Симонян А.В. расположенной по адресу: Ростовская обл., р-н Багаевский, х. Карповка, ул. Центральная, д. 11, кв. 3, к.н. 61:03:0020203:149 (1шт.)</t>
  </si>
  <si>
    <t>Установка прибора учета для присоединения жилого дома Слижук В.Д. расположенного по адресу: Ростовская обл., р-н Аксайский, х. Слава Труда, ул. Степная, д. 2, к.н. 61:02:0020301:67 (1шт.)</t>
  </si>
  <si>
    <t>Установка прибора учета для присоединения жилого дома Процун С.Ю. расположенного по адресу: Ростовская обл., р-н Багаевский, п. Отрадный, ул. Ветеранов, д. 29, к.н. 61:03:0050106:112 (1шт.)</t>
  </si>
  <si>
    <t>Установка прибора учета для присоединения ВРУ 0,4 кВ жилого дома заявителя Шевелевой Н.С., расположенного по адресу: Ростовская обл., Семикаракорский р-н, ст-ца Новозолотовская, ул. Чкалова, 31 к.н.:61:35:0060101:3950 (1шт)</t>
  </si>
  <si>
    <t>Установка прибора учета для присоединения ВРУ 0,4 кВ магазина «Хозтовары» заявителя ИП Антоненко А.В., по адресу: ст-ца Задоно-Кагальницкая, ул. 30 лет Победы, 52-а к.н.:61:35:0030101:3942</t>
  </si>
  <si>
    <t>Установка прибора учета для присоединения жилого дома заявителя Архиповой С.Ф., расположенного по адресу: Семикаракорский р-н, х. Бакланники, пер. Школьный, д. 12/49, кв./оф. 1, к.н.: 61:35:0010101:409. (1шт)</t>
  </si>
  <si>
    <t>Установка прибора учета для присоединения ВРУ 0,4 кВ магазина заявителя Усмонова Турсуна по адресу: х. Большемечетный, ул. Октябрьская, 1-А к.н.:61:35:0020101:1845</t>
  </si>
  <si>
    <t>Установка прибора учета для присоединения жилого дома заявителя Фонтош Н.Н., расположенного по адресу: РО,. Семикаракорский р-н, ст-ца Задоно-Кагальницкая ул. Гагарина, д.62, к.н.: 61:35:0030101:758. (1шт)</t>
  </si>
  <si>
    <t>Установка прибора учета для присоединения жилых домов заявителей Агницкого С.С., по адресу: г. Семикаракорск, ул. Комарова, д.25-А, к.н.: 61:35:0110210:209.; Филимоновой И.А., по адресу: х. Шаминка, ул. Виноградная, д.19 кв.2 к.н.: 61:35:0100301:151; не жилого здания Кузьмичевой О.С. по адресу: пр. в 5 км на северо-восток от ст-цы Новозолотовская к.н.:61:35:0600005:648 (3шт)</t>
  </si>
  <si>
    <t xml:space="preserve">Строительство КВЛ 0,4 кВ от ВЛ 0,4 кВ №1 КТП №136А ВЛ 10 кВ №414 ПС 220 кВ Р4 для электроснабжения ВРУ 0,4 кВ нежилого помещения Кашка О. А. на участке с КН 61:02:0600010:16552 в х. Камышеваха Аксайского района Ростовской области </t>
  </si>
  <si>
    <t>Установка приборов учета для присоединения ВРУ 0,4 кВ жилых домов, расположенных по адресу: РО, р-н Аксайский, п. Российский, ст-ца Мишкинская, х. Островского, п. Водопадный, п. Янтарный, п. Красный, п. Темерницкий, с/х. АО "Аксайское", г. Аксай,  совх. Каменобродский, р-н Родионово-Несветайский, р-н Азовский, п. Красный Сад (90 шт.)</t>
  </si>
  <si>
    <t>Установка прибора учета для присоединения жилого дома Игнатовой Полины Константиновны расположенного по адресу: РО,р-н Аксайский, п. Российский, ул. Парковая, 891 КН 61:02:0600010:4795</t>
  </si>
  <si>
    <t>Установка приборов учета для присоединения ВРУ 0,4 кВ жилых домов, расположенных по адресу: РО., х. Нижнетемерницкий, п. Щепкин, КН: 61:02:0600006:4374, 61:02:0600006:3929, 61:02:0080501:1550, (3шт.)</t>
  </si>
  <si>
    <t>Установка приборов учета для присоединения ВРУ 0,4 кВ нежилой застройки и жилых домов, расположенных по адресу: РО., х. Ленина, ст-ца Ольгинская, КН: 61:02:0060101:459, 61:02:0090101:4237, 61:02:0090103:3459, (3шт.)</t>
  </si>
  <si>
    <t>Установка приборов учета для присоединения ВРУ 0,4 кВ жилых домов, расположенных по адресу: РО., ст-ца Ольгинская, п. Щепкин, КН: 61:02:0090103:3462, 61:02:0080501:150, (2шт.)</t>
  </si>
  <si>
    <t>Установка приборов учета для присоединения ВРУ 0,4 кВ жилых домов, расположенных по адресу: РО, п. Янтарный, ст-ца Мишкинская, г. Аксай, п. Красный Колос, ст-ца Старочеркасская, п. Рассвет, (8шт.)</t>
  </si>
  <si>
    <t xml:space="preserve">Строительство ВЛ 0,4 кВ от проектируемой ВЛ 0,4 кВ проектируемой КТП 10/0,4 кВ ( по договорам №61-1-19-00447651, №61-1-19-00447957, №61-1-19-00448113 ООО «РИТМ»),ВЛ 10 кВ №255 ПС 110 кВ БГ2 для электроснабжения ВРУ 0,4 кВ (бытовка) Сон В.Ж. по адресу РО, Аксайский район, х. Слава Труда, АО «Заречное», поле №32-34 га, к.н. 61:02:0600019:1214. </t>
  </si>
  <si>
    <t>Установка прибора учета для присоединения фермы ИП Линченко С.В. расположенных по адресу: Ростовская обл., р-н Багаевский, ст. Багаевская, ул. Семашко, д. 212, к.н. 61:03:0600004:1574 (1шт.)</t>
  </si>
  <si>
    <t>Установка прибора учета для присоединения жилого дома Максуди М.Г. расположенного по адресу: Ростовская обл., р-н Багаевский, х. Арпачин, ул. Подтелкова, д. 19-а, к.н. 61:03:0040208:88 (1шт.)</t>
  </si>
  <si>
    <t>Установка прибора учета для присоединения жилого дома заявителя Соколюк В.Ю. расположенного по адресу ростовская обл., Веселовский р-н, п. Веселый, ул. Октябрьская, 199-а к.н. 61:06:0010114:152 (1шт)</t>
  </si>
  <si>
    <t>Установка прибора учета для присоединения жилого дома заявителя Ким Л. Т., расположенного по адресу: Ростовская обл., Веселовский р-н, п. Веселый, пер. Кленовый, 62 к.н.:61:06:0600012:957 (1шт)</t>
  </si>
  <si>
    <t>Установка прибора учета для присоединения жилого дома заявителя Аширали А. Э, расположенного по адресу: Ростовская обл., Веселовский р-н, х. Каракашев, ул. Старая, 64-а к.н.:61:06:0010307:95 (1шт)</t>
  </si>
  <si>
    <t>Установка прибора учета для присоединения ВРУ 0,4 кВ магазина заявителя ИП Янова Г.П., по адресу: г. Семикаракорск, примерно в 2518 м на юго-восток от строения по адресу: в райцоне Пождепо, к.н.: 61:35:0600012:722</t>
  </si>
  <si>
    <t>Установка прибора учета для присоединения ВРУ 0,4 кВ жилого дома заявителя Борисова В.В. по адресу: Семикаракорский р-н, х. Чебачий, ул. Школьная, д. 6 к.н.:61:35:0060201:19</t>
  </si>
  <si>
    <t>Установка прибора учета для присоединения ВРУ 0,4 кВ жилого дома заявителя Крыловой Р.А. по адресу: ст-ца Задоно-Кагальницкая, ул. Гагарина, д.92 к.н.:61:35:0030101:249</t>
  </si>
  <si>
    <t>Установка приборов учета для присоединения ВРУ 0,4 кВ жилых домов, расположенных по адресу: РО., ст-ца Ольгинская, С/Т «Энергетик», г. Аксай, х. Большой Лог, п. Российский, п. Красный Сад, п. Щепкин, п. Янтарный, п. Рассвет, ст-ца Старочеркасская, х. Нижнеподпольный, п. Возрожденный, п. Опытный, х. Истомино, п. Октябрьский, ст-ца Старочеркасская, х. Ленина, п. Темерницкий, п. Красный Колос, х. Нижнетемерницкий, х. Каменный Брод, г. Новочеркасск, , ст-ца Грушевская, ст-ца Мишкинская (80 шт.)</t>
  </si>
  <si>
    <t>Установка прибора учета для присоед. жил.дома Дьяченко А.В., п.Красный, ул.Островского, д.27 кадастр.номер зем. участка: 61:02:0080601:1715» (1 шт)</t>
  </si>
  <si>
    <t>Установка прибора учета для присоединения ВРУ 0,4 кВ  бытовки Харжиева В. С., расположенной по адресу: Ростовская обл., Аксайский р-н, ст-ца Ольгинская, участок с КН 61:02:0600014:1817</t>
  </si>
  <si>
    <t>Установка прибора учета для присоединения жилого дома Новиковой Н.А., расположенного по адресу: Ростовская обл., р-н. Аксайский, п. Темерницкий, ул. Сосновая, д. 18, кадастровый номер земельного участка: 61:02:0081101:2630</t>
  </si>
  <si>
    <t>Установка прибора учета для присоединения бойни ИП Кононенко П. А., расположенного по адресу: Ростовская обл., р-н. Аксайский, ст-ца Грушевская, ул. Данилова, 2А, участок с КН 61:02:0030106:14 (1 шт.)</t>
  </si>
  <si>
    <t>Установка прибора учета для присоединения объекта торговли Аксайского районного потребительского кооператива, расположенного по адресу: РО, р-н Аксайский, х. Большой Лог, ул. Советская, 41А (1шт)</t>
  </si>
  <si>
    <t>Установка прибора учета для присоединения объекта торговли Полуяна С.П. расположенного по адресу: Ростовская обл., р-н Азовский, п. Красный Сад, ул. Центральная, д.2А КН 61:01:0130201:4728 (1шт.)</t>
  </si>
  <si>
    <t>Установка прибора учета для присоединения жилого дома Глотова Ю. В., расположенного по адресу: Ростовская обл., р-н Аксайский, ст-ца Старочеркасская, ул. Речная, кадастровый номер земельного участка 61:02:0110102:3850 (1 шт.)</t>
  </si>
  <si>
    <t>Установка прибора учета для присоединения объекта торговли ИП Сагоян А. С., расположенного по адресу: Ростовская обл., р-н Аксайский, ст-ца. Ольгинская, ул. Ленина, д. 198 В, кадастровый номер земельного участка: 61:02:0090102:3838 (1 шт.)</t>
  </si>
  <si>
    <t>Установка приборов учета для присоединения  ВРУ 0,4 кВ жилых домов, расположенных по адресу: РО, ст-ца Мишкинская, п. Октябрьский, п. Щепкин, КН: 61:02:0600009:1083, 61:02:0080102:280, 61:02:0080505:1009. (3шт)</t>
  </si>
  <si>
    <t>Установка приборов учета для присоединения ВРУ 0,4 кВ торгового павильона и жилых домов, расположенных по адресу: РО., п. Красный Сад, ст-ца Ольгинская, ул. Ленина, д.50, КН: 61:01:0600007:1847, 61:01:0600007:1926, (3шт.)</t>
  </si>
  <si>
    <t>Установка приборов учета для присоединения ВРУ 0,4 кВ базовой станции/оборудования сотовой связи, нежилой застройки и жилых домов, расположенных по адресу: РО., п. Щепкин, п. Рассвет, п. Янтарный, п. Темерницкий, ст-ца Старочеркасская, п. Красный Сад, п. Красный Колос, (9шт.)</t>
  </si>
  <si>
    <t>Установка приборов учета для присоединения ВРУ 0,4 кВ жилых домов, расположенных по адресу: РО., ст-ца Ольгинская, п. Красный Сад, п. Янтарный, х. Нижнетемерницкий, Красный Колос, г. Новочеркасск, ст-ца Грушевская, (44 шт)</t>
  </si>
  <si>
    <t>Установка прибора учета для присоединения жилого дома Садовского А.Ю. расположенного по адресу: Ростовская обл., р-н Аксайский, х. Слава Труда, ул. Степная, д. 25, к.н. 61:02:0020301:5 (1шт.)</t>
  </si>
  <si>
    <t>Установка приборов учета для присоединения административных/офисных зданий АО «Почта России» расположенных по адресу: Ростовская обл., р-н Багаевский, х. Ажинов, ул. Заярного, д. 18/1, к.н. 61:03:0020107:141, х. Арпачин, ул. Советская, д. 40, кв. 1,2,3, к.н. 61:03:0040204:394, п. Первомайский, ул. Мира, д. 2, кв. 1,2,3,4, к.н. 61:03:0060201:118, х. Елкин, ул. Тимирязева, д. 23, к.н. 61:03:0030122:51 (4 шт.)</t>
  </si>
  <si>
    <t>Установка прибора учета для присоединения склада Ахметова А.У. расположенного по адресу: Ростовская обл., р-н Багаевский, х. Красный, пер. Рабочий, д. 1, к.н. 61:03:0060101:442 (1шт.)</t>
  </si>
  <si>
    <t>Установка прибора учета для присоединения нежилого помещения заявителя АО «Почта России», расположенного по адресу: Ростовская обл., Веселовский р-н, п. Средний Маныч, ул. Ленина, 4 к.н.:61:06:0050102:175 (1шт)</t>
  </si>
  <si>
    <t>Установка прибора учета для присоединения пешеходной зоны от ул. Октябрьская до пер. Комсомольский, 72 заявителя Администрации Веселовского сельского поселения Веселовского района, расположенной по адресу: Ростовская обл., Веселовский р-н, п. Веселый, пер. Комсомольский, д. 61 б, к.н. 61:06:0010126:1021 (1шт)</t>
  </si>
  <si>
    <t>Установка прибора учета для присоединения объекта торговли ИП Черный И. С., расположенного по адресу: Ростовская обл., р-н Аксайский, х. Большой Лог, ул. Советская, 60, участок с КН 61:02:0010201:7334 (1 шт.)</t>
  </si>
  <si>
    <t>Учет электрической энергии в РУ 0,4 кВ ТП 10/0,4 кВ ВЛ 10 кВ №1547 ПС 110 АС-15 заявителя ИП Манукян Ю.Э. расположенной по адресу: Ростовская обл., Аксайский  р-н, г. Аксай, севернее ул. Ермолова, к.н.:61:02:0600010:11402 (1шт)</t>
  </si>
  <si>
    <t>Учет электрической энергии в РУ 0,4 кВ ТП 10/0,4 кВ ВЛ 10 кВ №1547 ПС 110 АС-15 заявителя ИП Шепель В.С. расположенной по адресу: Ростовская обл., Аксайский  р-н, АОЗТ «Янтарное», поле №44, к.н.:61:02:0600010:6639 (1шт)</t>
  </si>
  <si>
    <t>Установка приборов учета для присоединения ВРУ 0,22 кВ малоэтажной жилой застройки и жилого дома, расположенных по адресу: РО., х. Большой Лог, п. Красный Колос, КН:61:02:0600010:15854, 61:02:0100101:169 (2шт.)</t>
  </si>
  <si>
    <t>Установка приборов учета для присоединения ВРУ 0,4 кВ жилых домов, расположенных по адресу: РО., х. Нижнетемерницкий, п. Октябрьский, п. Щепкин, Родионово-Несветайский р-н, п. Красный Сад, х. Ленина, п. Российский, , х. Камышеваха, п. Водопадный, п. Красный Колос, х. Каменный Брод, п. Янтарный, ст-ца Мишкинская, г. Новочеркасск (25 шт)</t>
  </si>
  <si>
    <t>Установка приборов учета для присоединения ВРУ 0,4 кВ жилых домов, расположенных по адресу: РО., х. Нижнетемерницкий, ст-ца Мишкинская, ст-ца Старочеркасская, с/х АО «Аксайское», п. Янтарный, ст-ца Ольгинская, г. Аксай, п. Октябрьский, п. Темерницкий  (46 шт.)</t>
  </si>
  <si>
    <t>Установка приборов учета для присоединения жилых домов Хотнянского С.С. расположенных по адресу: Ростовская обл., р-н Багаевский, х. Арпачин, ул. Донская, д. 33-р, к.н. 61:03:0040215:104, ул. Донская, д. 33-з, к.н. 61:03:0040215:105 (2 шт.)</t>
  </si>
  <si>
    <t>Установка прибора учета для присоединения административного/офисного здания АО «Почта России» расположенного по адресу: Ростовская обл., р-н Багаевский, х. Красный, ул. Центральная, д. 10/2, кв. 3, к.н. 61:03:0060101:311 (1 шт.)</t>
  </si>
  <si>
    <t>Установка приборов учета для присоединения базовых станций/оборудования сотовой связи ПАО «Ростелеком» расположенных по адресу: Ростовская обл., р-н Багаевский, х. Калинин, примерно 10 м по направлению на юго-восток от границы участка по адресу: ул. Широкая, 54а, к.к. 61:03:0020402, п. Ясный, примерно 7 м по направлению на запад от границы участка по адресу: ул. Южная, №2, кв. 1, к.к. 61:03:0040401 (2 шт.)</t>
  </si>
  <si>
    <t>Установка прибора учета для присоединения жилого дома заявителя Носовой Н. Н., расположенного по адресу: Ростовская обл., Веселовский р-н, х. Красный Кут, ул. Набережная, д. 19, к.н. 61:06:0060310:8</t>
  </si>
  <si>
    <t>Установка прибора учета для присоединения административных зданий заявителя АО «Почта России»., по адресу: х. Слободской, ул. Ященко, 22 Е к.н.: 61:35:0090401:1937, х. Чебачий, ул. Гагарина, 7/2 к.н.:61:35:0060201:2357, х. Сусат, ул. Гагарина, 30 Б к.н.:61:35?0090101:3023 (3шт)</t>
  </si>
  <si>
    <t>Установка прибора учета для присоединения ВРУ 0,4 кВ жилого дома заявителя Бабкина А.А. по адресу: Семикаракорский р-н, х. Чебачий, ул. Малькова, д.28 А к.н.:61:35:0060201:2434</t>
  </si>
  <si>
    <t>Установка прибора учета для присоединения ВРУ 0,4 кВ жилых домов заявителя Процевская Л.А., по адресу: Семикаракорский р-н, х. Чебачий, ул. Парковая, д.8 к.н.:61:35:0060201:2899; ул. Парковая, д.10 к.н.: 61:35:0060201:2911</t>
  </si>
  <si>
    <t>Установка прибора учета для присоединения ВРУ 0,4 кВ Базовой станции/оборудования сотовой связи заявителя ПАО «Ростелеком». по адресу: Семикаракорский р-н, х. Лиманский, примерно в 16 м на восток от ул. Школьная, д.21 к.н.:61:35:0050401</t>
  </si>
  <si>
    <t>Установка прибора учета для присоединения ВРУ 0,4 кВ жилого дома заявителя Петрук Н.В. по адресу: Семикаракорский р-н, х. Лиманский, ул. Школьная, д.14 к.н.:61:35:0050401:66</t>
  </si>
  <si>
    <t>Установка приборов учета для присоединения ВРУ 0,4 кВ малоэтажных жилых застроек, отделение почтовой связи, административного/офисного здания, расположенных по адресу: РО, п. Российский, х. Александровка, ст-ца Мишкинская, (8шт.)</t>
  </si>
  <si>
    <t>Установка приборов учета для присоединения ВРУ 0,4 кВ малоэтажных жилых застроек, административного/офисного здания, нежилой застройки, расположенных по адресу: РО., х. Большой Лог, п. Щепкин, п. Реконструктор, (5шт.)</t>
  </si>
  <si>
    <t>Учет электрической энергии в РУ 0,4 кВ КТП-6/0,4 кВ ВЛ 6 кВ №802 ПС 35/6 кВ АС-8 заявителя Лисихина А. Ю., расположенной по адресу: РО., р-н Аксайский, с/т «Надежда», уч.28, к.н:61:02:0503701:69</t>
  </si>
  <si>
    <t>Установка приборов учета для присоединения ВРУ 0,4 кВ жилых домов, расположенных по адресу: РО., РО, х. Нижнетемерницкий, х. Большой Лог, ст-ца Грушевская, ст-ца Старочеркасская, п. Янтарный, п. Российский, п. Щепкин, х. Каменный Брод (41 шт)</t>
  </si>
  <si>
    <t>Установка прибора учета для присоединения магазина ИП Третьякова С. расположенного по адресу: Ростовская обл., р-н Багаевский, п. Отрадный, ул. Победы, д. 12А, к.н. 61:03:0050102:490 (1шт.)</t>
  </si>
  <si>
    <t>Установка прибора учета для присоединения объекта туристической отрасли (гостиница, база отдыха, гостевой дом, прочее) ИП Рогальского А.В. расположенного по адресу: Ростовская обл., р-н Багаевский, х. Арпачин, ул. Береговая, д. 2-ж, к.н. 61:03:0040215:52 (1шт.)</t>
  </si>
  <si>
    <t>Установка прибора учета для присоединения жилого дома заявителя Лебедева А. В., расположенного по адресу: Ростовская обл., Веселовский р-н, п. Веселый, ул. Набережная, д. 71, к.н. 61:06:0010107:163</t>
  </si>
  <si>
    <t>Установка прибора учета для присоединения нежилого здания АО «Почта России» расположенного по адресу: Ростовская обл., р-н Семикаракорский, ст-ца Задоно-Кагальницкая, пер. Советский, д.3 к.н. 61:35:0030101:2255» (1шт.)</t>
  </si>
  <si>
    <t>Установка прибора учета для присоединения ВРУ 0,4 кВ жилого дома заявителя Корначева Сергея Александровича по адресу: Семикаракорский р-н, х. Бакланники, ул. Набережная, д.11-а к.н.:61:35:0010101:351</t>
  </si>
  <si>
    <t>Установка приборов учета для присоединения ВРУ 0,4 кВ жилых домов Хапаловой Э. А., Кашириной Н. Д., Братишова В. Г., Флягина Д. А., расположенных по адресу: Ростовская обл., р-н Аксайский, х. Нижнеподпольный, х. Большой Лог, Родионово-Несветайский район (4 шт.)</t>
  </si>
  <si>
    <t>«Установка системы учета для технологического присоединения «квартира», расположенного по адресу:347556, Российская Федерация, Ростовская обл., р-он Пролетарский, х. Николаевский 2-й, ул. Школьная, д.25/1, кадастровый номер земельного участка: 61:31:0060101:1512, заявитель Зозуля О.А.» (1 шт.)</t>
  </si>
  <si>
    <t xml:space="preserve"> «Установка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ул. Мира, д. 131 к.н.з.у.: 61:29:0050101:92, заявитель Близняков С.П.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</si>
  <si>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Николаевский 2-й, ул. Школьная, д. 27, к.н. 61:31:0060101:674, заявитель Могильная В.А.» (1 шт.)</t>
  </si>
  <si>
    <t>«Установка системы учета для технологического присоединения объекта «объект с/х назначения», расположенного по адресу: 347603 Российская Федерация, Ростовская обл., р-н. Сальский, п. Конезавод имени Буденного,  ул. Молодежная, д. 15 а, кадастровый номер земельного участка: 61:34:0040101:4531, заявитель Богданова Т.К.» (1 шт.)</t>
  </si>
  <si>
    <t>«Установка системы учета для технологического присоединения объекта «жилой дом», расположенного по адресу: 347605 Российская Федерация, Ростовская обл., р-н. Сальский, с. Шаблиевка, ул. Привокзальная, д. 30, кадастровый номер земельного участка: 61:34:0050201:1185, заявитель Яровая А. И.» (1 шт.)</t>
  </si>
  <si>
    <t>«Установка системы учета для технологического присоединения объекта «Нежилая застройка», расположенного по адресу: Российская Федерация, Ростовская обл., р-н. Сальский, п. Степной Курган, в кадастровом квартале 61:34:60 00 01 с условным центром в п. Степной Курган, кадастровый номер земельного участка: 61:34:0600001:2620, заявитель Столбунова Елена Геннадьевна»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</si>
  <si>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п. Белозерный, ул. Юбилейная, д. 18, кадастровый номер земельного участка: 61:57:0080101:499, заявитель Потапов П.В.»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</si>
  <si>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п. Белозерный, ул. Пионерская,  д. 30, кадастровый номер земельного участка: 61:34:0080101:294, заявитель Новиков М.Н.» (1 шт.)</t>
  </si>
  <si>
    <t>«Установка системы учета для технологического присоединения объекта «Ангар», расположенного по адресу: 347612 Российская Федерация, Ростовская обл, р-н Сальский, х. Крупский, ул. Горького, д. 1, кадастровый номер земельного участка 61:34:0170201:81, заявитель ИП заявитель ИП глава К(Ф)Х Елисеев А.Г.» (1 шт.)</t>
  </si>
  <si>
    <t>«Установка системы учета для технологического присоединения объекта «жилой дом», расположенного по адресу: 347602 Российская Федерация, Ростовская обл., р-н. Сальский, п. Степной Курган, ул. Октябрьская, д. 3, кадастровый номер земельного участка: 61:34:0100101:170, заявитель Безукладный Е.Н.» (1 шт.)</t>
  </si>
  <si>
    <t>«Установка системы учета для технологического присоединения объекта «жилой дом», расположенного по адресу: Ростовская область, Целинский район, с. Лопанка, ул. Широкая, д. 8, к.н.з.у.: 61:40:0040101:882, заявитель Пшеничная Е.С.» (1 шт.)</t>
  </si>
  <si>
    <t xml:space="preserve">«Установка системы учета для технологического присоединения «общественная территория поселка Вороново», расположенной по адресу: 347763, РФ, Ростовская область, Целинский район, п. Вороново, ул. Набережная, к.н. з. у.: 61:40:0030101:3500(1), 61:40:0030101:3500(2), заявитель Администрация Кировского сельского поселения» </t>
  </si>
  <si>
    <t>«Установка системы учета для технологического присоединения «жилого дома», расположенного по адресу: 347564, РФ, Ростовская область, Песчанокопский район, с. Николаевка, ул. Партизанская, 5 к.н.з.у.:61:30:0070101:201, заявитель Гридякин И.И.» (1 шт.)</t>
  </si>
  <si>
    <t>«Установка системы учета для технологического присоединения «жилого дома», расположенного по адресу: 347560, РФ, Ростовская область, Песчанокопский район, с. Развильное, ул. Школьная, 77 к.н.з.у.:61:30:0090101:9681, заявитель Гурьева А.Н.»    (1 шт.)</t>
  </si>
  <si>
    <t>«Установка системы учета для технологического присоединения «жилого дома», расположенного по адресу: 347563, РФ, Ростовская область, Песчанокопский район, с. Поливянка, ул. Юбилейная, 17 к.н.з.у.:61:30:0080101:153, заявитель Лозовой А.В.»     (1 шт.)</t>
  </si>
  <si>
    <t>«Установка системы учета для технологического присоединения «нежилого помещения», расположенного по адресу: 347565, РФ, Ростовская область, Песчанокопский район, с. Красная Поляна, ул. Кирова, 6 к.н.:61:30:0050101:3257, заявитель АО «Почта России» (1 шт.)</t>
  </si>
  <si>
    <t xml:space="preserve"> «Установка системы учета для технологического присоединения «нежилого помещения», расположенного по адресу: 347562, РФ, Ростовская область, Песчанокопский район, с. Богородицкое, пер. Советский, 78 к.н.:61:30:0020101:3305, заявитель АО «Почта России» (1 шт.)</t>
  </si>
  <si>
    <t>«Установка системы учета для технологического присоединения «жилого дома», расположенного по адресу: 347564, РФ, Ростовская область, Песчанокопский район, с. Николаевка, пер. Колхозный, 5 к.н.з.у.:61:30:0070101:1, заявитель Лозовой А.А.» (1 шт.)</t>
  </si>
  <si>
    <t>«Установка системы учета для технологического присоединения объекта «нежилое помещение», расположенного по адресу: 347524, РФ, Ростовская область, Орловский район, х. Пролетарский, пер. Почтовый, д. 4, к.н.з.у.:, заявитель Акционерное общество «Почта России» (1 шт.)»</t>
  </si>
  <si>
    <t>«Установка системы учета для технологического присоединения объекта «нежилое помещение», расположенного по адресу: 347523, РФ, Ростовская область, Орловский район, х. Островянский, ул. Советская, д. 16а, к.н.з.у.:, заявитель Акционерное общество «Почта России» (1 шт.)</t>
  </si>
  <si>
    <t>«Установка системы учета для технологического присоединения объекта «нежилое помещение», расположенного по адресу: 347525, РФ, Ростовская область, Орловский район, х. Камышевка, ул. Школьная, д. 63, к.н.з.у.:, заявитель Акционерное общество «Почта России» (1 шт.)</t>
  </si>
  <si>
    <t xml:space="preserve"> «Установка системы учета для технологического присоединения объекта «нежилое помещение», расположенного по адресу: 347521, РФ, Ростовская область, Орловский район, х. Быстрянский, ул. Мира, д. 24, к.н.з.у.:, заявитель Акционерное общество «Почта России» (1 шт.)»</t>
  </si>
  <si>
    <t>«Установка системы учета для технологического присоединения объекта «складское здание», расположенного по адресу: 347505, РФ, Ростовская область, Орловский район, х. Каменная Балка, 0,94 км от х. Каменная Балка на запад, к.н.з.у.: 61:29:0600003:1851, заявитель ИП Бутов Р.В. глава К(Ф)Х (1 шт)»</t>
  </si>
  <si>
    <t>«Установка системы учета для технологического присоединения объекта «жилой дом», расположенного по адресу: 347523, РФ, Ростовская область, Орловский район, х. Островянский, ул. Победы, д. 2, к.н.з.у.: 61:29:0070101:0031, заявитель Пальок И.Д.  (1 шт.)</t>
  </si>
  <si>
    <t>«Установка системы учета для технологического присоединения объекта «нежилое помещение», расположенного по адресу: 347500, РФ, Ростовская область, Орловский район, п. Красноармейский, пер. Красноармейский, д. 42, к.н.з.у.:, заявитель Акционерное общество «Почта России» (1 шт.)»</t>
  </si>
  <si>
    <t>«Установка системы учета для технологического присоединения объекта «квартира», расположенного по адресу: Ростовская область, Целинский район, п. Коренной, ул. Абрикосовая, д. 29, кв. 1, к.н.з.у.:61:40:0010201, заявитель Золотухин В.П.» (1 шт.)</t>
  </si>
  <si>
    <t>«Установка системы учета для технологического присоединения объекта «жилой дом», расположенного по адресу: Ростовская область, Целинский район, с. Степное, ул. Школьная, д. 6, к.н.з.у.:61:40:0090101:182, заявитель Якишева И.А.» (1 шт.)</t>
  </si>
  <si>
    <t xml:space="preserve"> «Установка системы учета для технологического присоединения «жилой дом», расположенного по адресу: РФ, Ростовская область, Целинский район, с. Михайловка, ул. Комсомольская, д. 13, к.н.з.у.:61:40:0050101:619, заявитель Арсанукаев Х.С.» (1 шт.)</t>
  </si>
  <si>
    <t>«Установка системы учета для технологического присоединения объекта «магазин», расположенного по адресу: Ростовская область, Целинский район, с. Михайловка, ул. Советская, д. 12, к.н.з.у.:61:40:0050101:85, заявитель ИП Максименко С.В.» (1 шт.)</t>
  </si>
  <si>
    <t>«Установка системы учета для технологического присоединения объекта «жилой дом», расположенного по адресу: РФ, Ростовская область, Целинский район, х. Родионовка, ул. Центральная, д. 30, к.н.з.у.:61:40:0060601:47, заявитель Колодин И.В.» (1 шт.)</t>
  </si>
  <si>
    <t>«Установка системы учета для технологического присоединения объекта «Здание отделения почтовой связи», расположенного по адресу: 347615 Российская Федерация, Ростовская обл., р-н. Сальский, с. Новый Егорлык, ул. Терешковой, д. 14, кадастровый номер земельного участка: 61:34:0110101:6489, заявитель АО «Почта России» (1 шт.)</t>
  </si>
  <si>
    <t>«Установка системы учета для технологического присоединения объекта «Нежилое помещение», расположенного по адресу: 347626 Российская Федерация, Ростовская обл., р-н. Сальский, с. Романовка, ул. Ленина, д. 9, кадастровый номер земельного участка: 61:34:0140101:1288, заявитель АО «Почта России» (1 шт.)</t>
  </si>
  <si>
    <t>«Установка системы учета для технологического присоединения объекта «строительная площадка», расположенного по адресу: 347500, РФ, Ростовская область, Орловский район, п. Красноармейский, ул. Горького, д. 50, к.н.з.у.: 61:29:0060124:8, заявитель Макеев Д.Ю.  (1 шт.)»</t>
  </si>
  <si>
    <t>«Установка системы учета для технологического присоединения объекта «Нежилое помещение», расположенного по адресу: 347609 Российская Федерация, Ростовская обл., р-н. Сальский, п. Белозерный, ул. Дружбы, д. 1а, кадастровый номер земельного участка: 61:34:0080101:1569, заявитель АО «Почта России» (1 шт.)</t>
  </si>
  <si>
    <t>«Установка системы учета для технологического присоединения объекта «Нежилое помещение», расположенного по адресу: Российская Федерация, Ростовская обл., р-н. Сальский, п. Юловский, ул. Ленина, д. 14, кадастровый номер земельного участка: 61:34:0190101:2704, заявитель АО «Почта России» (1 шт.)</t>
  </si>
  <si>
    <t>«Установка системы учета для технологического присоединения объекта «Нежилое помещение», расположенного по адресу: Российская Федерация, Ростовская обл., р-н. Сальский, с. Екатериновка, 60 лет СССР, д. 17, кадастровый номер земельного участка: 61:34:0050101:3664, заявитель АО «Почта России» (1 шт.)</t>
  </si>
  <si>
    <t>«Установка системы учета для технологического присоединения объекта «Нежилое помещение», расположенного по адресу: 347613 Российская Федерация, Ростовская обл., р-н. Сальский, с. Ивановка, ул. Ленина, д. 63, кадастровый номер земельного участка: 61:34:0060101:1080, заявитель АО «Почта России» (1 шт.)</t>
  </si>
  <si>
    <t>«Установка системы учета для технологического присоединения объекта «Отделение почтовой связи», расположенного по адресу: 347612 Российская Федерация, Ростовская обл., р-н. Сальский, с. Сандата, ул. Ленина, д. 43, кадастровый номер земельного участка: 61:34:0170101:6183, заявитель АО «Почта России»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</si>
  <si>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п. Опенки, ул. Мира, д. 66, к.н. 61:31:0080101:272, заявитель Степанько Е.Б.» (1 шт.)"</t>
  </si>
  <si>
    <t xml:space="preserve"> «Установка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х. Уютный, ул. Первомайская, д. 2а, к.н. 61:31:0100201:16, заявитель Жарков С.А.»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</si>
  <si>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г. Пролетарск, ул. Никифорова, д. 31, к.н. з.у.: 61:31:0110471:342, заявитель Брейкин О.Н.»</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</si>
  <si>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Уютный, ул. Первомайская, д. 16, к.н. 61:31:0100101:1551, заявитель Сорокин А.А.» (1 шт.)</t>
  </si>
  <si>
    <t>«Установка системы учета для технологического присоединения объекта «нежилое помещение», расположенного по адресу: 347527, РФ, Ростовская область, Орловский район, п. Волочаевский, ул. Садовая, д. 2, заявитель Акционерное общество «Почта России» (1 шт.)»</t>
  </si>
  <si>
    <t xml:space="preserve">«Установка системы учета для технологического присоединения объекта «квартира», расположенного по адресу: 347526, РФ, Ростовская область, Орловский район, х. Курганный, ул. Молочинского, д. 20, кв.1, к.н.з.у.: 61:29:0050301:204, заявитель Сахарнян А.П.  (1 шт.)» </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</si>
  <si>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п. Опенки, ул. Каштанов, д. 12, к.н. з.у.: 61:31:0080101:2794, заявитель Мякинченко А.Н.» (1 шт.)</t>
  </si>
  <si>
    <t>«Установка системы учета для технологического присоединения объекта «квартира», расположенного по адресу: Российская Федерация, Ростовская обл., р-н. Пролетарский, х. Ганчуков, ул. Степная, д. 2, кв. 1, к.н. 61:31:0070101:1087, заявитель Завгородний С.В.» (1 шт.)</t>
  </si>
  <si>
    <t>«Установка системы учета для технологического присоединения «жилой дом», расположенного по адресу: РФ, Ростовская область, Целинский район, х. Карла Маркса, ул. Мирная, д. 38, к.н.з.у.:61:40:0060501, заявитель Бабенко Н.С.»  (1 шт.)</t>
  </si>
  <si>
    <t>«Установка системы учета для технологического присоединения объекта «базовая станция сотовой связи», расположенного по адресу: 347523, РФ, Ростовская область, Орловский район, х. Веселый, ул. Победы, участок в 35м от дома №1, к.н.з.у.: 61:29:0070401, заявитель Акционерное общество «Первая Башенная Компания» (1 шт.)</t>
  </si>
  <si>
    <t>«Установка системы учета для технологического присоединения объекта «наружного освещения», расположенного по адресу: РФ, Ростовская область, Целинский район, с. Ольшанка, к.н.з.у.:61:40:0000000:6162, заявитель Министерство транспорта Ростовской области» (1 шт.)</t>
  </si>
  <si>
    <t>«Установка системы учета для технологического присоединения «жилой дом», расположенного по адресу: РФ, Ростовская область, Целинский район, х. Васильевка, ул. Солнечная, д. 92, к.н.з.у.:61:40:0100201:216, заявитель Бондарев А.С.»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</si>
  <si>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ДНТ «Ручеек №3», ул. Зеленая, д. 77, к.н. 61:31:0500101:126, заявитель Межинский Д.В.» (1 шт.)</t>
  </si>
  <si>
    <t>«Установка системы учета для технологического присоединения объекта «административное/офисное здание», расположенного по адресу: Ростовская область, Целинский район, п. Вороново, ул. Молодежная, д. 10, кв./оф. 1,2,3,4,5, к.н.з.у.:61:40:0030101:2082, заявитель АО «Почта России»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</si>
  <si>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Мокрая Ельмута, пер. Поливановский, д. 10, к.н. 61:31:0050101:37, заявитель Рыбалко Л.А.» (1 шт.)</t>
  </si>
  <si>
    <t>«Установка системы учета для технологического присоединения объекта «административное/офисное здание», расположенного по адресу: Ростовская область, Целинский район, п. Юловский, ул. Спортивная, д. 4, кв./оф. 1,2,3,4, к.н.з.у.:61:40:0091001:1509, заявитель АО «Почта России»  (1 шт.)</t>
  </si>
  <si>
    <t>«Установка системы учета для технологического присоединения «жилой дом», расположенного по адресу: РФ, Ростовская область, Целинский район, х. Владикарс, ул. Возрождения, д. 19, к.н.з.у.:61:40:0050201:9, заявитель Родин Д.А.»  (1 шт.)</t>
  </si>
  <si>
    <t>«Установка системы учета для технологического присоединения объекта «жилой дом», расположенного по адресу: 347612 Российская Федерация, Ростовская обл., р-н. Сальский, с. Сандата, ул. Мира, д. 47, кадастровый номер земельного участка: 61:34:0170101:1367, заявитель Буйленко Г.В.» (1 шт.)</t>
  </si>
  <si>
    <t>«Установка системы учета для технологического присоединения «жилого дома», расположенного по адресу: 347562, РФ, Ростовская область, Песчанокопский район, с. Богородицкое, ул. Набережная, 29 к.н.з.у.:61:30:0020101:688, заявитель Хрыкин В.И.» (1 шт.)</t>
  </si>
  <si>
    <t xml:space="preserve">«Установка системы учета для технологического присоединения «объекта торговли», расположенного по адресу: 347612 Российская Федерация, Ростовская обл., р-н Сальский, с. Сандата, ул. Калинина, д. 112, кадастровый номер земельного участка: 61:34:0170101:1581, заявитель Лохов И.В. (1 шт.)» </t>
  </si>
  <si>
    <t xml:space="preserve">«Установка системы учета для технологического присоединения «жилого дома», расположенного по адресу: 347613 Российская Федерация, Ростовская обл.,   р-н. Сальский, с. Ивановка, ул. Буденного, д. 100, кадастровый номер земельного участка: 61:34:0060101:54, заявитель Никитина Н.Ю. (1 шт.)» </t>
  </si>
  <si>
    <t>«Установка системы учета для технологического присоединения «склад», расположенного по адресу: 347774, РФ, Ростовская область, Целинский район, х. Калинин, ул. Дорожная, 1 к.н. з. у.: 61:40:0020201:14, заявитель Маргарян А.О.» (1 шт.)</t>
  </si>
  <si>
    <t>«Установка системы учета для технологического присоединения «квартира», расположенного по адресу: 347771, РФ, Ростовская область, Целинский район, х. Кугульта, ул. Дружбы, д. 9, кв. 3, к.н.з.у.:61:40:0090601:70, заявитель Кирингишиев Т.М.» (1 шт.)</t>
  </si>
  <si>
    <t>«Установка системы учета для технологического присоединения «жилой дом», расположенного по адресу: РФ, Ростовская область, Целинский район, х. Васильевка, ул. Солнечная, д. 34, к.н.з.у.:61:40:0100201:157, заявитель Зулумханова А.М.»  (1 шт.)</t>
  </si>
  <si>
    <t>«Установка системы учета для технологического присоединения «жилой дом», расположенного по адресу: РФ, Ростовская область, Целинский район, х. Васильевка, ул. Солнечная, д. 46, к.н.з.у.:61:40:0100201:240, заявитель Джамадов М.Д.» (1 шт.)</t>
  </si>
  <si>
    <t>«Установка системы учета для технологического присоединения «жилой дом», расположенного по адресу: РФ, Ростовская область, Целинский район, х. Васильевка, ул. Солнечная, д. 42, к.н.з.у.:61:40:0100201:242, заявитель Джамадов Д.Д.» (1 шт.)</t>
  </si>
  <si>
    <t>«Установка системы учета для технологического присоединения «жилой дом», расположенного по адресу: РФ, Ростовская область, Целинский район, с. Ольшанка, ул. Восточная, д. 38, к.н.з.у.:61:40:0060101:488, заявитель Бабышев В.В.»  (1 шт.)</t>
  </si>
  <si>
    <t>«Установка системы учета для технологического присоединения объекта «жилой дом», расположенного по адресу: Российская Федерация, Ростовская обл., г., Сальск, СНТ «Железнодорожник», бригада 4 д. 12, кадастровый номер земельного участка: 61:57:0010977:1315, заявитель Долгополов С.С.» (1 шт.)</t>
  </si>
  <si>
    <t xml:space="preserve"> «Установка системы учета для технологического присоединения объекта «жилой дом», расположенного по адресу: Российская Федерация, Ростовская обл., Г. Сальск, СНТ «Железнодорожник», бригада №2, участок 46, кадастровый номер земельного участка: 61:57:0010977:718, заявитель Шкатова И.Н.» (1 шт.)</t>
  </si>
  <si>
    <t>«Установка системы учета для технологического присоединения объекта «жилой дом», расположенного по адресу:347606 Российская Федерация, Ростовская обл., р-н. Сальский, с. Екатериновка, ул. Новостройка, Д. 3, кадастровый номер земельного участка: 61:34:0050101:993, заявитель Паталаха Г.В» (1 шт.</t>
  </si>
  <si>
    <t>«Установка системы учета для технологического присоединения «нестационарного торгового объекта», расположенного по адресу: Ростовская область, р-н Сальский, с. Сандата, рядом с земельным участком с кадастровым номером 61:34:0170101:7208, заявитель Маматов Х.А» (1 шт.)</t>
  </si>
  <si>
    <t>«Установка системы учета для технологического присоединения «объекта сельскохозяйственного производства», расположенного по адресу: 347608, Ростовская область, р-н Сальский, с. Бараники, ул. Дружбы, д. 4, корп. в, кадастровый номер земельного участка: 61:34:0020101:1804, заявитель Костырин А.С.» (1 шт.)</t>
  </si>
  <si>
    <t>«Установка системы учета для технологического присоединения «жилого дома», расположенного по адресу: 347567, РФ, Ростовская область, Песчанокопский район, с. Жуковское, ул. Карла Маркса, 121 к.н.з.у.:61:30:0030101:190, заявитель Овчинникова Л.А.» (1 шт.)</t>
  </si>
  <si>
    <t>"Установка системы учета от опоры №2-00/4 ВЛ 0,4 кВ Л-2 КТП 10/0,4 кВ № 327 по ВЛ 10 кВ Л-1 Майорская, для электроснабжения объекта – «Базовая станция сотовой связи», расположенного по адресу: РФ, Ростовская область, Орловский район, х. Успенский, в границах кадастрового квартала 61:29:0041301, заявитель ПАО «Ростелеком» (1 шт.)"</t>
  </si>
  <si>
    <t>"Установка системы учетаот опоры №3-01/2 ВЛ 0,4 кВ Л-3 КТП 10/0,4 кВ № 8 по ВЛ 10 кВ Л-2 Кундрюченская, для электроснабжения объекта – «Базовая станция сотовой связи», расположенного по адресу: РФ, Ростовская область, Орловский район, х. Кундрюченский, в границах кадастрового квартала 61:29:0010301, заявитель ПАО «Ростелеком» (1 шт.)"</t>
  </si>
  <si>
    <t>«Установка системы учета для технологического присоединения объекта «Базовая станция сотовой связи», расположенного по адресу: 347506, РФ, Ростовская область, Орловский район, х. Романовский, координаты 46,7477929 41,9758006, в кадастровом квартале 61:29:0030401, заявитель ПАО «Ростелеком» (1 шт.)»</t>
  </si>
  <si>
    <t>«Установка системы учета для технологического присоединения объекта «жилой дом», расположенного по адресу: 347527, РФ, Ростовская область, Орловский район, п. Волочаевский, ул. Сердюкова, д. 7, к.н. з.у.: 61:29:0020101:0003, заявитель Клец А.Н.  (1 шт.)»</t>
  </si>
  <si>
    <t>«Установка системы учета для технологического присоединения объекта «квартира», расположенного по адресу: 347525, РФ, Ростовская область, Орловский район, х. Камышевка, ул. Школьная, д. 24, кв. 2 к.н. з.у.: 61:29:0050101:331, заявитель Чернолихов С.С.  (1 шт.)»</t>
  </si>
  <si>
    <t>«Установка системы учета для технологического присоединения «жилого дома», расположенного по адресу: 347606 Российская Федерация, Ростовская обл.,   р-н. Сальский, с. Екатериновка, ул. Кирова, д. 69, кадастровый номер земельного участка: 61:34:0050101:757, заявитель Халидова Х.Ш. (1 шт.)»</t>
  </si>
  <si>
    <t>«Установка системы учета для технологического присоединения объекта «жилой дом», расположенного по адресу: 347602 Российская Федерация, Ростовская обл., р-н. Сальский, п. Степной Курган, ул. Береговая, Д. 1б, помещение 5, кадастровый номер земельного участка: 61:34:0100101:400, заявитель Доля И.Е.» (1 шт.)</t>
  </si>
  <si>
    <t>«Установка системы учета для технологического присоединения объекта «Базовая станция сотовой связи», расположенного по адресу: 347523, РФ, Ростовская область, Орловский район, х. Веселый, в границах кадастрового квартала 61:29:0070401, заявитель ПАО «Ростелеком»  (1 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</si>
  <si>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пер. Социалистический, д. 8, к.н. з.у.: 61:29:0050101:2284, заявитель Бабкова Е.Д.  (1 шт.)»</t>
  </si>
  <si>
    <t>«Установка системы учета для технологического присоединения «нежилого здания», расположенного по адресу: 347570, РФ, Ростовская область, Песчанокопский район, вблизи с. Песчанокопского, земельные участки граничат с землями СПК "Заря", КФХ "Альфа", КФХ "Инесса", КФХ "Контакт", дороги, КФХ "Береза", к.н.з.у.:61:30:0600004:6130, заявитель ООО "Агрос» (1 шт.)</t>
  </si>
  <si>
    <t>«Установка системы учета для технологического присоединения «жилого дома», расположенного по адресу: 347565, РФ, Ростовская область, Песчанокопский район, с. Красная Поляна, ул. Колхозная, 68 к.н.з.у.:61:30:0050101:563, заявитель Ковтунов В.П.» (1 шт.)</t>
  </si>
  <si>
    <t>«Установка системы учета для технологического присоединения объекта «Автомойка», расположенного по адресу: 347500, РФ, Ростовская область, Орловский район, п. Красноармейский, ул. Деповская,28-а, к.н. з.у.: 61:29: 0060123:115, заявитель ИП Драгелев И.А. глава К(Ф)Х  (1 шт.)»</t>
  </si>
  <si>
    <t>«Установка системы учета для технологического присоединения объекта «дом животновода», расположенного по адресу: 347501, РФ, Ростовская область, Орловский район, Майорское сельское поселение, примерно 1,8 км от х. Успенский по направлению на юго-запад к.н. з.у.: 61:29:0600001:608, заявитель Зайтаев А.В.  (1 шт.)»</t>
  </si>
  <si>
    <t>«Установка системы учета для технологического присоединения «жилой дом», расположенного по адресу: РФ, Ростовская область, Целинский район, п. Новая Целина, ул. Свердлова, д. 27а, к.н.з.у.:61:40:0010150:711, заявитель Хомутова Е.П.»  (1 шт.)</t>
  </si>
  <si>
    <t>«Установка системы учета для технологического присоединения «жилой дом», расположенного по адресу: РФ, Ростовская область, Целинский район, с. Лопанка, ул. Советская, д. 61, к.н.з.у.:61:40:0040101:1219, заявитель Колосов В.И.» (1 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</si>
  <si>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пер. Социалистический, д. 7, к.н. з.у.: 61:29:0050101:105, заявитель Чуб Е.Д.  (1 шт.)»</t>
  </si>
  <si>
    <t>«Установка системы учета для технологического присоединения объекта «квартира», расположенного по адресу: 347521, РФ, Ростовская область, Орловский район, х. Луганский, ул. Московская, д. 39/10, кв. 2, к.н. з.у.: 61:29:0010501:2606, заявитель Тумко Е.В. (1 шт.)»</t>
  </si>
  <si>
    <t>«Установка системы учета для технологического присоединения объекта «жилой дом», расположенного по адресу: 347526, РФ, Ростовская область, Орловский район, х. Курганный, ул. Молочинского, д. 18, к.н. з.у.: 61:29:000050301:0205, заявитель Молчанов Д.Н.  (1 шт.)»</t>
  </si>
  <si>
    <t>«Установка системы учета для технологического присоединения объекта «квартира», расположенного по адресу: 347526, РФ, Ростовская область, Орловский район, х. Курганный, пер. Театральный, д. 9, кв. 2 к.н. з.у.: 61:29:000050301:141, заявитель Масюк З.В.  (1 шт.)»</t>
  </si>
  <si>
    <t>«Установка системы учета для технологического присоединения объекта «квартира», расположенного по адресу: 347525, РФ, Ростовская область, Орловский район, х. Камышевка, ул. А. Муравина, д. 28, кв. 2, к.н. з.у.: 61:29:0050101:390, заявитель Калантырь Н.И. (1 шт.)»</t>
  </si>
  <si>
    <t>«Установка системы учета для технологического присоединения объекта «жилой дом», расположенного по адресу: 347527, РФ, Ростовская область, Орловский район, п. Волочаевский, ул. Степная, д. 24, к.н. з.у.: 61:29:0020101:761, заявитель Дудаев Ш.Ш.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</si>
  <si>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х. Широкий, ул. Весенняя, д. 25, к.н. з.у.: 61:29:0061101:62, заявитель Челик В.Н.  (1 шт.)»</t>
  </si>
  <si>
    <t>«Установка системы учета для технологического присоединения объекта «квартира», расположенного по адресу: 347526, РФ, Ростовская область, Орловский район, х. Курганный, ул. Молочинского, д. 14, кв. 1, к.н. з.у.:61:29: 0050301:116, заявитель Рогов Г.В.  (1 шт.)»</t>
  </si>
  <si>
    <t>«Установка системы учета для технологического присоединения объекта «Нежилое строение», расположенного по адресу: 347512, РФ, Ростовская область, Орловский район, п. Орловский, ул. Транспортная,10, к.н. з.у.:   61:29: 0600007:4, заявитель ИП Галушко А.В.  (1 шт.)»</t>
  </si>
  <si>
    <t>«Установка системы учета для технологического присоединения объекта «Зерносклад», расположенного по адресу: 347506, РФ, Ростовская область, Орловский район, примерно в 2,93 км по направлению на северо-восток от ориентира х. Ребричанский, к.н. з.у.:61:29: 0600005:1733, заявитель ИП Барышников В.В. глава К(Ф)Х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</si>
  <si>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Ганчуков, ул. Школьная, д. 12, кв. 2, к.н. з.у.: 61:31:0070101:216, заявитель Зима С.П.»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</si>
  <si>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п. Опенки, ул. Мира, д.81, к.н. з.у.: 61:31:0080101:286, заявитель Пыженко Ю.В.»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</si>
  <si>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Уютный, ул. Фрунзе, д. 75, кв.1, к.н. 61:31:0100101:0:57, заявитель Никулкин Ю.М.» (1 шт.)</t>
  </si>
  <si>
    <t>Установка системы учета для технологического присоединения объекта «жилой дом», расположенного по адресу: 347541 Российская Федерация, Ростовская обл., р-н. Пролетарский, г. Пролетарск, ул. Никифорова, д. 21, к. н. з. у.: 61:31:0000000:10267, заявитель Кузнецов Н.Е.» (1 шт.)</t>
  </si>
  <si>
    <t>"Установка системы учета для технологического присоединения для электроснабжения объекта – «базовая станция сотовой связи», расположенного по адресу: РФ, Ростовская область, Пролетарский район, х. Хирный, к.н.: 61:31:0030401, заявитель ПАО «Ростелеком» (1 шт.)"</t>
  </si>
  <si>
    <t>"Установка системы учета для технологического присоединения объекта «базовая станция сотовой связи», расположенного по адресу: Российская Федерация, Ростовская обл., р-н. Пролетарский, х. Татнинов, к.н. з.у.: 61:31:0070301, заявитель ПАО «Ростелеком» (1 шт.)"</t>
  </si>
  <si>
    <t>«Установка системы учета для технологического присоединения объекта «базовая станция сотовой связи», расположенного по адресу: Российская Федерация, Ростовская обл., р-н. Пролетарский, х. Привольный, к.н. з.у.: 61:31:0050201, заявитель ПАО «Ростелеком» (1 шт.)</t>
  </si>
  <si>
    <t>«Установка системы учета для технологического присоединения объекта «базовая станция сотовой связи», расположенного по адресу: Российская Федерация, Ростовская обл., р-н. Пролетарский, х. Наумовский, к.н. з.у.: 61:31:0020201, заявитель ПАО «Ростелеком» (1 шт.)</t>
  </si>
  <si>
    <t>«Установка системы учета для технологического присоединения объекта «базовая станция сотовой связи», расположенного по адресу: Российская Федерация, Ростовская обл., р-н. Пролетарский, х. Красный Скотовод, к.н. з.у.: 61:31:0060301, заявитель ПАО «Ростелеком»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</si>
  <si>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Садоводческое товарищество «Заречное», 380, к.н. з.у.: 61:31:0500401:67, заявитель Северчуков А.А.»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</si>
  <si>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садовое товарищество «Заречное», 323, к.н. з.у.: 61:31:0500401:78, заявитель Донцов А.Н.» (1 шт.)</t>
  </si>
  <si>
    <t>«Установка системы учета для технологического присоединения «жилого дома», расположенного по адресу: 347560, РФ, Ростовская область, Песчанокопский район, с. Развильное, ул. Колхозная, 75-а к.н.з.у.:61:30:0090101:9349, заявитель Мораш С.В.» (1 шт.)</t>
  </si>
  <si>
    <t>«Установка системы учета для технологического присоединения «магазина», расположенного по адресу: 347568, РФ, Ростовская область, Песчанокопский район, с. Летник, ул. Тихвинская, 31-а к.н.з.у.:61:30:0060101:4892, заявитель ИП Каширина И.Н.» (1 шт.)</t>
  </si>
  <si>
    <t>«Установка системы учета для технологического присоединения «жилого дома», расположенного по адресу: 347565, РФ, Ростовская область, Песчанокопский район, с. Красная Поляна, ул. Талаева, 24  к.н.з.у.: 61:30:0050101:381, заявитель Серова Н.В.» (1 шт.)</t>
  </si>
  <si>
    <t>"Установка системы учета для технологического присоединения «жилого дома», расположенного по адресу: 347569, РФ, Ростовская область, Песчанокопский район, с. Рассыпное, пер. Веселый, д. 8 к.н. з. у.: 61:30:0100101:435, заявитель Горбуненко Р.Г.» (1 шт.)"</t>
  </si>
  <si>
    <t>«Установка системы учета для технологического присоединения «жилого дома», расположенного по адресу: 347567, РФ, Ростовская область, Песчанокопский район, с.  Жуковское, ул. Ленина, 71  к.н.з.у.: 61:30:0030101:572, заявитель Головатая А.А.» (1 шт.)</t>
  </si>
  <si>
    <t>"Установка системы учета для технологического присоединения объекта «жилой дом», расположенного по адресу: 347566, РФ, Ростовская область, Песчанокопский район, п. Раздельный, ул. Цветная, д. 7, к.н. з.у.: 61:30:0000000:3264, заявитель Абакумов К.В." (1 шт.)</t>
  </si>
  <si>
    <t>«Установка системы учета для технологического присоединения «жилого дома», расположенного по адресу: Российская Федерация, Ростовская обл., г. Сальск, СНТ «Железнодорожник», 11 бригада, участок 39, кадастровый номер земельного участка: 61:57:0010977:266, заявитель  Мурина Е.И.» (1 шт.)</t>
  </si>
  <si>
    <t>«Установка системы учета для технологического присоединения «жилого дома», расположенного по адресу: Российская Федерация, Ростовская обл., г. Сальск, СНТ «Железнодорожник», Бригада 12, дом 14 кадастровый номер земельного участка: 61:57:0010977:827, заявитель Луговой А.А.» (1 шт.)</t>
  </si>
  <si>
    <t>«Установка системы учета для технологического присоединения «жилого дома», расположенного по адресу: 347605 Российская Федерация, Ростовская обл., р-н. Сальский, с. Шаблиевка, ул. Димитрова, д. 2, корп. в, кадастровый номер земельного участка: 61:34:0050201:1, заявитель  Ковжогина Т.В.» (1 шт.)</t>
  </si>
  <si>
    <t>«Установка системы учета для технологического присоединения «жилого дома», расположенного по адресу: 347611 Российская Федерация, Ростовская обл., р-н. Сальский, х. Маяк, ул. Молодежная, д. 19, кадастровый номер земельного участка: 61:34:0160101:84, заявитель Коваленко В.В.» (1 шт.)</t>
  </si>
  <si>
    <t>«Установка системы учета для технологического присоединения «жилого дома», расположенного по адресу: Российская Федерация, Ростовская обл.,   г. Сальск, СНТ «Бровки», ул. Шоссейная, 38, кадастровый номер земельного участка: 61:34:0500801:128, заявитель  Карпенко О.А.» (1 шт.)</t>
  </si>
  <si>
    <t>«Установка системы учета для технологического присоединения «жилого дома», расположенного по адресу: Российская Федерация, Ростовская обл., г. Сальск, СНТ «Приток», ул. 27 Садовая, д. 18, кадастровый номер земельного участка: 61:34:0500401:651, заявитель Грибан Е.А.» (1 шт.)</t>
  </si>
  <si>
    <t>«Установка системы учета для технологического присоединения объекта «жилой дом», расположенного по адресу: 347609 Российская Федерация, Ростовская обл., р-н. Сальский, п. Белозерный, жт. Приманычская, д. 1, кадастровый номер земельного участка: 61:34:0600002:3688, заявитель Аскеров Т. Я.» (1 шт.)</t>
  </si>
  <si>
    <t xml:space="preserve">«Установка системы учета для технологического присоединения «базовая станция сотовой связи», расположенного по адресу: Российская Федерация, Ростовская обл., р-н. Сальский, п. Роща, GPS координаты 46.6219122, 41.3791228, заявитель ПАО «Ростелеком» (1 шт.) </t>
  </si>
  <si>
    <t xml:space="preserve">«Установка системы учета для технологического присоединения «базовая станция сотовой связи», расположенного по адресу: Российская Федерация, Ростовская обл., р-н. Сальский, п. Прогресс, GPS координаты 46.4318286, 41.6953418, заявитель ПАО «Ростелеком» (1 шт.)   </t>
  </si>
  <si>
    <t>«Установка системы учета для технологического присоединения «базовая станция сотовой связи», расположенного по адресу: Российская Федерация, Ростовская обл., р-н. Сальский, п. Поливной, GPS координаты 46.6093557, 41.5748258, заявитель ПАО «Ростелеком» (1 шт.)</t>
  </si>
  <si>
    <t>«Установка системы учета для технологического присоединения «базовая станция сотовой связи», расположенного по адресу: Российская Федерация, Ростовская обл., р-н. Сальский, п. Логвиновский, GPS координаты 46.5476416, 41.3946454, заявитель ПАО «Ростелеком» (1 шт.)</t>
  </si>
  <si>
    <t>«Установка системы учета для технологического присоединения «базовая станция сотовой связи», расположенного по адресу: Российская Федерация, Ростовская обл., р-н. Сальский, п. Загорье, GPS координаты 46.57154, 41.257771, заявитель ПАО «Ростелеком» (1 шт.)</t>
  </si>
  <si>
    <t xml:space="preserve">«Установка системы учета для технологического присоединения «Базовая станция сотовой связи», расположенного по адресу: 347612 Российская Федерация, Ростовская обл., р-н. Сальский, с. Сандата, ул. Красная, д. 2, корп. а, кадастровый номер земельного участка: 61:34:0170101:8102, заявитель ООО «Т2 Мобайл» (1 шт.)    </t>
  </si>
  <si>
    <t>«Установка системы учета для технологического присоединения «объекта торговли», расположенного по адресу: 347616 Российская Федерация, Ростовская обл., р-н Сальский, с. Новый Егорлык, ул. Советская, д. 4, корп. п, кадастровый номер земельного участка: 61:34:0110101:6649, заявитель Доценко М.Н.» (1 шт.)</t>
  </si>
  <si>
    <t>«Установка системы учета для технологического присоединения «жилого дома», расположенного по адресу: Российская Федерация, Ростовская обл., р-н. Сальский, СНТ Победа, Линия 4, д. 4, кадастровый номер земельного участка: 61:34:0500301:680, заявитель Клименко А.В.» (1 шт.)</t>
  </si>
  <si>
    <t>«Установка системы учета для технологического присоединения «строительная площадка», расположенного по адресу: Российская Федерация, Ростовская обл., Сальский р-н, в кадастровом квартале 61:34:0600002 с условным центром в п. Белозерный, поле 6о, кадастровый номер земельного участка: 61:34:0600002:3479, заявитель Казаков Р.А.»  (1 шт.)</t>
  </si>
  <si>
    <t>«Установка системы учета для технологического присоединения «квартира», расположенного по адресу: РФ, Ростовская область, Целинский район, с. Михайловка, ул. Комсомольская, д. 30, кв. 2, к.н.з.у.:61:40:0050101:587, заявитель Кучков С.И.»  (1 шт.)</t>
  </si>
  <si>
    <t>«Установка системы учета для технологического присоединения объекта «объект медицинского учреждения (врачебная амбулатория)», расположенного по адресу: 347525, РФ, Ростовская область, Орловский район, х. Камышевка, ул. Мира, д. 86 б, к.н.з.у.: 61:29:0050101:3337, заявитель МБУЗ «Центральная районная больница», Орловского района, Ростовской области.» (1 шт.)</t>
  </si>
  <si>
    <t>«Установка системы учета для технологического присоединения «здание СТФ корпус №2", расположенного по адресу: 347760, РФ, Ростовская область, Целинский район, п. Лиманный, Северная окраина, к.н. з.у.:61:40:0600011:637, заявитель Репьев Иван Михайлович» (1 шт.)</t>
  </si>
  <si>
    <t>«Установка системы учета для технологического присоединения «складское здание», расположенного по адресу: РФ, Ростовская область, Целинский район, х. Северный, ул. Молодежная, д. 90, к.н.з.у.:61:40:0031101:2443, заявитель Горишний А.А.»  (1 шт.)</t>
  </si>
  <si>
    <t>«Установка системы учета для технологического присоединения «базовая станция сотовой связи», расположенного по адресу: РФ, Ростовская область, Целинский район, п. Холодные Родники, в границах кадастрового квартала 61:40:0010701, заявитель ПАО «Ростелеком» (1 шт.)</t>
  </si>
  <si>
    <t>«Установка системы учета для технологического присоединения «базовая станция сотовой связи», расположенного по адресу: РФ, Ростовская область, Целинский район, х. Свободный, ул. Зеленая, в границах кадастрового квартала 61:40:0600013, заявитель ПАО «Ростелеком» (1 шт.)</t>
  </si>
  <si>
    <t>«Установка системы учета для технологического присоединения «базовая станция сотовой связи», расположенного по адресу: РФ, Ростовская область, Целинский район, х. Самарский, ул. Садовая, в границах кадастрового квартала 61:40:0030901, заявитель ПАО «Ростелеком» (1 шт.)</t>
  </si>
  <si>
    <t>«Установка системы учета для технологического присоединения «базовая станция сотовой связи», расположенного по адресу: РФ, Ростовская область, Целинский район, х. Ивановка, в границах кадастрового квартала 61:40:0100301, заявитель ПАО «Ростелеком» (1 шт.)</t>
  </si>
  <si>
    <t>«Установка системы учета для технологического присоединения «благоустройство парка по ул. Рубликова п. Вороново Целинского района Ростовской области», расположенной по адресу: 347763, РФ, Ростовская область, Целинский район, п. Вороново, ул. Рубликова, к.н. з. у.: 61:40:0000000:6306, заявитель Администрация Кировского сельского поселения» (1 шт.)</t>
  </si>
  <si>
    <t>"Установка системы учета для технологического присоединения «жилого дома», расположенного по адресу: 347603 Российская Федерация, Ростовская обл., р-н. Сальский, п. 25 лет Военконезавода, ул. Урожайная, д. 3, кадастровый номер земельного участка: 61:34:0040601:44, заявитель Чалый Н.Н."</t>
  </si>
  <si>
    <t>Установка системы учета для технологического присоединения объекта «нежилое здание», расположенного по адресу: 347512, РФ, Ростовская область, Орловский район, п. Орловский, ул. Комсомольская, д. 183-р, к.н. з.у.: 61:29:0600007:2392, заявитель Рыбальченко И.А. (1 шт.)</t>
  </si>
  <si>
    <t>Установка системы учета для технологического присоединения объекта «квартира», расположенного по адресу: 347525, РФ, Ростовская область, Орловский район, х. Камышевка, пер. Садовый, д. 2, кв. 2, к.н. з.у.: 61:29:0050101:266, заявитель Силкин В.П.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</si>
  <si>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х. Токмацкий, пер. Короткий, д. 1, к.н. з.у.: 61:29:0061001:556, заявитель Сербиненко А.И. (1 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</si>
  <si>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ул. Мира, 34, к.н. з.у.: 61:29:0050101:239, заявитель Свириденко А.Н. (1 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</si>
  <si>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ул. А. Муравина, д. 30, к.н. з.у.: 61:29:0050101:389, заявитель Лупиногина Е.С.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</si>
  <si>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х. Широкий, ул. Весенняя, д. 16, к.н. з.у.: 61:29:0061101:55, заявитель Кузнеченкова О.М. (1 шт.)</t>
  </si>
  <si>
    <t>Установка системы учета для технологического присоединения объекта «Жилой дом», расположенного по адресу: 347526, РФ, Ростовская область, Орловский район, х. Курганный, пер. Театральный,10, к.н. з.у.: 61:29:0050301:170, заявитель Апарин В.И. (1 шт.)</t>
  </si>
  <si>
    <t>«Установка системы учета для технологического присоединения «водонапорная башня №2 с артезианской скважиной на воду №70012», расположенного по адресу: 347763, РФ, Ростовская область, Целинский район, п. Вороново, ул. 7-я линия, д. 6, к.н.з.у.:61:40:0030101:2935, заявитель муниципальное унитарное предприятие "Водо-Коммунальное хозяйство" Ростовской области Целинского района» (1 шт.)</t>
  </si>
  <si>
    <t>«Установка системы учета для технологического присоединения «квартиры», расположенного по адресу: 347760, РФ, Ростовская область, Целинский район, п. Новая Целина, ул. Ленина, д. 24, кв. 3, к.н.з.у.:61:40:0010149:49, заявитель Пляс Сергей Александрович» (1 шт.)</t>
  </si>
  <si>
    <t xml:space="preserve">«Установка системы учета для технологического присоединения «магазина с навесом», расположенного по адресу: 347612, Российская Федерация, Ростовская обл., р-н. Сальский, с. Сандата, ул. Калинина, д. 40, корп. «б», кадастровый номер земельного участка: 61:34:0170101:8113, заявитель Светличная С.И. (1 шт.)» </t>
  </si>
  <si>
    <t>«Установка системы учета для технологического присоединения «жилой дом», расположенного по адресу: 347602 Российская Федерация, Ростовская обл., р-н. Сальский, п. Степной Курган, ул. Пролетарская, д.69, корп. А, кадастровый номер земельного участка: 61:34:0100101:2452, заявитель Бойченко А.В. (1 шт.)»</t>
  </si>
  <si>
    <t>«Установка системы учета для технологического присоединения «жилой дом», расположенного по адресу: 347602 Российская Федерация, Ростовская обл., р-н. Сальский, п. Степной Курган, ул. Пролетарская, д.69, кадастровый номер земельного участка: 61:34:0100101:2451, заявитель Бойченко А.В. (1 шт.)»</t>
  </si>
  <si>
    <t>«Установка системы учета для технологического присоединения «объекта торговли», расположенного по адресу: 347609 Российская Федерация, Ростовская обл., Сальский р-н., п. Белозёрный, ул. Пионерская, д. 10, кадастровый номер земельного участка: 61:34:0080101:23, заявитель Тиунова Н.А. (1 шт.)»</t>
  </si>
  <si>
    <t xml:space="preserve">«Установка системы учета для технологического присоединения объекта «жилой дом», расположенного по адресу: 347523, РФ, Ростовская область, Орловский район, х. Верхнезундов, ул. Майская,6, к.н. з.у.: 61:29:0070301:32, заявитель Семенов И.А.  (1 шт.)»  </t>
  </si>
  <si>
    <t>«Установка системы учета для технологического присоединения объекта «жилой дом», расположенного по адресу: 347521, РФ, Ростовская область, Орловский район, х. Луганский, пер. Дальний,24, к.н. з.у.: 61:29:0010501:556, заявитель Захаров А.В.» (1 шт.)</t>
  </si>
  <si>
    <t>«Установка системы учета для технологического присоединения объекта «жилой дом», расположенного по адресу: 347523, РФ, Ростовская область, Орловский район, х. Веселый, ул. Степная, д. 43а, к.н. з.у.: 61:29:0070401:916, заявитель Степанов В.В. (1 шт.)»</t>
  </si>
  <si>
    <t>«Установка системы учета для технологического присоединения объекта «жилой дом», расположенного по адресу: 347524, РФ, Ростовская область, Орловский район, х. Черкесский, пер. Центральный, д. 22, к.н. з.у.: 61:29:0080401:1328, заявитель Бережной А.А.  (1 шт.)»</t>
  </si>
  <si>
    <t>«Установка системы учета для технологического присоединения «жилого дома», расположенного по адресу: 347566, РФ, Ростовская область, Песчанокопский район, п. Дальнее Поле, ул. Советская, 9 к.н.з.у.:61:30:0040101:203, заявитель Васютин Г.П.» (1 шт.)</t>
  </si>
  <si>
    <t>«Установка системы учета для технологического присоединения «жилого дома», расположенного по адресу: 347562, РФ, Ростовская область, Песчанокопский район, с. Богородицкое, пер. Советский, 84 к.н.з.у.:61:30:0020101:335, заявитель Ветров В.И.» (1 шт.)</t>
  </si>
  <si>
    <t>«Установка системы учета для технологического присоединения «жилого дома», расположенного по адресу: 347602, Российская Федерация, Ростовская обл., р-н. Сальский, п. Степной Курган, ул. Энгельса, 13, кадастровый номер земельного участка: 61:34:0100101:336, заявитель Васканова Т.М. (1 шт.)»</t>
  </si>
  <si>
    <t>«Установка системы учета для технологического присоединения «жилого дома», расположенного по адресу: 347612 Российская Федерация, Ростовская обл.,   р-н. Сальский, с. Сандата, ул. Калинина, д. 91, кадастровый номер земельного участка: 61:34:0170101:1623, заявитель Потапенко В.А. (1 шт.)»</t>
  </si>
  <si>
    <t>«Установка системы учета для технологического присоединения «жилого дома», расположенного по адресу: Российская Федерация, Ростовская обл.,   г. Сальск, СНТ «Железнодорожник», Бригада 2, дом 1, кадастровый номер земельного участка: 61:57:0010977:1160, заявитель Кравченко Т.Б. (1 шт.)»</t>
  </si>
  <si>
    <t>«Установка системы учета для технологического присоединения объекта «жилой дом», расположенного по адресу: 347527, РФ, Ростовская область, Орловский район, п. Правобережный, ул. Молодежная,19, к.н.з.у.: 61:29:0020301:4, заявитель   Хасанов А.С.  (1 шт.)»</t>
  </si>
  <si>
    <t>«Установка системы учета для технологического присоединения объекта «квартира», расположенного по адресу: 347527, РФ, Ростовская область, Орловский район, п. Волочаевский, ул. Молодежная,12, кв.2, к.н. з.у.: 61:29:0020101:214, заявитель Дейко В.М. (1шт.)»</t>
  </si>
  <si>
    <t>«Установка системы учета для технологического присоединения объекта «квартира», расположенного по адресу: 347526, РФ, Ростовская область, Орловский район, х. Курганный, пер. Театральный,7, кв.2 к.н.з.у.: 61:29:0050301:1389, заявитель   Донченко В.В.   (1шт.)»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</si>
  <si>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ул. Муравина,23, кв.2 к.н.з.у.: 61:29:0050101:373, заявитель Муравина Л.Г. (1 шт.)»</t>
  </si>
  <si>
    <t>«Установка системы учета для технологического присоединения объекта – «жилой дом», расположенного по адресу: 347525, РФ, Ростовская область, Орловский район, х. Камышевка, ул. Школьная,12/1, к.н.з.у.: 61:29:0050101:3331, заявитель Грициенко С.Ю.  (1 шт.)»</t>
  </si>
  <si>
    <t xml:space="preserve">«Установка системы учета для технологического присоединения объекта «Мастерская РМЦ», расположенного по адресу: 347512, РФ, Ростовская область, Орловский район, п. Орловский, ул. Южная.1, к.н.з.у.: 61:29:0101160:6, заявитель ИП Мединцов А.А.» (1 шт. ) </t>
  </si>
  <si>
    <t>«Установка системы учета для технологического присоединения объекта «Гундоровский сельский дом культуры», расположенного по адресу: 347506, РФ, Ростовская область, Орловский район, х. Гундоровский, ул. Центральная, д. 15, к.н. з.у.: 61:29:0030101:52, заявитель Муниципальное казенное учреждение культуры Донского сельского поселения Орловского района «Гундоровский сельский дом культуры» (1 шт.)»</t>
  </si>
  <si>
    <t>«Установка системы учета для технологического присоединения объекта «нежилое здание», расположенного по адресу: 347521, РФ, Ростовская область, Орловский район, х. Луганский, пер. Центральный, 5, к.н. з.у.:61:29:0010501:2279, заявитель ИП Ефремов В.А. (1шт.)»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</si>
  <si>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ул. Восточная, 74 к.н. з.у.: 61:29:0060118:27, заявитель Астапенко С.В." (1шт.)</t>
  </si>
  <si>
    <t>«Установка системы учета для технологического присоединения объекта «склад», расположенного по адресу: 347501, РФ, Ростовская область, Орловский район, территория земель Майорского сельского поселения, примерно 200м на север от х. Майорский к.н. з.у.: 61:29:0600001:1775, заявитель ИП Казьменко А.Н. глава К(Ф)Х» (1шт.)</t>
  </si>
  <si>
    <t xml:space="preserve">"Установка системы учета для технологического присоединения «складское здание/помещение)», расположенного по адресу: 347760, РФ, Ростовская область, Целинский район, х. Северный, (Район МТМ), к.н.з.у.:61:40:0031101:818, заявитель ООО "Заречье" (1 шт.) </t>
  </si>
  <si>
    <t>"Установка системы учета для технологического присоединения «жилой дом», расположенного по адресу: 347763, РФ, Ростовская область, Целинский район, х. Самарский, ул. Садовая. Д. 68, к.н. з.у.: 61:40:0030901:2, заявитель Нуриева Гулноз Вохитовна" (1 шт.)</t>
  </si>
  <si>
    <t xml:space="preserve">"Установка системы учета для технологического присоединения «склад», расположенного по адресу: 347772, РФ, Ростовская область, Целинский район, х. Селим, ул. Луговая, 41 к.н. з. у.: 61:40:0050501:33, заявитель ИП Ковешников В.П." (1 шт.) </t>
  </si>
  <si>
    <t xml:space="preserve">"Установка системы учета для технологического присоединения «мастерская», расположенного по адресу: РФ, Ростовская область, Целинский район, с. Лопанка, ул. Октябрьская, д. 42, к.н.з.у.:61:40:0040101:1140, заявитель Дзреев Н.И." (1 шт.) </t>
  </si>
  <si>
    <t xml:space="preserve">"Установка системы учета для технологического присоединения «жилой дом», расположенного по адресу: РФ, Ростовская область, Целинский район, с. Средний Егорлык, ул. Советская, д. 63, к.н. з.у.: 61:40:0080101:69, заявитель Богрянцев Александр Юрьевич" (1 шт.) </t>
  </si>
  <si>
    <t xml:space="preserve">"Установка системы учета для технологического присоединения «Уличное освещение», расположенного по адресу: РФ, Ростовская область, Целинский район, п. Вороново, ул. С.М. Кирова, с к.н. 61:40:0030101:1978, заявитель Администрация Целинского района Ростовской области" (1 шт.) </t>
  </si>
  <si>
    <t>«Установка системы учета для технологического присоединения «жилого дома», расположенного по адресу: 347612 Российская Федерация, Ростовская обл., Сальский р-н., с. Сандата, ул. Калинина, д. 13, кадастровый номер земельного участка: 61:34:0170101:359, заявитель Супиянова А.А.» (1 шт.)</t>
  </si>
  <si>
    <t>"Установка системы учета для технологического присоединения «жилого дома», расположенного по адресу: 347567, РФ, Ростовская область, Песчанокопский район, с. Жуковское, ул. Социалистическая, д. 2-а к.н. з. у.: 61:30:0030101:4360, заявитель Музалев А.С." (1 шт)</t>
  </si>
  <si>
    <t>"Установка системы учета для технологического присоединения «здания», расположенного по адресу: 347569, РФ, Ростовская область, Песчанокопский район, с. Рассыпное, ул. Ленина, 1 к.н.з. у.: 61:30:0100101:2401, заявитель Капшуков В.И. (1 шт.)"</t>
  </si>
  <si>
    <t>"Установка системы учета для технологического присоединения объекта «Зерносклад», расположенного по адресу: 347505, РФ, Ростовская область, Орловский район, х. Греков, примерно в 300 м по направлению на восток от ориентира х. Греков, к.н. з.у.: 61:29:0600003:1435, заявитель ИП Чеботарев С.Д. глава К(Ф)Х  (1 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</si>
  <si>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ул. А. Муравина, д. 16, кв. 1, к.н. з.у.: 61:29:0050101:403, заявитель Калей Н.Я.  (1 шт.)"</t>
  </si>
  <si>
    <t>"Установка системы учета для технологического присоединения объекта «квартира», расположенного по адресу: 347525, РФ, Ростовская область, Орловский район, х. Камышевка, пер. Мирный, д. 2, кв. 1, к.н. з.у.: 61:29:0050101:3067, заявитель Борисова Е.В.  (1 шт.)"</t>
  </si>
  <si>
    <t>«Установка системы учета для технологического присоединения «жилой дом», расположенного по адресу: Российская Федерация, Ростовская обл., р-он Пролетарский, х. Уютный, ул. Первомайская, д. 30, к.н. з.у.: 61:31:0100201:59, заявитель Максименко М.В.» (1 шт.)</t>
  </si>
  <si>
    <t>"Установка системы учета для технологического присоединения «жилой дом», расположенного по адресу: Российская Федерация, Ростовская обл., р-он Пролетарский, 4,1 км северо-западнее п.п. 1163 (х. Сухая Ельмута), к.н. з.у.: 61:31:0600009:614, заявитель Магомедов Ш.Р" (1 шт.)</t>
  </si>
  <si>
    <t>«Установка системы учета для технологического присоединения электроснабжения объекта «гараж», расположенного по адресу: РФ, Ростовская область, Пролетарский район, г. Пролетарск, ул. Матвеева, д.11/70, к.н. 61:31:0110262:53, заявитель Лысенко В. И.» (1 шт.)</t>
  </si>
  <si>
    <t>«Установка системы учета для технологического присоединения объекта «жилой дом», расположенного по адресу: 347527, РФ, Ростовская область, Орловский район, п. Правобережный, ул. Молодежная,19/2, к.н.з.у.: 61:29:0020301:4, заявитель   Элесханова С.К. (1 шт.)»</t>
  </si>
  <si>
    <t>«Установка системы учета для технологического присоединения объекта «жилой дом», расположенного по адресу: 347524, РФ, Ростовская область, Орловский район, х. Пролетарский, ул. Молодежная,23, к.н.з.у.: 61:29:0080101:232, заявитель   Гаммаева З.М.  (1 шт.)»</t>
  </si>
  <si>
    <t xml:space="preserve">«Установка системы учета для технологического присоединения объекта «жилой дом», расположенного по адресу: 347500, РФ, Ростовская область, Орловский район, х. Токмацкий, ул. Речная, д. 11, к.н. з.у.: 61:29:0061001:38, заявитель Сардак Л.П. (1 шт.)» </t>
  </si>
  <si>
    <t>«Установка системы учета для технологического присоединения «жилого дома», расположенного по адресу: 347560, РФ, Ростовская область, Песчанокопский район, с. Развильное, ул. Ростовская, 246 к.н.з.у.:61:30:0090101:218, заявитель Иванова Ю.В.» (1 шт.)</t>
  </si>
  <si>
    <t>«Установка системы учета для технологического присоединения «жилого дома», расположенного по адресу: 347567, РФ, Ростовская область, Песчанокопский район, с. Жуковское, ул. Ленина, 140, к.н.з.у.:61:30:0030101:617, заявитель Жуков А.В.» (1 шт.)</t>
  </si>
  <si>
    <t xml:space="preserve"> «Установка системы учета для технологического присоединения «жилой дом», расположенного по адресу: Российская Федерация, Ростовская обл.,    р-он Пролетарский, ст-ца Будённовская, ул. Гремучая, д. 1, кв./оф. 2 к.н. з.у.: 61:31:020101:0023, заявитель Губанова Л.А.» (1 шт.)</t>
  </si>
  <si>
    <t>«Установка системы учета для технологического присоединения объекта «нежилое здание», расположенного по адресу: Российская Федерация, Ростовская обл., р-он Пролетарский, в 840 м юго-запад от западной границы х. Уютный, к.н. з.у.: 61:31:0600011:866, заявитель ИП глава К(Ф)Х Форост Ю.И.» (1 шт.)</t>
  </si>
  <si>
    <t>«Установка системы учета для технологического присоединения объекта медицинского учреждения, расположенного по адресу: Российская Федерация, Ростовская обл., р-н. Пролетарский, х. Мокрая Ельмута, ул. Городовикова, д. 1/6, к.н. з.у.: 61:31:0050101:1064, заявитель МБУЗ «ЦРБ» Пролетарского района» (1 шт.)</t>
  </si>
  <si>
    <t xml:space="preserve">«Установка системы учета для технологического присоединения «жилого дома», расположенного по адресу: Российская Федерация, Ростовская обл., г. Сальск, СНТ «Железнодорожник», 11 бригада, участок 48, кадастровый номер земельного участка: 61:57:0010977:1116, заявитель Лучинина А.С. (1 шт.)» </t>
  </si>
  <si>
    <t xml:space="preserve">«Установка системы учета для технологического присоединения «дома», расположенного по адресу: Российская Федерация, Ростовская обл., р-н. Сальский, х. Бровки, СНТ №2 «Бровки», ул. 6-я линия, 18, кадастровый номер земельного участка: 61:34:0500801:625, заявитель Сенчакова Л.И. (1 шт.)» </t>
  </si>
  <si>
    <t>«Установка системы учета для технологического присоединения «жилого дома», расположенного по адресу: 347626 Российская Федерация, Ростовская обл., р-н. Сальский, с. Романовка, ул. Комсомольская, д. 18, кадастровый номер земельного участка: 61:34:0140101:1696, заявитель Харченко В.Н.» (1 шт.)</t>
  </si>
  <si>
    <t xml:space="preserve">«Установка системы учета для технологического присоединения «жилого дома», расположенного по адресу: 347628 Российская Федерация, Ростовская обл., р-н Сальский, п. Клёны, ул. Солнечная, д.52, кадастровый номер земельного участка: 61:34:0010401:261, заявитель Деловаров Н.Т. (1 шт.)» </t>
  </si>
  <si>
    <t>«Установка системы учета для технологического присоединения «магазин», расположенного по адресу: 347762, РФ, Ростовская область, Целинский район, с. Средний Егорлык, ул. Советская, д. 49 а, к.н. з.у.: 61:40:0080101:5437, заявитель Карташова Лариса Викторовна» (1 шт.)</t>
  </si>
  <si>
    <t xml:space="preserve">"Установка системы учета для технологического присоединения «жилой дом», расположенного по адресу: 347762, РФ, Ростовская область, Целинский район, с. Средний Егорлык, ул. Первомайская, д. 173, к.н.з.у.:61:40:0080101:1269, заявитель Емельянцев Б.Г." (1 шт.) </t>
  </si>
  <si>
    <t xml:space="preserve">"Установка системы учета для технологического присоединения «квартира», расположенного по адресу: 347763, РФ, Ростовская область, Целинский район, х. Первомайский, ул. Механизаторов, д. 11, кв. 1, к.н. з.у.: 61:40:0030701:77, заявитель Рудый Игорь Алексеевич" (1 шт.) </t>
  </si>
  <si>
    <t>«Установка системы учета для технологического присоединения «магазин», расположенного по адресу: 347775, РФ, Ростовская область, Целинский район, с. Ольшанка, ул. Торговая, д.7/1, к.н.з.у.:61:40:060101:35, заявитель ИП Конышева В.В.» (1 шт.)</t>
  </si>
  <si>
    <t>«Установка системы учета для технологического присоединения «гаражи», расположенного по адресу: 347760, РФ, Ростовская область, Целинский район, п. Целина, ул. Строителей, д. 3, к.н.з.у.:61:40:0010102:61, заявитель ИП Ивченко А.А.» (1 шт.)</t>
  </si>
  <si>
    <t>«Установка системы учета для технологического присоединения объекта «скважина», расположенного по адресу: 347527, РФ, Ростовская область, Орловский район, примерно в 1,6 км по направлению на юго-запад от ориентира п. Правобережный, к.н. з.у.: 61:29:600012:0040, 61:29:600012:0041, заявитель ООО «Солнечное (1шт.)»</t>
  </si>
  <si>
    <t>«Установка системы учета для технологического присоединения объекта «Общежитие», расположенного по адресу: 347527, РФ, Ростовская область, Орловский район, п. Рунный, примерно в 6 км по направлению на север от п. Рунный, к.н. з.у.: 61:29:600012:0050, заявитель ООО «Солнечное» (1-шт.)»</t>
  </si>
  <si>
    <t>«Установка системы учета для технологического присоединения «Административное здание», расположенного по адресу: 347525, РФ, Ростовская область, Орловский район, х. Камышевка, ул. Школьная, д. 57, к.н. з.у.: 61:29:0050101:3307, заявитель Двойнянский торгово-производственный потребительский кооператив (1 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</si>
  <si>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пер. Кооперативный, д. 6, к.н. з.у.: 61:29:0050101:165, заявитель Куделина А.Н. (1 шт.)»</t>
  </si>
  <si>
    <t xml:space="preserve">«Установка системы учета для технологического присоединения объекта «жилой дом», расположенного по адресу: 347524, РФ, Ростовская область, Орловский район, х. Черкесский, ул. Транспортная, д. 63, к.н. з.у.: 61:29:0080401:77, заявитель Фирсова Л.Г. (1шт.)» </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</si>
  <si>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ул. Кирова, д. 14, к.н. з.у.: 61:29:060113:0001, заявитель Бондарь С.Н. (1шт.)»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</si>
  <si>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ул. Ленина, д. 81, к.н. з.у.: 61:29:0060130:7, заявитель Бойко А.Н. (1 шт.)»</t>
  </si>
  <si>
    <t>«Установка системы учета для технологического присоединения объекта «жилой дом», расположенного по адресу: 347506, РФ, Ростовская область, Орловский район, х. Донской, ул. Цветочная, д. 9, к.н. з.у.: 61:29:0030201:41, заявитель Шишкин А.И. (1 шт.)»</t>
  </si>
  <si>
    <t>«Установка системы учета для технологического присоединения «Бойни (убойного пункта)», расположенного по адресу: 347505, РФ, Ростовская область, Орловский район, х. Каменная Балка, 9-тый км. автодороги п. Орловский-х. Майорский, 200м по направлению на юго-запад от х. Каменная Балка, к.н. з.у.: 61:29:06000031:1524, заявитель ИП Овсянников С.С. глава К(Ф)Х (1 шт.)»</t>
  </si>
  <si>
    <t>«Установка системы учета для технологического присоединения объекта «квартира», расположенного по адресу: 347506, РФ, Ростовская область, Орловский район, х. Гундоровский, ул. Вишневая, д. 1, кв. 2 к.н. з.у.: 61:29:0030101:2, заявитель Шинкаренко С.В. (1-шт.)»</t>
  </si>
  <si>
    <t>«Установка системы учета для технологического присоединения объекта «жилой дом», расположенного по адресу: 347505, РФ, Ростовская область, Орловский район, х. Журавлев, ул. Транспортная, д. 11 к.н. з.у.: 61:29:0040401:50, заявитель Матвеенко С.А. (1 шт.)»</t>
  </si>
  <si>
    <t xml:space="preserve">«Установка системы учета для технологического присоединения объекта «жилой дом», расположенного по адресу: 347512, РФ, Ростовская область, Орловский район, п. Орловский, примерно в 2,0 км по направлению на северо-восток от п. Орловский и 2,0 км 750 м на северо-восток от дороги  п. Орловский-Киевка-Ремонтное, к.н. з.у.: 61:29:0101078:287, заявитель Пикалов С.А.» (1 шт.)» </t>
  </si>
  <si>
    <t>"Установка системы учета для технологического присоединения «жилого дома», расположенного по адресу: 347569, РФ, Ростовская область, Песчанокопский район, с. Рассыпное, ул. Набережная, 6  к.н.з.у.: 61:30:0100101:532, заявитель Ковалев П.П.» (1 шт.)"</t>
  </si>
  <si>
    <t>«Установка системы учета для технологического присоединения «жилого дома», расположенного по адресу: 347569, РФ, Ростовская область, Песчанокопский район, с. Рассыпное, ул. Набережная, д. 23 к.н. з. у.: 61:30:0100101:500, заявитель Ковалёв П.П.» (1 шт)</t>
  </si>
  <si>
    <t>"Установка системы учета для технологического присоединения «жилого дома», расположенного по адресу: 347569, РФ, Ростовская область, Песчанокопский район, с. Рассыпное, ул. Котовского, д. 10 к.н. з. у.: 61:30:0100101:164, заявитель Крылова Л.В. (1 шт)"</t>
  </si>
  <si>
    <t>«Установка системы учета для технологического присоединения «жилой дом", расположенного по адресу: 347769, РФ, Ростовская область, Целинский район, с. Лопанка, ул. Мира, д.3, к.н. з.у.:61:40:0040101:1375, заявитель Панамарчук Владимир Александрович» (1 шт.)</t>
  </si>
  <si>
    <t>«Установка системы учета для технологического присоединения «жилой дом», расположенного по адресу: 347760, РФ, Ростовская область, Целинский район, х. Северный, ул. Новая, д. 1а/1, к.н.з.у.:61:40:0031101:2437, заявитель Аладинова С.М.» (1 шт.)</t>
  </si>
  <si>
    <t>«Установка системы учета для технологического присоединения «жилой дом», расположенного по адресу: РФ, Ростовская область, Целинский район, с. Михайловка, ул. Комсомольская, д. 39, к.н. з.у.: 61:40:0050101:478, заявитель Дворцов Павел Дмитриевич» (1 шт.)</t>
  </si>
  <si>
    <t>«Установка системы учета для технологического присоединения «жилой дом», расположенного по адресу: 347776, РФ, Ростовская область, Целинский район, х. Ивановка, ул. Интернациональная, д. 32, к.н.з.у.:61:40:0100301:11, заявитель Мухаммедова Д.Б.» (1 шт.)</t>
  </si>
  <si>
    <t>«Установка системы учета для технологического присоединения «жилой дом», расположенного по адресу: 347776, РФ, Ростовская область, Целинский район, х. Ивановка, ул. Интернациональная, д.23, к.н.з.у.:61:40:0100301:1, заявитель Мухаммедов К.Т.» (1 шт.)</t>
  </si>
  <si>
    <t xml:space="preserve">«Установка системы учета для технологического присоединения «крытый ток», расположенного по адресу: 347615 Российская Федерация, Ростовская обл., р-н. Сальский, с. Новый Егорлык, ул. Ленина, д. 10, корп. е, кадастровый номер земельного участка: 61:34:0110101:6629, заявитель ООО «Русь» (1 шт.)» </t>
  </si>
  <si>
    <t>«Установка системы учета для технологического присоединения «объекта заявителя», расположенного по адресу: Российская Федерация, Ростовская обл., р-н. Пролетарский, х. Русский, ул. Центральная, д.1, к.н. з.у.:61:31:0030301:148, заявитель ООО «Лерон» (1 шт.)</t>
  </si>
  <si>
    <t>«Установка системы учета для технологического присоединения «строительная площадка», расположенной по адресу: 347561, РФ, Ростовская область, Песчанокопский район, с. Развильное, от пер. Березовый, д.2  300 м на восток, к.н.з.у.:61:30:0090101:9584, заявитель ООО "Югагромаш» (1 шт.)</t>
  </si>
  <si>
    <t>«Установка системы учета для технологического присоединения объекта «дом рыбака», расположенного по адресу: Российская Федерация, Ростовская обл., р-н. Пролетарский, Суховское сельское поселение, 2,0 км южнее п.п. 1308 (Воронежский) к.н.з.у.: 61:31:0600003:537, заявитель Дендиберя А.В.» (1 шт.)</t>
  </si>
  <si>
    <t xml:space="preserve">«Установка системы учета для технологического присоединения объекта «квартира», расположенного по адресу: 347500, РФ, Ростовская область, Орловский район, х. Широкий, ул. Южная, д. 7, кв.1, к.н. з.у.: 61:29:0061101:203, заявитель Раковец А.Н. (1 шт.)»  </t>
  </si>
  <si>
    <t>«Установка системы учета для технологического присоединения объекта «квартира», расположенного по адресу: 347527, РФ, Ростовская область, Орловский район, х. Стрепетов, ул. Степная, д. 8, кв.2, к.н. з.у.: 61:29:0020501:14, заявитель Никаева Л.А.  (1 шт.)»</t>
  </si>
  <si>
    <t>«Установка системы учета для технологического присоединения объекта «квартира», расположенного по адресу: 347526, РФ, Ростовская область, Орловский район, х. Курганный, ул. Молочинского, д. 7, кв.1, к.н. з.у.: 61:29:0050301:223, заявитель Молчанов А.И.» (1 шт.)</t>
  </si>
  <si>
    <t>«Установка системы учета для технологического присоединения объекта «квартира», расположенного по адресу: 347526, РФ, Ростовская область, Орловский район, х. Курганный, пер. Школьный, д. 5, кв.1, к.н. з.у.: 61:29:0050301:222, заявитель Молчанов А.И.  (1 шт.)»</t>
  </si>
  <si>
    <t xml:space="preserve">«Установка системы учета для технологического присоединения объекта «жилой дом», расположенного по адресу: 347524, РФ, Ростовская область, Орловский район, х. Черкесский, ул. Транспортная, д. 55, к.н.з.у.: 61:29:0080401:7, заявитель Дарморезов С.В.  (1 шт.)» </t>
  </si>
  <si>
    <t>«Установка системы учета для технологического присоединения объекта «нежилое здание», расположенного по адресу: Российская Федерация, Ростовская обл., р-н. Пролетарский, примерно в 18 км. на юго-запад от г. Пролетарска, к.н. з. у.: 61:31:0600008:540, заявитель Литвинов Д.Д.» (1 шт.)</t>
  </si>
  <si>
    <t>«Установка системы учета для технологического присоединения «мастерская», расположенного по адресу: РФ, Ростовская область, Целинский район, п. Малая Роща, ул. Лазурная, д. 31А, к.н.з.у.:61:40:0600011:2550, заявитель Фередин В.О.»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</si>
  <si>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Садоводческое товарищество «Заречное», к.н. 61:31:0500401:86, заявитель Федоров В.Н.» (1 шт.)</t>
  </si>
  <si>
    <t>«Установка системы учета для технологического присоединения объекта «нежилое помещение», расположенного по адресу: Российская Федерация, Ростовская обл., р-н. Пролетарский, ст-ца. Буденновская, ул. Ленина, д. 51/2, кв. 1,2,3,4,5, к.н. 61:31:0020101:2499, заявитель АО «Почта России» (1 шт.)</t>
  </si>
  <si>
    <t>«Установка системы учета для технологического присоединения объекта «нежилое помещение», расположенного по адресу: Российская Федерация, Ростовская обл., р-н. Пролетарский, х. Дальний, ул. Ленина, д. 21, к.н. 61:31:0030101:1234, заявитель АО «Почта России» (1 шт.)</t>
  </si>
  <si>
    <t>«Установка системы учета для технологического присоединения объекта «нежилое помещение», расположенного по адресу: Российская Федерация, Ростовская обл., р-н. Пролетарский, х. Коврино, ул. Ленина, д. 40а, кв. 1,2,3,4, к.н. 61:31:0040101:1039, заявитель АО «Почта России» (1 шт.)</t>
  </si>
  <si>
    <t xml:space="preserve"> «Установка системы учета для технологического присоединения объекта «жилой дом», расположенного по адресу: 347614 Российская Федерация, Ростовская обл., р-н. Сальский, с. Березовка, ул. Залазаева, д. 5, кадастровый номер земельного участка: 61:34:600016:488, заявитель Партолина Н.Н.» (1 шт.)</t>
  </si>
  <si>
    <t xml:space="preserve">  «Установка системы учета для технологического присоединения «жилого дома», расположенного по адресу: 347566, РФ, Ростовская область, Песчанокопский район, п. Дальнее Поле, ул. Советская, 9 к.н.з.у.:61:30:0040101:203, заявитель Васютин Г.П.»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</si>
  <si>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Уютный, ул. Первых Коммунаров, д. 12, к.н. 61:31:0100101:92, заявитель Шкадина С.С.» (1 шт.)</t>
  </si>
  <si>
    <t>«Установка системы учета для технологического присоединения «продовольственного магазина», расположенного по адресу: 347568, РФ, Ростовская область, Песчанокопский район, с. Летник, ул. Мичурина, 55-а к.н.з.у.:61:30:0060101:4935, заявитель ИП Семёнов Н.В.»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</si>
  <si>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садоводческое товарищество «Заречное», ул. Северная, д. 717, к.н. 61:31:0500401:26, заявитель Крюков А.Я.» (1 шт.)</t>
  </si>
  <si>
    <t>«Установка системы учета для технологического присоединения «жилого дома», расположенного по адресу: 347568, РФ, Ростовская область, Песчанокопский район, с. Летник, ул. Московская, 102 к.н.з.у.:61:30:0060101:326, заявитель Крамской В.А.» (1 шт.)</t>
  </si>
  <si>
    <t>«Установка системы учета для технологического присоединения «офисного здания», расположенного по адресу: 347563, РФ, Ростовская область, Песчанокопский район, с. Поливянка, ул. Первомайская, 10-а к.н.з.у.:61:30:0080101:28, заявитель ИП Ковтунова Л.С.»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</si>
  <si>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Садоводческое товарищество «Заречное», к.н. з.у.: 61:31:00500401:40, заявитель Мотренко Р.А.» (1 шт.)</t>
  </si>
  <si>
    <t>«Установка системы учета для технологического присоединения «жилого дома», расположенного по адресу: 347567, РФ, Ростовская область, Песчанокопский район, с. Жуковское, ул. 1 Мая, 16 к.н.з.у.:61:30:0030101:949, заявитель Овчинников М.Н.» (1 шт.)</t>
  </si>
  <si>
    <t xml:space="preserve"> «Установка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Сухой, ул. Мокроусова, д. 22, к.н. 61:31:0090101:57, заявитель Кариев Г.Х.»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</si>
  <si>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Садоводческое товарищество «Заречное», к.н. 61:31:0500401:49, заявитель Найда О.П.»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</si>
  <si>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рядом с земельным участком с кадастровым № 61:31:0600011:887, расположенным по адресу: Ростовская область, Пролетарский район, 5,55 км юго-западнее х. Уютный, к.н. 61:31:0600011:903, заявитель Хайленко А.Н.» (1 шт.)</t>
  </si>
  <si>
    <t>«Установка системы учета для технологического присоединения объекта «жилой дом», расположенного по адресу: 347614 Российская Федерация, Ростовская обл., р-н. Сальский, с. Березовка, пер. Трудовой, д. 12, кадастровый номер земельного участка: 61:34:00301:882, заявитель Короткова Е.Ф.» (1 шт.)</t>
  </si>
  <si>
    <t xml:space="preserve"> «Установка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Николаевский 2-й, ул. Комсомольская, д. 34, кв. 2, к.н. 61:31:060101:0014, заявитель Крохмальный М.В» (1 шт.)</t>
  </si>
  <si>
    <t>Установка пункта коммерческого учета для присоединения КТП-10/0,4 кВ (объекта сельскохозяйственного производства) ЗАО «Нива», расположенного по адресу: Ростовская обл., р-н. Веселовский, х. Ленинский, ЗАО «Нива»</t>
  </si>
  <si>
    <t>Установка прибора учета для присоединения нежилого здания ИП Говорухина Н.Е., расположенного по адресу: Ростовская обл., р-н. Аксайский, южная окраина х. Черюмкин, кадастровый номер земельного участка: 61:02:0600020:29</t>
  </si>
  <si>
    <t xml:space="preserve">Установка пункта коммерческого учета для присоединения бокса ИП Гулуа Р. З., расположенного по адресу: Ростовская обл., р-н. Аксайский, х. Ленина, ул. Тенистая, участок с КН 61:02:0600016:4505 </t>
  </si>
  <si>
    <t xml:space="preserve">Установка коммерческого учета для присоединения производственной базы ООО "АВАНТАЖ", расположенной по адресу: Р.О. г. Батайск, туп. Ольгинский, 21 </t>
  </si>
  <si>
    <t>Установка пункта коммерческого учета для присоединения складского комплекса ООО «Айрон» в Ростовский области, г. Батайск тупик Ольгинский, д. 27-Б КН 61:46:0012601:527(1шт)</t>
  </si>
  <si>
    <t>Установка прибора учета для присоединения  нежилого здания Джумакова Ю. Б., расположенного по адресу: Ростовская обл., Аксайский р-н, ст-ца Грушевская, участок с КН 61:02:0000000:6771» (1шт)</t>
  </si>
  <si>
    <t>Установка прибора учета для присоединения ТП 10/0,4 кВ ООО “БОНУМ”, расположенной по адресу: Ростовская обл., р-н. Аксайский, кадастровый номер земельного участка: 61:02:0600016:3744» (1шт)</t>
  </si>
  <si>
    <t>Установка пункта коммерческого учета для присоединения производственного здания / помещения Плешивцевой А.А. расположенного по адресу Ростовская обл., р-н. Аксайский, п. АО «Октябрьское» К.Н. 61:02:0600004:3333 (1шт)</t>
  </si>
  <si>
    <t>Установка пункта коммерческого учета для присоединения нежилой застройки Смычок Л. Э., расположенной по адресу: Ростовская обл., р-н Аксайский, Щепкинское сельское поселение, п. Красный, ул. Дорожная, 1Б (1 шт.)</t>
  </si>
  <si>
    <t>Установка пункта коммерческого учета для электроснабжения комплекса зданий для хранения и переработки сельскохозяйственной продукции по адресу: РО., р-н Аксайский, Щепкинское сельское поселение, х. Нижнетемерницкий, ул. Гайдара, уч. 4. КН 61:02:0600005:11018 (1шт)</t>
  </si>
  <si>
    <t>Установка пункта коммерческого учета для присоединения АЗС №61291 ООО «Лукойл-Югнефтепродукт», расположенной по адресу: Ростовская обл., р-н Аксайский, 1074 км. автомагистрали М-4 справа по ходу километража, кадастровый номер земельного участка: 61:02:0600017:66 (1 шт.)</t>
  </si>
  <si>
    <t xml:space="preserve">Установка пункта коммерческого учета для присоединения АЗС №61360 ООО «Лукойл-Югнефтепродукт», расположенной по адресу: Ростовская обл., р-н. Аксайский, г. Аксай, 1074 км. автомагистрали М-4 «Дон-2», кадастровый номер земельного участка: 61:02:0600017:2» (1 шт.) </t>
  </si>
  <si>
    <t>Установка пункта коммерческого учета для присоединения ООО «Таганрогская энергетическая компания», адресный ориентир: РО., Мясниковский р-н. тер. Юго-Восточная промзона кадастровый номер земельного участка: 61:25:601001:1133 (1 шт.)</t>
  </si>
  <si>
    <t>Установка пункта коммерческого учета для присоединения насосной станции заявителя АО «Бакланниковское», расположенного по адресу: Ростовская обл., р-н. Семикаракорский, к.н:61:35:0600013:615 (1 шт.)</t>
  </si>
  <si>
    <t>Установка ВРУ 0,4 кВ на стойке шинного портала 35 кВ № 28 Т-З для присоединения ЛЭП-0,4 кВ от ПС 110/35 кВ Заря, расположенной по адресу: Ростовская область, Красносулинский район (1шт.)</t>
  </si>
  <si>
    <t>Установка прибора коммерческого учёта электрической энергии, для присоединения ВРУ-0,4 кВ ЛЭП-0,4 кВ Государственного казенного учреждения Ростовской области «Противопожарная служба Ростовской области» в лице начальника Кравцова В.В., расположенного по адресу: Ростовская область, Тацинский район, ст. Скосырская, ул. Школьная, д. 5, корпус Б, к.н. 61:38:0060101:1370. (прибор учёта электроэнергии - 1шт.)</t>
  </si>
  <si>
    <t>«Установка прибора учета для технологического присоединения  модульного дома культуры заявителя, Терновское СП, расположенного по адресу: Ростовская область, Шолоховский район, х. Терновской, ул. Центральная, д. 7в, к.н.з.у. 61:43:0090101:750 (1 шт.)»</t>
  </si>
  <si>
    <t>Строительство 2КЛ 10кВ от двух проектируемых линейных ячеек 10кВ ПС 110кВ Р-26 для электроснабжения комплекса по переработке бытовых отходов (ООО "ОЗОН-плюс") расположенного по падресу: Мясниковский район, тер. Юго-Восточная промзона, участок №11, к.н. 61:25:0601001:31 (ориентировочная протяженность ЛЭП 0,3км)</t>
  </si>
  <si>
    <t>Неизолированный провод</t>
  </si>
  <si>
    <t>В каналах, одножильный</t>
  </si>
  <si>
    <t xml:space="preserve">В каналах, многожильный </t>
  </si>
  <si>
    <r>
      <t>Строительство  воздушных  линий  (C</t>
    </r>
    <r>
      <rPr>
        <b/>
        <vertAlign val="subscript"/>
        <sz val="14"/>
        <rFont val="Times New Roman"/>
        <family val="1"/>
        <charset val="204"/>
      </rPr>
      <t>2,i</t>
    </r>
    <r>
      <rPr>
        <b/>
        <sz val="14"/>
        <rFont val="Times New Roman"/>
        <family val="1"/>
        <charset val="204"/>
      </rPr>
      <t>)</t>
    </r>
  </si>
  <si>
    <t>Приложение 2 
к Методическим указаниям ФАС России 
от 30.06.2022г. № 490/22</t>
  </si>
  <si>
    <t>(рекомендуемый образец)</t>
  </si>
  <si>
    <t>Расходы филиала ПАО "Россети Юг" - "Ростовэнерго" на выполнение мероприятий по технологическому присоединению, 
предусмотренных подпунктами «а» и «в» пункта 16 Методических указаний по определению размера платы за технологическое присоединение к электрическим сетям, за 2020 - 2022 гг.</t>
  </si>
  <si>
    <t>№
п/п</t>
  </si>
  <si>
    <t>Наименование мероприятий</t>
  </si>
  <si>
    <t>2020 год</t>
  </si>
  <si>
    <t>2021 год</t>
  </si>
  <si>
    <t>2022 год</t>
  </si>
  <si>
    <r>
      <t>Информация для расчета стандартизированной тарифной ставки С</t>
    </r>
    <r>
      <rPr>
        <vertAlign val="subscript"/>
        <sz val="10"/>
        <color theme="1"/>
        <rFont val="Times New Roman"/>
        <family val="1"/>
        <charset val="204"/>
      </rPr>
      <t xml:space="preserve">1 </t>
    </r>
    <r>
      <rPr>
        <sz val="12"/>
        <color theme="1"/>
        <rFont val="Times New Roman"/>
        <family val="1"/>
        <charset val="204"/>
      </rPr>
      <t>*</t>
    </r>
  </si>
  <si>
    <t>Расходы на одно присоединение
(руб. на одно ТП)</t>
  </si>
  <si>
    <r>
      <t>Информация для расчета стандартизированной тарифной ставки С</t>
    </r>
    <r>
      <rPr>
        <vertAlign val="subscript"/>
        <sz val="10"/>
        <color theme="1"/>
        <rFont val="Times New Roman"/>
        <family val="1"/>
        <charset val="204"/>
      </rPr>
      <t>1</t>
    </r>
    <r>
      <rPr>
        <sz val="10"/>
        <color theme="1"/>
        <rFont val="Times New Roman"/>
        <family val="1"/>
        <charset val="204"/>
      </rPr>
      <t xml:space="preserve"> </t>
    </r>
    <r>
      <rPr>
        <sz val="12"/>
        <color theme="1"/>
        <rFont val="Times New Roman"/>
        <family val="1"/>
        <charset val="204"/>
      </rPr>
      <t>*</t>
    </r>
  </si>
  <si>
    <t>Расходы по каждому мероприятию
(руб.)</t>
  </si>
  <si>
    <t>Количество технологических присоединений
(шт.)</t>
  </si>
  <si>
    <t>Объем максимальной мощности
(кВт)</t>
  </si>
  <si>
    <t>Количество технологических присоединений
(шт.) ***</t>
  </si>
  <si>
    <r>
      <t xml:space="preserve">Количество технологических присоединений
(шт.) </t>
    </r>
    <r>
      <rPr>
        <sz val="10"/>
        <rFont val="Times New Roman"/>
        <family val="1"/>
        <charset val="204"/>
      </rPr>
      <t>***</t>
    </r>
  </si>
  <si>
    <t>1.</t>
  </si>
  <si>
    <t>Подготовка и выдача сетевой организацией технических условий Заявителю</t>
  </si>
  <si>
    <t>2.</t>
  </si>
  <si>
    <t>Проверка сетевой организацией выполнения технических условий Заявителем</t>
  </si>
  <si>
    <t xml:space="preserve"> - </t>
  </si>
  <si>
    <t>2.1.</t>
  </si>
  <si>
    <r>
      <t xml:space="preserve">Выдача сетевой организацией уведомления об обеспечении сетевой организацией возможности присоединения к электрическим сетям (акта об осуществлении технологического присоединения) Заявителям, указанным в абзаце шестом п. 24 Методических указаний по определению размера платы за технологическое присоединение к электрическим сетям (Заявители указанные в п. 12(1) и 14 Правил ТП на уровне напряжения 0,4 кВ и ниже) </t>
    </r>
    <r>
      <rPr>
        <b/>
        <sz val="12"/>
        <color theme="1"/>
        <rFont val="Times New Roman"/>
        <family val="1"/>
        <charset val="204"/>
      </rPr>
      <t>**</t>
    </r>
  </si>
  <si>
    <t>2.2.</t>
  </si>
  <si>
    <t>Проверка сетевой организацией выполнения ТУ  Заявителями, указанными в абзаце седьмом п. 24 Методических указан по определению размера платы за технологическое присоединение к электрическим сетям (Заявители, кроме указанных в п. 12(1) и 14 Правил ТП на уровне напряжения 0,4 кВ и ниже)</t>
  </si>
  <si>
    <r>
      <rPr>
        <b/>
        <sz val="12"/>
        <color theme="1"/>
        <rFont val="Times New Roman"/>
        <family val="1"/>
        <charset val="204"/>
      </rPr>
      <t>*</t>
    </r>
    <r>
      <rPr>
        <sz val="12"/>
        <color theme="1"/>
        <rFont val="Times New Roman"/>
        <family val="1"/>
        <charset val="204"/>
      </rPr>
      <t xml:space="preserve"> Трудозатраты на выполнение работ по "постоянной схеме электроснабжения" и "временной схеме электроснабжения" эквивалентны, при этом как в бухгалтерском, так и в управленческом учете Общества не ведется отдельный учет расходов по схемам электроснабжения, соответственно ставки идентичны.</t>
    </r>
  </si>
  <si>
    <t xml:space="preserve">** Не учтены фактические расходы  2020г. в размере  55 279 181,43 рублей связанные с проверкой сетевой организацией выполнения Заявителем технических условий (включая процедуры, предусмотренные подпунктами "г" - "д" пункта 7 Правил технологического присоединения до внесения в него изменений) </t>
  </si>
  <si>
    <t>*** 2021 год показатель количество ТП (столбец 12) учитывает  заключенные и исполненные в 2021 году договоры ТП (акт ТП выдан Заявителю), а также заключенные в 2021 году договоры ТП с дополнительными соглашениями о продлении сроков исполнения мероприятий ТУ, которые переходят на 2022 г. и последующие периоды.</t>
  </si>
  <si>
    <t>*** 2022 год показатель количество ТП (столбец 12) учитывает  заключенные и исполненные в 2022 году договоры ТП (акт ТП выдан Заявителю), а также заключенные в 2022 году договоры ТП с дополнительными соглашениями о продлении сроков исполнения мероприятий ТУ, которые переходят на 2023 г. и последующие периоды.</t>
  </si>
  <si>
    <t>Приложение 3 к Методическим указаниям ФАС России от 30.06.2022г. № 490/22</t>
  </si>
  <si>
    <t xml:space="preserve"> </t>
  </si>
  <si>
    <t>Расчет фактических расходов филиала ПАО "Россети Юг" - "Ростовэнерго" на выполнение мероприятий
по технологическому присоединению, предусмотренных подпунктами «а» и «в» пункта 16 
Методических указаний по определению размера платы за технологическое присоединение к электрическим сетям, за 2020 - 2022 гг.</t>
  </si>
  <si>
    <t>(выполняется отдельно по мероприятиям, предусмотренным подпунктами «а» и «в» пункта 16 Методических указаний по определению размера платы за технологическое присоединение к электрическим сетям)</t>
  </si>
  <si>
    <t>Показатели</t>
  </si>
  <si>
    <t>Данные
за 2022 год,
тыс. руб.</t>
  </si>
  <si>
    <t>Данные
за 2021 год,
тыс. руб.</t>
  </si>
  <si>
    <t>Данные
за 2020 год,
тыс. руб.</t>
  </si>
  <si>
    <t>Расходы по выполнению мероприятий по технологическому присоединению, всего</t>
  </si>
  <si>
    <t>1.1.</t>
  </si>
  <si>
    <t>Вспомогательные материалы</t>
  </si>
  <si>
    <t>1.2.</t>
  </si>
  <si>
    <t>Энергия на хозяйственные нужды</t>
  </si>
  <si>
    <t>1.3.</t>
  </si>
  <si>
    <t>Оплата труда ППП</t>
  </si>
  <si>
    <t>1.4.</t>
  </si>
  <si>
    <t>Отчисления на страховые взносы</t>
  </si>
  <si>
    <t>1.5.</t>
  </si>
  <si>
    <t>Прочие расходы, всего, в том числе:</t>
  </si>
  <si>
    <t>1.5.1.</t>
  </si>
  <si>
    <t>- работы и услуги производственного характера</t>
  </si>
  <si>
    <t>1.5.2.</t>
  </si>
  <si>
    <t>- налоги и сборы, уменьшающие налогооблагаемую базу на прибыль организаций, всего</t>
  </si>
  <si>
    <t>1.5.3.</t>
  </si>
  <si>
    <t>- работы и услуги непроизводственного характера, в том числе:</t>
  </si>
  <si>
    <t>1.5.3.1.</t>
  </si>
  <si>
    <t>услуги связи</t>
  </si>
  <si>
    <t>1.5.3.2.</t>
  </si>
  <si>
    <t>расходы на охрану и пожарную безопасность</t>
  </si>
  <si>
    <t>1.5.3.3.</t>
  </si>
  <si>
    <t>расходы на информационное обслуживание, иные услуги, связанные с деятельностью по технологическому присоединению</t>
  </si>
  <si>
    <t>1.5.3.4.</t>
  </si>
  <si>
    <t>плата за аренду имущества</t>
  </si>
  <si>
    <t>1.5.3.5.</t>
  </si>
  <si>
    <t>другие прочие расходы, связанные с производством и реализацией</t>
  </si>
  <si>
    <t>1.6.</t>
  </si>
  <si>
    <t>Внереализационные расходы, всего</t>
  </si>
  <si>
    <t>1.6.1.</t>
  </si>
  <si>
    <t>- расходы на услуги банков</t>
  </si>
  <si>
    <t>1.6.2.</t>
  </si>
  <si>
    <t>- % за пользование кредитом</t>
  </si>
  <si>
    <t>1.6.3.</t>
  </si>
  <si>
    <t>- прочие обоснованные расходы</t>
  </si>
  <si>
    <t>1.6.4.</t>
  </si>
  <si>
    <t>- денежные выплаты социального характера (по Коллективному договору)</t>
  </si>
  <si>
    <t>1.6.5.</t>
  </si>
  <si>
    <t>- создание резерва по сомнительным долгам</t>
  </si>
  <si>
    <t>1.6.6.</t>
  </si>
  <si>
    <t>-убыток прошлых лет, выявленный в отчетном периоде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</si>
</sst>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 _₽_-;\-* #,##0.00\ _₽_-;_-* &quot;-&quot;??\ _₽_-;_-@_-"/>
    <numFmt numFmtId="165" formatCode="#,##0.000"/>
    <numFmt numFmtId="166" formatCode="0.0000"/>
    <numFmt numFmtId="167" formatCode="0.000"/>
    <numFmt numFmtId="168" formatCode="#,##0.000_ ;\-#,##0.000\ "/>
    <numFmt numFmtId="169" formatCode="0_)"/>
  </numFmts>
  <fonts count="33" x14ac:knownFonts="1">
    <font>
      <sz val="11"/>
      <color theme="1"/>
      <name val="Calibri"/>
      <family val="2"/>
      <charset val="204"/>
      <scheme val="minor"/>
    </font>
    <font>
      <sz val="11"/>
      <color theme="1"/>
      <name val="Calibri"/>
      <family val="2"/>
      <charset val="204"/>
      <scheme val="minor"/>
    </font>
    <font>
      <sz val="12"/>
      <name val="Times New Roman"/>
      <family val="1"/>
      <charset val="204"/>
    </font>
    <font>
      <sz val="11"/>
      <color theme="1"/>
      <name val="Calibri"/>
      <family val="2"/>
      <scheme val="minor"/>
    </font>
    <font>
      <sz val="10"/>
      <color indexed="8"/>
      <name val="Times New Roman"/>
      <family val="1"/>
      <charset val="204"/>
    </font>
    <font>
      <b/>
      <sz val="11"/>
      <color theme="1"/>
      <name val="Times New Roman"/>
      <family val="1"/>
      <charset val="204"/>
    </font>
    <font>
      <b/>
      <sz val="12"/>
      <color theme="1"/>
      <name val="Times New Roman"/>
      <family val="1"/>
      <charset val="204"/>
    </font>
    <font>
      <sz val="12"/>
      <color indexed="8"/>
      <name val="Times New Roman"/>
      <family val="1"/>
      <charset val="204"/>
    </font>
    <font>
      <b/>
      <sz val="14"/>
      <color indexed="8"/>
      <name val="Times New Roman"/>
      <family val="1"/>
      <charset val="204"/>
    </font>
    <font>
      <b/>
      <vertAlign val="subscript"/>
      <sz val="14"/>
      <color indexed="8"/>
      <name val="Times New Roman"/>
      <family val="1"/>
      <charset val="204"/>
    </font>
    <font>
      <b/>
      <sz val="12"/>
      <color indexed="8"/>
      <name val="Times New Roman"/>
      <family val="1"/>
      <charset val="204"/>
    </font>
    <font>
      <sz val="12"/>
      <color theme="1"/>
      <name val="Times New Roman"/>
      <family val="1"/>
      <charset val="204"/>
    </font>
    <font>
      <sz val="11"/>
      <color theme="1"/>
      <name val="Times New Roman"/>
      <family val="1"/>
      <charset val="204"/>
    </font>
    <font>
      <b/>
      <sz val="12"/>
      <name val="Times New Roman"/>
      <family val="1"/>
      <charset val="204"/>
    </font>
    <font>
      <sz val="12"/>
      <color theme="1"/>
      <name val="Times New Roman"/>
      <family val="2"/>
      <charset val="204"/>
    </font>
    <font>
      <sz val="11"/>
      <name val="Times New Roman"/>
      <family val="1"/>
      <charset val="204"/>
    </font>
    <font>
      <sz val="10"/>
      <name val="Times New Roman"/>
      <family val="1"/>
      <charset val="204"/>
    </font>
    <font>
      <sz val="10"/>
      <name val="Arial"/>
      <family val="2"/>
      <charset val="204"/>
    </font>
    <font>
      <b/>
      <sz val="13"/>
      <color theme="1"/>
      <name val="Times New Roman"/>
      <family val="1"/>
      <charset val="204"/>
    </font>
    <font>
      <b/>
      <sz val="13"/>
      <name val="Times New Roman"/>
      <family val="1"/>
      <charset val="204"/>
    </font>
    <font>
      <b/>
      <sz val="13"/>
      <color theme="1"/>
      <name val="Calibri"/>
      <family val="2"/>
      <charset val="204"/>
      <scheme val="minor"/>
    </font>
    <font>
      <sz val="13"/>
      <color theme="1"/>
      <name val="Calibri"/>
      <family val="2"/>
      <charset val="204"/>
      <scheme val="minor"/>
    </font>
    <font>
      <sz val="10"/>
      <name val="Arial Cyr"/>
      <charset val="204"/>
    </font>
    <font>
      <sz val="13"/>
      <color indexed="8"/>
      <name val="Times New Roman"/>
      <family val="1"/>
      <charset val="204"/>
    </font>
    <font>
      <b/>
      <sz val="14"/>
      <name val="Times New Roman"/>
      <family val="1"/>
      <charset val="204"/>
    </font>
    <font>
      <b/>
      <vertAlign val="subscript"/>
      <sz val="14"/>
      <name val="Times New Roman"/>
      <family val="1"/>
      <charset val="204"/>
    </font>
    <font>
      <sz val="12"/>
      <color theme="0"/>
      <name val="Times New Roman"/>
      <family val="2"/>
      <charset val="204"/>
    </font>
    <font>
      <sz val="10"/>
      <color theme="1"/>
      <name val="Times New Roman"/>
      <family val="2"/>
      <charset val="204"/>
    </font>
    <font>
      <sz val="10"/>
      <color theme="1"/>
      <name val="Times New Roman"/>
      <family val="1"/>
      <charset val="204"/>
    </font>
    <font>
      <vertAlign val="subscript"/>
      <sz val="10"/>
      <color theme="1"/>
      <name val="Times New Roman"/>
      <family val="1"/>
      <charset val="204"/>
    </font>
    <font>
      <sz val="10"/>
      <name val="Courier"/>
      <family val="1"/>
      <charset val="204"/>
    </font>
    <font>
      <sz val="12"/>
      <color theme="0"/>
      <name val="Times New Roman"/>
      <family val="1"/>
      <charset val="204"/>
    </font>
    <font>
      <b/>
      <sz val="12"/>
      <color theme="0"/>
      <name val="Times New Roman"/>
      <family val="1"/>
      <charset val="204"/>
    </font>
  </fonts>
  <fills count="11">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style="medium">
        <color indexed="64"/>
      </left>
      <right style="thin">
        <color indexed="64"/>
      </right>
      <top style="thin">
        <color indexed="64"/>
      </top>
      <bottom style="thin">
        <color indexed="64"/>
      </bottom>
      <diagonal/>
    </border>
  </borders>
  <cellStyleXfs count="9">
    <xf numFmtId="0" fontId="0" fillId="0" borderId="0"/>
    <xf numFmtId="0" fontId="1" fillId="0" borderId="0"/>
    <xf numFmtId="0" fontId="3" fillId="0" borderId="0"/>
    <xf numFmtId="164" fontId="1" fillId="0" borderId="0" applyFont="0" applyFill="0" applyBorder="0" applyAlignment="0" applyProtection="0"/>
    <xf numFmtId="0" fontId="14" fillId="0" borderId="0"/>
    <xf numFmtId="0" fontId="17" fillId="0" borderId="0"/>
    <xf numFmtId="164" fontId="1" fillId="0" borderId="0" applyFont="0" applyFill="0" applyBorder="0" applyAlignment="0" applyProtection="0"/>
    <xf numFmtId="0" fontId="22" fillId="0" borderId="0"/>
    <xf numFmtId="169" fontId="30" fillId="0" borderId="0"/>
  </cellStyleXfs>
  <cellXfs count="235">
    <xf numFmtId="0" fontId="0" fillId="0" borderId="0" xfId="0"/>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right"/>
    </xf>
    <xf numFmtId="0" fontId="7" fillId="0" borderId="1" xfId="0" applyFont="1" applyFill="1" applyBorder="1" applyAlignment="1">
      <alignment horizontal="center" vertical="center" wrapText="1"/>
    </xf>
    <xf numFmtId="0" fontId="7" fillId="0" borderId="0" xfId="0" applyFont="1" applyFill="1" applyAlignment="1">
      <alignment vertical="center" wrapText="1"/>
    </xf>
    <xf numFmtId="0" fontId="10" fillId="0"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7" fillId="2" borderId="0" xfId="0" applyFont="1" applyFill="1" applyAlignment="1">
      <alignment vertical="center" wrapText="1"/>
    </xf>
    <xf numFmtId="1" fontId="10" fillId="2" borderId="1" xfId="0" applyNumberFormat="1" applyFont="1" applyFill="1" applyBorder="1" applyAlignment="1">
      <alignment horizontal="center" vertical="center" wrapText="1"/>
    </xf>
    <xf numFmtId="0" fontId="10"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3" borderId="0" xfId="0" applyFont="1" applyFill="1" applyAlignment="1">
      <alignment vertical="center" wrapText="1"/>
    </xf>
    <xf numFmtId="1" fontId="10" fillId="3" borderId="1" xfId="0" applyNumberFormat="1" applyFont="1" applyFill="1" applyBorder="1" applyAlignment="1">
      <alignment horizontal="center" vertical="center" wrapText="1"/>
    </xf>
    <xf numFmtId="0" fontId="11" fillId="0" borderId="0" xfId="0" applyFont="1" applyFill="1"/>
    <xf numFmtId="0" fontId="11" fillId="0" borderId="0" xfId="0" applyFont="1"/>
    <xf numFmtId="0" fontId="13" fillId="2" borderId="1" xfId="0" applyFont="1" applyFill="1" applyBorder="1" applyAlignment="1">
      <alignment horizontal="center" vertical="center" wrapText="1"/>
    </xf>
    <xf numFmtId="0" fontId="11" fillId="0" borderId="1" xfId="0" applyFont="1" applyFill="1" applyBorder="1" applyAlignment="1">
      <alignment horizontal="center" vertical="center"/>
    </xf>
    <xf numFmtId="0" fontId="6" fillId="2" borderId="1" xfId="0" applyFont="1" applyFill="1" applyBorder="1" applyAlignment="1">
      <alignment horizontal="center" vertical="center"/>
    </xf>
    <xf numFmtId="0" fontId="6" fillId="3" borderId="1" xfId="0" applyFont="1" applyFill="1" applyBorder="1" applyAlignment="1">
      <alignment horizontal="center" vertical="center"/>
    </xf>
    <xf numFmtId="0" fontId="11" fillId="3" borderId="0" xfId="0" applyFont="1" applyFill="1"/>
    <xf numFmtId="0" fontId="11" fillId="0" borderId="1" xfId="0" applyFont="1" applyFill="1" applyBorder="1" applyAlignment="1">
      <alignment vertical="center" wrapText="1"/>
    </xf>
    <xf numFmtId="0" fontId="11" fillId="2" borderId="0" xfId="0" applyFont="1" applyFill="1"/>
    <xf numFmtId="0" fontId="6" fillId="0" borderId="0" xfId="0" applyFont="1" applyAlignment="1">
      <alignment horizontal="left" vertical="center"/>
    </xf>
    <xf numFmtId="0" fontId="7" fillId="4" borderId="0" xfId="0" applyFont="1" applyFill="1" applyAlignment="1">
      <alignment vertical="center" wrapText="1"/>
    </xf>
    <xf numFmtId="0" fontId="11" fillId="4" borderId="0" xfId="0" applyFont="1" applyFill="1"/>
    <xf numFmtId="0" fontId="11" fillId="6" borderId="0" xfId="0" applyFont="1" applyFill="1"/>
    <xf numFmtId="0" fontId="7" fillId="6" borderId="0" xfId="0" applyFont="1" applyFill="1" applyAlignment="1">
      <alignment vertical="center" wrapText="1"/>
    </xf>
    <xf numFmtId="0" fontId="0" fillId="0" borderId="0" xfId="0" applyFill="1" applyAlignment="1">
      <alignment horizontal="right"/>
    </xf>
    <xf numFmtId="0" fontId="0" fillId="0" borderId="0" xfId="0" applyFill="1"/>
    <xf numFmtId="0" fontId="5" fillId="3" borderId="1" xfId="0" applyFont="1" applyFill="1" applyBorder="1" applyAlignment="1">
      <alignment horizontal="center" vertical="center" wrapText="1"/>
    </xf>
    <xf numFmtId="1" fontId="13" fillId="2" borderId="1" xfId="0" applyNumberFormat="1" applyFont="1" applyFill="1" applyBorder="1" applyAlignment="1">
      <alignment horizontal="center" vertical="center" wrapText="1"/>
    </xf>
    <xf numFmtId="0" fontId="13" fillId="3" borderId="1" xfId="0" applyFont="1" applyFill="1" applyBorder="1" applyAlignment="1">
      <alignment horizontal="center" vertical="center" wrapText="1"/>
    </xf>
    <xf numFmtId="1" fontId="13" fillId="3"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17" fontId="11" fillId="0" borderId="1" xfId="0" applyNumberFormat="1" applyFont="1" applyFill="1" applyBorder="1" applyAlignment="1">
      <alignment horizontal="center" vertical="center"/>
    </xf>
    <xf numFmtId="0" fontId="11" fillId="0" borderId="1" xfId="0" applyFont="1" applyFill="1" applyBorder="1" applyAlignment="1">
      <alignment wrapText="1"/>
    </xf>
    <xf numFmtId="0" fontId="7" fillId="0" borderId="1" xfId="0" applyFont="1" applyFill="1" applyBorder="1" applyAlignment="1">
      <alignment horizontal="left" vertical="center" wrapText="1"/>
    </xf>
    <xf numFmtId="0" fontId="11" fillId="0" borderId="0" xfId="0" applyFont="1" applyFill="1" applyAlignment="1">
      <alignment vertical="top"/>
    </xf>
    <xf numFmtId="0" fontId="5" fillId="2" borderId="1" xfId="0" applyFont="1" applyFill="1" applyBorder="1" applyAlignment="1">
      <alignment horizontal="center" vertical="center" wrapText="1"/>
    </xf>
    <xf numFmtId="1" fontId="10"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3" fontId="7" fillId="0" borderId="1" xfId="0" applyNumberFormat="1" applyFont="1" applyFill="1" applyBorder="1" applyAlignment="1">
      <alignment horizontal="center" vertical="center" wrapText="1"/>
    </xf>
    <xf numFmtId="0" fontId="11" fillId="0" borderId="1" xfId="0" applyFont="1" applyBorder="1" applyAlignment="1">
      <alignment horizontal="center" vertical="center"/>
    </xf>
    <xf numFmtId="3" fontId="11" fillId="0" borderId="1" xfId="0" applyNumberFormat="1" applyFont="1" applyFill="1" applyBorder="1" applyAlignment="1">
      <alignment horizontal="center" vertical="center"/>
    </xf>
    <xf numFmtId="1" fontId="11" fillId="0" borderId="1" xfId="0" applyNumberFormat="1" applyFont="1" applyFill="1" applyBorder="1" applyAlignment="1">
      <alignment horizontal="center" vertical="center"/>
    </xf>
    <xf numFmtId="0" fontId="0" fillId="0" borderId="1" xfId="0" applyFill="1" applyBorder="1" applyAlignment="1">
      <alignment horizontal="center" vertical="center" wrapText="1"/>
    </xf>
    <xf numFmtId="1" fontId="2" fillId="0" borderId="1" xfId="0" applyNumberFormat="1" applyFont="1" applyFill="1" applyBorder="1" applyAlignment="1">
      <alignment horizontal="center" vertical="center"/>
    </xf>
    <xf numFmtId="3" fontId="2" fillId="0" borderId="1" xfId="0" applyNumberFormat="1" applyFont="1" applyFill="1" applyBorder="1" applyAlignment="1">
      <alignment horizontal="center" vertical="center"/>
    </xf>
    <xf numFmtId="0" fontId="13" fillId="0" borderId="1" xfId="0" applyFont="1" applyFill="1" applyBorder="1" applyAlignment="1">
      <alignment horizontal="center" vertical="center" wrapText="1"/>
    </xf>
    <xf numFmtId="0" fontId="2" fillId="0" borderId="1" xfId="0" applyFont="1" applyFill="1" applyBorder="1" applyAlignment="1">
      <alignment vertical="center" wrapText="1"/>
    </xf>
    <xf numFmtId="3" fontId="2" fillId="0" borderId="1" xfId="0" applyNumberFormat="1" applyFont="1" applyFill="1" applyBorder="1" applyAlignment="1">
      <alignment horizontal="center" vertical="center" wrapText="1"/>
    </xf>
    <xf numFmtId="0" fontId="2" fillId="0" borderId="1" xfId="0" applyFont="1" applyFill="1" applyBorder="1" applyAlignment="1">
      <alignment horizontal="left" vertical="center" wrapText="1"/>
    </xf>
    <xf numFmtId="0" fontId="13" fillId="0" borderId="1" xfId="0" applyNumberFormat="1" applyFont="1" applyFill="1" applyBorder="1" applyAlignment="1">
      <alignment horizontal="center" vertical="center" wrapText="1"/>
    </xf>
    <xf numFmtId="0" fontId="2" fillId="0" borderId="0" xfId="0" applyFont="1" applyFill="1" applyAlignment="1">
      <alignment vertical="center" wrapText="1"/>
    </xf>
    <xf numFmtId="0" fontId="10" fillId="0" borderId="1" xfId="0" applyNumberFormat="1" applyFont="1" applyFill="1" applyBorder="1" applyAlignment="1">
      <alignment horizontal="center" vertical="center" wrapText="1"/>
    </xf>
    <xf numFmtId="0" fontId="2" fillId="0" borderId="1" xfId="0" quotePrefix="1" applyFont="1" applyFill="1" applyBorder="1" applyAlignment="1">
      <alignment horizontal="left" vertical="center" wrapText="1"/>
    </xf>
    <xf numFmtId="0" fontId="10" fillId="8" borderId="1" xfId="0" applyFont="1" applyFill="1" applyBorder="1" applyAlignment="1">
      <alignment horizontal="center" vertical="center" wrapText="1"/>
    </xf>
    <xf numFmtId="0" fontId="7" fillId="0" borderId="1" xfId="0" quotePrefix="1" applyFont="1" applyFill="1" applyBorder="1" applyAlignment="1">
      <alignment horizontal="left" vertical="center" wrapText="1"/>
    </xf>
    <xf numFmtId="0" fontId="10" fillId="0" borderId="1" xfId="0" applyFont="1" applyFill="1" applyBorder="1" applyAlignment="1">
      <alignment horizontal="left" vertical="center" wrapText="1"/>
    </xf>
    <xf numFmtId="14" fontId="10" fillId="0" borderId="1" xfId="0" applyNumberFormat="1" applyFont="1" applyFill="1" applyBorder="1" applyAlignment="1">
      <alignment horizontal="center" vertical="center" wrapText="1"/>
    </xf>
    <xf numFmtId="16" fontId="10" fillId="3" borderId="1" xfId="0" applyNumberFormat="1" applyFont="1" applyFill="1" applyBorder="1" applyAlignment="1">
      <alignment horizontal="center" vertical="center" wrapText="1"/>
    </xf>
    <xf numFmtId="14" fontId="10" fillId="8" borderId="1" xfId="0" applyNumberFormat="1" applyFont="1" applyFill="1" applyBorder="1" applyAlignment="1">
      <alignment horizontal="center" vertical="center" wrapText="1"/>
    </xf>
    <xf numFmtId="0" fontId="6" fillId="8" borderId="1" xfId="0" applyFont="1" applyFill="1" applyBorder="1" applyAlignment="1">
      <alignment horizontal="left" vertical="center" wrapText="1"/>
    </xf>
    <xf numFmtId="0" fontId="11" fillId="8" borderId="1" xfId="0" applyFont="1" applyFill="1" applyBorder="1" applyAlignment="1">
      <alignment horizontal="center" vertical="center"/>
    </xf>
    <xf numFmtId="0" fontId="6" fillId="8" borderId="1" xfId="0" applyFont="1" applyFill="1" applyBorder="1" applyAlignment="1">
      <alignment horizontal="center" vertical="center"/>
    </xf>
    <xf numFmtId="14" fontId="10" fillId="7" borderId="1" xfId="0" applyNumberFormat="1" applyFont="1" applyFill="1" applyBorder="1" applyAlignment="1">
      <alignment horizontal="center" vertical="center" wrapText="1"/>
    </xf>
    <xf numFmtId="0" fontId="6" fillId="7" borderId="1" xfId="0" applyFont="1" applyFill="1" applyBorder="1" applyAlignment="1">
      <alignment horizontal="left" vertical="center" wrapText="1"/>
    </xf>
    <xf numFmtId="0" fontId="11" fillId="7" borderId="1" xfId="0" applyFont="1" applyFill="1" applyBorder="1" applyAlignment="1">
      <alignment horizontal="center" vertical="center"/>
    </xf>
    <xf numFmtId="0" fontId="10" fillId="7" borderId="1" xfId="0" applyFont="1" applyFill="1" applyBorder="1" applyAlignment="1">
      <alignment horizontal="center" vertical="center" wrapText="1"/>
    </xf>
    <xf numFmtId="0" fontId="6" fillId="7" borderId="1" xfId="0" applyFont="1" applyFill="1" applyBorder="1" applyAlignment="1">
      <alignment vertical="center" wrapText="1"/>
    </xf>
    <xf numFmtId="0" fontId="6" fillId="8" borderId="1" xfId="0" applyFont="1" applyFill="1" applyBorder="1" applyAlignment="1">
      <alignment vertical="center" wrapText="1"/>
    </xf>
    <xf numFmtId="16" fontId="10" fillId="8" borderId="1" xfId="0" applyNumberFormat="1" applyFont="1" applyFill="1" applyBorder="1" applyAlignment="1">
      <alignment horizontal="center" vertical="center" wrapText="1"/>
    </xf>
    <xf numFmtId="0" fontId="6" fillId="7" borderId="1" xfId="0" applyFont="1" applyFill="1" applyBorder="1" applyAlignment="1">
      <alignment horizontal="center" vertical="center"/>
    </xf>
    <xf numFmtId="0" fontId="11" fillId="0" borderId="1" xfId="0" applyFont="1" applyFill="1" applyBorder="1" applyAlignment="1">
      <alignment vertical="top" wrapText="1"/>
    </xf>
    <xf numFmtId="0" fontId="11" fillId="0" borderId="1" xfId="0" quotePrefix="1" applyFont="1" applyFill="1" applyBorder="1" applyAlignment="1">
      <alignment vertical="center" wrapText="1"/>
    </xf>
    <xf numFmtId="0" fontId="6" fillId="0" borderId="1" xfId="0" applyFont="1" applyFill="1" applyBorder="1" applyAlignment="1">
      <alignment horizontal="center" vertical="center" wrapText="1"/>
    </xf>
    <xf numFmtId="0" fontId="11" fillId="8" borderId="1" xfId="0" applyFont="1" applyFill="1" applyBorder="1" applyAlignment="1">
      <alignment vertical="center" wrapText="1"/>
    </xf>
    <xf numFmtId="0" fontId="11" fillId="7" borderId="1" xfId="0" applyFont="1" applyFill="1" applyBorder="1" applyAlignment="1">
      <alignment vertical="center" wrapText="1"/>
    </xf>
    <xf numFmtId="0" fontId="19" fillId="0" borderId="0" xfId="0" applyFont="1"/>
    <xf numFmtId="0" fontId="20" fillId="0" borderId="0" xfId="0" applyFont="1" applyAlignment="1">
      <alignment horizontal="center" vertical="center"/>
    </xf>
    <xf numFmtId="0" fontId="19" fillId="0" borderId="0" xfId="0" applyFont="1" applyBorder="1"/>
    <xf numFmtId="0" fontId="19" fillId="0" borderId="0" xfId="0" applyFont="1" applyBorder="1" applyAlignment="1">
      <alignment horizontal="center"/>
    </xf>
    <xf numFmtId="0" fontId="21" fillId="0" borderId="0" xfId="0" applyFont="1" applyAlignment="1">
      <alignment vertical="center" wrapText="1"/>
    </xf>
    <xf numFmtId="0" fontId="21" fillId="0" borderId="0" xfId="0" applyFont="1" applyAlignment="1">
      <alignment horizontal="center" vertical="center"/>
    </xf>
    <xf numFmtId="0" fontId="19" fillId="0" borderId="0" xfId="5" applyFont="1" applyBorder="1" applyAlignment="1">
      <alignment horizontal="left" vertical="center" wrapText="1"/>
    </xf>
    <xf numFmtId="0" fontId="19" fillId="0" borderId="0" xfId="0" applyFont="1" applyBorder="1" applyAlignment="1">
      <alignment horizontal="left"/>
    </xf>
    <xf numFmtId="0" fontId="4" fillId="0" borderId="0" xfId="0" applyFont="1" applyFill="1" applyAlignment="1">
      <alignment horizontal="right" vertical="center" wrapText="1"/>
    </xf>
    <xf numFmtId="0" fontId="11" fillId="0" borderId="1" xfId="0" applyFont="1" applyFill="1" applyBorder="1" applyAlignment="1">
      <alignment horizontal="left" vertical="center" wrapText="1"/>
    </xf>
    <xf numFmtId="1" fontId="6" fillId="0" borderId="1" xfId="0" applyNumberFormat="1" applyFont="1" applyFill="1" applyBorder="1" applyAlignment="1">
      <alignment horizontal="center" vertical="center" wrapText="1"/>
    </xf>
    <xf numFmtId="0" fontId="11" fillId="0" borderId="6" xfId="0" applyNumberFormat="1" applyFont="1" applyFill="1" applyBorder="1" applyAlignment="1">
      <alignment vertical="center" wrapText="1"/>
    </xf>
    <xf numFmtId="165" fontId="11" fillId="0" borderId="1" xfId="0" applyNumberFormat="1" applyFont="1" applyFill="1" applyBorder="1" applyAlignment="1">
      <alignment horizontal="center" vertical="center" wrapText="1"/>
    </xf>
    <xf numFmtId="0" fontId="11" fillId="0" borderId="9" xfId="0" applyNumberFormat="1" applyFont="1" applyFill="1" applyBorder="1" applyAlignment="1">
      <alignment horizontal="left" vertical="center" wrapText="1"/>
    </xf>
    <xf numFmtId="166" fontId="11" fillId="0" borderId="1" xfId="6" applyNumberFormat="1" applyFont="1" applyFill="1" applyBorder="1" applyAlignment="1">
      <alignment horizontal="center" vertical="center"/>
    </xf>
    <xf numFmtId="0" fontId="11" fillId="0" borderId="6" xfId="0" applyFont="1" applyFill="1" applyBorder="1" applyAlignment="1">
      <alignment wrapText="1"/>
    </xf>
    <xf numFmtId="0" fontId="11" fillId="0" borderId="1" xfId="0" applyFont="1" applyFill="1" applyBorder="1" applyAlignment="1">
      <alignment horizontal="left" vertical="top" wrapText="1"/>
    </xf>
    <xf numFmtId="167" fontId="11" fillId="0" borderId="6" xfId="0" applyNumberFormat="1" applyFont="1" applyFill="1" applyBorder="1" applyAlignment="1">
      <alignment vertical="center" wrapText="1"/>
    </xf>
    <xf numFmtId="1" fontId="11" fillId="0" borderId="1" xfId="6" applyNumberFormat="1" applyFont="1" applyFill="1" applyBorder="1" applyAlignment="1">
      <alignment horizontal="center" vertical="center"/>
    </xf>
    <xf numFmtId="168" fontId="11" fillId="0" borderId="1" xfId="6" applyNumberFormat="1" applyFont="1" applyFill="1" applyBorder="1" applyAlignment="1">
      <alignment horizontal="center" vertical="center"/>
    </xf>
    <xf numFmtId="167" fontId="11" fillId="0" borderId="1" xfId="0" applyNumberFormat="1" applyFont="1" applyFill="1" applyBorder="1" applyAlignment="1">
      <alignment horizontal="left" vertical="center" wrapText="1"/>
    </xf>
    <xf numFmtId="0" fontId="11" fillId="0" borderId="1" xfId="0" applyNumberFormat="1" applyFont="1" applyFill="1" applyBorder="1" applyAlignment="1">
      <alignment vertical="center" wrapText="1"/>
    </xf>
    <xf numFmtId="0" fontId="11" fillId="0" borderId="6" xfId="0" applyFont="1" applyFill="1" applyBorder="1" applyAlignment="1">
      <alignment vertical="center" wrapText="1"/>
    </xf>
    <xf numFmtId="167" fontId="11" fillId="0" borderId="6" xfId="0" applyNumberFormat="1" applyFont="1" applyFill="1" applyBorder="1" applyAlignment="1">
      <alignment wrapText="1"/>
    </xf>
    <xf numFmtId="0" fontId="2" fillId="0" borderId="6" xfId="0" applyFont="1" applyFill="1" applyBorder="1" applyAlignment="1">
      <alignment wrapText="1"/>
    </xf>
    <xf numFmtId="1" fontId="2" fillId="0" borderId="1" xfId="6" applyNumberFormat="1" applyFont="1" applyFill="1" applyBorder="1" applyAlignment="1">
      <alignment horizontal="center" vertical="center"/>
    </xf>
    <xf numFmtId="168" fontId="2" fillId="0" borderId="1" xfId="6" applyNumberFormat="1" applyFont="1" applyFill="1" applyBorder="1" applyAlignment="1">
      <alignment horizontal="center" vertical="center"/>
    </xf>
    <xf numFmtId="0" fontId="2" fillId="0" borderId="6" xfId="0" applyNumberFormat="1" applyFont="1" applyFill="1" applyBorder="1" applyAlignment="1">
      <alignment vertical="center" wrapText="1"/>
    </xf>
    <xf numFmtId="167" fontId="2" fillId="0" borderId="1" xfId="0" applyNumberFormat="1" applyFont="1" applyFill="1" applyBorder="1" applyAlignment="1">
      <alignment vertical="center" wrapText="1"/>
    </xf>
    <xf numFmtId="0" fontId="2" fillId="0" borderId="1" xfId="0" applyNumberFormat="1" applyFont="1" applyFill="1" applyBorder="1" applyAlignment="1">
      <alignment vertical="center" wrapText="1"/>
    </xf>
    <xf numFmtId="0" fontId="2" fillId="0" borderId="7" xfId="0" applyNumberFormat="1" applyFont="1" applyFill="1" applyBorder="1" applyAlignment="1">
      <alignment vertical="center" wrapText="1"/>
    </xf>
    <xf numFmtId="0" fontId="2" fillId="0" borderId="1" xfId="0" applyFont="1" applyFill="1" applyBorder="1" applyAlignment="1">
      <alignment wrapText="1"/>
    </xf>
    <xf numFmtId="49" fontId="11" fillId="0" borderId="6" xfId="7" applyNumberFormat="1" applyFont="1" applyFill="1" applyBorder="1" applyAlignment="1">
      <alignment vertical="center" wrapText="1"/>
    </xf>
    <xf numFmtId="0" fontId="7" fillId="0" borderId="1" xfId="0" applyNumberFormat="1" applyFont="1" applyFill="1" applyBorder="1" applyAlignment="1">
      <alignment horizontal="center" vertical="center" wrapText="1"/>
    </xf>
    <xf numFmtId="2" fontId="7" fillId="0" borderId="1" xfId="0" applyNumberFormat="1" applyFont="1" applyFill="1" applyBorder="1" applyAlignment="1">
      <alignment horizontal="center" vertical="center" wrapText="1"/>
    </xf>
    <xf numFmtId="0" fontId="10" fillId="5" borderId="1" xfId="0" applyFont="1" applyFill="1" applyBorder="1" applyAlignment="1">
      <alignment horizontal="center" vertical="center" wrapText="1"/>
    </xf>
    <xf numFmtId="1" fontId="10" fillId="5" borderId="1" xfId="0" applyNumberFormat="1" applyFont="1" applyFill="1" applyBorder="1" applyAlignment="1">
      <alignment horizontal="center" vertical="center" wrapText="1"/>
    </xf>
    <xf numFmtId="0" fontId="10" fillId="9" borderId="1" xfId="0" applyFont="1" applyFill="1" applyBorder="1" applyAlignment="1">
      <alignment horizontal="center" vertical="center" wrapText="1"/>
    </xf>
    <xf numFmtId="0" fontId="7" fillId="9" borderId="1" xfId="0" applyFont="1" applyFill="1" applyBorder="1" applyAlignment="1">
      <alignment horizontal="left" vertical="center" wrapText="1"/>
    </xf>
    <xf numFmtId="1" fontId="10" fillId="9" borderId="1" xfId="0" applyNumberFormat="1" applyFont="1" applyFill="1" applyBorder="1" applyAlignment="1">
      <alignment horizontal="center" vertical="center" wrapText="1"/>
    </xf>
    <xf numFmtId="0" fontId="10" fillId="5" borderId="1" xfId="0" applyFont="1" applyFill="1" applyBorder="1" applyAlignment="1">
      <alignment horizontal="left" vertical="center" wrapText="1"/>
    </xf>
    <xf numFmtId="0" fontId="7" fillId="0" borderId="6" xfId="0" applyFont="1" applyFill="1" applyBorder="1" applyAlignment="1">
      <alignment horizontal="left" vertical="center" wrapText="1"/>
    </xf>
    <xf numFmtId="1" fontId="10" fillId="0" borderId="6" xfId="0" applyNumberFormat="1" applyFont="1" applyFill="1" applyBorder="1" applyAlignment="1">
      <alignment horizontal="center" vertical="center" wrapText="1"/>
    </xf>
    <xf numFmtId="0" fontId="7" fillId="0" borderId="1" xfId="0" applyFont="1" applyFill="1" applyBorder="1" applyAlignment="1">
      <alignment horizontal="center" vertical="top" wrapText="1"/>
    </xf>
    <xf numFmtId="0" fontId="2" fillId="0" borderId="1" xfId="0" applyFont="1" applyFill="1" applyBorder="1" applyAlignment="1">
      <alignment horizontal="center" vertical="center" wrapText="1"/>
    </xf>
    <xf numFmtId="4" fontId="7"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1" fillId="0" borderId="8" xfId="0" applyFont="1" applyFill="1" applyBorder="1" applyAlignment="1">
      <alignment horizontal="center" vertical="center"/>
    </xf>
    <xf numFmtId="3" fontId="11" fillId="0" borderId="8" xfId="0" applyNumberFormat="1" applyFont="1" applyFill="1" applyBorder="1" applyAlignment="1">
      <alignment horizontal="center" vertical="center"/>
    </xf>
    <xf numFmtId="1" fontId="11" fillId="0" borderId="8" xfId="0" applyNumberFormat="1" applyFont="1" applyFill="1" applyBorder="1" applyAlignment="1">
      <alignment horizontal="center" vertical="center"/>
    </xf>
    <xf numFmtId="0" fontId="14" fillId="0" borderId="0" xfId="4"/>
    <xf numFmtId="0" fontId="26" fillId="0" borderId="0" xfId="4" applyFont="1"/>
    <xf numFmtId="3" fontId="26" fillId="0" borderId="0" xfId="4" applyNumberFormat="1" applyFont="1"/>
    <xf numFmtId="0" fontId="14" fillId="0" borderId="0" xfId="4" applyFont="1"/>
    <xf numFmtId="0" fontId="27" fillId="0" borderId="0" xfId="4" applyFont="1" applyAlignment="1">
      <alignment vertical="top" wrapText="1"/>
    </xf>
    <xf numFmtId="0" fontId="27" fillId="0" borderId="0" xfId="4" applyFont="1" applyAlignment="1">
      <alignment horizontal="right" vertical="top" wrapText="1"/>
    </xf>
    <xf numFmtId="0" fontId="14" fillId="0" borderId="0" xfId="4" applyFont="1" applyAlignment="1">
      <alignment vertical="top" wrapText="1"/>
    </xf>
    <xf numFmtId="0" fontId="27" fillId="0" borderId="0" xfId="4" applyFont="1" applyAlignment="1">
      <alignment vertical="top"/>
    </xf>
    <xf numFmtId="0" fontId="28" fillId="0" borderId="1" xfId="4" applyFont="1" applyBorder="1" applyAlignment="1">
      <alignment horizontal="center" vertical="center" wrapText="1"/>
    </xf>
    <xf numFmtId="0" fontId="28" fillId="0" borderId="10" xfId="4" applyFont="1" applyBorder="1" applyAlignment="1">
      <alignment horizontal="center" vertical="center" wrapText="1"/>
    </xf>
    <xf numFmtId="0" fontId="11" fillId="0" borderId="1" xfId="4" applyFont="1" applyBorder="1" applyAlignment="1">
      <alignment horizontal="center" vertical="center" wrapText="1"/>
    </xf>
    <xf numFmtId="0" fontId="11" fillId="0" borderId="2" xfId="4" applyFont="1" applyBorder="1" applyAlignment="1">
      <alignment horizontal="center" vertical="center" wrapText="1"/>
    </xf>
    <xf numFmtId="0" fontId="11" fillId="0" borderId="10" xfId="4" applyFont="1" applyBorder="1" applyAlignment="1">
      <alignment horizontal="center" vertical="center" wrapText="1"/>
    </xf>
    <xf numFmtId="0" fontId="11" fillId="0" borderId="5" xfId="4" applyFont="1" applyBorder="1" applyAlignment="1">
      <alignment horizontal="center" vertical="center" wrapText="1"/>
    </xf>
    <xf numFmtId="0" fontId="11" fillId="0" borderId="0" xfId="4" applyFont="1"/>
    <xf numFmtId="0" fontId="12" fillId="0" borderId="1" xfId="4" applyFont="1" applyBorder="1" applyAlignment="1">
      <alignment horizontal="center" vertical="center" wrapText="1"/>
    </xf>
    <xf numFmtId="0" fontId="12" fillId="0" borderId="2" xfId="4" applyFont="1" applyBorder="1" applyAlignment="1">
      <alignment horizontal="left" vertical="center" wrapText="1"/>
    </xf>
    <xf numFmtId="4" fontId="12" fillId="0" borderId="10" xfId="4" applyNumberFormat="1" applyFont="1" applyFill="1" applyBorder="1" applyAlignment="1">
      <alignment horizontal="center" vertical="center" wrapText="1"/>
    </xf>
    <xf numFmtId="3" fontId="12" fillId="0" borderId="1" xfId="4" applyNumberFormat="1" applyFont="1" applyFill="1" applyBorder="1" applyAlignment="1">
      <alignment horizontal="center" vertical="center" wrapText="1"/>
    </xf>
    <xf numFmtId="4" fontId="12" fillId="0" borderId="1" xfId="4" applyNumberFormat="1" applyFont="1" applyFill="1" applyBorder="1" applyAlignment="1">
      <alignment horizontal="center" vertical="center" wrapText="1"/>
    </xf>
    <xf numFmtId="4" fontId="12" fillId="0" borderId="5" xfId="4" applyNumberFormat="1" applyFont="1" applyBorder="1" applyAlignment="1">
      <alignment horizontal="center" vertical="center" wrapText="1"/>
    </xf>
    <xf numFmtId="4" fontId="12" fillId="0" borderId="1" xfId="4" applyNumberFormat="1" applyFont="1" applyBorder="1" applyAlignment="1">
      <alignment horizontal="center" vertical="center" wrapText="1"/>
    </xf>
    <xf numFmtId="4" fontId="12" fillId="10" borderId="10" xfId="4" applyNumberFormat="1" applyFont="1" applyFill="1" applyBorder="1" applyAlignment="1">
      <alignment horizontal="center" vertical="center" wrapText="1"/>
    </xf>
    <xf numFmtId="3" fontId="12" fillId="10" borderId="1" xfId="4" applyNumberFormat="1" applyFont="1" applyFill="1" applyBorder="1" applyAlignment="1">
      <alignment horizontal="center" vertical="center" wrapText="1"/>
    </xf>
    <xf numFmtId="4" fontId="12" fillId="10" borderId="5" xfId="4" applyNumberFormat="1" applyFont="1" applyFill="1" applyBorder="1" applyAlignment="1">
      <alignment horizontal="center" vertical="center" wrapText="1"/>
    </xf>
    <xf numFmtId="4" fontId="12" fillId="10" borderId="1" xfId="4" applyNumberFormat="1" applyFont="1" applyFill="1" applyBorder="1" applyAlignment="1">
      <alignment horizontal="center" vertical="center" wrapText="1"/>
    </xf>
    <xf numFmtId="0" fontId="12" fillId="0" borderId="2" xfId="4" applyFont="1" applyBorder="1" applyAlignment="1">
      <alignment horizontal="center" vertical="center" wrapText="1"/>
    </xf>
    <xf numFmtId="16" fontId="12" fillId="0" borderId="1" xfId="4" applyNumberFormat="1" applyFont="1" applyBorder="1" applyAlignment="1">
      <alignment horizontal="center" vertical="center" wrapText="1"/>
    </xf>
    <xf numFmtId="0" fontId="31" fillId="0" borderId="0" xfId="4" applyFont="1"/>
    <xf numFmtId="0" fontId="11" fillId="0" borderId="0" xfId="4" applyFont="1" applyAlignment="1">
      <alignment horizontal="left" wrapText="1"/>
    </xf>
    <xf numFmtId="0" fontId="6" fillId="0" borderId="0" xfId="4" applyFont="1"/>
    <xf numFmtId="0" fontId="12" fillId="0" borderId="1" xfId="4" applyFont="1" applyBorder="1" applyAlignment="1">
      <alignment horizontal="left" vertical="center" wrapText="1"/>
    </xf>
    <xf numFmtId="4" fontId="12" fillId="10" borderId="0" xfId="4" applyNumberFormat="1" applyFont="1" applyFill="1" applyBorder="1" applyAlignment="1">
      <alignment horizontal="center" vertical="center" wrapText="1"/>
    </xf>
    <xf numFmtId="4" fontId="14" fillId="0" borderId="0" xfId="4" applyNumberFormat="1"/>
    <xf numFmtId="165" fontId="14" fillId="0" borderId="0" xfId="4" applyNumberFormat="1"/>
    <xf numFmtId="165" fontId="12" fillId="10" borderId="1" xfId="4" applyNumberFormat="1" applyFont="1" applyFill="1" applyBorder="1" applyAlignment="1">
      <alignment horizontal="center" vertical="center" wrapText="1"/>
    </xf>
    <xf numFmtId="165" fontId="12" fillId="0" borderId="1" xfId="4" applyNumberFormat="1" applyFont="1" applyFill="1" applyBorder="1" applyAlignment="1">
      <alignment horizontal="center" vertical="center" wrapText="1"/>
    </xf>
    <xf numFmtId="165" fontId="15" fillId="0" borderId="1" xfId="4" applyNumberFormat="1" applyFont="1" applyFill="1" applyBorder="1" applyAlignment="1">
      <alignment horizontal="center"/>
    </xf>
    <xf numFmtId="165" fontId="15" fillId="10" borderId="1" xfId="4" applyNumberFormat="1" applyFont="1" applyFill="1" applyBorder="1" applyAlignment="1">
      <alignment horizontal="center"/>
    </xf>
    <xf numFmtId="0" fontId="32" fillId="0" borderId="0" xfId="4" applyFont="1"/>
    <xf numFmtId="167" fontId="7" fillId="0" borderId="1" xfId="0" applyNumberFormat="1" applyFont="1" applyFill="1" applyBorder="1" applyAlignment="1">
      <alignment horizontal="center" vertical="center" wrapText="1"/>
    </xf>
    <xf numFmtId="0" fontId="10" fillId="7" borderId="6" xfId="0" applyFont="1" applyFill="1" applyBorder="1" applyAlignment="1">
      <alignment horizontal="center" vertical="center" wrapText="1"/>
    </xf>
    <xf numFmtId="0" fontId="0" fillId="7" borderId="9" xfId="0" applyFill="1" applyBorder="1" applyAlignment="1">
      <alignment horizontal="center" vertical="center" wrapText="1"/>
    </xf>
    <xf numFmtId="0" fontId="6" fillId="7" borderId="6" xfId="0" applyFont="1" applyFill="1" applyBorder="1" applyAlignment="1">
      <alignment vertical="center" wrapText="1"/>
    </xf>
    <xf numFmtId="0" fontId="0" fillId="7" borderId="9" xfId="0" applyFill="1" applyBorder="1" applyAlignment="1">
      <alignment vertical="center" wrapText="1"/>
    </xf>
    <xf numFmtId="0" fontId="10" fillId="8" borderId="6" xfId="0" applyFont="1" applyFill="1" applyBorder="1" applyAlignment="1">
      <alignment horizontal="center" vertical="center" wrapText="1"/>
    </xf>
    <xf numFmtId="0" fontId="0" fillId="8" borderId="9" xfId="0" applyFill="1" applyBorder="1" applyAlignment="1">
      <alignment horizontal="center" vertical="center" wrapText="1"/>
    </xf>
    <xf numFmtId="0" fontId="6" fillId="8" borderId="6" xfId="0" applyFont="1" applyFill="1" applyBorder="1" applyAlignment="1">
      <alignment vertical="center" wrapText="1"/>
    </xf>
    <xf numFmtId="0" fontId="0" fillId="8" borderId="9" xfId="0" applyFill="1" applyBorder="1" applyAlignment="1">
      <alignment vertical="center" wrapTex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10" fillId="8" borderId="6" xfId="0" applyFont="1" applyFill="1" applyBorder="1" applyAlignment="1">
      <alignment horizontal="left" vertical="center" wrapText="1"/>
    </xf>
    <xf numFmtId="0" fontId="0" fillId="8" borderId="7" xfId="0" applyFill="1" applyBorder="1" applyAlignment="1">
      <alignment vertical="center" wrapText="1"/>
    </xf>
    <xf numFmtId="0" fontId="0" fillId="8" borderId="7" xfId="0" applyFill="1" applyBorder="1" applyAlignment="1">
      <alignment horizontal="center" vertical="center" wrapText="1"/>
    </xf>
    <xf numFmtId="0" fontId="0" fillId="7" borderId="7" xfId="0" applyFill="1" applyBorder="1" applyAlignment="1">
      <alignment horizontal="center" vertical="center" wrapText="1"/>
    </xf>
    <xf numFmtId="0" fontId="10" fillId="7" borderId="6" xfId="0" applyFont="1" applyFill="1" applyBorder="1" applyAlignment="1">
      <alignment horizontal="left" vertical="center" wrapText="1"/>
    </xf>
    <xf numFmtId="0" fontId="0" fillId="7" borderId="7" xfId="0" applyFill="1" applyBorder="1" applyAlignment="1">
      <alignment horizontal="left" vertical="center" wrapText="1"/>
    </xf>
    <xf numFmtId="0" fontId="0" fillId="7" borderId="9" xfId="0" applyFill="1" applyBorder="1" applyAlignment="1">
      <alignment horizontal="left" vertical="center" wrapText="1"/>
    </xf>
    <xf numFmtId="0" fontId="0" fillId="8" borderId="7" xfId="0" applyFill="1" applyBorder="1" applyAlignment="1">
      <alignment horizontal="left" vertical="center" wrapText="1"/>
    </xf>
    <xf numFmtId="0" fontId="0" fillId="8" borderId="9" xfId="0" applyFill="1" applyBorder="1" applyAlignment="1">
      <alignment horizontal="left" vertical="center" wrapText="1"/>
    </xf>
    <xf numFmtId="0" fontId="10" fillId="8" borderId="7" xfId="0" applyFont="1" applyFill="1" applyBorder="1" applyAlignment="1">
      <alignment horizontal="left" vertical="center" wrapText="1"/>
    </xf>
    <xf numFmtId="0" fontId="10" fillId="8" borderId="9" xfId="0" applyFont="1" applyFill="1" applyBorder="1" applyAlignment="1">
      <alignment horizontal="left" vertical="center" wrapText="1"/>
    </xf>
    <xf numFmtId="0" fontId="10" fillId="8" borderId="7"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0" fillId="7" borderId="7" xfId="0" applyFill="1" applyBorder="1" applyAlignment="1">
      <alignment vertical="center" wrapText="1"/>
    </xf>
    <xf numFmtId="0" fontId="8" fillId="0" borderId="1" xfId="0" applyFont="1" applyFill="1" applyBorder="1" applyAlignment="1">
      <alignment horizontal="center" vertical="center" wrapText="1"/>
    </xf>
    <xf numFmtId="0" fontId="4" fillId="0" borderId="0" xfId="0" applyFont="1" applyFill="1" applyAlignment="1">
      <alignment horizontal="right" vertical="center" wrapTex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18" fillId="0" borderId="0" xfId="0" applyFont="1" applyAlignment="1">
      <alignment horizontal="center" vertical="center" wrapText="1"/>
    </xf>
    <xf numFmtId="0" fontId="23" fillId="0" borderId="6"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11" fillId="0" borderId="6" xfId="0" applyFont="1" applyFill="1" applyBorder="1" applyAlignment="1">
      <alignment horizontal="center" vertical="center"/>
    </xf>
    <xf numFmtId="0" fontId="0" fillId="0" borderId="9" xfId="0" applyBorder="1" applyAlignment="1">
      <alignment horizontal="center" vertical="center"/>
    </xf>
    <xf numFmtId="0" fontId="0" fillId="0" borderId="7" xfId="0" applyBorder="1" applyAlignment="1">
      <alignment horizontal="center" vertical="center"/>
    </xf>
    <xf numFmtId="0" fontId="11" fillId="0" borderId="6" xfId="0" applyFont="1" applyBorder="1" applyAlignment="1">
      <alignment horizontal="center" vertical="center"/>
    </xf>
    <xf numFmtId="0" fontId="11" fillId="0" borderId="0" xfId="4" applyFont="1" applyAlignment="1">
      <alignment horizontal="left" wrapText="1"/>
    </xf>
    <xf numFmtId="0" fontId="11" fillId="0" borderId="0" xfId="4" applyFont="1" applyBorder="1" applyAlignment="1">
      <alignment wrapText="1"/>
    </xf>
    <xf numFmtId="0" fontId="14" fillId="0" borderId="0" xfId="4" applyBorder="1" applyAlignment="1">
      <alignment wrapText="1"/>
    </xf>
    <xf numFmtId="0" fontId="28" fillId="0" borderId="1" xfId="4" applyFont="1" applyBorder="1" applyAlignment="1">
      <alignment horizontal="center" vertical="center" wrapText="1"/>
    </xf>
    <xf numFmtId="0" fontId="28" fillId="0" borderId="10" xfId="4" applyFont="1" applyBorder="1" applyAlignment="1">
      <alignment horizontal="center" vertical="center" wrapText="1"/>
    </xf>
    <xf numFmtId="0" fontId="28" fillId="0" borderId="5" xfId="4" applyFont="1" applyBorder="1" applyAlignment="1">
      <alignment horizontal="center" vertical="center" wrapText="1"/>
    </xf>
    <xf numFmtId="0" fontId="12" fillId="0" borderId="0" xfId="4" applyFont="1" applyBorder="1" applyAlignment="1">
      <alignment horizontal="right" vertical="center" wrapText="1"/>
    </xf>
    <xf numFmtId="0" fontId="14" fillId="0" borderId="0" xfId="4" applyAlignment="1"/>
    <xf numFmtId="0" fontId="27" fillId="0" borderId="0" xfId="4" applyFont="1" applyAlignment="1">
      <alignment horizontal="right" vertical="center"/>
    </xf>
    <xf numFmtId="0" fontId="6" fillId="0" borderId="0" xfId="4" applyFont="1" applyAlignment="1">
      <alignment horizontal="center" vertical="top" wrapText="1"/>
    </xf>
    <xf numFmtId="0" fontId="27" fillId="0" borderId="0" xfId="4" applyFont="1" applyAlignment="1">
      <alignment horizontal="center" vertical="top"/>
    </xf>
    <xf numFmtId="0" fontId="28" fillId="0" borderId="2" xfId="4" applyFont="1" applyBorder="1" applyAlignment="1">
      <alignment horizontal="center" vertical="center" wrapText="1"/>
    </xf>
    <xf numFmtId="0" fontId="6" fillId="0" borderId="10" xfId="4" applyFont="1" applyBorder="1" applyAlignment="1">
      <alignment horizontal="center" vertical="center"/>
    </xf>
    <xf numFmtId="0" fontId="6" fillId="0" borderId="1" xfId="4" applyFont="1" applyBorder="1" applyAlignment="1">
      <alignment horizontal="center" vertical="center"/>
    </xf>
    <xf numFmtId="0" fontId="6" fillId="0" borderId="5" xfId="4" applyFont="1" applyBorder="1" applyAlignment="1">
      <alignment horizontal="center" vertical="center"/>
    </xf>
    <xf numFmtId="0" fontId="14" fillId="0" borderId="0" xfId="4" applyAlignment="1">
      <alignment horizontal="right" vertical="center" wrapText="1"/>
    </xf>
    <xf numFmtId="0" fontId="14" fillId="0" borderId="0" xfId="4" applyAlignment="1">
      <alignment horizontal="right" vertical="center"/>
    </xf>
    <xf numFmtId="0" fontId="27" fillId="0" borderId="0" xfId="4" applyFont="1" applyAlignment="1">
      <alignment horizontal="center" vertical="top" wrapText="1"/>
    </xf>
    <xf numFmtId="165" fontId="12" fillId="0" borderId="1" xfId="4" applyNumberFormat="1" applyFont="1" applyBorder="1" applyAlignment="1">
      <alignment horizontal="center" vertical="center" wrapText="1"/>
    </xf>
    <xf numFmtId="3" fontId="12" fillId="0" borderId="1" xfId="4" applyNumberFormat="1" applyFont="1" applyBorder="1" applyAlignment="1">
      <alignment horizontal="center" vertical="center" wrapText="1"/>
    </xf>
  </cellXfs>
  <cellStyles count="9">
    <cellStyle name="Обычный" xfId="0" builtinId="0"/>
    <cellStyle name="Обычный 2" xfId="1"/>
    <cellStyle name="Обычный 3" xfId="4"/>
    <cellStyle name="Обычный 4" xfId="8"/>
    <cellStyle name="Обычный 7" xfId="2"/>
    <cellStyle name="Обычный_Вихарева" xfId="7"/>
    <cellStyle name="Обычный_Приложение 1" xfId="5"/>
    <cellStyle name="Финансовый" xfId="6" builtinId="3"/>
    <cellStyle name="Финансовый 2" xfId="3"/>
  </cellStyles>
  <dxfs count="0"/>
  <tableStyles count="0" defaultTableStyle="TableStyleMedium2" defaultPivotStyle="PivotStyleLight16"/>
  <colors>
    <mruColors>
      <color rgb="FFFF66FF"/>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AG12151"/>
  <sheetViews>
    <sheetView tabSelected="1" view="pageBreakPreview" zoomScale="60" zoomScaleNormal="60" workbookViewId="0">
      <pane ySplit="10" topLeftCell="A3623" activePane="bottomLeft" state="frozen"/>
      <selection pane="bottomLeft" activeCell="H3646" sqref="H3646"/>
    </sheetView>
  </sheetViews>
  <sheetFormatPr defaultRowHeight="15" outlineLevelRow="1" outlineLevelCol="1" x14ac:dyDescent="0.25"/>
  <cols>
    <col min="1" max="1" width="18.85546875" style="1" hidden="1" customWidth="1" outlineLevel="1"/>
    <col min="2" max="2" width="13.85546875" style="1" customWidth="1" collapsed="1"/>
    <col min="3" max="3" width="83.140625" style="2" customWidth="1"/>
    <col min="4" max="4" width="20.28515625" style="1" customWidth="1"/>
    <col min="5" max="5" width="17.140625" style="1" customWidth="1" outlineLevel="1"/>
    <col min="6" max="6" width="37.42578125" style="1" customWidth="1"/>
    <col min="7" max="7" width="17.85546875" style="1" customWidth="1"/>
    <col min="8" max="8" width="30.140625" style="1" customWidth="1"/>
    <col min="9" max="33" width="9.140625" style="30"/>
  </cols>
  <sheetData>
    <row r="2" spans="1:33" s="3" customFormat="1" x14ac:dyDescent="0.25">
      <c r="A2" s="1"/>
      <c r="B2" s="200" t="s">
        <v>37</v>
      </c>
      <c r="C2" s="200"/>
      <c r="D2" s="200"/>
      <c r="E2" s="200"/>
      <c r="F2" s="200"/>
      <c r="G2" s="200"/>
      <c r="H2" s="200"/>
      <c r="I2" s="29"/>
      <c r="J2" s="29"/>
      <c r="K2" s="29"/>
      <c r="L2" s="29"/>
      <c r="M2" s="29"/>
      <c r="N2" s="29"/>
      <c r="O2" s="29"/>
      <c r="P2" s="29"/>
      <c r="Q2" s="29"/>
      <c r="R2" s="29"/>
      <c r="S2" s="29"/>
      <c r="T2" s="29"/>
      <c r="U2" s="29"/>
      <c r="V2" s="29"/>
      <c r="W2" s="29"/>
      <c r="X2" s="29"/>
      <c r="Y2" s="29"/>
      <c r="Z2" s="29"/>
      <c r="AA2" s="29"/>
      <c r="AB2" s="29"/>
      <c r="AC2" s="29"/>
      <c r="AD2" s="29"/>
      <c r="AE2" s="29"/>
      <c r="AF2" s="29"/>
      <c r="AG2" s="29"/>
    </row>
    <row r="3" spans="1:33" s="3" customFormat="1" x14ac:dyDescent="0.25">
      <c r="A3" s="1"/>
      <c r="B3" s="200" t="s">
        <v>18</v>
      </c>
      <c r="C3" s="200"/>
      <c r="D3" s="200"/>
      <c r="E3" s="200"/>
      <c r="F3" s="200"/>
      <c r="G3" s="200"/>
      <c r="H3" s="200"/>
      <c r="I3" s="29"/>
      <c r="J3" s="29"/>
      <c r="K3" s="29"/>
      <c r="L3" s="29"/>
      <c r="M3" s="29"/>
      <c r="N3" s="29"/>
      <c r="O3" s="29"/>
      <c r="P3" s="29"/>
      <c r="Q3" s="29"/>
      <c r="R3" s="29"/>
      <c r="S3" s="29"/>
      <c r="T3" s="29"/>
      <c r="U3" s="29"/>
      <c r="V3" s="29"/>
      <c r="W3" s="29"/>
      <c r="X3" s="29"/>
      <c r="Y3" s="29"/>
      <c r="Z3" s="29"/>
      <c r="AA3" s="29"/>
      <c r="AB3" s="29"/>
      <c r="AC3" s="29"/>
      <c r="AD3" s="29"/>
      <c r="AE3" s="29"/>
      <c r="AF3" s="29"/>
      <c r="AG3" s="29"/>
    </row>
    <row r="4" spans="1:33" s="3" customFormat="1" x14ac:dyDescent="0.25">
      <c r="A4" s="1"/>
      <c r="B4" s="200" t="s">
        <v>19</v>
      </c>
      <c r="C4" s="200"/>
      <c r="D4" s="200"/>
      <c r="E4" s="200"/>
      <c r="F4" s="200"/>
      <c r="G4" s="200"/>
      <c r="H4" s="200"/>
      <c r="I4" s="29"/>
      <c r="J4" s="29"/>
      <c r="K4" s="29"/>
      <c r="L4" s="29"/>
      <c r="M4" s="29"/>
      <c r="N4" s="29"/>
      <c r="O4" s="29"/>
      <c r="P4" s="29"/>
      <c r="Q4" s="29"/>
      <c r="R4" s="29"/>
      <c r="S4" s="29"/>
      <c r="T4" s="29"/>
      <c r="U4" s="29"/>
      <c r="V4" s="29"/>
      <c r="W4" s="29"/>
      <c r="X4" s="29"/>
      <c r="Y4" s="29"/>
      <c r="Z4" s="29"/>
      <c r="AA4" s="29"/>
      <c r="AB4" s="29"/>
      <c r="AC4" s="29"/>
      <c r="AD4" s="29"/>
      <c r="AE4" s="29"/>
      <c r="AF4" s="29"/>
      <c r="AG4" s="29"/>
    </row>
    <row r="5" spans="1:33" s="3" customFormat="1" ht="15" customHeight="1" x14ac:dyDescent="0.25">
      <c r="A5" s="1"/>
      <c r="B5" s="200" t="s">
        <v>20</v>
      </c>
      <c r="C5" s="200"/>
      <c r="D5" s="200"/>
      <c r="E5" s="200"/>
      <c r="F5" s="200"/>
      <c r="G5" s="200"/>
      <c r="H5" s="200"/>
      <c r="I5" s="29"/>
      <c r="J5" s="29"/>
      <c r="K5" s="29"/>
      <c r="L5" s="29"/>
      <c r="M5" s="29"/>
      <c r="N5" s="29"/>
      <c r="O5" s="29"/>
      <c r="P5" s="29"/>
      <c r="Q5" s="29"/>
      <c r="R5" s="29"/>
      <c r="S5" s="29"/>
      <c r="T5" s="29"/>
      <c r="U5" s="29"/>
      <c r="V5" s="29"/>
      <c r="W5" s="29"/>
      <c r="X5" s="29"/>
      <c r="Y5" s="29"/>
      <c r="Z5" s="29"/>
      <c r="AA5" s="29"/>
      <c r="AB5" s="29"/>
      <c r="AC5" s="29"/>
      <c r="AD5" s="29"/>
      <c r="AE5" s="29"/>
      <c r="AF5" s="29"/>
      <c r="AG5" s="29"/>
    </row>
    <row r="6" spans="1:33" s="3" customFormat="1" x14ac:dyDescent="0.25">
      <c r="A6" s="1"/>
      <c r="B6" s="200" t="s">
        <v>3238</v>
      </c>
      <c r="C6" s="200"/>
      <c r="D6" s="200"/>
      <c r="E6" s="200"/>
      <c r="F6" s="200"/>
      <c r="G6" s="200"/>
      <c r="H6" s="200"/>
      <c r="I6" s="29"/>
      <c r="J6" s="29"/>
      <c r="K6" s="29"/>
      <c r="L6" s="29"/>
      <c r="M6" s="29"/>
      <c r="N6" s="29"/>
      <c r="O6" s="29"/>
      <c r="P6" s="29"/>
      <c r="Q6" s="29"/>
      <c r="R6" s="29"/>
      <c r="S6" s="29"/>
      <c r="T6" s="29"/>
      <c r="U6" s="29"/>
      <c r="V6" s="29"/>
      <c r="W6" s="29"/>
      <c r="X6" s="29"/>
      <c r="Y6" s="29"/>
      <c r="Z6" s="29"/>
      <c r="AA6" s="29"/>
      <c r="AB6" s="29"/>
      <c r="AC6" s="29"/>
      <c r="AD6" s="29"/>
      <c r="AE6" s="29"/>
      <c r="AF6" s="29"/>
      <c r="AG6" s="29"/>
    </row>
    <row r="7" spans="1:33" s="3" customFormat="1" ht="15" customHeight="1" x14ac:dyDescent="0.25">
      <c r="A7" s="1"/>
      <c r="B7" s="88"/>
      <c r="C7" s="88"/>
      <c r="D7" s="88"/>
      <c r="E7" s="88"/>
      <c r="F7" s="88"/>
      <c r="G7" s="88"/>
      <c r="H7" s="88"/>
      <c r="I7" s="29"/>
      <c r="J7" s="29"/>
      <c r="K7" s="29"/>
      <c r="L7" s="29"/>
      <c r="M7" s="29"/>
      <c r="N7" s="29"/>
      <c r="O7" s="29"/>
      <c r="P7" s="29"/>
      <c r="Q7" s="29"/>
      <c r="R7" s="29"/>
      <c r="S7" s="29"/>
      <c r="T7" s="29"/>
      <c r="U7" s="29"/>
      <c r="V7" s="29"/>
      <c r="W7" s="29"/>
      <c r="X7" s="29"/>
      <c r="Y7" s="29"/>
      <c r="Z7" s="29"/>
      <c r="AA7" s="29"/>
      <c r="AB7" s="29"/>
      <c r="AC7" s="29"/>
      <c r="AD7" s="29"/>
      <c r="AE7" s="29"/>
      <c r="AF7" s="29"/>
      <c r="AG7" s="29"/>
    </row>
    <row r="8" spans="1:33" ht="69" customHeight="1" x14ac:dyDescent="0.25">
      <c r="B8" s="204" t="s">
        <v>253</v>
      </c>
      <c r="C8" s="204"/>
      <c r="D8" s="204"/>
      <c r="E8" s="204"/>
      <c r="F8" s="204"/>
      <c r="G8" s="204"/>
      <c r="H8" s="204"/>
    </row>
    <row r="9" spans="1:33" s="5" customFormat="1" ht="105" customHeight="1" x14ac:dyDescent="0.25">
      <c r="A9" s="4" t="s">
        <v>1104</v>
      </c>
      <c r="B9" s="4" t="s">
        <v>3185</v>
      </c>
      <c r="C9" s="4" t="s">
        <v>15</v>
      </c>
      <c r="D9" s="4" t="s">
        <v>12</v>
      </c>
      <c r="E9" s="4" t="s">
        <v>13</v>
      </c>
      <c r="F9" s="4" t="s">
        <v>16</v>
      </c>
      <c r="G9" s="4" t="s">
        <v>14</v>
      </c>
      <c r="H9" s="4" t="s">
        <v>17</v>
      </c>
    </row>
    <row r="10" spans="1:33" s="5" customFormat="1" ht="16.5" customHeight="1" x14ac:dyDescent="0.25">
      <c r="A10" s="4"/>
      <c r="B10" s="4">
        <v>1</v>
      </c>
      <c r="C10" s="4">
        <v>2</v>
      </c>
      <c r="D10" s="4">
        <v>3</v>
      </c>
      <c r="E10" s="4">
        <v>4</v>
      </c>
      <c r="F10" s="4">
        <v>5</v>
      </c>
      <c r="G10" s="4">
        <v>6</v>
      </c>
      <c r="H10" s="4">
        <v>7</v>
      </c>
    </row>
    <row r="11" spans="1:33" s="28" customFormat="1" ht="28.5" customHeight="1" x14ac:dyDescent="0.25">
      <c r="A11" s="4"/>
      <c r="B11" s="201" t="s">
        <v>9156</v>
      </c>
      <c r="C11" s="202"/>
      <c r="D11" s="202"/>
      <c r="E11" s="202"/>
      <c r="F11" s="202"/>
      <c r="G11" s="202"/>
      <c r="H11" s="203"/>
      <c r="I11" s="5"/>
      <c r="J11" s="5"/>
      <c r="K11" s="5"/>
      <c r="L11" s="5"/>
      <c r="M11" s="5"/>
      <c r="N11" s="5"/>
      <c r="O11" s="5"/>
      <c r="P11" s="5"/>
      <c r="Q11" s="5"/>
      <c r="R11" s="5"/>
      <c r="S11" s="5"/>
      <c r="T11" s="5"/>
      <c r="U11" s="5"/>
      <c r="V11" s="5"/>
      <c r="W11" s="5"/>
      <c r="X11" s="5"/>
      <c r="Y11" s="5"/>
      <c r="Z11" s="5"/>
      <c r="AA11" s="5"/>
      <c r="AB11" s="5"/>
      <c r="AC11" s="5"/>
      <c r="AD11" s="5"/>
      <c r="AE11" s="5"/>
      <c r="AF11" s="5"/>
      <c r="AG11" s="5"/>
    </row>
    <row r="12" spans="1:33" s="5" customFormat="1" ht="12.75" customHeight="1" x14ac:dyDescent="0.25">
      <c r="A12" s="208"/>
      <c r="B12" s="178" t="s">
        <v>38</v>
      </c>
      <c r="C12" s="185" t="s">
        <v>3186</v>
      </c>
      <c r="D12" s="185"/>
      <c r="E12" s="178" t="s">
        <v>21</v>
      </c>
      <c r="F12" s="185"/>
      <c r="G12" s="185"/>
      <c r="H12" s="185"/>
    </row>
    <row r="13" spans="1:33" s="5" customFormat="1" ht="11.25" customHeight="1" x14ac:dyDescent="0.25">
      <c r="A13" s="210"/>
      <c r="B13" s="187"/>
      <c r="C13" s="192"/>
      <c r="D13" s="192"/>
      <c r="E13" s="187"/>
      <c r="F13" s="192"/>
      <c r="G13" s="192"/>
      <c r="H13" s="192"/>
    </row>
    <row r="14" spans="1:33" s="5" customFormat="1" ht="15.75" x14ac:dyDescent="0.25">
      <c r="A14" s="210"/>
      <c r="B14" s="187"/>
      <c r="C14" s="192"/>
      <c r="D14" s="192"/>
      <c r="E14" s="187"/>
      <c r="F14" s="192"/>
      <c r="G14" s="192"/>
      <c r="H14" s="192"/>
    </row>
    <row r="15" spans="1:33" s="9" customFormat="1" ht="6" customHeight="1" x14ac:dyDescent="0.25">
      <c r="A15" s="209"/>
      <c r="B15" s="187"/>
      <c r="C15" s="192"/>
      <c r="D15" s="192"/>
      <c r="E15" s="179"/>
      <c r="F15" s="192"/>
      <c r="G15" s="192"/>
      <c r="H15" s="192"/>
      <c r="I15" s="5"/>
      <c r="J15" s="5"/>
      <c r="K15" s="5"/>
      <c r="L15" s="5"/>
      <c r="M15" s="5"/>
      <c r="N15" s="5"/>
      <c r="O15" s="5"/>
      <c r="P15" s="5"/>
      <c r="Q15" s="5"/>
      <c r="R15" s="5"/>
      <c r="S15" s="5"/>
      <c r="T15" s="5"/>
      <c r="U15" s="5"/>
      <c r="V15" s="5"/>
      <c r="W15" s="5"/>
      <c r="X15" s="5"/>
      <c r="Y15" s="5"/>
      <c r="Z15" s="5"/>
      <c r="AA15" s="5"/>
      <c r="AB15" s="5"/>
      <c r="AC15" s="5"/>
      <c r="AD15" s="5"/>
      <c r="AE15" s="5"/>
      <c r="AF15" s="5"/>
      <c r="AG15" s="5"/>
    </row>
    <row r="16" spans="1:33" s="9" customFormat="1" ht="16.5" hidden="1" customHeight="1" thickBot="1" x14ac:dyDescent="0.25">
      <c r="A16" s="4"/>
      <c r="B16" s="179"/>
      <c r="C16" s="193"/>
      <c r="D16" s="193"/>
      <c r="E16" s="58"/>
      <c r="F16" s="193"/>
      <c r="G16" s="193"/>
      <c r="H16" s="193"/>
      <c r="I16" s="5"/>
      <c r="J16" s="5"/>
      <c r="K16" s="5"/>
      <c r="L16" s="5"/>
      <c r="M16" s="5"/>
      <c r="N16" s="5"/>
      <c r="O16" s="5"/>
      <c r="P16" s="5"/>
      <c r="Q16" s="5"/>
      <c r="R16" s="5"/>
      <c r="S16" s="5"/>
      <c r="T16" s="5"/>
      <c r="U16" s="5"/>
      <c r="V16" s="5"/>
      <c r="W16" s="5"/>
      <c r="X16" s="5"/>
      <c r="Y16" s="5"/>
      <c r="Z16" s="5"/>
      <c r="AA16" s="5"/>
      <c r="AB16" s="5"/>
      <c r="AC16" s="5"/>
      <c r="AD16" s="5"/>
      <c r="AE16" s="5"/>
      <c r="AF16" s="5"/>
      <c r="AG16" s="5"/>
    </row>
    <row r="17" spans="1:33" s="9" customFormat="1" ht="17.25" customHeight="1" x14ac:dyDescent="0.25">
      <c r="A17" s="4"/>
      <c r="B17" s="7" t="s">
        <v>38</v>
      </c>
      <c r="C17" s="8" t="s">
        <v>1102</v>
      </c>
      <c r="D17" s="7">
        <v>2020</v>
      </c>
      <c r="E17" s="7" t="s">
        <v>21</v>
      </c>
      <c r="F17" s="7">
        <f>SUMIF($D$20:$D$905,$D$17,$F$20:$F$905)</f>
        <v>9311</v>
      </c>
      <c r="G17" s="10">
        <f>SUMIF($D$20:$D$905,$D$17,$G$20:$G$905)</f>
        <v>1651</v>
      </c>
      <c r="H17" s="10">
        <f>SUMIF($D$20:$D$905,$D$17,$H$20:$H$905)</f>
        <v>14379.368020000004</v>
      </c>
      <c r="I17" s="5"/>
      <c r="J17" s="5"/>
      <c r="K17" s="5"/>
      <c r="L17" s="5"/>
      <c r="M17" s="5"/>
      <c r="N17" s="5"/>
      <c r="O17" s="5"/>
      <c r="P17" s="5"/>
      <c r="Q17" s="5"/>
      <c r="R17" s="5"/>
      <c r="S17" s="5"/>
      <c r="T17" s="5"/>
      <c r="U17" s="5"/>
      <c r="V17" s="5"/>
      <c r="W17" s="5"/>
      <c r="X17" s="5"/>
      <c r="Y17" s="5"/>
      <c r="Z17" s="5"/>
      <c r="AA17" s="5"/>
      <c r="AB17" s="5"/>
      <c r="AC17" s="5"/>
      <c r="AD17" s="5"/>
      <c r="AE17" s="5"/>
      <c r="AF17" s="5"/>
      <c r="AG17" s="5"/>
    </row>
    <row r="18" spans="1:33" s="25" customFormat="1" ht="17.25" customHeight="1" x14ac:dyDescent="0.25">
      <c r="A18" s="4"/>
      <c r="B18" s="7" t="s">
        <v>38</v>
      </c>
      <c r="C18" s="8" t="s">
        <v>1102</v>
      </c>
      <c r="D18" s="7">
        <v>2021</v>
      </c>
      <c r="E18" s="7" t="s">
        <v>21</v>
      </c>
      <c r="F18" s="7">
        <f>SUMIF($D$20:$D$905,$D$18,$F$20:$F$905)</f>
        <v>21011</v>
      </c>
      <c r="G18" s="10">
        <f>SUMIF($D$20:$D$905,$D$18,$G$20:$G$905)</f>
        <v>3094.5299999999997</v>
      </c>
      <c r="H18" s="10">
        <f>SUMIF($D$20:$D$905,$D$18,$H$20:$H$905)</f>
        <v>32601.23367999999</v>
      </c>
      <c r="I18" s="5"/>
      <c r="J18" s="5"/>
      <c r="K18" s="5"/>
      <c r="L18" s="5"/>
      <c r="M18" s="5"/>
      <c r="N18" s="5"/>
      <c r="O18" s="5"/>
      <c r="P18" s="5"/>
      <c r="Q18" s="5"/>
      <c r="R18" s="5"/>
      <c r="S18" s="5"/>
      <c r="T18" s="5"/>
      <c r="U18" s="5"/>
      <c r="V18" s="5"/>
      <c r="W18" s="5"/>
      <c r="X18" s="5"/>
      <c r="Y18" s="5"/>
      <c r="Z18" s="5"/>
      <c r="AA18" s="5"/>
      <c r="AB18" s="5"/>
      <c r="AC18" s="5"/>
      <c r="AD18" s="5"/>
      <c r="AE18" s="5"/>
      <c r="AF18" s="5"/>
      <c r="AG18" s="5"/>
    </row>
    <row r="19" spans="1:33" s="5" customFormat="1" ht="29.25" customHeight="1" x14ac:dyDescent="0.25">
      <c r="A19" s="4"/>
      <c r="B19" s="7" t="s">
        <v>38</v>
      </c>
      <c r="C19" s="8" t="s">
        <v>3929</v>
      </c>
      <c r="D19" s="7">
        <v>2022</v>
      </c>
      <c r="E19" s="7" t="s">
        <v>21</v>
      </c>
      <c r="F19" s="7">
        <f>SUMIF($D$20:$D$905,$D$19,$F$20:$F$905)</f>
        <v>89960</v>
      </c>
      <c r="G19" s="10">
        <f>SUMIF($D$20:$D$905,$D$19,$G$20:$G$905)</f>
        <v>18210.940000000002</v>
      </c>
      <c r="H19" s="10">
        <f>SUMIF($D$20:$D$905,$D$19,$H$20:$H$905)</f>
        <v>142192.92910199999</v>
      </c>
    </row>
    <row r="20" spans="1:33" s="5" customFormat="1" ht="78.75" hidden="1" outlineLevel="1" x14ac:dyDescent="0.25">
      <c r="A20" s="4">
        <v>2924</v>
      </c>
      <c r="B20" s="6" t="s">
        <v>38</v>
      </c>
      <c r="C20" s="38" t="s">
        <v>3239</v>
      </c>
      <c r="D20" s="6">
        <v>2022</v>
      </c>
      <c r="E20" s="6" t="s">
        <v>21</v>
      </c>
      <c r="F20" s="6">
        <v>276</v>
      </c>
      <c r="G20" s="6">
        <v>15</v>
      </c>
      <c r="H20" s="6">
        <f>0.487127*(1000)</f>
        <v>487.12699999999995</v>
      </c>
    </row>
    <row r="21" spans="1:33" s="5" customFormat="1" ht="110.25" hidden="1" outlineLevel="1" x14ac:dyDescent="0.25">
      <c r="A21" s="4">
        <v>2926</v>
      </c>
      <c r="B21" s="6" t="s">
        <v>38</v>
      </c>
      <c r="C21" s="38" t="s">
        <v>3240</v>
      </c>
      <c r="D21" s="6">
        <v>2022</v>
      </c>
      <c r="E21" s="6" t="s">
        <v>21</v>
      </c>
      <c r="F21" s="6">
        <v>1</v>
      </c>
      <c r="G21" s="6">
        <v>15</v>
      </c>
      <c r="H21" s="6">
        <f>0.106*(1000)</f>
        <v>106</v>
      </c>
    </row>
    <row r="22" spans="1:33" s="5" customFormat="1" ht="78.75" hidden="1" outlineLevel="1" x14ac:dyDescent="0.25">
      <c r="A22" s="4">
        <v>2850</v>
      </c>
      <c r="B22" s="6" t="s">
        <v>38</v>
      </c>
      <c r="C22" s="38" t="s">
        <v>3241</v>
      </c>
      <c r="D22" s="6">
        <v>2022</v>
      </c>
      <c r="E22" s="6" t="s">
        <v>21</v>
      </c>
      <c r="F22" s="6">
        <v>190</v>
      </c>
      <c r="G22" s="6">
        <v>10</v>
      </c>
      <c r="H22" s="6">
        <f>0.368856*(1000)</f>
        <v>368.85599999999999</v>
      </c>
    </row>
    <row r="23" spans="1:33" s="5" customFormat="1" ht="78.75" hidden="1" outlineLevel="1" x14ac:dyDescent="0.25">
      <c r="A23" s="4">
        <v>2888</v>
      </c>
      <c r="B23" s="6" t="s">
        <v>38</v>
      </c>
      <c r="C23" s="38" t="s">
        <v>3242</v>
      </c>
      <c r="D23" s="6">
        <v>2022</v>
      </c>
      <c r="E23" s="6" t="s">
        <v>21</v>
      </c>
      <c r="F23" s="6">
        <v>104</v>
      </c>
      <c r="G23" s="6">
        <v>15</v>
      </c>
      <c r="H23" s="6">
        <f>0.212129*(1000)</f>
        <v>212.12900000000002</v>
      </c>
    </row>
    <row r="24" spans="1:33" s="5" customFormat="1" ht="78.75" hidden="1" outlineLevel="1" x14ac:dyDescent="0.25">
      <c r="A24" s="4">
        <v>2917</v>
      </c>
      <c r="B24" s="6" t="s">
        <v>38</v>
      </c>
      <c r="C24" s="38" t="s">
        <v>3243</v>
      </c>
      <c r="D24" s="6">
        <v>2022</v>
      </c>
      <c r="E24" s="6" t="s">
        <v>21</v>
      </c>
      <c r="F24" s="6">
        <v>378</v>
      </c>
      <c r="G24" s="6">
        <v>15</v>
      </c>
      <c r="H24" s="6">
        <f>0.357486*(1000)</f>
        <v>357.48600000000005</v>
      </c>
    </row>
    <row r="25" spans="1:33" s="5" customFormat="1" ht="110.25" hidden="1" outlineLevel="1" x14ac:dyDescent="0.25">
      <c r="A25" s="4">
        <v>2927</v>
      </c>
      <c r="B25" s="6" t="s">
        <v>38</v>
      </c>
      <c r="C25" s="38" t="s">
        <v>3244</v>
      </c>
      <c r="D25" s="6">
        <v>2022</v>
      </c>
      <c r="E25" s="6" t="s">
        <v>21</v>
      </c>
      <c r="F25" s="6">
        <v>42</v>
      </c>
      <c r="G25" s="6">
        <v>10</v>
      </c>
      <c r="H25" s="6">
        <f>0.21778*(1000)</f>
        <v>217.78</v>
      </c>
    </row>
    <row r="26" spans="1:33" s="5" customFormat="1" ht="94.5" hidden="1" outlineLevel="1" x14ac:dyDescent="0.25">
      <c r="A26" s="4">
        <v>2718</v>
      </c>
      <c r="B26" s="6" t="s">
        <v>38</v>
      </c>
      <c r="C26" s="38" t="s">
        <v>3245</v>
      </c>
      <c r="D26" s="6">
        <v>2022</v>
      </c>
      <c r="E26" s="6" t="s">
        <v>21</v>
      </c>
      <c r="F26" s="6">
        <v>15</v>
      </c>
      <c r="G26" s="6">
        <v>25</v>
      </c>
      <c r="H26" s="6">
        <f>0.074271*(1000)</f>
        <v>74.271000000000001</v>
      </c>
    </row>
    <row r="27" spans="1:33" s="5" customFormat="1" ht="63" hidden="1" outlineLevel="1" x14ac:dyDescent="0.25">
      <c r="A27" s="4">
        <v>2732</v>
      </c>
      <c r="B27" s="6" t="s">
        <v>38</v>
      </c>
      <c r="C27" s="38" t="s">
        <v>3246</v>
      </c>
      <c r="D27" s="6">
        <v>2022</v>
      </c>
      <c r="E27" s="6" t="s">
        <v>21</v>
      </c>
      <c r="F27" s="6">
        <v>128</v>
      </c>
      <c r="G27" s="6">
        <v>15</v>
      </c>
      <c r="H27" s="6">
        <f>0.264166*(1000)</f>
        <v>264.166</v>
      </c>
    </row>
    <row r="28" spans="1:33" s="5" customFormat="1" ht="78.75" hidden="1" outlineLevel="1" x14ac:dyDescent="0.25">
      <c r="A28" s="4">
        <v>2749</v>
      </c>
      <c r="B28" s="6" t="s">
        <v>38</v>
      </c>
      <c r="C28" s="38" t="s">
        <v>3247</v>
      </c>
      <c r="D28" s="6">
        <v>2022</v>
      </c>
      <c r="E28" s="6" t="s">
        <v>21</v>
      </c>
      <c r="F28" s="6">
        <v>55</v>
      </c>
      <c r="G28" s="6">
        <v>20</v>
      </c>
      <c r="H28" s="6">
        <f>0.083549*(1000)</f>
        <v>83.548999999999992</v>
      </c>
    </row>
    <row r="29" spans="1:33" s="5" customFormat="1" ht="94.5" hidden="1" outlineLevel="1" x14ac:dyDescent="0.25">
      <c r="A29" s="4">
        <v>2750</v>
      </c>
      <c r="B29" s="6" t="s">
        <v>38</v>
      </c>
      <c r="C29" s="38" t="s">
        <v>3248</v>
      </c>
      <c r="D29" s="6">
        <v>2022</v>
      </c>
      <c r="E29" s="6" t="s">
        <v>21</v>
      </c>
      <c r="F29" s="6">
        <v>25</v>
      </c>
      <c r="G29" s="6">
        <v>10</v>
      </c>
      <c r="H29" s="6">
        <f>0.065571*(1000)</f>
        <v>65.570999999999998</v>
      </c>
    </row>
    <row r="30" spans="1:33" s="5" customFormat="1" ht="78.75" hidden="1" outlineLevel="1" x14ac:dyDescent="0.25">
      <c r="A30" s="4">
        <v>2751</v>
      </c>
      <c r="B30" s="6" t="s">
        <v>38</v>
      </c>
      <c r="C30" s="38" t="s">
        <v>3249</v>
      </c>
      <c r="D30" s="6">
        <v>2022</v>
      </c>
      <c r="E30" s="6" t="s">
        <v>21</v>
      </c>
      <c r="F30" s="6">
        <v>35</v>
      </c>
      <c r="G30" s="6">
        <v>15</v>
      </c>
      <c r="H30" s="6">
        <f>0.034855*(1000)</f>
        <v>34.854999999999997</v>
      </c>
    </row>
    <row r="31" spans="1:33" s="5" customFormat="1" ht="110.25" hidden="1" outlineLevel="1" x14ac:dyDescent="0.25">
      <c r="A31" s="4">
        <v>2766</v>
      </c>
      <c r="B31" s="6" t="s">
        <v>38</v>
      </c>
      <c r="C31" s="38" t="s">
        <v>3250</v>
      </c>
      <c r="D31" s="6">
        <v>2022</v>
      </c>
      <c r="E31" s="6" t="s">
        <v>21</v>
      </c>
      <c r="F31" s="6">
        <v>190</v>
      </c>
      <c r="G31" s="6">
        <v>5</v>
      </c>
      <c r="H31" s="6">
        <f>0.169643*(1000)</f>
        <v>169.643</v>
      </c>
    </row>
    <row r="32" spans="1:33" s="5" customFormat="1" ht="94.5" hidden="1" outlineLevel="1" x14ac:dyDescent="0.25">
      <c r="A32" s="4">
        <v>2770</v>
      </c>
      <c r="B32" s="6" t="s">
        <v>38</v>
      </c>
      <c r="C32" s="38" t="s">
        <v>3251</v>
      </c>
      <c r="D32" s="6">
        <v>2022</v>
      </c>
      <c r="E32" s="6" t="s">
        <v>21</v>
      </c>
      <c r="F32" s="6">
        <v>5</v>
      </c>
      <c r="G32" s="6">
        <v>100</v>
      </c>
      <c r="H32" s="6">
        <f>0.064112*(1000)</f>
        <v>64.112000000000009</v>
      </c>
    </row>
    <row r="33" spans="1:8" s="5" customFormat="1" ht="94.5" hidden="1" outlineLevel="1" x14ac:dyDescent="0.25">
      <c r="A33" s="4">
        <v>2771</v>
      </c>
      <c r="B33" s="6" t="s">
        <v>38</v>
      </c>
      <c r="C33" s="38" t="s">
        <v>3252</v>
      </c>
      <c r="D33" s="6">
        <v>2022</v>
      </c>
      <c r="E33" s="6" t="s">
        <v>21</v>
      </c>
      <c r="F33" s="6">
        <v>3</v>
      </c>
      <c r="G33" s="6">
        <v>15</v>
      </c>
      <c r="H33" s="6">
        <f>0.056825*(1000)</f>
        <v>56.825000000000003</v>
      </c>
    </row>
    <row r="34" spans="1:8" s="5" customFormat="1" ht="78.75" hidden="1" outlineLevel="1" x14ac:dyDescent="0.25">
      <c r="A34" s="4">
        <v>2776</v>
      </c>
      <c r="B34" s="6" t="s">
        <v>38</v>
      </c>
      <c r="C34" s="38" t="s">
        <v>3253</v>
      </c>
      <c r="D34" s="6">
        <v>2022</v>
      </c>
      <c r="E34" s="6" t="s">
        <v>21</v>
      </c>
      <c r="F34" s="6">
        <v>98</v>
      </c>
      <c r="G34" s="6">
        <v>10</v>
      </c>
      <c r="H34" s="6">
        <f>0.142145*(1000)</f>
        <v>142.14499999999998</v>
      </c>
    </row>
    <row r="35" spans="1:8" s="5" customFormat="1" ht="78.75" hidden="1" outlineLevel="1" x14ac:dyDescent="0.25">
      <c r="A35" s="4">
        <v>2777</v>
      </c>
      <c r="B35" s="6" t="s">
        <v>38</v>
      </c>
      <c r="C35" s="38" t="s">
        <v>3254</v>
      </c>
      <c r="D35" s="6">
        <v>2022</v>
      </c>
      <c r="E35" s="6" t="s">
        <v>21</v>
      </c>
      <c r="F35" s="6">
        <v>43</v>
      </c>
      <c r="G35" s="6">
        <v>10</v>
      </c>
      <c r="H35" s="6">
        <f>0.101462*(1000)</f>
        <v>101.462</v>
      </c>
    </row>
    <row r="36" spans="1:8" s="5" customFormat="1" ht="78.75" hidden="1" outlineLevel="1" x14ac:dyDescent="0.25">
      <c r="A36" s="4">
        <v>2778</v>
      </c>
      <c r="B36" s="6" t="s">
        <v>38</v>
      </c>
      <c r="C36" s="38" t="s">
        <v>3255</v>
      </c>
      <c r="D36" s="6">
        <v>2022</v>
      </c>
      <c r="E36" s="6" t="s">
        <v>21</v>
      </c>
      <c r="F36" s="6">
        <v>116</v>
      </c>
      <c r="G36" s="6">
        <v>15</v>
      </c>
      <c r="H36" s="6">
        <f>0.149*(1000)</f>
        <v>149</v>
      </c>
    </row>
    <row r="37" spans="1:8" s="5" customFormat="1" ht="94.5" hidden="1" outlineLevel="1" x14ac:dyDescent="0.25">
      <c r="A37" s="4">
        <v>2779</v>
      </c>
      <c r="B37" s="6" t="s">
        <v>38</v>
      </c>
      <c r="C37" s="38" t="s">
        <v>3256</v>
      </c>
      <c r="D37" s="6">
        <v>2022</v>
      </c>
      <c r="E37" s="6" t="s">
        <v>21</v>
      </c>
      <c r="F37" s="6">
        <v>918</v>
      </c>
      <c r="G37" s="6">
        <v>150</v>
      </c>
      <c r="H37" s="6">
        <f>0.239571*(1000)</f>
        <v>239.571</v>
      </c>
    </row>
    <row r="38" spans="1:8" s="5" customFormat="1" ht="78.75" hidden="1" outlineLevel="1" x14ac:dyDescent="0.25">
      <c r="A38" s="4">
        <v>2781</v>
      </c>
      <c r="B38" s="6" t="s">
        <v>38</v>
      </c>
      <c r="C38" s="38" t="s">
        <v>3257</v>
      </c>
      <c r="D38" s="6">
        <v>2022</v>
      </c>
      <c r="E38" s="6" t="s">
        <v>21</v>
      </c>
      <c r="F38" s="6">
        <v>149</v>
      </c>
      <c r="G38" s="6">
        <v>50</v>
      </c>
      <c r="H38" s="6">
        <f>0.146928*(1000)</f>
        <v>146.928</v>
      </c>
    </row>
    <row r="39" spans="1:8" s="5" customFormat="1" ht="78.75" hidden="1" outlineLevel="1" x14ac:dyDescent="0.25">
      <c r="A39" s="4">
        <v>2783</v>
      </c>
      <c r="B39" s="6" t="s">
        <v>38</v>
      </c>
      <c r="C39" s="38" t="s">
        <v>3258</v>
      </c>
      <c r="D39" s="6">
        <v>2022</v>
      </c>
      <c r="E39" s="6" t="s">
        <v>21</v>
      </c>
      <c r="F39" s="6">
        <v>34</v>
      </c>
      <c r="G39" s="6">
        <v>10</v>
      </c>
      <c r="H39" s="6">
        <f>0.087778*(1000)</f>
        <v>87.777999999999992</v>
      </c>
    </row>
    <row r="40" spans="1:8" s="5" customFormat="1" ht="94.5" hidden="1" outlineLevel="1" x14ac:dyDescent="0.25">
      <c r="A40" s="4">
        <v>2784</v>
      </c>
      <c r="B40" s="6" t="s">
        <v>38</v>
      </c>
      <c r="C40" s="38" t="s">
        <v>3259</v>
      </c>
      <c r="D40" s="6">
        <v>2022</v>
      </c>
      <c r="E40" s="6" t="s">
        <v>21</v>
      </c>
      <c r="F40" s="6">
        <v>10</v>
      </c>
      <c r="G40" s="6">
        <v>30</v>
      </c>
      <c r="H40" s="6">
        <f>0.108779*(1000)</f>
        <v>108.779</v>
      </c>
    </row>
    <row r="41" spans="1:8" s="5" customFormat="1" ht="94.5" hidden="1" outlineLevel="1" x14ac:dyDescent="0.25">
      <c r="A41" s="4">
        <v>2795</v>
      </c>
      <c r="B41" s="6" t="s">
        <v>38</v>
      </c>
      <c r="C41" s="38" t="s">
        <v>3260</v>
      </c>
      <c r="D41" s="6">
        <v>2022</v>
      </c>
      <c r="E41" s="6" t="s">
        <v>21</v>
      </c>
      <c r="F41" s="6">
        <v>3</v>
      </c>
      <c r="G41" s="6">
        <v>15</v>
      </c>
      <c r="H41" s="6">
        <f>0.052821*(1000)</f>
        <v>52.820999999999998</v>
      </c>
    </row>
    <row r="42" spans="1:8" s="5" customFormat="1" ht="94.5" hidden="1" outlineLevel="1" x14ac:dyDescent="0.25">
      <c r="A42" s="4">
        <v>2796</v>
      </c>
      <c r="B42" s="6" t="s">
        <v>38</v>
      </c>
      <c r="C42" s="38" t="s">
        <v>3261</v>
      </c>
      <c r="D42" s="6">
        <v>2022</v>
      </c>
      <c r="E42" s="6" t="s">
        <v>21</v>
      </c>
      <c r="F42" s="6">
        <v>11</v>
      </c>
      <c r="G42" s="6">
        <v>100</v>
      </c>
      <c r="H42" s="6">
        <f>0.012415*(1000)</f>
        <v>12.415000000000001</v>
      </c>
    </row>
    <row r="43" spans="1:8" s="5" customFormat="1" ht="78.75" hidden="1" outlineLevel="1" x14ac:dyDescent="0.25">
      <c r="A43" s="4">
        <v>2797</v>
      </c>
      <c r="B43" s="6" t="s">
        <v>38</v>
      </c>
      <c r="C43" s="38" t="s">
        <v>3262</v>
      </c>
      <c r="D43" s="6">
        <v>2022</v>
      </c>
      <c r="E43" s="6" t="s">
        <v>21</v>
      </c>
      <c r="F43" s="6">
        <v>27</v>
      </c>
      <c r="G43" s="6">
        <v>10</v>
      </c>
      <c r="H43" s="6">
        <f>0.060575*(1000)</f>
        <v>60.574999999999996</v>
      </c>
    </row>
    <row r="44" spans="1:8" s="5" customFormat="1" ht="94.5" hidden="1" outlineLevel="1" x14ac:dyDescent="0.25">
      <c r="A44" s="4">
        <v>2798</v>
      </c>
      <c r="B44" s="6" t="s">
        <v>38</v>
      </c>
      <c r="C44" s="38" t="s">
        <v>3263</v>
      </c>
      <c r="D44" s="6">
        <v>2022</v>
      </c>
      <c r="E44" s="6" t="s">
        <v>21</v>
      </c>
      <c r="F44" s="6">
        <v>31</v>
      </c>
      <c r="G44" s="6">
        <v>68</v>
      </c>
      <c r="H44" s="6">
        <f>0.070206*(1000)</f>
        <v>70.206000000000003</v>
      </c>
    </row>
    <row r="45" spans="1:8" s="5" customFormat="1" ht="78.75" hidden="1" outlineLevel="1" x14ac:dyDescent="0.25">
      <c r="A45" s="4">
        <v>2799</v>
      </c>
      <c r="B45" s="6" t="s">
        <v>38</v>
      </c>
      <c r="C45" s="38" t="s">
        <v>3264</v>
      </c>
      <c r="D45" s="6">
        <v>2022</v>
      </c>
      <c r="E45" s="6" t="s">
        <v>21</v>
      </c>
      <c r="F45" s="6">
        <v>35</v>
      </c>
      <c r="G45" s="6">
        <v>10</v>
      </c>
      <c r="H45" s="6">
        <f>0.0523*(1000)</f>
        <v>52.3</v>
      </c>
    </row>
    <row r="46" spans="1:8" s="5" customFormat="1" ht="78.75" hidden="1" outlineLevel="1" x14ac:dyDescent="0.25">
      <c r="A46" s="4">
        <v>2807</v>
      </c>
      <c r="B46" s="6" t="s">
        <v>38</v>
      </c>
      <c r="C46" s="38" t="s">
        <v>3265</v>
      </c>
      <c r="D46" s="6">
        <v>2022</v>
      </c>
      <c r="E46" s="6" t="s">
        <v>21</v>
      </c>
      <c r="F46" s="6">
        <v>348</v>
      </c>
      <c r="G46" s="6">
        <v>100</v>
      </c>
      <c r="H46" s="6">
        <f>0.28468*(1000)</f>
        <v>284.68</v>
      </c>
    </row>
    <row r="47" spans="1:8" s="5" customFormat="1" ht="110.25" hidden="1" outlineLevel="1" x14ac:dyDescent="0.25">
      <c r="A47" s="4">
        <v>2814</v>
      </c>
      <c r="B47" s="6" t="s">
        <v>38</v>
      </c>
      <c r="C47" s="38" t="s">
        <v>3266</v>
      </c>
      <c r="D47" s="6">
        <v>2022</v>
      </c>
      <c r="E47" s="6" t="s">
        <v>21</v>
      </c>
      <c r="F47" s="6">
        <v>7</v>
      </c>
      <c r="G47" s="6">
        <v>60</v>
      </c>
      <c r="H47" s="6">
        <f>0.111626*(1000)</f>
        <v>111.626</v>
      </c>
    </row>
    <row r="48" spans="1:8" s="5" customFormat="1" ht="78.75" hidden="1" outlineLevel="1" x14ac:dyDescent="0.25">
      <c r="A48" s="4">
        <v>2843</v>
      </c>
      <c r="B48" s="6" t="s">
        <v>38</v>
      </c>
      <c r="C48" s="38" t="s">
        <v>3267</v>
      </c>
      <c r="D48" s="6">
        <v>2022</v>
      </c>
      <c r="E48" s="6" t="s">
        <v>21</v>
      </c>
      <c r="F48" s="6">
        <v>106</v>
      </c>
      <c r="G48" s="6">
        <v>15</v>
      </c>
      <c r="H48" s="6">
        <f>0.111191*(1000)</f>
        <v>111.191</v>
      </c>
    </row>
    <row r="49" spans="1:8" s="5" customFormat="1" ht="94.5" hidden="1" outlineLevel="1" x14ac:dyDescent="0.25">
      <c r="A49" s="4">
        <v>2845</v>
      </c>
      <c r="B49" s="6" t="s">
        <v>38</v>
      </c>
      <c r="C49" s="38" t="s">
        <v>3268</v>
      </c>
      <c r="D49" s="6">
        <v>2022</v>
      </c>
      <c r="E49" s="6" t="s">
        <v>21</v>
      </c>
      <c r="F49" s="6">
        <v>380</v>
      </c>
      <c r="G49" s="6">
        <v>15</v>
      </c>
      <c r="H49" s="6">
        <f>0.480142*(1000)</f>
        <v>480.142</v>
      </c>
    </row>
    <row r="50" spans="1:8" s="5" customFormat="1" ht="78.75" hidden="1" outlineLevel="1" x14ac:dyDescent="0.25">
      <c r="A50" s="4">
        <v>2852</v>
      </c>
      <c r="B50" s="6" t="s">
        <v>38</v>
      </c>
      <c r="C50" s="38" t="s">
        <v>3269</v>
      </c>
      <c r="D50" s="6">
        <v>2022</v>
      </c>
      <c r="E50" s="6" t="s">
        <v>21</v>
      </c>
      <c r="F50" s="6">
        <v>64</v>
      </c>
      <c r="G50" s="6">
        <v>10</v>
      </c>
      <c r="H50" s="6">
        <f>0.102295*(1000)</f>
        <v>102.295</v>
      </c>
    </row>
    <row r="51" spans="1:8" s="5" customFormat="1" ht="110.25" hidden="1" outlineLevel="1" x14ac:dyDescent="0.25">
      <c r="A51" s="4">
        <v>2863</v>
      </c>
      <c r="B51" s="6" t="s">
        <v>38</v>
      </c>
      <c r="C51" s="38" t="s">
        <v>3270</v>
      </c>
      <c r="D51" s="6">
        <v>2022</v>
      </c>
      <c r="E51" s="6" t="s">
        <v>21</v>
      </c>
      <c r="F51" s="6">
        <v>243</v>
      </c>
      <c r="G51" s="6">
        <v>45</v>
      </c>
      <c r="H51" s="6">
        <f>0.218954*(1000)</f>
        <v>218.95400000000001</v>
      </c>
    </row>
    <row r="52" spans="1:8" s="5" customFormat="1" ht="63" hidden="1" outlineLevel="1" x14ac:dyDescent="0.25">
      <c r="A52" s="4">
        <v>2913</v>
      </c>
      <c r="B52" s="6" t="s">
        <v>38</v>
      </c>
      <c r="C52" s="38" t="s">
        <v>3271</v>
      </c>
      <c r="D52" s="6">
        <v>2022</v>
      </c>
      <c r="E52" s="6" t="s">
        <v>21</v>
      </c>
      <c r="F52" s="6">
        <v>341</v>
      </c>
      <c r="G52" s="6">
        <v>15</v>
      </c>
      <c r="H52" s="6">
        <f>0.229405*(1000)</f>
        <v>229.405</v>
      </c>
    </row>
    <row r="53" spans="1:8" s="5" customFormat="1" ht="78.75" hidden="1" outlineLevel="1" x14ac:dyDescent="0.25">
      <c r="A53" s="4">
        <v>2992</v>
      </c>
      <c r="B53" s="6" t="s">
        <v>38</v>
      </c>
      <c r="C53" s="38" t="s">
        <v>3272</v>
      </c>
      <c r="D53" s="6">
        <v>2022</v>
      </c>
      <c r="E53" s="6" t="s">
        <v>21</v>
      </c>
      <c r="F53" s="6">
        <v>215</v>
      </c>
      <c r="G53" s="6">
        <v>15</v>
      </c>
      <c r="H53" s="6">
        <f>0.58464*(1000)</f>
        <v>584.6400000000001</v>
      </c>
    </row>
    <row r="54" spans="1:8" s="5" customFormat="1" ht="78.75" hidden="1" outlineLevel="1" x14ac:dyDescent="0.25">
      <c r="A54" s="4">
        <v>2996</v>
      </c>
      <c r="B54" s="6" t="s">
        <v>38</v>
      </c>
      <c r="C54" s="38" t="s">
        <v>3273</v>
      </c>
      <c r="D54" s="6">
        <v>2022</v>
      </c>
      <c r="E54" s="6" t="s">
        <v>21</v>
      </c>
      <c r="F54" s="6">
        <v>25</v>
      </c>
      <c r="G54" s="6">
        <v>6</v>
      </c>
      <c r="H54" s="6">
        <f>0.11537*(1000)</f>
        <v>115.37</v>
      </c>
    </row>
    <row r="55" spans="1:8" s="5" customFormat="1" ht="78.75" hidden="1" outlineLevel="1" x14ac:dyDescent="0.25">
      <c r="A55" s="4">
        <v>3001</v>
      </c>
      <c r="B55" s="6" t="s">
        <v>38</v>
      </c>
      <c r="C55" s="38" t="s">
        <v>3274</v>
      </c>
      <c r="D55" s="6">
        <v>2022</v>
      </c>
      <c r="E55" s="6" t="s">
        <v>21</v>
      </c>
      <c r="F55" s="6">
        <v>243</v>
      </c>
      <c r="G55" s="6">
        <v>15</v>
      </c>
      <c r="H55" s="6">
        <f>0.607608*(1000)</f>
        <v>607.60800000000006</v>
      </c>
    </row>
    <row r="56" spans="1:8" s="5" customFormat="1" ht="78.75" hidden="1" outlineLevel="1" x14ac:dyDescent="0.25">
      <c r="A56" s="4">
        <v>3001</v>
      </c>
      <c r="B56" s="6" t="s">
        <v>38</v>
      </c>
      <c r="C56" s="38" t="s">
        <v>3275</v>
      </c>
      <c r="D56" s="6">
        <v>2022</v>
      </c>
      <c r="E56" s="6" t="s">
        <v>21</v>
      </c>
      <c r="F56" s="6">
        <v>208</v>
      </c>
      <c r="G56" s="6">
        <v>15</v>
      </c>
      <c r="H56" s="6">
        <f>0.62241564*(1000)</f>
        <v>622.41564000000005</v>
      </c>
    </row>
    <row r="57" spans="1:8" s="5" customFormat="1" ht="78.75" hidden="1" outlineLevel="1" x14ac:dyDescent="0.25">
      <c r="A57" s="4">
        <v>3006</v>
      </c>
      <c r="B57" s="6" t="s">
        <v>38</v>
      </c>
      <c r="C57" s="38" t="s">
        <v>3276</v>
      </c>
      <c r="D57" s="6">
        <v>2022</v>
      </c>
      <c r="E57" s="6" t="s">
        <v>21</v>
      </c>
      <c r="F57" s="6">
        <v>188</v>
      </c>
      <c r="G57" s="6">
        <v>15</v>
      </c>
      <c r="H57" s="6">
        <f>0.513731*(1000)</f>
        <v>513.73099999999999</v>
      </c>
    </row>
    <row r="58" spans="1:8" s="5" customFormat="1" ht="78.75" hidden="1" outlineLevel="1" x14ac:dyDescent="0.25">
      <c r="A58" s="4">
        <v>2729</v>
      </c>
      <c r="B58" s="6" t="s">
        <v>38</v>
      </c>
      <c r="C58" s="38" t="s">
        <v>3277</v>
      </c>
      <c r="D58" s="6">
        <v>2022</v>
      </c>
      <c r="E58" s="6" t="s">
        <v>21</v>
      </c>
      <c r="F58" s="6">
        <v>154</v>
      </c>
      <c r="G58" s="6">
        <v>15</v>
      </c>
      <c r="H58" s="6">
        <f>0.341468*(1000)</f>
        <v>341.46800000000002</v>
      </c>
    </row>
    <row r="59" spans="1:8" s="5" customFormat="1" ht="78.75" hidden="1" outlineLevel="1" x14ac:dyDescent="0.25">
      <c r="A59" s="4">
        <v>2730</v>
      </c>
      <c r="B59" s="6" t="s">
        <v>38</v>
      </c>
      <c r="C59" s="38" t="s">
        <v>3278</v>
      </c>
      <c r="D59" s="6">
        <v>2022</v>
      </c>
      <c r="E59" s="6" t="s">
        <v>21</v>
      </c>
      <c r="F59" s="6">
        <v>241</v>
      </c>
      <c r="G59" s="6">
        <v>10</v>
      </c>
      <c r="H59" s="6">
        <f>0.401301*(1000)</f>
        <v>401.30100000000004</v>
      </c>
    </row>
    <row r="60" spans="1:8" s="5" customFormat="1" ht="78.75" hidden="1" outlineLevel="1" x14ac:dyDescent="0.25">
      <c r="A60" s="4">
        <v>2846</v>
      </c>
      <c r="B60" s="6" t="s">
        <v>38</v>
      </c>
      <c r="C60" s="38" t="s">
        <v>3279</v>
      </c>
      <c r="D60" s="6">
        <v>2022</v>
      </c>
      <c r="E60" s="6" t="s">
        <v>21</v>
      </c>
      <c r="F60" s="6">
        <v>352</v>
      </c>
      <c r="G60" s="6">
        <v>15</v>
      </c>
      <c r="H60" s="6">
        <f>0.491644*(1000)</f>
        <v>491.64400000000001</v>
      </c>
    </row>
    <row r="61" spans="1:8" s="5" customFormat="1" ht="94.5" hidden="1" outlineLevel="1" x14ac:dyDescent="0.25">
      <c r="A61" s="4">
        <v>2851</v>
      </c>
      <c r="B61" s="6" t="s">
        <v>38</v>
      </c>
      <c r="C61" s="38" t="s">
        <v>3280</v>
      </c>
      <c r="D61" s="6">
        <v>2022</v>
      </c>
      <c r="E61" s="6" t="s">
        <v>21</v>
      </c>
      <c r="F61" s="6">
        <v>256</v>
      </c>
      <c r="G61" s="6">
        <v>136.52000000000001</v>
      </c>
      <c r="H61" s="6">
        <f>0.495*(1000)</f>
        <v>495</v>
      </c>
    </row>
    <row r="62" spans="1:8" s="5" customFormat="1" ht="78.75" hidden="1" outlineLevel="1" x14ac:dyDescent="0.25">
      <c r="A62" s="4">
        <v>2885</v>
      </c>
      <c r="B62" s="6" t="s">
        <v>38</v>
      </c>
      <c r="C62" s="38" t="s">
        <v>3281</v>
      </c>
      <c r="D62" s="6">
        <v>2022</v>
      </c>
      <c r="E62" s="6" t="s">
        <v>21</v>
      </c>
      <c r="F62" s="6">
        <v>571</v>
      </c>
      <c r="G62" s="6">
        <v>19</v>
      </c>
      <c r="H62" s="6">
        <f>0.534506*(1000)</f>
        <v>534.50600000000009</v>
      </c>
    </row>
    <row r="63" spans="1:8" s="5" customFormat="1" ht="78.75" hidden="1" outlineLevel="1" x14ac:dyDescent="0.25">
      <c r="A63" s="4">
        <v>2911</v>
      </c>
      <c r="B63" s="6" t="s">
        <v>38</v>
      </c>
      <c r="C63" s="38" t="s">
        <v>3282</v>
      </c>
      <c r="D63" s="6">
        <v>2022</v>
      </c>
      <c r="E63" s="6" t="s">
        <v>21</v>
      </c>
      <c r="F63" s="6">
        <v>548</v>
      </c>
      <c r="G63" s="6">
        <v>45</v>
      </c>
      <c r="H63" s="6">
        <f>0.510995*(1000)</f>
        <v>510.995</v>
      </c>
    </row>
    <row r="64" spans="1:8" s="5" customFormat="1" ht="78.75" hidden="1" outlineLevel="1" x14ac:dyDescent="0.25">
      <c r="A64" s="4">
        <v>2912</v>
      </c>
      <c r="B64" s="6" t="s">
        <v>38</v>
      </c>
      <c r="C64" s="38" t="s">
        <v>3283</v>
      </c>
      <c r="D64" s="6">
        <v>2022</v>
      </c>
      <c r="E64" s="6" t="s">
        <v>21</v>
      </c>
      <c r="F64" s="6">
        <v>331</v>
      </c>
      <c r="G64" s="6">
        <v>15</v>
      </c>
      <c r="H64" s="6">
        <f>0.474262*(1000)</f>
        <v>474.262</v>
      </c>
    </row>
    <row r="65" spans="1:8" s="5" customFormat="1" ht="110.25" hidden="1" outlineLevel="1" x14ac:dyDescent="0.25">
      <c r="A65" s="4">
        <v>2914</v>
      </c>
      <c r="B65" s="6" t="s">
        <v>38</v>
      </c>
      <c r="C65" s="38" t="s">
        <v>3284</v>
      </c>
      <c r="D65" s="6">
        <v>2022</v>
      </c>
      <c r="E65" s="6" t="s">
        <v>21</v>
      </c>
      <c r="F65" s="6">
        <v>181</v>
      </c>
      <c r="G65" s="6">
        <v>120</v>
      </c>
      <c r="H65" s="6">
        <f>0.472921*(1000)</f>
        <v>472.92099999999999</v>
      </c>
    </row>
    <row r="66" spans="1:8" s="5" customFormat="1" ht="94.5" hidden="1" outlineLevel="1" x14ac:dyDescent="0.25">
      <c r="A66" s="4">
        <v>2916</v>
      </c>
      <c r="B66" s="6" t="s">
        <v>38</v>
      </c>
      <c r="C66" s="38" t="s">
        <v>3285</v>
      </c>
      <c r="D66" s="6">
        <v>2022</v>
      </c>
      <c r="E66" s="6" t="s">
        <v>21</v>
      </c>
      <c r="F66" s="6">
        <v>9</v>
      </c>
      <c r="G66" s="6">
        <v>100</v>
      </c>
      <c r="H66" s="6">
        <f>0.026883*(1000)</f>
        <v>26.882999999999999</v>
      </c>
    </row>
    <row r="67" spans="1:8" s="5" customFormat="1" ht="94.5" hidden="1" outlineLevel="1" x14ac:dyDescent="0.25">
      <c r="A67" s="4">
        <v>2858</v>
      </c>
      <c r="B67" s="6" t="s">
        <v>38</v>
      </c>
      <c r="C67" s="38" t="s">
        <v>3286</v>
      </c>
      <c r="D67" s="6">
        <v>2022</v>
      </c>
      <c r="E67" s="6" t="s">
        <v>21</v>
      </c>
      <c r="F67" s="6">
        <v>15</v>
      </c>
      <c r="G67" s="6">
        <v>150</v>
      </c>
      <c r="H67" s="6">
        <f>0.0536*(1000)</f>
        <v>53.6</v>
      </c>
    </row>
    <row r="68" spans="1:8" s="5" customFormat="1" ht="110.25" hidden="1" outlineLevel="1" x14ac:dyDescent="0.25">
      <c r="A68" s="4">
        <v>2842</v>
      </c>
      <c r="B68" s="6" t="s">
        <v>38</v>
      </c>
      <c r="C68" s="38" t="s">
        <v>3287</v>
      </c>
      <c r="D68" s="6">
        <v>2022</v>
      </c>
      <c r="E68" s="6" t="s">
        <v>21</v>
      </c>
      <c r="F68" s="6">
        <v>15</v>
      </c>
      <c r="G68" s="6">
        <v>30</v>
      </c>
      <c r="H68" s="6">
        <f>0.035682*(1000)</f>
        <v>35.681999999999995</v>
      </c>
    </row>
    <row r="69" spans="1:8" s="5" customFormat="1" ht="78.75" hidden="1" outlineLevel="1" x14ac:dyDescent="0.25">
      <c r="A69" s="4">
        <v>2918</v>
      </c>
      <c r="B69" s="6" t="s">
        <v>38</v>
      </c>
      <c r="C69" s="38" t="s">
        <v>3288</v>
      </c>
      <c r="D69" s="6">
        <v>2022</v>
      </c>
      <c r="E69" s="6" t="s">
        <v>21</v>
      </c>
      <c r="F69" s="6">
        <v>180</v>
      </c>
      <c r="G69" s="6">
        <v>15</v>
      </c>
      <c r="H69" s="6">
        <f>0.348071*(1000)</f>
        <v>348.07100000000003</v>
      </c>
    </row>
    <row r="70" spans="1:8" s="5" customFormat="1" ht="94.5" hidden="1" outlineLevel="1" x14ac:dyDescent="0.25">
      <c r="A70" s="4">
        <v>2715</v>
      </c>
      <c r="B70" s="6" t="s">
        <v>38</v>
      </c>
      <c r="C70" s="38" t="s">
        <v>3289</v>
      </c>
      <c r="D70" s="6">
        <v>2022</v>
      </c>
      <c r="E70" s="6" t="s">
        <v>21</v>
      </c>
      <c r="F70" s="6">
        <v>12</v>
      </c>
      <c r="G70" s="6">
        <v>45</v>
      </c>
      <c r="H70" s="6">
        <f>0.031059*(1000)</f>
        <v>31.059000000000001</v>
      </c>
    </row>
    <row r="71" spans="1:8" s="5" customFormat="1" ht="78.75" hidden="1" outlineLevel="1" x14ac:dyDescent="0.25">
      <c r="A71" s="4">
        <v>2716</v>
      </c>
      <c r="B71" s="6" t="s">
        <v>38</v>
      </c>
      <c r="C71" s="38" t="s">
        <v>3290</v>
      </c>
      <c r="D71" s="6">
        <v>2022</v>
      </c>
      <c r="E71" s="6" t="s">
        <v>21</v>
      </c>
      <c r="F71" s="6">
        <v>22</v>
      </c>
      <c r="G71" s="6">
        <v>22</v>
      </c>
      <c r="H71" s="6">
        <f>0.02857*(1000)</f>
        <v>28.57</v>
      </c>
    </row>
    <row r="72" spans="1:8" s="5" customFormat="1" ht="110.25" hidden="1" outlineLevel="1" x14ac:dyDescent="0.25">
      <c r="A72" s="4">
        <v>4112</v>
      </c>
      <c r="B72" s="6" t="s">
        <v>38</v>
      </c>
      <c r="C72" s="38" t="s">
        <v>3291</v>
      </c>
      <c r="D72" s="6">
        <v>2022</v>
      </c>
      <c r="E72" s="6" t="s">
        <v>21</v>
      </c>
      <c r="F72" s="6">
        <v>140</v>
      </c>
      <c r="G72" s="6">
        <v>45</v>
      </c>
      <c r="H72" s="6">
        <f>0.320771*(1000)</f>
        <v>320.77099999999996</v>
      </c>
    </row>
    <row r="73" spans="1:8" s="5" customFormat="1" ht="94.5" hidden="1" outlineLevel="1" x14ac:dyDescent="0.25">
      <c r="A73" s="4">
        <v>4114</v>
      </c>
      <c r="B73" s="6" t="s">
        <v>38</v>
      </c>
      <c r="C73" s="38" t="s">
        <v>3292</v>
      </c>
      <c r="D73" s="6">
        <v>2022</v>
      </c>
      <c r="E73" s="6" t="s">
        <v>21</v>
      </c>
      <c r="F73" s="6">
        <v>73</v>
      </c>
      <c r="G73" s="6">
        <v>15</v>
      </c>
      <c r="H73" s="6">
        <f>0.24000699*(1000)</f>
        <v>240.00699</v>
      </c>
    </row>
    <row r="74" spans="1:8" s="5" customFormat="1" ht="110.25" hidden="1" outlineLevel="1" x14ac:dyDescent="0.25">
      <c r="A74" s="4">
        <v>2717</v>
      </c>
      <c r="B74" s="6" t="s">
        <v>38</v>
      </c>
      <c r="C74" s="38" t="s">
        <v>3293</v>
      </c>
      <c r="D74" s="6">
        <v>2022</v>
      </c>
      <c r="E74" s="6" t="s">
        <v>21</v>
      </c>
      <c r="F74" s="6">
        <v>3</v>
      </c>
      <c r="G74" s="6">
        <v>15</v>
      </c>
      <c r="H74" s="6">
        <f>0.0849185*(1000)</f>
        <v>84.918499999999995</v>
      </c>
    </row>
    <row r="75" spans="1:8" s="5" customFormat="1" ht="94.5" hidden="1" outlineLevel="1" x14ac:dyDescent="0.25">
      <c r="A75" s="4">
        <v>2780</v>
      </c>
      <c r="B75" s="6" t="s">
        <v>38</v>
      </c>
      <c r="C75" s="38" t="s">
        <v>3294</v>
      </c>
      <c r="D75" s="6">
        <v>2022</v>
      </c>
      <c r="E75" s="6" t="s">
        <v>21</v>
      </c>
      <c r="F75" s="6">
        <v>72</v>
      </c>
      <c r="G75" s="6">
        <v>15</v>
      </c>
      <c r="H75" s="6">
        <f>0.04030152*(1000)</f>
        <v>40.301520000000004</v>
      </c>
    </row>
    <row r="76" spans="1:8" s="5" customFormat="1" ht="94.5" hidden="1" outlineLevel="1" x14ac:dyDescent="0.25">
      <c r="A76" s="4">
        <v>2786</v>
      </c>
      <c r="B76" s="6" t="s">
        <v>38</v>
      </c>
      <c r="C76" s="38" t="s">
        <v>3295</v>
      </c>
      <c r="D76" s="6">
        <v>2022</v>
      </c>
      <c r="E76" s="6" t="s">
        <v>21</v>
      </c>
      <c r="F76" s="6">
        <v>3</v>
      </c>
      <c r="G76" s="6">
        <v>60</v>
      </c>
      <c r="H76" s="6">
        <f>0.07778227*(1000)</f>
        <v>77.782269999999997</v>
      </c>
    </row>
    <row r="77" spans="1:8" s="5" customFormat="1" ht="78.75" hidden="1" outlineLevel="1" x14ac:dyDescent="0.25">
      <c r="A77" s="4">
        <v>2809</v>
      </c>
      <c r="B77" s="6" t="s">
        <v>38</v>
      </c>
      <c r="C77" s="38" t="s">
        <v>3296</v>
      </c>
      <c r="D77" s="6">
        <v>2022</v>
      </c>
      <c r="E77" s="6" t="s">
        <v>21</v>
      </c>
      <c r="F77" s="6">
        <v>318</v>
      </c>
      <c r="G77" s="6">
        <v>45</v>
      </c>
      <c r="H77" s="6">
        <f>0.28179179*(1000)</f>
        <v>281.79178999999999</v>
      </c>
    </row>
    <row r="78" spans="1:8" s="5" customFormat="1" ht="94.5" hidden="1" outlineLevel="1" x14ac:dyDescent="0.25">
      <c r="A78" s="4">
        <v>2859</v>
      </c>
      <c r="B78" s="6" t="s">
        <v>38</v>
      </c>
      <c r="C78" s="38" t="s">
        <v>3297</v>
      </c>
      <c r="D78" s="6">
        <v>2022</v>
      </c>
      <c r="E78" s="6" t="s">
        <v>21</v>
      </c>
      <c r="F78" s="6">
        <v>11</v>
      </c>
      <c r="G78" s="6">
        <v>100</v>
      </c>
      <c r="H78" s="6">
        <f>0.0562825*(1000)</f>
        <v>56.282499999999999</v>
      </c>
    </row>
    <row r="79" spans="1:8" s="5" customFormat="1" ht="94.5" hidden="1" outlineLevel="1" x14ac:dyDescent="0.25">
      <c r="A79" s="4">
        <v>2861</v>
      </c>
      <c r="B79" s="6" t="s">
        <v>38</v>
      </c>
      <c r="C79" s="38" t="s">
        <v>3298</v>
      </c>
      <c r="D79" s="6">
        <v>2022</v>
      </c>
      <c r="E79" s="6" t="s">
        <v>21</v>
      </c>
      <c r="F79" s="6">
        <v>3</v>
      </c>
      <c r="G79" s="6">
        <v>100</v>
      </c>
      <c r="H79" s="6">
        <f>0.08696506*(1000)</f>
        <v>86.965059999999994</v>
      </c>
    </row>
    <row r="80" spans="1:8" s="5" customFormat="1" ht="94.5" hidden="1" outlineLevel="1" x14ac:dyDescent="0.25">
      <c r="A80" s="4">
        <v>2862</v>
      </c>
      <c r="B80" s="6" t="s">
        <v>38</v>
      </c>
      <c r="C80" s="38" t="s">
        <v>3299</v>
      </c>
      <c r="D80" s="6">
        <v>2022</v>
      </c>
      <c r="E80" s="6" t="s">
        <v>21</v>
      </c>
      <c r="F80" s="6">
        <v>4</v>
      </c>
      <c r="G80" s="6">
        <v>50</v>
      </c>
      <c r="H80" s="6">
        <f>0.05833789*(1000)</f>
        <v>58.337890000000002</v>
      </c>
    </row>
    <row r="81" spans="1:8" s="5" customFormat="1" ht="94.5" hidden="1" outlineLevel="1" x14ac:dyDescent="0.25">
      <c r="A81" s="4">
        <v>2867</v>
      </c>
      <c r="B81" s="6" t="s">
        <v>38</v>
      </c>
      <c r="C81" s="38" t="s">
        <v>3300</v>
      </c>
      <c r="D81" s="6">
        <v>2022</v>
      </c>
      <c r="E81" s="6" t="s">
        <v>21</v>
      </c>
      <c r="F81" s="6">
        <v>13</v>
      </c>
      <c r="G81" s="6">
        <v>100</v>
      </c>
      <c r="H81" s="6">
        <f>0.062777722*(1000)</f>
        <v>62.777721999999997</v>
      </c>
    </row>
    <row r="82" spans="1:8" s="5" customFormat="1" ht="94.5" hidden="1" outlineLevel="1" x14ac:dyDescent="0.25">
      <c r="A82" s="4">
        <v>2910</v>
      </c>
      <c r="B82" s="6" t="s">
        <v>38</v>
      </c>
      <c r="C82" s="38" t="s">
        <v>3301</v>
      </c>
      <c r="D82" s="6">
        <v>2022</v>
      </c>
      <c r="E82" s="6" t="s">
        <v>21</v>
      </c>
      <c r="F82" s="6">
        <v>11</v>
      </c>
      <c r="G82" s="6">
        <v>100</v>
      </c>
      <c r="H82" s="6">
        <f>0.03894668*(1000)</f>
        <v>38.946680000000001</v>
      </c>
    </row>
    <row r="83" spans="1:8" s="5" customFormat="1" ht="110.25" hidden="1" outlineLevel="1" x14ac:dyDescent="0.25">
      <c r="A83" s="4">
        <v>2915</v>
      </c>
      <c r="B83" s="6" t="s">
        <v>38</v>
      </c>
      <c r="C83" s="38" t="s">
        <v>3302</v>
      </c>
      <c r="D83" s="6">
        <v>2022</v>
      </c>
      <c r="E83" s="6" t="s">
        <v>21</v>
      </c>
      <c r="F83" s="6">
        <v>11</v>
      </c>
      <c r="G83" s="6">
        <v>80</v>
      </c>
      <c r="H83" s="6">
        <f>0.05662644*(1000)</f>
        <v>56.626440000000002</v>
      </c>
    </row>
    <row r="84" spans="1:8" s="5" customFormat="1" ht="78.75" hidden="1" outlineLevel="1" x14ac:dyDescent="0.25">
      <c r="A84" s="4">
        <v>4118</v>
      </c>
      <c r="B84" s="6" t="s">
        <v>38</v>
      </c>
      <c r="C84" s="38" t="s">
        <v>3303</v>
      </c>
      <c r="D84" s="6">
        <v>2022</v>
      </c>
      <c r="E84" s="6" t="s">
        <v>21</v>
      </c>
      <c r="F84" s="6">
        <v>211</v>
      </c>
      <c r="G84" s="6">
        <v>15</v>
      </c>
      <c r="H84" s="6">
        <f>0.42912088*(1000)</f>
        <v>429.12088</v>
      </c>
    </row>
    <row r="85" spans="1:8" s="5" customFormat="1" ht="94.5" hidden="1" outlineLevel="1" x14ac:dyDescent="0.25">
      <c r="A85" s="4">
        <v>4119</v>
      </c>
      <c r="B85" s="6" t="s">
        <v>38</v>
      </c>
      <c r="C85" s="38" t="s">
        <v>3304</v>
      </c>
      <c r="D85" s="6">
        <v>2022</v>
      </c>
      <c r="E85" s="6" t="s">
        <v>21</v>
      </c>
      <c r="F85" s="6">
        <v>236</v>
      </c>
      <c r="G85" s="6">
        <v>15</v>
      </c>
      <c r="H85" s="6">
        <f>0.23440994*(1000)</f>
        <v>234.40994000000001</v>
      </c>
    </row>
    <row r="86" spans="1:8" s="5" customFormat="1" ht="78.75" hidden="1" outlineLevel="1" x14ac:dyDescent="0.25">
      <c r="A86" s="4">
        <v>4120</v>
      </c>
      <c r="B86" s="6" t="s">
        <v>38</v>
      </c>
      <c r="C86" s="38" t="s">
        <v>3305</v>
      </c>
      <c r="D86" s="6">
        <v>2022</v>
      </c>
      <c r="E86" s="6" t="s">
        <v>21</v>
      </c>
      <c r="F86" s="6">
        <v>302</v>
      </c>
      <c r="G86" s="6">
        <v>11</v>
      </c>
      <c r="H86" s="6">
        <f>0.52266293*(1000)</f>
        <v>522.66292999999996</v>
      </c>
    </row>
    <row r="87" spans="1:8" s="5" customFormat="1" ht="78.75" hidden="1" outlineLevel="1" x14ac:dyDescent="0.25">
      <c r="A87" s="4">
        <v>4121</v>
      </c>
      <c r="B87" s="6" t="s">
        <v>38</v>
      </c>
      <c r="C87" s="38" t="s">
        <v>3306</v>
      </c>
      <c r="D87" s="6">
        <v>2022</v>
      </c>
      <c r="E87" s="6" t="s">
        <v>21</v>
      </c>
      <c r="F87" s="6">
        <v>222</v>
      </c>
      <c r="G87" s="6">
        <v>30</v>
      </c>
      <c r="H87" s="6">
        <f>0.52417374*(1000)</f>
        <v>524.17374000000007</v>
      </c>
    </row>
    <row r="88" spans="1:8" s="5" customFormat="1" ht="78.75" hidden="1" outlineLevel="1" x14ac:dyDescent="0.25">
      <c r="A88" s="4">
        <v>4122</v>
      </c>
      <c r="B88" s="6" t="s">
        <v>38</v>
      </c>
      <c r="C88" s="38" t="s">
        <v>3307</v>
      </c>
      <c r="D88" s="6">
        <v>2022</v>
      </c>
      <c r="E88" s="6" t="s">
        <v>21</v>
      </c>
      <c r="F88" s="6">
        <v>207</v>
      </c>
      <c r="G88" s="6">
        <v>15</v>
      </c>
      <c r="H88" s="6">
        <f>0.49236967*(1000)</f>
        <v>492.36966999999999</v>
      </c>
    </row>
    <row r="89" spans="1:8" s="5" customFormat="1" ht="78.75" hidden="1" outlineLevel="1" x14ac:dyDescent="0.25">
      <c r="A89" s="4">
        <v>4123</v>
      </c>
      <c r="B89" s="6" t="s">
        <v>38</v>
      </c>
      <c r="C89" s="38" t="s">
        <v>3308</v>
      </c>
      <c r="D89" s="6">
        <v>2022</v>
      </c>
      <c r="E89" s="6" t="s">
        <v>21</v>
      </c>
      <c r="F89" s="6">
        <v>340</v>
      </c>
      <c r="G89" s="6">
        <v>75</v>
      </c>
      <c r="H89" s="6">
        <f>0.59601215*(1000)</f>
        <v>596.01215000000002</v>
      </c>
    </row>
    <row r="90" spans="1:8" s="5" customFormat="1" ht="110.25" hidden="1" outlineLevel="1" x14ac:dyDescent="0.25">
      <c r="A90" s="4">
        <v>4124</v>
      </c>
      <c r="B90" s="6" t="s">
        <v>38</v>
      </c>
      <c r="C90" s="38" t="s">
        <v>3309</v>
      </c>
      <c r="D90" s="6">
        <v>2022</v>
      </c>
      <c r="E90" s="6" t="s">
        <v>21</v>
      </c>
      <c r="F90" s="6">
        <v>275</v>
      </c>
      <c r="G90" s="6">
        <v>108.67</v>
      </c>
      <c r="H90" s="6">
        <f>0.27393707*(1000)</f>
        <v>273.93707000000001</v>
      </c>
    </row>
    <row r="91" spans="1:8" s="5" customFormat="1" ht="94.5" hidden="1" outlineLevel="1" x14ac:dyDescent="0.25">
      <c r="A91" s="4">
        <v>4126</v>
      </c>
      <c r="B91" s="6" t="s">
        <v>38</v>
      </c>
      <c r="C91" s="38" t="s">
        <v>3310</v>
      </c>
      <c r="D91" s="6">
        <v>2022</v>
      </c>
      <c r="E91" s="6" t="s">
        <v>21</v>
      </c>
      <c r="F91" s="6">
        <v>499</v>
      </c>
      <c r="G91" s="6">
        <v>80</v>
      </c>
      <c r="H91" s="6">
        <f>0.58140267*(1000)</f>
        <v>581.40267000000006</v>
      </c>
    </row>
    <row r="92" spans="1:8" s="5" customFormat="1" ht="78.75" hidden="1" outlineLevel="1" x14ac:dyDescent="0.25">
      <c r="A92" s="4">
        <v>4128</v>
      </c>
      <c r="B92" s="6" t="s">
        <v>38</v>
      </c>
      <c r="C92" s="38" t="s">
        <v>3311</v>
      </c>
      <c r="D92" s="6">
        <v>2022</v>
      </c>
      <c r="E92" s="6" t="s">
        <v>21</v>
      </c>
      <c r="F92" s="6">
        <v>416</v>
      </c>
      <c r="G92" s="6">
        <v>37</v>
      </c>
      <c r="H92" s="6">
        <f>0.69146134*(1000)</f>
        <v>691.46134000000006</v>
      </c>
    </row>
    <row r="93" spans="1:8" s="5" customFormat="1" ht="78.75" hidden="1" outlineLevel="1" x14ac:dyDescent="0.25">
      <c r="A93" s="4">
        <v>2714</v>
      </c>
      <c r="B93" s="6" t="s">
        <v>38</v>
      </c>
      <c r="C93" s="38" t="s">
        <v>3312</v>
      </c>
      <c r="D93" s="6">
        <v>2022</v>
      </c>
      <c r="E93" s="6" t="s">
        <v>21</v>
      </c>
      <c r="F93" s="6">
        <v>122</v>
      </c>
      <c r="G93" s="6">
        <v>15</v>
      </c>
      <c r="H93" s="6">
        <f>0.10308595*(1000)</f>
        <v>103.08595</v>
      </c>
    </row>
    <row r="94" spans="1:8" s="5" customFormat="1" ht="78.75" hidden="1" outlineLevel="1" x14ac:dyDescent="0.25">
      <c r="A94" s="4">
        <v>2721</v>
      </c>
      <c r="B94" s="6" t="s">
        <v>38</v>
      </c>
      <c r="C94" s="38" t="s">
        <v>3313</v>
      </c>
      <c r="D94" s="6">
        <v>2022</v>
      </c>
      <c r="E94" s="6" t="s">
        <v>21</v>
      </c>
      <c r="F94" s="6">
        <v>31</v>
      </c>
      <c r="G94" s="6">
        <v>15</v>
      </c>
      <c r="H94" s="6">
        <f>0.09171643*(1000)</f>
        <v>91.716430000000003</v>
      </c>
    </row>
    <row r="95" spans="1:8" s="5" customFormat="1" ht="78.75" hidden="1" outlineLevel="1" x14ac:dyDescent="0.25">
      <c r="A95" s="4">
        <v>2723</v>
      </c>
      <c r="B95" s="6" t="s">
        <v>38</v>
      </c>
      <c r="C95" s="38" t="s">
        <v>3314</v>
      </c>
      <c r="D95" s="6">
        <v>2022</v>
      </c>
      <c r="E95" s="6" t="s">
        <v>21</v>
      </c>
      <c r="F95" s="6">
        <v>133</v>
      </c>
      <c r="G95" s="6">
        <v>15</v>
      </c>
      <c r="H95" s="6">
        <f>0.170489*(1000)</f>
        <v>170.489</v>
      </c>
    </row>
    <row r="96" spans="1:8" s="5" customFormat="1" ht="63" hidden="1" outlineLevel="1" x14ac:dyDescent="0.25">
      <c r="A96" s="4">
        <v>2724</v>
      </c>
      <c r="B96" s="6" t="s">
        <v>38</v>
      </c>
      <c r="C96" s="38" t="s">
        <v>3315</v>
      </c>
      <c r="D96" s="6">
        <v>2022</v>
      </c>
      <c r="E96" s="6" t="s">
        <v>21</v>
      </c>
      <c r="F96" s="6">
        <v>256</v>
      </c>
      <c r="G96" s="6">
        <v>15</v>
      </c>
      <c r="H96" s="6">
        <f>0.29360088*(1000)</f>
        <v>293.60088000000002</v>
      </c>
    </row>
    <row r="97" spans="1:8" s="5" customFormat="1" ht="78.75" hidden="1" outlineLevel="1" x14ac:dyDescent="0.25">
      <c r="A97" s="4">
        <v>2725</v>
      </c>
      <c r="B97" s="6" t="s">
        <v>38</v>
      </c>
      <c r="C97" s="38" t="s">
        <v>3316</v>
      </c>
      <c r="D97" s="6">
        <v>2022</v>
      </c>
      <c r="E97" s="6" t="s">
        <v>21</v>
      </c>
      <c r="F97" s="6">
        <v>127</v>
      </c>
      <c r="G97" s="6">
        <v>12</v>
      </c>
      <c r="H97" s="6">
        <f>0.11179043*(1000)</f>
        <v>111.79043</v>
      </c>
    </row>
    <row r="98" spans="1:8" s="5" customFormat="1" ht="78.75" hidden="1" outlineLevel="1" x14ac:dyDescent="0.25">
      <c r="A98" s="4">
        <v>2726</v>
      </c>
      <c r="B98" s="6" t="s">
        <v>38</v>
      </c>
      <c r="C98" s="38" t="s">
        <v>3317</v>
      </c>
      <c r="D98" s="6">
        <v>2022</v>
      </c>
      <c r="E98" s="6" t="s">
        <v>21</v>
      </c>
      <c r="F98" s="6">
        <v>62</v>
      </c>
      <c r="G98" s="6">
        <v>34</v>
      </c>
      <c r="H98" s="6">
        <f>0.14105109*(1000)</f>
        <v>141.05108999999999</v>
      </c>
    </row>
    <row r="99" spans="1:8" s="5" customFormat="1" ht="78.75" hidden="1" outlineLevel="1" x14ac:dyDescent="0.25">
      <c r="A99" s="4">
        <v>2760</v>
      </c>
      <c r="B99" s="6" t="s">
        <v>38</v>
      </c>
      <c r="C99" s="38" t="s">
        <v>3318</v>
      </c>
      <c r="D99" s="6">
        <v>2022</v>
      </c>
      <c r="E99" s="6" t="s">
        <v>21</v>
      </c>
      <c r="F99" s="6">
        <v>64</v>
      </c>
      <c r="G99" s="6">
        <v>15</v>
      </c>
      <c r="H99" s="6">
        <f>0.10864299*(1000)</f>
        <v>108.64299</v>
      </c>
    </row>
    <row r="100" spans="1:8" s="5" customFormat="1" ht="78.75" hidden="1" outlineLevel="1" x14ac:dyDescent="0.25">
      <c r="A100" s="4">
        <v>2765</v>
      </c>
      <c r="B100" s="6" t="s">
        <v>38</v>
      </c>
      <c r="C100" s="38" t="s">
        <v>3319</v>
      </c>
      <c r="D100" s="6">
        <v>2022</v>
      </c>
      <c r="E100" s="6" t="s">
        <v>21</v>
      </c>
      <c r="F100" s="6">
        <v>50</v>
      </c>
      <c r="G100" s="6">
        <v>25</v>
      </c>
      <c r="H100" s="6">
        <f>0.0781236*(1000)</f>
        <v>78.123599999999996</v>
      </c>
    </row>
    <row r="101" spans="1:8" s="5" customFormat="1" ht="78.75" hidden="1" outlineLevel="1" x14ac:dyDescent="0.25">
      <c r="A101" s="4">
        <v>2782</v>
      </c>
      <c r="B101" s="6" t="s">
        <v>38</v>
      </c>
      <c r="C101" s="38" t="s">
        <v>3320</v>
      </c>
      <c r="D101" s="6">
        <v>2022</v>
      </c>
      <c r="E101" s="6" t="s">
        <v>21</v>
      </c>
      <c r="F101" s="6">
        <v>83</v>
      </c>
      <c r="G101" s="6">
        <v>65</v>
      </c>
      <c r="H101" s="6">
        <f>0.07864023*(1000)</f>
        <v>78.640230000000003</v>
      </c>
    </row>
    <row r="102" spans="1:8" s="5" customFormat="1" ht="78.75" hidden="1" outlineLevel="1" x14ac:dyDescent="0.25">
      <c r="A102" s="4">
        <v>2806</v>
      </c>
      <c r="B102" s="6" t="s">
        <v>38</v>
      </c>
      <c r="C102" s="38" t="s">
        <v>3321</v>
      </c>
      <c r="D102" s="6">
        <v>2022</v>
      </c>
      <c r="E102" s="6" t="s">
        <v>21</v>
      </c>
      <c r="F102" s="6">
        <v>135</v>
      </c>
      <c r="G102" s="6">
        <v>7.5</v>
      </c>
      <c r="H102" s="6">
        <f>0.11842355*(1000)</f>
        <v>118.42355000000001</v>
      </c>
    </row>
    <row r="103" spans="1:8" s="5" customFormat="1" ht="78.75" hidden="1" outlineLevel="1" x14ac:dyDescent="0.25">
      <c r="A103" s="4">
        <v>2808</v>
      </c>
      <c r="B103" s="6" t="s">
        <v>38</v>
      </c>
      <c r="C103" s="38" t="s">
        <v>3322</v>
      </c>
      <c r="D103" s="6">
        <v>2022</v>
      </c>
      <c r="E103" s="6" t="s">
        <v>21</v>
      </c>
      <c r="F103" s="6">
        <v>167</v>
      </c>
      <c r="G103" s="6">
        <v>15</v>
      </c>
      <c r="H103" s="6">
        <f>0.12590405*(1000)</f>
        <v>125.90404999999998</v>
      </c>
    </row>
    <row r="104" spans="1:8" s="5" customFormat="1" ht="78.75" hidden="1" outlineLevel="1" x14ac:dyDescent="0.25">
      <c r="A104" s="4">
        <v>2841</v>
      </c>
      <c r="B104" s="6" t="s">
        <v>38</v>
      </c>
      <c r="C104" s="38" t="s">
        <v>3323</v>
      </c>
      <c r="D104" s="6">
        <v>2022</v>
      </c>
      <c r="E104" s="6" t="s">
        <v>21</v>
      </c>
      <c r="F104" s="6">
        <v>70</v>
      </c>
      <c r="G104" s="6">
        <v>10</v>
      </c>
      <c r="H104" s="6">
        <f>0.07813181*(1000)</f>
        <v>78.131810000000002</v>
      </c>
    </row>
    <row r="105" spans="1:8" s="5" customFormat="1" ht="63" hidden="1" outlineLevel="1" x14ac:dyDescent="0.25">
      <c r="A105" s="4">
        <v>2847</v>
      </c>
      <c r="B105" s="6" t="s">
        <v>38</v>
      </c>
      <c r="C105" s="38" t="s">
        <v>3324</v>
      </c>
      <c r="D105" s="6">
        <v>2022</v>
      </c>
      <c r="E105" s="6" t="s">
        <v>21</v>
      </c>
      <c r="F105" s="6">
        <v>145</v>
      </c>
      <c r="G105" s="6">
        <v>25</v>
      </c>
      <c r="H105" s="6">
        <f>0.14008525*(1000)</f>
        <v>140.08525</v>
      </c>
    </row>
    <row r="106" spans="1:8" s="5" customFormat="1" ht="78.75" hidden="1" outlineLevel="1" x14ac:dyDescent="0.25">
      <c r="A106" s="4">
        <v>2848</v>
      </c>
      <c r="B106" s="6" t="s">
        <v>38</v>
      </c>
      <c r="C106" s="38" t="s">
        <v>3325</v>
      </c>
      <c r="D106" s="6">
        <v>2022</v>
      </c>
      <c r="E106" s="6" t="s">
        <v>21</v>
      </c>
      <c r="F106" s="6">
        <v>36</v>
      </c>
      <c r="G106" s="6">
        <v>11</v>
      </c>
      <c r="H106" s="6">
        <f>0.07077792*(1000)</f>
        <v>70.777919999999995</v>
      </c>
    </row>
    <row r="107" spans="1:8" s="5" customFormat="1" ht="78.75" hidden="1" outlineLevel="1" x14ac:dyDescent="0.25">
      <c r="A107" s="4">
        <v>2860</v>
      </c>
      <c r="B107" s="6" t="s">
        <v>38</v>
      </c>
      <c r="C107" s="38" t="s">
        <v>3326</v>
      </c>
      <c r="D107" s="6">
        <v>2022</v>
      </c>
      <c r="E107" s="6" t="s">
        <v>21</v>
      </c>
      <c r="F107" s="6">
        <v>40</v>
      </c>
      <c r="G107" s="6">
        <v>6</v>
      </c>
      <c r="H107" s="6">
        <f>0.07908444*(1000)</f>
        <v>79.084440000000001</v>
      </c>
    </row>
    <row r="108" spans="1:8" s="5" customFormat="1" ht="78.75" hidden="1" outlineLevel="1" x14ac:dyDescent="0.25">
      <c r="A108" s="4">
        <v>2869</v>
      </c>
      <c r="B108" s="6" t="s">
        <v>38</v>
      </c>
      <c r="C108" s="38" t="s">
        <v>3327</v>
      </c>
      <c r="D108" s="6">
        <v>2022</v>
      </c>
      <c r="E108" s="6" t="s">
        <v>21</v>
      </c>
      <c r="F108" s="6">
        <v>57</v>
      </c>
      <c r="G108" s="6">
        <v>30</v>
      </c>
      <c r="H108" s="6">
        <f>0.05700358*(1000)</f>
        <v>57.003579999999999</v>
      </c>
    </row>
    <row r="109" spans="1:8" s="5" customFormat="1" ht="78.75" hidden="1" outlineLevel="1" x14ac:dyDescent="0.25">
      <c r="A109" s="4">
        <v>2870</v>
      </c>
      <c r="B109" s="6" t="s">
        <v>38</v>
      </c>
      <c r="C109" s="38" t="s">
        <v>3328</v>
      </c>
      <c r="D109" s="6">
        <v>2022</v>
      </c>
      <c r="E109" s="6" t="s">
        <v>21</v>
      </c>
      <c r="F109" s="6">
        <v>163</v>
      </c>
      <c r="G109" s="6">
        <v>10</v>
      </c>
      <c r="H109" s="6">
        <f>0.06899167*(1000)</f>
        <v>68.991669999999999</v>
      </c>
    </row>
    <row r="110" spans="1:8" s="5" customFormat="1" ht="78.75" hidden="1" outlineLevel="1" x14ac:dyDescent="0.25">
      <c r="A110" s="4">
        <v>2880</v>
      </c>
      <c r="B110" s="6" t="s">
        <v>38</v>
      </c>
      <c r="C110" s="38" t="s">
        <v>3329</v>
      </c>
      <c r="D110" s="6">
        <v>2022</v>
      </c>
      <c r="E110" s="6" t="s">
        <v>21</v>
      </c>
      <c r="F110" s="6">
        <v>62</v>
      </c>
      <c r="G110" s="6">
        <v>40</v>
      </c>
      <c r="H110" s="6">
        <f>0.09690833*(1000)</f>
        <v>96.908330000000007</v>
      </c>
    </row>
    <row r="111" spans="1:8" s="5" customFormat="1" ht="94.5" hidden="1" outlineLevel="1" x14ac:dyDescent="0.25">
      <c r="A111" s="4">
        <v>2882</v>
      </c>
      <c r="B111" s="6" t="s">
        <v>38</v>
      </c>
      <c r="C111" s="38" t="s">
        <v>3330</v>
      </c>
      <c r="D111" s="6">
        <v>2022</v>
      </c>
      <c r="E111" s="6" t="s">
        <v>21</v>
      </c>
      <c r="F111" s="6">
        <v>33</v>
      </c>
      <c r="G111" s="6">
        <v>30</v>
      </c>
      <c r="H111" s="6">
        <f>0.08269476*(1000)</f>
        <v>82.694760000000002</v>
      </c>
    </row>
    <row r="112" spans="1:8" s="5" customFormat="1" ht="78.75" hidden="1" outlineLevel="1" x14ac:dyDescent="0.25">
      <c r="A112" s="4">
        <v>2883</v>
      </c>
      <c r="B112" s="6" t="s">
        <v>38</v>
      </c>
      <c r="C112" s="38" t="s">
        <v>3331</v>
      </c>
      <c r="D112" s="6">
        <v>2022</v>
      </c>
      <c r="E112" s="6" t="s">
        <v>21</v>
      </c>
      <c r="F112" s="6">
        <v>25</v>
      </c>
      <c r="G112" s="6">
        <v>8</v>
      </c>
      <c r="H112" s="6">
        <f>0.04740273*(1000)</f>
        <v>47.402729999999998</v>
      </c>
    </row>
    <row r="113" spans="1:8" s="5" customFormat="1" ht="94.5" hidden="1" outlineLevel="1" x14ac:dyDescent="0.25">
      <c r="A113" s="4">
        <v>2884</v>
      </c>
      <c r="B113" s="6" t="s">
        <v>38</v>
      </c>
      <c r="C113" s="38" t="s">
        <v>3332</v>
      </c>
      <c r="D113" s="6">
        <v>2022</v>
      </c>
      <c r="E113" s="6" t="s">
        <v>21</v>
      </c>
      <c r="F113" s="6">
        <v>55</v>
      </c>
      <c r="G113" s="6">
        <v>24</v>
      </c>
      <c r="H113" s="6">
        <f>0.07836966*(1000)</f>
        <v>78.369659999999996</v>
      </c>
    </row>
    <row r="114" spans="1:8" s="5" customFormat="1" ht="78.75" hidden="1" outlineLevel="1" x14ac:dyDescent="0.25">
      <c r="A114" s="4">
        <v>2894</v>
      </c>
      <c r="B114" s="6" t="s">
        <v>38</v>
      </c>
      <c r="C114" s="38" t="s">
        <v>3333</v>
      </c>
      <c r="D114" s="6">
        <v>2022</v>
      </c>
      <c r="E114" s="6" t="s">
        <v>21</v>
      </c>
      <c r="F114" s="6">
        <v>113</v>
      </c>
      <c r="G114" s="6">
        <v>15</v>
      </c>
      <c r="H114" s="6">
        <f>0.14001619*(1000)</f>
        <v>140.01619000000002</v>
      </c>
    </row>
    <row r="115" spans="1:8" s="5" customFormat="1" ht="78.75" hidden="1" outlineLevel="1" x14ac:dyDescent="0.25">
      <c r="A115" s="4">
        <v>2895</v>
      </c>
      <c r="B115" s="6" t="s">
        <v>38</v>
      </c>
      <c r="C115" s="38" t="s">
        <v>3334</v>
      </c>
      <c r="D115" s="6">
        <v>2022</v>
      </c>
      <c r="E115" s="6" t="s">
        <v>21</v>
      </c>
      <c r="F115" s="6">
        <v>86</v>
      </c>
      <c r="G115" s="6">
        <v>15</v>
      </c>
      <c r="H115" s="6">
        <f>0.0874887*(1000)</f>
        <v>87.488700000000009</v>
      </c>
    </row>
    <row r="116" spans="1:8" s="5" customFormat="1" ht="78.75" hidden="1" outlineLevel="1" x14ac:dyDescent="0.25">
      <c r="A116" s="4">
        <v>2986</v>
      </c>
      <c r="B116" s="6" t="s">
        <v>38</v>
      </c>
      <c r="C116" s="38" t="s">
        <v>3335</v>
      </c>
      <c r="D116" s="6">
        <v>2022</v>
      </c>
      <c r="E116" s="6" t="s">
        <v>21</v>
      </c>
      <c r="F116" s="6">
        <v>54</v>
      </c>
      <c r="G116" s="6">
        <v>15</v>
      </c>
      <c r="H116" s="6">
        <f>0.09627225*(1000)</f>
        <v>96.27225</v>
      </c>
    </row>
    <row r="117" spans="1:8" s="5" customFormat="1" ht="78.75" hidden="1" outlineLevel="1" x14ac:dyDescent="0.25">
      <c r="A117" s="4">
        <v>2989</v>
      </c>
      <c r="B117" s="6" t="s">
        <v>38</v>
      </c>
      <c r="C117" s="38" t="s">
        <v>3336</v>
      </c>
      <c r="D117" s="6">
        <v>2022</v>
      </c>
      <c r="E117" s="6" t="s">
        <v>21</v>
      </c>
      <c r="F117" s="6">
        <v>52</v>
      </c>
      <c r="G117" s="6">
        <v>15</v>
      </c>
      <c r="H117" s="6">
        <f>0.07468244*(1000)</f>
        <v>74.68244</v>
      </c>
    </row>
    <row r="118" spans="1:8" s="5" customFormat="1" ht="78.75" hidden="1" outlineLevel="1" x14ac:dyDescent="0.25">
      <c r="A118" s="4">
        <v>2994</v>
      </c>
      <c r="B118" s="6" t="s">
        <v>38</v>
      </c>
      <c r="C118" s="38" t="s">
        <v>3337</v>
      </c>
      <c r="D118" s="6">
        <v>2022</v>
      </c>
      <c r="E118" s="6" t="s">
        <v>21</v>
      </c>
      <c r="F118" s="6">
        <v>36</v>
      </c>
      <c r="G118" s="6">
        <v>15</v>
      </c>
      <c r="H118" s="6">
        <f>0.06075359*(1000)</f>
        <v>60.753590000000003</v>
      </c>
    </row>
    <row r="119" spans="1:8" s="5" customFormat="1" ht="94.5" hidden="1" outlineLevel="1" x14ac:dyDescent="0.25">
      <c r="A119" s="4">
        <v>2995</v>
      </c>
      <c r="B119" s="6" t="s">
        <v>38</v>
      </c>
      <c r="C119" s="38" t="s">
        <v>3338</v>
      </c>
      <c r="D119" s="6">
        <v>2022</v>
      </c>
      <c r="E119" s="6" t="s">
        <v>21</v>
      </c>
      <c r="F119" s="6">
        <v>19</v>
      </c>
      <c r="G119" s="6">
        <v>15</v>
      </c>
      <c r="H119" s="6">
        <f>0.04752097*(1000)</f>
        <v>47.520970000000005</v>
      </c>
    </row>
    <row r="120" spans="1:8" s="5" customFormat="1" ht="78.75" hidden="1" outlineLevel="1" x14ac:dyDescent="0.25">
      <c r="A120" s="4">
        <v>2997</v>
      </c>
      <c r="B120" s="6" t="s">
        <v>38</v>
      </c>
      <c r="C120" s="38" t="s">
        <v>3339</v>
      </c>
      <c r="D120" s="6">
        <v>2022</v>
      </c>
      <c r="E120" s="6" t="s">
        <v>21</v>
      </c>
      <c r="F120" s="6">
        <v>80</v>
      </c>
      <c r="G120" s="6">
        <v>10</v>
      </c>
      <c r="H120" s="6">
        <f>0.09551211*(1000)</f>
        <v>95.512109999999993</v>
      </c>
    </row>
    <row r="121" spans="1:8" s="5" customFormat="1" ht="78.75" hidden="1" outlineLevel="1" x14ac:dyDescent="0.25">
      <c r="A121" s="4">
        <v>2998</v>
      </c>
      <c r="B121" s="6" t="s">
        <v>38</v>
      </c>
      <c r="C121" s="38" t="s">
        <v>3340</v>
      </c>
      <c r="D121" s="6">
        <v>2022</v>
      </c>
      <c r="E121" s="6" t="s">
        <v>21</v>
      </c>
      <c r="F121" s="6">
        <v>148</v>
      </c>
      <c r="G121" s="6">
        <v>15</v>
      </c>
      <c r="H121" s="6">
        <f>0.13341841*(1000)</f>
        <v>133.41840999999999</v>
      </c>
    </row>
    <row r="122" spans="1:8" s="5" customFormat="1" ht="78.75" hidden="1" outlineLevel="1" x14ac:dyDescent="0.25">
      <c r="A122" s="4">
        <v>2999</v>
      </c>
      <c r="B122" s="6" t="s">
        <v>38</v>
      </c>
      <c r="C122" s="38" t="s">
        <v>3341</v>
      </c>
      <c r="D122" s="6">
        <v>2022</v>
      </c>
      <c r="E122" s="6" t="s">
        <v>21</v>
      </c>
      <c r="F122" s="6">
        <v>43</v>
      </c>
      <c r="G122" s="6">
        <v>10</v>
      </c>
      <c r="H122" s="6">
        <f>0.05039641*(1000)</f>
        <v>50.396410000000003</v>
      </c>
    </row>
    <row r="123" spans="1:8" s="5" customFormat="1" ht="78.75" hidden="1" outlineLevel="1" x14ac:dyDescent="0.25">
      <c r="A123" s="4">
        <v>3007</v>
      </c>
      <c r="B123" s="6" t="s">
        <v>38</v>
      </c>
      <c r="C123" s="38" t="s">
        <v>3342</v>
      </c>
      <c r="D123" s="6">
        <v>2022</v>
      </c>
      <c r="E123" s="6" t="s">
        <v>21</v>
      </c>
      <c r="F123" s="6">
        <v>57</v>
      </c>
      <c r="G123" s="6">
        <v>15</v>
      </c>
      <c r="H123" s="6">
        <f>0.06233135*(1000)</f>
        <v>62.33135</v>
      </c>
    </row>
    <row r="124" spans="1:8" s="5" customFormat="1" ht="78.75" hidden="1" outlineLevel="1" x14ac:dyDescent="0.25">
      <c r="A124" s="4">
        <v>3008</v>
      </c>
      <c r="B124" s="6" t="s">
        <v>38</v>
      </c>
      <c r="C124" s="38" t="s">
        <v>3343</v>
      </c>
      <c r="D124" s="6">
        <v>2022</v>
      </c>
      <c r="E124" s="6" t="s">
        <v>21</v>
      </c>
      <c r="F124" s="6">
        <v>51</v>
      </c>
      <c r="G124" s="6">
        <v>15</v>
      </c>
      <c r="H124" s="6">
        <f>0.07356509*(1000)</f>
        <v>73.565089999999998</v>
      </c>
    </row>
    <row r="125" spans="1:8" s="5" customFormat="1" ht="94.5" hidden="1" outlineLevel="1" x14ac:dyDescent="0.25">
      <c r="A125" s="4">
        <v>3012</v>
      </c>
      <c r="B125" s="6" t="s">
        <v>38</v>
      </c>
      <c r="C125" s="38" t="s">
        <v>3344</v>
      </c>
      <c r="D125" s="6">
        <v>2022</v>
      </c>
      <c r="E125" s="6" t="s">
        <v>21</v>
      </c>
      <c r="F125" s="6">
        <v>40</v>
      </c>
      <c r="G125" s="6">
        <v>55</v>
      </c>
      <c r="H125" s="6">
        <f>0.05838645*(1000)</f>
        <v>58.386449999999996</v>
      </c>
    </row>
    <row r="126" spans="1:8" s="5" customFormat="1" ht="94.5" hidden="1" outlineLevel="1" x14ac:dyDescent="0.25">
      <c r="A126" s="4">
        <v>3013</v>
      </c>
      <c r="B126" s="6" t="s">
        <v>38</v>
      </c>
      <c r="C126" s="38" t="s">
        <v>3345</v>
      </c>
      <c r="D126" s="6">
        <v>2022</v>
      </c>
      <c r="E126" s="6" t="s">
        <v>21</v>
      </c>
      <c r="F126" s="6">
        <v>111</v>
      </c>
      <c r="G126" s="6">
        <v>8</v>
      </c>
      <c r="H126" s="6">
        <f>0.09577523*(1000)</f>
        <v>95.775230000000008</v>
      </c>
    </row>
    <row r="127" spans="1:8" s="5" customFormat="1" ht="78.75" hidden="1" outlineLevel="1" x14ac:dyDescent="0.25">
      <c r="A127" s="4">
        <v>3014</v>
      </c>
      <c r="B127" s="6" t="s">
        <v>38</v>
      </c>
      <c r="C127" s="38" t="s">
        <v>3346</v>
      </c>
      <c r="D127" s="6">
        <v>2022</v>
      </c>
      <c r="E127" s="6" t="s">
        <v>21</v>
      </c>
      <c r="F127" s="6">
        <v>59</v>
      </c>
      <c r="G127" s="6">
        <v>15</v>
      </c>
      <c r="H127" s="6">
        <f>0.05291875*(1000)</f>
        <v>52.918750000000003</v>
      </c>
    </row>
    <row r="128" spans="1:8" s="5" customFormat="1" ht="78.75" hidden="1" outlineLevel="1" x14ac:dyDescent="0.25">
      <c r="A128" s="4">
        <v>4115</v>
      </c>
      <c r="B128" s="6" t="s">
        <v>38</v>
      </c>
      <c r="C128" s="38" t="s">
        <v>3347</v>
      </c>
      <c r="D128" s="6">
        <v>2022</v>
      </c>
      <c r="E128" s="6" t="s">
        <v>21</v>
      </c>
      <c r="F128" s="6">
        <v>102</v>
      </c>
      <c r="G128" s="6">
        <v>15</v>
      </c>
      <c r="H128" s="6">
        <f>0.12105616*(1000)</f>
        <v>121.05615999999999</v>
      </c>
    </row>
    <row r="129" spans="1:8" s="5" customFormat="1" ht="63" hidden="1" outlineLevel="1" x14ac:dyDescent="0.25">
      <c r="A129" s="4">
        <v>4116</v>
      </c>
      <c r="B129" s="6" t="s">
        <v>38</v>
      </c>
      <c r="C129" s="38" t="s">
        <v>3348</v>
      </c>
      <c r="D129" s="6">
        <v>2022</v>
      </c>
      <c r="E129" s="6" t="s">
        <v>21</v>
      </c>
      <c r="F129" s="6">
        <v>95</v>
      </c>
      <c r="G129" s="6">
        <v>50</v>
      </c>
      <c r="H129" s="6">
        <f>0.06136655*(1000)</f>
        <v>61.366549999999997</v>
      </c>
    </row>
    <row r="130" spans="1:8" s="5" customFormat="1" ht="110.25" hidden="1" outlineLevel="1" x14ac:dyDescent="0.25">
      <c r="A130" s="4">
        <v>4222</v>
      </c>
      <c r="B130" s="6" t="s">
        <v>38</v>
      </c>
      <c r="C130" s="38" t="s">
        <v>3349</v>
      </c>
      <c r="D130" s="6">
        <v>2022</v>
      </c>
      <c r="E130" s="6" t="s">
        <v>21</v>
      </c>
      <c r="F130" s="6">
        <v>36</v>
      </c>
      <c r="G130" s="6">
        <v>15</v>
      </c>
      <c r="H130" s="6">
        <f>0.05007441*(1000)</f>
        <v>50.07441</v>
      </c>
    </row>
    <row r="131" spans="1:8" s="5" customFormat="1" ht="94.5" hidden="1" outlineLevel="1" x14ac:dyDescent="0.25">
      <c r="A131" s="4">
        <v>4223</v>
      </c>
      <c r="B131" s="6" t="s">
        <v>38</v>
      </c>
      <c r="C131" s="38" t="s">
        <v>3350</v>
      </c>
      <c r="D131" s="6">
        <v>2022</v>
      </c>
      <c r="E131" s="6" t="s">
        <v>21</v>
      </c>
      <c r="F131" s="6">
        <v>19</v>
      </c>
      <c r="G131" s="6">
        <v>90</v>
      </c>
      <c r="H131" s="6">
        <f>0.13040747*(1000)</f>
        <v>130.40746999999999</v>
      </c>
    </row>
    <row r="132" spans="1:8" s="5" customFormat="1" ht="63" hidden="1" outlineLevel="1" x14ac:dyDescent="0.25">
      <c r="A132" s="4">
        <v>4225</v>
      </c>
      <c r="B132" s="6" t="s">
        <v>38</v>
      </c>
      <c r="C132" s="38" t="s">
        <v>3351</v>
      </c>
      <c r="D132" s="6">
        <v>2022</v>
      </c>
      <c r="E132" s="6" t="s">
        <v>21</v>
      </c>
      <c r="F132" s="6">
        <v>209</v>
      </c>
      <c r="G132" s="6">
        <v>50</v>
      </c>
      <c r="H132" s="6">
        <f>0.4362876*(1000)</f>
        <v>436.2876</v>
      </c>
    </row>
    <row r="133" spans="1:8" s="5" customFormat="1" ht="63" hidden="1" outlineLevel="1" x14ac:dyDescent="0.25">
      <c r="A133" s="4">
        <v>4226</v>
      </c>
      <c r="B133" s="6" t="s">
        <v>38</v>
      </c>
      <c r="C133" s="38" t="s">
        <v>3352</v>
      </c>
      <c r="D133" s="6">
        <v>2022</v>
      </c>
      <c r="E133" s="6" t="s">
        <v>21</v>
      </c>
      <c r="F133" s="6">
        <v>123</v>
      </c>
      <c r="G133" s="6">
        <v>15</v>
      </c>
      <c r="H133" s="6">
        <f>0.21825248*(1000)</f>
        <v>218.25247999999999</v>
      </c>
    </row>
    <row r="134" spans="1:8" s="5" customFormat="1" ht="78.75" hidden="1" outlineLevel="1" x14ac:dyDescent="0.25">
      <c r="A134" s="4">
        <v>4227</v>
      </c>
      <c r="B134" s="6" t="s">
        <v>38</v>
      </c>
      <c r="C134" s="38" t="s">
        <v>3353</v>
      </c>
      <c r="D134" s="6">
        <v>2022</v>
      </c>
      <c r="E134" s="6" t="s">
        <v>21</v>
      </c>
      <c r="F134" s="6">
        <v>210</v>
      </c>
      <c r="G134" s="6">
        <v>4.5</v>
      </c>
      <c r="H134" s="6">
        <f>0.29992875*(1000)</f>
        <v>299.92875000000004</v>
      </c>
    </row>
    <row r="135" spans="1:8" s="5" customFormat="1" ht="94.5" hidden="1" outlineLevel="1" x14ac:dyDescent="0.25">
      <c r="A135" s="4">
        <v>4229</v>
      </c>
      <c r="B135" s="6" t="s">
        <v>38</v>
      </c>
      <c r="C135" s="38" t="s">
        <v>3354</v>
      </c>
      <c r="D135" s="6">
        <v>2022</v>
      </c>
      <c r="E135" s="6" t="s">
        <v>21</v>
      </c>
      <c r="F135" s="6">
        <v>203</v>
      </c>
      <c r="G135" s="6">
        <v>30</v>
      </c>
      <c r="H135" s="6">
        <f>0.57383546*(1000)</f>
        <v>573.83546000000001</v>
      </c>
    </row>
    <row r="136" spans="1:8" s="5" customFormat="1" ht="78.75" hidden="1" outlineLevel="1" x14ac:dyDescent="0.25">
      <c r="A136" s="4">
        <v>2810</v>
      </c>
      <c r="B136" s="6" t="s">
        <v>38</v>
      </c>
      <c r="C136" s="38" t="s">
        <v>3355</v>
      </c>
      <c r="D136" s="6">
        <v>2022</v>
      </c>
      <c r="E136" s="6" t="s">
        <v>21</v>
      </c>
      <c r="F136" s="6">
        <v>170</v>
      </c>
      <c r="G136" s="6">
        <v>10</v>
      </c>
      <c r="H136" s="6">
        <f>0.200853*(1000)</f>
        <v>200.85300000000001</v>
      </c>
    </row>
    <row r="137" spans="1:8" s="5" customFormat="1" ht="94.5" hidden="1" outlineLevel="1" x14ac:dyDescent="0.25">
      <c r="A137" s="4">
        <v>2844</v>
      </c>
      <c r="B137" s="6" t="s">
        <v>38</v>
      </c>
      <c r="C137" s="38" t="s">
        <v>3356</v>
      </c>
      <c r="D137" s="6">
        <v>2022</v>
      </c>
      <c r="E137" s="6" t="s">
        <v>21</v>
      </c>
      <c r="F137" s="6">
        <v>140</v>
      </c>
      <c r="G137" s="6">
        <v>80</v>
      </c>
      <c r="H137" s="6">
        <f>0.164055*(1000)</f>
        <v>164.05500000000001</v>
      </c>
    </row>
    <row r="138" spans="1:8" s="5" customFormat="1" ht="94.5" hidden="1" outlineLevel="1" x14ac:dyDescent="0.25">
      <c r="A138" s="4">
        <v>2887</v>
      </c>
      <c r="B138" s="6" t="s">
        <v>38</v>
      </c>
      <c r="C138" s="38" t="s">
        <v>3357</v>
      </c>
      <c r="D138" s="6">
        <v>2022</v>
      </c>
      <c r="E138" s="6" t="s">
        <v>21</v>
      </c>
      <c r="F138" s="6">
        <v>101</v>
      </c>
      <c r="G138" s="6">
        <v>100</v>
      </c>
      <c r="H138" s="6">
        <f>0.123499*(1000)</f>
        <v>123.499</v>
      </c>
    </row>
    <row r="139" spans="1:8" s="5" customFormat="1" ht="94.5" hidden="1" outlineLevel="1" x14ac:dyDescent="0.25">
      <c r="A139" s="4">
        <v>2868</v>
      </c>
      <c r="B139" s="6" t="s">
        <v>38</v>
      </c>
      <c r="C139" s="38" t="s">
        <v>3358</v>
      </c>
      <c r="D139" s="6">
        <v>2022</v>
      </c>
      <c r="E139" s="6" t="s">
        <v>21</v>
      </c>
      <c r="F139" s="6">
        <v>11</v>
      </c>
      <c r="G139" s="6">
        <v>150</v>
      </c>
      <c r="H139" s="6">
        <f>0.050853*(1000)</f>
        <v>50.853000000000002</v>
      </c>
    </row>
    <row r="140" spans="1:8" s="5" customFormat="1" ht="78.75" hidden="1" outlineLevel="1" x14ac:dyDescent="0.25">
      <c r="A140" s="4">
        <v>3015</v>
      </c>
      <c r="B140" s="6" t="s">
        <v>38</v>
      </c>
      <c r="C140" s="38" t="s">
        <v>3359</v>
      </c>
      <c r="D140" s="6">
        <v>2022</v>
      </c>
      <c r="E140" s="6" t="s">
        <v>21</v>
      </c>
      <c r="F140" s="6">
        <v>533</v>
      </c>
      <c r="G140" s="6">
        <v>27</v>
      </c>
      <c r="H140" s="6">
        <f>0.796748*(1000)</f>
        <v>796.74800000000005</v>
      </c>
    </row>
    <row r="141" spans="1:8" s="5" customFormat="1" ht="78.75" hidden="1" outlineLevel="1" x14ac:dyDescent="0.25">
      <c r="A141" s="4">
        <v>3016</v>
      </c>
      <c r="B141" s="6" t="s">
        <v>38</v>
      </c>
      <c r="C141" s="38" t="s">
        <v>3360</v>
      </c>
      <c r="D141" s="6">
        <v>2022</v>
      </c>
      <c r="E141" s="6" t="s">
        <v>21</v>
      </c>
      <c r="F141" s="6">
        <v>388</v>
      </c>
      <c r="G141" s="6">
        <v>27</v>
      </c>
      <c r="H141" s="6">
        <f>0.612183*(1000)</f>
        <v>612.18299999999999</v>
      </c>
    </row>
    <row r="142" spans="1:8" s="5" customFormat="1" ht="126" hidden="1" outlineLevel="1" x14ac:dyDescent="0.25">
      <c r="A142" s="4">
        <v>4127</v>
      </c>
      <c r="B142" s="6" t="s">
        <v>38</v>
      </c>
      <c r="C142" s="38" t="s">
        <v>3361</v>
      </c>
      <c r="D142" s="6">
        <v>2022</v>
      </c>
      <c r="E142" s="6" t="s">
        <v>21</v>
      </c>
      <c r="F142" s="6">
        <v>24</v>
      </c>
      <c r="G142" s="6">
        <v>15</v>
      </c>
      <c r="H142" s="6">
        <v>196.947</v>
      </c>
    </row>
    <row r="143" spans="1:8" s="5" customFormat="1" ht="126" hidden="1" outlineLevel="1" x14ac:dyDescent="0.25">
      <c r="A143" s="4">
        <v>1488</v>
      </c>
      <c r="B143" s="6" t="s">
        <v>38</v>
      </c>
      <c r="C143" s="89" t="s">
        <v>3362</v>
      </c>
      <c r="D143" s="77">
        <v>2022</v>
      </c>
      <c r="E143" s="77" t="s">
        <v>21</v>
      </c>
      <c r="F143" s="90">
        <v>6</v>
      </c>
      <c r="G143" s="77">
        <v>50</v>
      </c>
      <c r="H143" s="77">
        <v>58.307679999999998</v>
      </c>
    </row>
    <row r="144" spans="1:8" s="5" customFormat="1" ht="94.5" hidden="1" outlineLevel="1" x14ac:dyDescent="0.25">
      <c r="A144" s="4">
        <v>1291</v>
      </c>
      <c r="B144" s="6" t="s">
        <v>38</v>
      </c>
      <c r="C144" s="89" t="s">
        <v>3363</v>
      </c>
      <c r="D144" s="77">
        <v>2022</v>
      </c>
      <c r="E144" s="77" t="s">
        <v>21</v>
      </c>
      <c r="F144" s="90">
        <v>27</v>
      </c>
      <c r="G144" s="77">
        <v>15</v>
      </c>
      <c r="H144" s="77">
        <v>98.850759999999994</v>
      </c>
    </row>
    <row r="145" spans="1:8" s="5" customFormat="1" ht="157.5" hidden="1" outlineLevel="1" x14ac:dyDescent="0.25">
      <c r="A145" s="4">
        <v>1079</v>
      </c>
      <c r="B145" s="6" t="s">
        <v>38</v>
      </c>
      <c r="C145" s="89" t="s">
        <v>3364</v>
      </c>
      <c r="D145" s="77">
        <v>2022</v>
      </c>
      <c r="E145" s="77" t="s">
        <v>21</v>
      </c>
      <c r="F145" s="90">
        <v>270</v>
      </c>
      <c r="G145" s="77">
        <v>35</v>
      </c>
      <c r="H145" s="77">
        <v>349.04273000000001</v>
      </c>
    </row>
    <row r="146" spans="1:8" s="5" customFormat="1" ht="126" hidden="1" outlineLevel="1" x14ac:dyDescent="0.25">
      <c r="A146" s="4">
        <v>1094</v>
      </c>
      <c r="B146" s="6" t="s">
        <v>38</v>
      </c>
      <c r="C146" s="89" t="s">
        <v>3365</v>
      </c>
      <c r="D146" s="77">
        <v>2022</v>
      </c>
      <c r="E146" s="77" t="s">
        <v>21</v>
      </c>
      <c r="F146" s="90">
        <v>54</v>
      </c>
      <c r="G146" s="77">
        <v>15</v>
      </c>
      <c r="H146" s="77">
        <v>129.69319999999999</v>
      </c>
    </row>
    <row r="147" spans="1:8" s="5" customFormat="1" ht="94.5" hidden="1" outlineLevel="1" x14ac:dyDescent="0.25">
      <c r="A147" s="4">
        <v>1138</v>
      </c>
      <c r="B147" s="6" t="s">
        <v>38</v>
      </c>
      <c r="C147" s="89" t="s">
        <v>3366</v>
      </c>
      <c r="D147" s="77">
        <v>2022</v>
      </c>
      <c r="E147" s="77" t="s">
        <v>21</v>
      </c>
      <c r="F147" s="90">
        <v>61</v>
      </c>
      <c r="G147" s="77">
        <v>10</v>
      </c>
      <c r="H147" s="77">
        <v>178.76346000000001</v>
      </c>
    </row>
    <row r="148" spans="1:8" s="5" customFormat="1" ht="173.25" hidden="1" outlineLevel="1" x14ac:dyDescent="0.25">
      <c r="A148" s="4">
        <v>1547</v>
      </c>
      <c r="B148" s="6" t="s">
        <v>38</v>
      </c>
      <c r="C148" s="89" t="s">
        <v>3367</v>
      </c>
      <c r="D148" s="77">
        <v>2022</v>
      </c>
      <c r="E148" s="77" t="s">
        <v>21</v>
      </c>
      <c r="F148" s="90">
        <v>495</v>
      </c>
      <c r="G148" s="77">
        <v>52</v>
      </c>
      <c r="H148" s="77">
        <v>564.81379000000004</v>
      </c>
    </row>
    <row r="149" spans="1:8" s="5" customFormat="1" ht="141.75" hidden="1" outlineLevel="1" x14ac:dyDescent="0.25">
      <c r="A149" s="4">
        <v>1135</v>
      </c>
      <c r="B149" s="6" t="s">
        <v>38</v>
      </c>
      <c r="C149" s="89" t="s">
        <v>3368</v>
      </c>
      <c r="D149" s="77">
        <v>2022</v>
      </c>
      <c r="E149" s="77" t="s">
        <v>21</v>
      </c>
      <c r="F149" s="90">
        <v>70</v>
      </c>
      <c r="G149" s="77">
        <v>0.5</v>
      </c>
      <c r="H149" s="77">
        <v>122.67453</v>
      </c>
    </row>
    <row r="150" spans="1:8" s="5" customFormat="1" ht="75" hidden="1" customHeight="1" outlineLevel="1" x14ac:dyDescent="0.25">
      <c r="A150" s="4">
        <v>1105</v>
      </c>
      <c r="B150" s="6" t="s">
        <v>38</v>
      </c>
      <c r="C150" s="89" t="s">
        <v>3369</v>
      </c>
      <c r="D150" s="77">
        <v>2022</v>
      </c>
      <c r="E150" s="77" t="s">
        <v>21</v>
      </c>
      <c r="F150" s="90">
        <v>132</v>
      </c>
      <c r="G150" s="77">
        <v>10</v>
      </c>
      <c r="H150" s="77">
        <v>207.82971000000001</v>
      </c>
    </row>
    <row r="151" spans="1:8" s="5" customFormat="1" ht="110.25" hidden="1" outlineLevel="1" x14ac:dyDescent="0.25">
      <c r="A151" s="4">
        <v>1066</v>
      </c>
      <c r="B151" s="6" t="s">
        <v>38</v>
      </c>
      <c r="C151" s="89" t="s">
        <v>3370</v>
      </c>
      <c r="D151" s="77">
        <v>2022</v>
      </c>
      <c r="E151" s="77" t="s">
        <v>21</v>
      </c>
      <c r="F151" s="90">
        <v>368</v>
      </c>
      <c r="G151" s="77">
        <v>13</v>
      </c>
      <c r="H151" s="77">
        <v>483.03219000000001</v>
      </c>
    </row>
    <row r="152" spans="1:8" s="5" customFormat="1" ht="110.25" hidden="1" outlineLevel="1" x14ac:dyDescent="0.25">
      <c r="A152" s="4">
        <v>1358</v>
      </c>
      <c r="B152" s="6" t="s">
        <v>38</v>
      </c>
      <c r="C152" s="91" t="s">
        <v>3371</v>
      </c>
      <c r="D152" s="77">
        <v>2022</v>
      </c>
      <c r="E152" s="77" t="s">
        <v>21</v>
      </c>
      <c r="F152" s="90">
        <v>21</v>
      </c>
      <c r="G152" s="77">
        <v>15</v>
      </c>
      <c r="H152" s="92">
        <v>82.743279999999999</v>
      </c>
    </row>
    <row r="153" spans="1:8" s="5" customFormat="1" ht="110.25" hidden="1" outlineLevel="1" x14ac:dyDescent="0.25">
      <c r="A153" s="4">
        <v>1221</v>
      </c>
      <c r="B153" s="6" t="s">
        <v>38</v>
      </c>
      <c r="C153" s="22" t="s">
        <v>3372</v>
      </c>
      <c r="D153" s="77">
        <v>2022</v>
      </c>
      <c r="E153" s="77" t="s">
        <v>21</v>
      </c>
      <c r="F153" s="90">
        <v>15</v>
      </c>
      <c r="G153" s="77">
        <v>15</v>
      </c>
      <c r="H153" s="92">
        <v>72.833489999999998</v>
      </c>
    </row>
    <row r="154" spans="1:8" s="5" customFormat="1" ht="110.25" hidden="1" outlineLevel="1" x14ac:dyDescent="0.25">
      <c r="A154" s="4">
        <v>1195</v>
      </c>
      <c r="B154" s="6" t="s">
        <v>38</v>
      </c>
      <c r="C154" s="22" t="s">
        <v>3373</v>
      </c>
      <c r="D154" s="77">
        <v>2022</v>
      </c>
      <c r="E154" s="77" t="s">
        <v>21</v>
      </c>
      <c r="F154" s="90">
        <v>72</v>
      </c>
      <c r="G154" s="77">
        <v>15</v>
      </c>
      <c r="H154" s="92">
        <v>184.59378000000001</v>
      </c>
    </row>
    <row r="155" spans="1:8" s="5" customFormat="1" ht="94.5" hidden="1" outlineLevel="1" x14ac:dyDescent="0.25">
      <c r="A155" s="4">
        <v>1316</v>
      </c>
      <c r="B155" s="6" t="s">
        <v>38</v>
      </c>
      <c r="C155" s="22" t="s">
        <v>3374</v>
      </c>
      <c r="D155" s="77">
        <v>2022</v>
      </c>
      <c r="E155" s="77" t="s">
        <v>21</v>
      </c>
      <c r="F155" s="90">
        <v>513</v>
      </c>
      <c r="G155" s="77">
        <v>50</v>
      </c>
      <c r="H155" s="92">
        <v>680.32929999999999</v>
      </c>
    </row>
    <row r="156" spans="1:8" s="5" customFormat="1" ht="110.25" hidden="1" outlineLevel="1" x14ac:dyDescent="0.25">
      <c r="A156" s="4">
        <v>1465</v>
      </c>
      <c r="B156" s="6" t="s">
        <v>38</v>
      </c>
      <c r="C156" s="93" t="s">
        <v>3375</v>
      </c>
      <c r="D156" s="77">
        <v>2022</v>
      </c>
      <c r="E156" s="77" t="s">
        <v>21</v>
      </c>
      <c r="F156" s="90">
        <v>5</v>
      </c>
      <c r="G156" s="77">
        <v>15</v>
      </c>
      <c r="H156" s="92">
        <v>65.031700000000001</v>
      </c>
    </row>
    <row r="157" spans="1:8" s="5" customFormat="1" ht="126" hidden="1" outlineLevel="1" x14ac:dyDescent="0.25">
      <c r="A157" s="4">
        <v>1466</v>
      </c>
      <c r="B157" s="6" t="s">
        <v>38</v>
      </c>
      <c r="C157" s="93" t="s">
        <v>3376</v>
      </c>
      <c r="D157" s="77">
        <v>2022</v>
      </c>
      <c r="E157" s="77" t="s">
        <v>21</v>
      </c>
      <c r="F157" s="90">
        <v>471</v>
      </c>
      <c r="G157" s="77">
        <v>15</v>
      </c>
      <c r="H157" s="92">
        <v>944.27883999999995</v>
      </c>
    </row>
    <row r="158" spans="1:8" s="5" customFormat="1" ht="141.75" hidden="1" outlineLevel="1" x14ac:dyDescent="0.25">
      <c r="A158" s="4">
        <v>1467</v>
      </c>
      <c r="B158" s="6" t="s">
        <v>38</v>
      </c>
      <c r="C158" s="89" t="s">
        <v>3377</v>
      </c>
      <c r="D158" s="77">
        <v>2022</v>
      </c>
      <c r="E158" s="77" t="s">
        <v>21</v>
      </c>
      <c r="F158" s="90">
        <v>6</v>
      </c>
      <c r="G158" s="77">
        <v>15</v>
      </c>
      <c r="H158" s="94">
        <v>49.929139999999997</v>
      </c>
    </row>
    <row r="159" spans="1:8" s="5" customFormat="1" ht="157.5" hidden="1" outlineLevel="1" x14ac:dyDescent="0.25">
      <c r="A159" s="4">
        <v>1230</v>
      </c>
      <c r="B159" s="6" t="s">
        <v>38</v>
      </c>
      <c r="C159" s="89" t="s">
        <v>3378</v>
      </c>
      <c r="D159" s="77">
        <v>2022</v>
      </c>
      <c r="E159" s="77" t="s">
        <v>21</v>
      </c>
      <c r="F159" s="90">
        <v>6</v>
      </c>
      <c r="G159" s="77">
        <v>1</v>
      </c>
      <c r="H159" s="94">
        <v>26.53492</v>
      </c>
    </row>
    <row r="160" spans="1:8" s="5" customFormat="1" ht="110.25" hidden="1" outlineLevel="1" x14ac:dyDescent="0.25">
      <c r="A160" s="4">
        <v>1431</v>
      </c>
      <c r="B160" s="6" t="s">
        <v>38</v>
      </c>
      <c r="C160" s="95" t="s">
        <v>3379</v>
      </c>
      <c r="D160" s="77">
        <v>2022</v>
      </c>
      <c r="E160" s="77" t="s">
        <v>21</v>
      </c>
      <c r="F160" s="90">
        <v>301</v>
      </c>
      <c r="G160" s="77">
        <v>15</v>
      </c>
      <c r="H160" s="94">
        <v>457.78095000000002</v>
      </c>
    </row>
    <row r="161" spans="1:8" s="5" customFormat="1" ht="110.25" hidden="1" outlineLevel="1" x14ac:dyDescent="0.25">
      <c r="A161" s="4">
        <v>1432</v>
      </c>
      <c r="B161" s="6" t="s">
        <v>38</v>
      </c>
      <c r="C161" s="95" t="s">
        <v>3380</v>
      </c>
      <c r="D161" s="77">
        <v>2022</v>
      </c>
      <c r="E161" s="77" t="s">
        <v>21</v>
      </c>
      <c r="F161" s="90">
        <v>369</v>
      </c>
      <c r="G161" s="77">
        <v>15</v>
      </c>
      <c r="H161" s="94">
        <v>516.13333999999998</v>
      </c>
    </row>
    <row r="162" spans="1:8" s="5" customFormat="1" ht="110.25" hidden="1" outlineLevel="1" x14ac:dyDescent="0.25">
      <c r="A162" s="4">
        <v>1546</v>
      </c>
      <c r="B162" s="6" t="s">
        <v>38</v>
      </c>
      <c r="C162" s="95" t="s">
        <v>3381</v>
      </c>
      <c r="D162" s="77">
        <v>2022</v>
      </c>
      <c r="E162" s="77" t="s">
        <v>21</v>
      </c>
      <c r="F162" s="90">
        <v>730</v>
      </c>
      <c r="G162" s="77">
        <v>15</v>
      </c>
      <c r="H162" s="94">
        <v>1210.0360900000001</v>
      </c>
    </row>
    <row r="163" spans="1:8" s="5" customFormat="1" ht="126" hidden="1" outlineLevel="1" x14ac:dyDescent="0.25">
      <c r="A163" s="4">
        <v>1592</v>
      </c>
      <c r="B163" s="6" t="s">
        <v>38</v>
      </c>
      <c r="C163" s="96" t="s">
        <v>3382</v>
      </c>
      <c r="D163" s="77">
        <v>2022</v>
      </c>
      <c r="E163" s="77" t="s">
        <v>21</v>
      </c>
      <c r="F163" s="90">
        <v>10</v>
      </c>
      <c r="G163" s="77">
        <v>30</v>
      </c>
      <c r="H163" s="94">
        <v>55.217120000000001</v>
      </c>
    </row>
    <row r="164" spans="1:8" s="5" customFormat="1" ht="141.75" hidden="1" outlineLevel="1" x14ac:dyDescent="0.25">
      <c r="A164" s="4">
        <v>1374</v>
      </c>
      <c r="B164" s="6" t="s">
        <v>38</v>
      </c>
      <c r="C164" s="96" t="s">
        <v>3383</v>
      </c>
      <c r="D164" s="77">
        <v>2022</v>
      </c>
      <c r="E164" s="77" t="s">
        <v>21</v>
      </c>
      <c r="F164" s="90">
        <v>490</v>
      </c>
      <c r="G164" s="77">
        <v>15</v>
      </c>
      <c r="H164" s="94">
        <v>531.60736999999995</v>
      </c>
    </row>
    <row r="165" spans="1:8" s="5" customFormat="1" ht="126" hidden="1" outlineLevel="1" x14ac:dyDescent="0.25">
      <c r="A165" s="4">
        <v>1196</v>
      </c>
      <c r="B165" s="6" t="s">
        <v>38</v>
      </c>
      <c r="C165" s="96" t="s">
        <v>3384</v>
      </c>
      <c r="D165" s="77">
        <v>2022</v>
      </c>
      <c r="E165" s="77" t="s">
        <v>21</v>
      </c>
      <c r="F165" s="90">
        <v>6</v>
      </c>
      <c r="G165" s="77">
        <v>15</v>
      </c>
      <c r="H165" s="94">
        <v>67.540199999999999</v>
      </c>
    </row>
    <row r="166" spans="1:8" s="5" customFormat="1" ht="110.25" hidden="1" outlineLevel="1" x14ac:dyDescent="0.25">
      <c r="A166" s="4">
        <v>1590</v>
      </c>
      <c r="B166" s="6" t="s">
        <v>38</v>
      </c>
      <c r="C166" s="96" t="s">
        <v>3385</v>
      </c>
      <c r="D166" s="77">
        <v>2022</v>
      </c>
      <c r="E166" s="77" t="s">
        <v>21</v>
      </c>
      <c r="F166" s="90">
        <v>120</v>
      </c>
      <c r="G166" s="77">
        <v>30</v>
      </c>
      <c r="H166" s="94">
        <v>203.51443</v>
      </c>
    </row>
    <row r="167" spans="1:8" s="5" customFormat="1" ht="141.75" hidden="1" outlineLevel="1" x14ac:dyDescent="0.25">
      <c r="A167" s="4">
        <v>1150</v>
      </c>
      <c r="B167" s="6" t="s">
        <v>38</v>
      </c>
      <c r="C167" s="96" t="s">
        <v>3386</v>
      </c>
      <c r="D167" s="77">
        <v>2022</v>
      </c>
      <c r="E167" s="77" t="s">
        <v>21</v>
      </c>
      <c r="F167" s="90">
        <v>10</v>
      </c>
      <c r="G167" s="77">
        <v>15</v>
      </c>
      <c r="H167" s="94">
        <v>67.14</v>
      </c>
    </row>
    <row r="168" spans="1:8" s="5" customFormat="1" ht="126" hidden="1" outlineLevel="1" x14ac:dyDescent="0.25">
      <c r="A168" s="4">
        <v>1591</v>
      </c>
      <c r="B168" s="6" t="s">
        <v>38</v>
      </c>
      <c r="C168" s="96" t="s">
        <v>3387</v>
      </c>
      <c r="D168" s="77">
        <v>2022</v>
      </c>
      <c r="E168" s="77" t="s">
        <v>21</v>
      </c>
      <c r="F168" s="90">
        <v>7</v>
      </c>
      <c r="G168" s="77">
        <v>25</v>
      </c>
      <c r="H168" s="94">
        <v>60.606380000000001</v>
      </c>
    </row>
    <row r="169" spans="1:8" s="5" customFormat="1" ht="126" hidden="1" outlineLevel="1" x14ac:dyDescent="0.25">
      <c r="A169" s="4">
        <v>1589</v>
      </c>
      <c r="B169" s="6" t="s">
        <v>38</v>
      </c>
      <c r="C169" s="96" t="s">
        <v>3388</v>
      </c>
      <c r="D169" s="77">
        <v>2022</v>
      </c>
      <c r="E169" s="77" t="s">
        <v>21</v>
      </c>
      <c r="F169" s="90">
        <v>7</v>
      </c>
      <c r="G169" s="77">
        <v>100.6</v>
      </c>
      <c r="H169" s="94">
        <v>52.821129999999997</v>
      </c>
    </row>
    <row r="170" spans="1:8" s="5" customFormat="1" ht="141.75" hidden="1" outlineLevel="1" x14ac:dyDescent="0.25">
      <c r="A170" s="4">
        <v>1162</v>
      </c>
      <c r="B170" s="6" t="s">
        <v>38</v>
      </c>
      <c r="C170" s="96" t="s">
        <v>3389</v>
      </c>
      <c r="D170" s="77">
        <v>2022</v>
      </c>
      <c r="E170" s="77" t="s">
        <v>21</v>
      </c>
      <c r="F170" s="90">
        <v>6</v>
      </c>
      <c r="G170" s="77">
        <v>15</v>
      </c>
      <c r="H170" s="94">
        <v>61.047179999999997</v>
      </c>
    </row>
    <row r="171" spans="1:8" s="5" customFormat="1" ht="94.5" hidden="1" outlineLevel="1" x14ac:dyDescent="0.25">
      <c r="A171" s="4">
        <v>1335</v>
      </c>
      <c r="B171" s="6" t="s">
        <v>38</v>
      </c>
      <c r="C171" s="97" t="s">
        <v>3390</v>
      </c>
      <c r="D171" s="77">
        <v>2022</v>
      </c>
      <c r="E171" s="77" t="s">
        <v>21</v>
      </c>
      <c r="F171" s="98">
        <v>30</v>
      </c>
      <c r="G171" s="77">
        <v>15</v>
      </c>
      <c r="H171" s="99">
        <v>65.526439999999994</v>
      </c>
    </row>
    <row r="172" spans="1:8" s="5" customFormat="1" ht="94.5" hidden="1" outlineLevel="1" x14ac:dyDescent="0.25">
      <c r="A172" s="4">
        <v>1519</v>
      </c>
      <c r="B172" s="6" t="s">
        <v>38</v>
      </c>
      <c r="C172" s="97" t="s">
        <v>3391</v>
      </c>
      <c r="D172" s="77">
        <v>2022</v>
      </c>
      <c r="E172" s="77" t="s">
        <v>21</v>
      </c>
      <c r="F172" s="98">
        <v>16</v>
      </c>
      <c r="G172" s="77">
        <v>15</v>
      </c>
      <c r="H172" s="99">
        <v>77.717740000000006</v>
      </c>
    </row>
    <row r="173" spans="1:8" s="5" customFormat="1" ht="110.25" hidden="1" outlineLevel="1" x14ac:dyDescent="0.25">
      <c r="A173" s="4">
        <v>1038</v>
      </c>
      <c r="B173" s="6" t="s">
        <v>38</v>
      </c>
      <c r="C173" s="100" t="s">
        <v>3392</v>
      </c>
      <c r="D173" s="77">
        <v>2022</v>
      </c>
      <c r="E173" s="77" t="s">
        <v>21</v>
      </c>
      <c r="F173" s="98">
        <v>35</v>
      </c>
      <c r="G173" s="77">
        <v>10</v>
      </c>
      <c r="H173" s="99">
        <v>121.66546</v>
      </c>
    </row>
    <row r="174" spans="1:8" s="5" customFormat="1" ht="110.25" hidden="1" outlineLevel="1" x14ac:dyDescent="0.25">
      <c r="A174" s="4">
        <v>1110</v>
      </c>
      <c r="B174" s="6" t="s">
        <v>38</v>
      </c>
      <c r="C174" s="97" t="s">
        <v>3393</v>
      </c>
      <c r="D174" s="77">
        <v>2022</v>
      </c>
      <c r="E174" s="77" t="s">
        <v>21</v>
      </c>
      <c r="F174" s="98">
        <v>125</v>
      </c>
      <c r="G174" s="77">
        <v>15</v>
      </c>
      <c r="H174" s="99">
        <v>263.42653000000001</v>
      </c>
    </row>
    <row r="175" spans="1:8" s="5" customFormat="1" ht="78.75" hidden="1" outlineLevel="1" x14ac:dyDescent="0.25">
      <c r="A175" s="4">
        <v>1039</v>
      </c>
      <c r="B175" s="6" t="s">
        <v>38</v>
      </c>
      <c r="C175" s="100" t="s">
        <v>3394</v>
      </c>
      <c r="D175" s="77">
        <v>2022</v>
      </c>
      <c r="E175" s="77" t="s">
        <v>21</v>
      </c>
      <c r="F175" s="98">
        <v>190</v>
      </c>
      <c r="G175" s="77">
        <v>15</v>
      </c>
      <c r="H175" s="99">
        <v>278.64314999999999</v>
      </c>
    </row>
    <row r="176" spans="1:8" s="5" customFormat="1" ht="141.75" hidden="1" outlineLevel="1" x14ac:dyDescent="0.25">
      <c r="A176" s="4">
        <v>1104</v>
      </c>
      <c r="B176" s="6" t="s">
        <v>38</v>
      </c>
      <c r="C176" s="97" t="s">
        <v>3395</v>
      </c>
      <c r="D176" s="77">
        <v>2022</v>
      </c>
      <c r="E176" s="77" t="s">
        <v>21</v>
      </c>
      <c r="F176" s="98">
        <v>90</v>
      </c>
      <c r="G176" s="77">
        <v>15</v>
      </c>
      <c r="H176" s="99">
        <v>134.97262000000001</v>
      </c>
    </row>
    <row r="177" spans="1:8" s="5" customFormat="1" ht="94.5" hidden="1" outlineLevel="1" x14ac:dyDescent="0.25">
      <c r="A177" s="4">
        <v>1469</v>
      </c>
      <c r="B177" s="6" t="s">
        <v>38</v>
      </c>
      <c r="C177" s="97" t="s">
        <v>3396</v>
      </c>
      <c r="D177" s="77">
        <v>2022</v>
      </c>
      <c r="E177" s="77" t="s">
        <v>21</v>
      </c>
      <c r="F177" s="98">
        <v>30</v>
      </c>
      <c r="G177" s="77">
        <v>15</v>
      </c>
      <c r="H177" s="99">
        <v>82.092389999999995</v>
      </c>
    </row>
    <row r="178" spans="1:8" s="5" customFormat="1" ht="141.75" hidden="1" outlineLevel="1" x14ac:dyDescent="0.25">
      <c r="A178" s="4">
        <v>1434</v>
      </c>
      <c r="B178" s="6" t="s">
        <v>38</v>
      </c>
      <c r="C178" s="97" t="s">
        <v>3397</v>
      </c>
      <c r="D178" s="77">
        <v>2022</v>
      </c>
      <c r="E178" s="77" t="s">
        <v>21</v>
      </c>
      <c r="F178" s="98">
        <v>6</v>
      </c>
      <c r="G178" s="77">
        <v>25</v>
      </c>
      <c r="H178" s="99">
        <v>79.259</v>
      </c>
    </row>
    <row r="179" spans="1:8" s="5" customFormat="1" ht="83.25" hidden="1" customHeight="1" outlineLevel="1" x14ac:dyDescent="0.25">
      <c r="A179" s="4">
        <v>1050</v>
      </c>
      <c r="B179" s="6" t="s">
        <v>38</v>
      </c>
      <c r="C179" s="97" t="s">
        <v>3398</v>
      </c>
      <c r="D179" s="77">
        <v>2022</v>
      </c>
      <c r="E179" s="77" t="s">
        <v>21</v>
      </c>
      <c r="F179" s="98">
        <v>60</v>
      </c>
      <c r="G179" s="77">
        <v>15</v>
      </c>
      <c r="H179" s="99">
        <v>124.62909000000001</v>
      </c>
    </row>
    <row r="180" spans="1:8" s="5" customFormat="1" ht="110.25" hidden="1" outlineLevel="1" x14ac:dyDescent="0.25">
      <c r="A180" s="4">
        <v>1109</v>
      </c>
      <c r="B180" s="6" t="s">
        <v>38</v>
      </c>
      <c r="C180" s="97" t="s">
        <v>3399</v>
      </c>
      <c r="D180" s="77">
        <v>2022</v>
      </c>
      <c r="E180" s="77" t="s">
        <v>21</v>
      </c>
      <c r="F180" s="98">
        <v>80</v>
      </c>
      <c r="G180" s="77">
        <v>5</v>
      </c>
      <c r="H180" s="99">
        <v>193.83853999999999</v>
      </c>
    </row>
    <row r="181" spans="1:8" s="5" customFormat="1" ht="94.5" hidden="1" outlineLevel="1" x14ac:dyDescent="0.25">
      <c r="A181" s="4">
        <v>1490</v>
      </c>
      <c r="B181" s="6" t="s">
        <v>38</v>
      </c>
      <c r="C181" s="97" t="s">
        <v>3400</v>
      </c>
      <c r="D181" s="77">
        <v>2022</v>
      </c>
      <c r="E181" s="77" t="s">
        <v>21</v>
      </c>
      <c r="F181" s="98">
        <v>96</v>
      </c>
      <c r="G181" s="77">
        <v>80</v>
      </c>
      <c r="H181" s="99">
        <v>222.73652000000001</v>
      </c>
    </row>
    <row r="182" spans="1:8" s="5" customFormat="1" ht="78.75" hidden="1" outlineLevel="1" x14ac:dyDescent="0.25">
      <c r="A182" s="4">
        <v>1054</v>
      </c>
      <c r="B182" s="6" t="s">
        <v>38</v>
      </c>
      <c r="C182" s="100" t="s">
        <v>3401</v>
      </c>
      <c r="D182" s="77">
        <v>2022</v>
      </c>
      <c r="E182" s="77" t="s">
        <v>21</v>
      </c>
      <c r="F182" s="98">
        <v>532</v>
      </c>
      <c r="G182" s="77">
        <v>15</v>
      </c>
      <c r="H182" s="99">
        <v>724.92328999999995</v>
      </c>
    </row>
    <row r="183" spans="1:8" s="5" customFormat="1" ht="94.5" hidden="1" outlineLevel="1" x14ac:dyDescent="0.25">
      <c r="A183" s="4">
        <v>1040</v>
      </c>
      <c r="B183" s="6" t="s">
        <v>38</v>
      </c>
      <c r="C183" s="100" t="s">
        <v>3402</v>
      </c>
      <c r="D183" s="77">
        <v>2022</v>
      </c>
      <c r="E183" s="77" t="s">
        <v>21</v>
      </c>
      <c r="F183" s="98">
        <v>70</v>
      </c>
      <c r="G183" s="77">
        <v>15</v>
      </c>
      <c r="H183" s="99">
        <v>209.29751999999999</v>
      </c>
    </row>
    <row r="184" spans="1:8" s="5" customFormat="1" ht="141.75" hidden="1" outlineLevel="1" x14ac:dyDescent="0.25">
      <c r="A184" s="4">
        <v>1520</v>
      </c>
      <c r="B184" s="6" t="s">
        <v>38</v>
      </c>
      <c r="C184" s="97" t="s">
        <v>3403</v>
      </c>
      <c r="D184" s="77">
        <v>2022</v>
      </c>
      <c r="E184" s="77" t="s">
        <v>21</v>
      </c>
      <c r="F184" s="98">
        <v>6</v>
      </c>
      <c r="G184" s="77">
        <v>50</v>
      </c>
      <c r="H184" s="99">
        <v>162.46024</v>
      </c>
    </row>
    <row r="185" spans="1:8" s="5" customFormat="1" ht="126" hidden="1" outlineLevel="1" x14ac:dyDescent="0.25">
      <c r="A185" s="4">
        <v>1329</v>
      </c>
      <c r="B185" s="6" t="s">
        <v>38</v>
      </c>
      <c r="C185" s="97" t="s">
        <v>3404</v>
      </c>
      <c r="D185" s="77">
        <v>2022</v>
      </c>
      <c r="E185" s="77" t="s">
        <v>21</v>
      </c>
      <c r="F185" s="98">
        <v>22</v>
      </c>
      <c r="G185" s="77">
        <v>15</v>
      </c>
      <c r="H185" s="99">
        <v>102.10052</v>
      </c>
    </row>
    <row r="186" spans="1:8" s="5" customFormat="1" ht="110.25" hidden="1" outlineLevel="1" x14ac:dyDescent="0.25">
      <c r="A186" s="4">
        <v>1254</v>
      </c>
      <c r="B186" s="6" t="s">
        <v>38</v>
      </c>
      <c r="C186" s="97" t="s">
        <v>3405</v>
      </c>
      <c r="D186" s="77">
        <v>2022</v>
      </c>
      <c r="E186" s="77" t="s">
        <v>21</v>
      </c>
      <c r="F186" s="98">
        <v>90</v>
      </c>
      <c r="G186" s="77">
        <v>70</v>
      </c>
      <c r="H186" s="99">
        <v>207.93158</v>
      </c>
    </row>
    <row r="187" spans="1:8" s="5" customFormat="1" ht="94.5" hidden="1" outlineLevel="1" x14ac:dyDescent="0.25">
      <c r="A187" s="4">
        <v>1309</v>
      </c>
      <c r="B187" s="6" t="s">
        <v>38</v>
      </c>
      <c r="C187" s="101" t="s">
        <v>3406</v>
      </c>
      <c r="D187" s="77">
        <v>2022</v>
      </c>
      <c r="E187" s="77" t="s">
        <v>21</v>
      </c>
      <c r="F187" s="98">
        <v>20</v>
      </c>
      <c r="G187" s="77">
        <v>15</v>
      </c>
      <c r="H187" s="99">
        <v>69.370990000000006</v>
      </c>
    </row>
    <row r="188" spans="1:8" s="5" customFormat="1" ht="94.5" hidden="1" outlineLevel="1" x14ac:dyDescent="0.25">
      <c r="A188" s="4">
        <v>1170</v>
      </c>
      <c r="B188" s="6" t="s">
        <v>38</v>
      </c>
      <c r="C188" s="101" t="s">
        <v>3407</v>
      </c>
      <c r="D188" s="77">
        <v>2022</v>
      </c>
      <c r="E188" s="77" t="s">
        <v>21</v>
      </c>
      <c r="F188" s="98">
        <v>32</v>
      </c>
      <c r="G188" s="77">
        <v>15</v>
      </c>
      <c r="H188" s="99">
        <v>93.180710000000005</v>
      </c>
    </row>
    <row r="189" spans="1:8" s="5" customFormat="1" ht="94.5" hidden="1" outlineLevel="1" x14ac:dyDescent="0.25">
      <c r="A189" s="4">
        <v>1397</v>
      </c>
      <c r="B189" s="6" t="s">
        <v>38</v>
      </c>
      <c r="C189" s="101" t="s">
        <v>3408</v>
      </c>
      <c r="D189" s="77">
        <v>2022</v>
      </c>
      <c r="E189" s="77" t="s">
        <v>21</v>
      </c>
      <c r="F189" s="98">
        <v>32</v>
      </c>
      <c r="G189" s="77">
        <v>15</v>
      </c>
      <c r="H189" s="99">
        <v>84.193770000000001</v>
      </c>
    </row>
    <row r="190" spans="1:8" s="5" customFormat="1" ht="94.5" hidden="1" outlineLevel="1" x14ac:dyDescent="0.25">
      <c r="A190" s="4">
        <v>1450</v>
      </c>
      <c r="B190" s="6" t="s">
        <v>38</v>
      </c>
      <c r="C190" s="101" t="s">
        <v>3409</v>
      </c>
      <c r="D190" s="77">
        <v>2022</v>
      </c>
      <c r="E190" s="77" t="s">
        <v>21</v>
      </c>
      <c r="F190" s="98">
        <v>97</v>
      </c>
      <c r="G190" s="77">
        <v>15</v>
      </c>
      <c r="H190" s="99">
        <v>181.66131999999999</v>
      </c>
    </row>
    <row r="191" spans="1:8" s="5" customFormat="1" ht="110.25" hidden="1" outlineLevel="1" x14ac:dyDescent="0.25">
      <c r="A191" s="4">
        <v>1242</v>
      </c>
      <c r="B191" s="6" t="s">
        <v>38</v>
      </c>
      <c r="C191" s="101" t="s">
        <v>3410</v>
      </c>
      <c r="D191" s="77">
        <v>2022</v>
      </c>
      <c r="E191" s="77" t="s">
        <v>21</v>
      </c>
      <c r="F191" s="98">
        <v>17</v>
      </c>
      <c r="G191" s="77">
        <v>15</v>
      </c>
      <c r="H191" s="99">
        <v>76.44838</v>
      </c>
    </row>
    <row r="192" spans="1:8" s="5" customFormat="1" ht="141.75" hidden="1" outlineLevel="1" x14ac:dyDescent="0.25">
      <c r="A192" s="4">
        <v>1093</v>
      </c>
      <c r="B192" s="6" t="s">
        <v>38</v>
      </c>
      <c r="C192" s="101" t="s">
        <v>3411</v>
      </c>
      <c r="D192" s="77">
        <v>2022</v>
      </c>
      <c r="E192" s="77" t="s">
        <v>21</v>
      </c>
      <c r="F192" s="98">
        <v>90</v>
      </c>
      <c r="G192" s="77">
        <v>15</v>
      </c>
      <c r="H192" s="99">
        <v>132.26285999999999</v>
      </c>
    </row>
    <row r="193" spans="1:8" s="5" customFormat="1" ht="110.25" hidden="1" outlineLevel="1" x14ac:dyDescent="0.25">
      <c r="A193" s="4">
        <v>1095</v>
      </c>
      <c r="B193" s="6" t="s">
        <v>38</v>
      </c>
      <c r="C193" s="101" t="s">
        <v>3412</v>
      </c>
      <c r="D193" s="77">
        <v>2022</v>
      </c>
      <c r="E193" s="77" t="s">
        <v>21</v>
      </c>
      <c r="F193" s="98">
        <v>74</v>
      </c>
      <c r="G193" s="77">
        <v>15</v>
      </c>
      <c r="H193" s="99">
        <v>160.95400000000001</v>
      </c>
    </row>
    <row r="194" spans="1:8" s="5" customFormat="1" ht="94.5" hidden="1" outlineLevel="1" x14ac:dyDescent="0.25">
      <c r="A194" s="4">
        <v>1449</v>
      </c>
      <c r="B194" s="6" t="s">
        <v>38</v>
      </c>
      <c r="C194" s="91" t="s">
        <v>3413</v>
      </c>
      <c r="D194" s="77">
        <v>2022</v>
      </c>
      <c r="E194" s="77" t="s">
        <v>21</v>
      </c>
      <c r="F194" s="98">
        <v>31</v>
      </c>
      <c r="G194" s="77">
        <v>14</v>
      </c>
      <c r="H194" s="99">
        <v>104.49771</v>
      </c>
    </row>
    <row r="195" spans="1:8" s="5" customFormat="1" ht="110.25" hidden="1" outlineLevel="1" x14ac:dyDescent="0.25">
      <c r="A195" s="4">
        <v>1139</v>
      </c>
      <c r="B195" s="6" t="s">
        <v>38</v>
      </c>
      <c r="C195" s="91" t="s">
        <v>3414</v>
      </c>
      <c r="D195" s="77">
        <v>2022</v>
      </c>
      <c r="E195" s="77" t="s">
        <v>21</v>
      </c>
      <c r="F195" s="98">
        <v>30</v>
      </c>
      <c r="G195" s="77">
        <v>15</v>
      </c>
      <c r="H195" s="99">
        <v>124.80813000000001</v>
      </c>
    </row>
    <row r="196" spans="1:8" s="5" customFormat="1" ht="110.25" hidden="1" outlineLevel="1" x14ac:dyDescent="0.25">
      <c r="A196" s="4">
        <v>1128</v>
      </c>
      <c r="B196" s="6" t="s">
        <v>38</v>
      </c>
      <c r="C196" s="101" t="s">
        <v>3415</v>
      </c>
      <c r="D196" s="77">
        <v>2022</v>
      </c>
      <c r="E196" s="77" t="s">
        <v>21</v>
      </c>
      <c r="F196" s="98">
        <v>62</v>
      </c>
      <c r="G196" s="77">
        <v>15</v>
      </c>
      <c r="H196" s="99">
        <v>156.12772000000001</v>
      </c>
    </row>
    <row r="197" spans="1:8" s="5" customFormat="1" ht="110.25" hidden="1" outlineLevel="1" x14ac:dyDescent="0.25">
      <c r="A197" s="4">
        <v>1183</v>
      </c>
      <c r="B197" s="6" t="s">
        <v>38</v>
      </c>
      <c r="C197" s="91" t="s">
        <v>3416</v>
      </c>
      <c r="D197" s="77">
        <v>2022</v>
      </c>
      <c r="E197" s="77" t="s">
        <v>21</v>
      </c>
      <c r="F197" s="98">
        <v>462</v>
      </c>
      <c r="G197" s="77">
        <v>30</v>
      </c>
      <c r="H197" s="99">
        <v>523.42544999999996</v>
      </c>
    </row>
    <row r="198" spans="1:8" s="5" customFormat="1" ht="94.5" hidden="1" outlineLevel="1" x14ac:dyDescent="0.25">
      <c r="A198" s="4">
        <v>1468</v>
      </c>
      <c r="B198" s="6" t="s">
        <v>38</v>
      </c>
      <c r="C198" s="95" t="s">
        <v>3417</v>
      </c>
      <c r="D198" s="77">
        <v>2022</v>
      </c>
      <c r="E198" s="77" t="s">
        <v>21</v>
      </c>
      <c r="F198" s="98">
        <v>30</v>
      </c>
      <c r="G198" s="77">
        <v>15</v>
      </c>
      <c r="H198" s="99">
        <v>81.782709999999994</v>
      </c>
    </row>
    <row r="199" spans="1:8" s="5" customFormat="1" ht="110.25" hidden="1" outlineLevel="1" x14ac:dyDescent="0.25">
      <c r="A199" s="4">
        <v>1719</v>
      </c>
      <c r="B199" s="6" t="s">
        <v>38</v>
      </c>
      <c r="C199" s="95" t="s">
        <v>3418</v>
      </c>
      <c r="D199" s="77">
        <v>2022</v>
      </c>
      <c r="E199" s="77" t="s">
        <v>21</v>
      </c>
      <c r="F199" s="98">
        <v>430</v>
      </c>
      <c r="G199" s="77">
        <v>15</v>
      </c>
      <c r="H199" s="99">
        <v>874.45014000000003</v>
      </c>
    </row>
    <row r="200" spans="1:8" s="5" customFormat="1" ht="126" hidden="1" outlineLevel="1" x14ac:dyDescent="0.25">
      <c r="A200" s="4">
        <v>1229</v>
      </c>
      <c r="B200" s="6" t="s">
        <v>38</v>
      </c>
      <c r="C200" s="95" t="s">
        <v>3419</v>
      </c>
      <c r="D200" s="77">
        <v>2022</v>
      </c>
      <c r="E200" s="77" t="s">
        <v>21</v>
      </c>
      <c r="F200" s="98">
        <v>60</v>
      </c>
      <c r="G200" s="77">
        <v>15</v>
      </c>
      <c r="H200" s="99">
        <v>226.11572000000001</v>
      </c>
    </row>
    <row r="201" spans="1:8" s="5" customFormat="1" ht="110.25" hidden="1" outlineLevel="1" x14ac:dyDescent="0.25">
      <c r="A201" s="4">
        <v>1320</v>
      </c>
      <c r="B201" s="6" t="s">
        <v>38</v>
      </c>
      <c r="C201" s="95" t="s">
        <v>3420</v>
      </c>
      <c r="D201" s="77">
        <v>2022</v>
      </c>
      <c r="E201" s="77" t="s">
        <v>21</v>
      </c>
      <c r="F201" s="98">
        <v>170</v>
      </c>
      <c r="G201" s="77">
        <v>15</v>
      </c>
      <c r="H201" s="99">
        <v>284.27116999999998</v>
      </c>
    </row>
    <row r="202" spans="1:8" s="5" customFormat="1" ht="126" hidden="1" outlineLevel="1" x14ac:dyDescent="0.25">
      <c r="A202" s="4">
        <v>1664</v>
      </c>
      <c r="B202" s="6" t="s">
        <v>38</v>
      </c>
      <c r="C202" s="95" t="s">
        <v>3421</v>
      </c>
      <c r="D202" s="77">
        <v>2022</v>
      </c>
      <c r="E202" s="77" t="s">
        <v>21</v>
      </c>
      <c r="F202" s="98">
        <v>455</v>
      </c>
      <c r="G202" s="77">
        <v>15</v>
      </c>
      <c r="H202" s="99">
        <v>1000.89307</v>
      </c>
    </row>
    <row r="203" spans="1:8" s="5" customFormat="1" ht="94.5" hidden="1" outlineLevel="1" x14ac:dyDescent="0.25">
      <c r="A203" s="4">
        <v>1231</v>
      </c>
      <c r="B203" s="6" t="s">
        <v>38</v>
      </c>
      <c r="C203" s="91" t="s">
        <v>3422</v>
      </c>
      <c r="D203" s="77">
        <v>2022</v>
      </c>
      <c r="E203" s="77" t="s">
        <v>21</v>
      </c>
      <c r="F203" s="98">
        <v>58</v>
      </c>
      <c r="G203" s="77">
        <v>6</v>
      </c>
      <c r="H203" s="99">
        <v>138.43532999999999</v>
      </c>
    </row>
    <row r="204" spans="1:8" s="5" customFormat="1" ht="55.5" hidden="1" customHeight="1" outlineLevel="1" x14ac:dyDescent="0.25">
      <c r="A204" s="4">
        <v>1057</v>
      </c>
      <c r="B204" s="6" t="s">
        <v>38</v>
      </c>
      <c r="C204" s="91" t="s">
        <v>3423</v>
      </c>
      <c r="D204" s="77">
        <v>2022</v>
      </c>
      <c r="E204" s="77" t="s">
        <v>21</v>
      </c>
      <c r="F204" s="98">
        <v>6</v>
      </c>
      <c r="G204" s="77">
        <v>15</v>
      </c>
      <c r="H204" s="99">
        <v>69.200140000000005</v>
      </c>
    </row>
    <row r="205" spans="1:8" s="5" customFormat="1" ht="141.75" hidden="1" outlineLevel="1" x14ac:dyDescent="0.25">
      <c r="A205" s="4">
        <v>1132</v>
      </c>
      <c r="B205" s="6" t="s">
        <v>38</v>
      </c>
      <c r="C205" s="91" t="s">
        <v>3424</v>
      </c>
      <c r="D205" s="77">
        <v>2022</v>
      </c>
      <c r="E205" s="77" t="s">
        <v>21</v>
      </c>
      <c r="F205" s="98">
        <v>10</v>
      </c>
      <c r="G205" s="77">
        <v>15</v>
      </c>
      <c r="H205" s="99">
        <v>68.830119999999994</v>
      </c>
    </row>
    <row r="206" spans="1:8" s="5" customFormat="1" ht="65.25" hidden="1" customHeight="1" outlineLevel="1" x14ac:dyDescent="0.25">
      <c r="A206" s="4">
        <v>1075</v>
      </c>
      <c r="B206" s="6" t="s">
        <v>38</v>
      </c>
      <c r="C206" s="91" t="s">
        <v>3425</v>
      </c>
      <c r="D206" s="77">
        <v>2022</v>
      </c>
      <c r="E206" s="77" t="s">
        <v>21</v>
      </c>
      <c r="F206" s="98">
        <v>50</v>
      </c>
      <c r="G206" s="77">
        <v>15</v>
      </c>
      <c r="H206" s="99">
        <v>140.03085999999999</v>
      </c>
    </row>
    <row r="207" spans="1:8" s="5" customFormat="1" ht="78.75" hidden="1" outlineLevel="1" x14ac:dyDescent="0.25">
      <c r="A207" s="4">
        <v>1042</v>
      </c>
      <c r="B207" s="6" t="s">
        <v>38</v>
      </c>
      <c r="C207" s="91" t="s">
        <v>3426</v>
      </c>
      <c r="D207" s="77">
        <v>2022</v>
      </c>
      <c r="E207" s="77" t="s">
        <v>21</v>
      </c>
      <c r="F207" s="98">
        <v>51</v>
      </c>
      <c r="G207" s="77">
        <v>15</v>
      </c>
      <c r="H207" s="99">
        <v>167.02641</v>
      </c>
    </row>
    <row r="208" spans="1:8" s="5" customFormat="1" ht="126" hidden="1" outlineLevel="1" x14ac:dyDescent="0.25">
      <c r="A208" s="4">
        <v>1491</v>
      </c>
      <c r="B208" s="6" t="s">
        <v>38</v>
      </c>
      <c r="C208" s="91" t="s">
        <v>3427</v>
      </c>
      <c r="D208" s="77">
        <v>2022</v>
      </c>
      <c r="E208" s="77" t="s">
        <v>21</v>
      </c>
      <c r="F208" s="98">
        <v>6</v>
      </c>
      <c r="G208" s="77">
        <v>15</v>
      </c>
      <c r="H208" s="99">
        <v>62.659460000000003</v>
      </c>
    </row>
    <row r="209" spans="1:8" s="5" customFormat="1" ht="94.5" hidden="1" outlineLevel="1" x14ac:dyDescent="0.25">
      <c r="A209" s="4">
        <v>1263</v>
      </c>
      <c r="B209" s="6" t="s">
        <v>38</v>
      </c>
      <c r="C209" s="91" t="s">
        <v>3428</v>
      </c>
      <c r="D209" s="77">
        <v>2022</v>
      </c>
      <c r="E209" s="77" t="s">
        <v>21</v>
      </c>
      <c r="F209" s="98">
        <v>59</v>
      </c>
      <c r="G209" s="77">
        <v>15</v>
      </c>
      <c r="H209" s="99">
        <v>223.33950999999999</v>
      </c>
    </row>
    <row r="210" spans="1:8" s="5" customFormat="1" ht="94.5" hidden="1" outlineLevel="1" x14ac:dyDescent="0.25">
      <c r="A210" s="4">
        <v>1317</v>
      </c>
      <c r="B210" s="6" t="s">
        <v>38</v>
      </c>
      <c r="C210" s="102" t="s">
        <v>3429</v>
      </c>
      <c r="D210" s="77">
        <v>2022</v>
      </c>
      <c r="E210" s="77" t="s">
        <v>21</v>
      </c>
      <c r="F210" s="98">
        <v>239</v>
      </c>
      <c r="G210" s="77">
        <v>15</v>
      </c>
      <c r="H210" s="99">
        <v>457.06058999999999</v>
      </c>
    </row>
    <row r="211" spans="1:8" s="5" customFormat="1" ht="94.5" hidden="1" outlineLevel="1" x14ac:dyDescent="0.25">
      <c r="A211" s="4">
        <v>1366</v>
      </c>
      <c r="B211" s="6" t="s">
        <v>38</v>
      </c>
      <c r="C211" s="22" t="s">
        <v>3430</v>
      </c>
      <c r="D211" s="77">
        <v>2022</v>
      </c>
      <c r="E211" s="77" t="s">
        <v>21</v>
      </c>
      <c r="F211" s="98">
        <v>30</v>
      </c>
      <c r="G211" s="77">
        <v>12</v>
      </c>
      <c r="H211" s="99">
        <v>115.87991</v>
      </c>
    </row>
    <row r="212" spans="1:8" s="5" customFormat="1" ht="72" hidden="1" customHeight="1" outlineLevel="1" x14ac:dyDescent="0.25">
      <c r="A212" s="4">
        <v>1099</v>
      </c>
      <c r="B212" s="6" t="s">
        <v>38</v>
      </c>
      <c r="C212" s="89" t="s">
        <v>3431</v>
      </c>
      <c r="D212" s="77">
        <v>2022</v>
      </c>
      <c r="E212" s="77" t="s">
        <v>21</v>
      </c>
      <c r="F212" s="98">
        <v>120</v>
      </c>
      <c r="G212" s="77">
        <v>15</v>
      </c>
      <c r="H212" s="99">
        <v>361.58058999999997</v>
      </c>
    </row>
    <row r="213" spans="1:8" s="5" customFormat="1" ht="94.5" hidden="1" outlineLevel="1" x14ac:dyDescent="0.25">
      <c r="A213" s="4">
        <v>1665</v>
      </c>
      <c r="B213" s="6" t="s">
        <v>38</v>
      </c>
      <c r="C213" s="102" t="s">
        <v>3432</v>
      </c>
      <c r="D213" s="77">
        <v>2022</v>
      </c>
      <c r="E213" s="77" t="s">
        <v>21</v>
      </c>
      <c r="F213" s="98">
        <v>262</v>
      </c>
      <c r="G213" s="77">
        <v>15</v>
      </c>
      <c r="H213" s="99">
        <v>635.91540999999995</v>
      </c>
    </row>
    <row r="214" spans="1:8" s="5" customFormat="1" ht="94.5" hidden="1" outlineLevel="1" x14ac:dyDescent="0.25">
      <c r="A214" s="4">
        <v>1384</v>
      </c>
      <c r="B214" s="6" t="s">
        <v>38</v>
      </c>
      <c r="C214" s="102" t="s">
        <v>3433</v>
      </c>
      <c r="D214" s="77">
        <v>2022</v>
      </c>
      <c r="E214" s="77" t="s">
        <v>21</v>
      </c>
      <c r="F214" s="98">
        <v>13</v>
      </c>
      <c r="G214" s="77">
        <v>15</v>
      </c>
      <c r="H214" s="99">
        <v>99.452460000000002</v>
      </c>
    </row>
    <row r="215" spans="1:8" s="5" customFormat="1" ht="110.25" hidden="1" outlineLevel="1" x14ac:dyDescent="0.25">
      <c r="A215" s="4">
        <v>1124</v>
      </c>
      <c r="B215" s="6" t="s">
        <v>38</v>
      </c>
      <c r="C215" s="103" t="s">
        <v>3434</v>
      </c>
      <c r="D215" s="77">
        <v>2022</v>
      </c>
      <c r="E215" s="77" t="s">
        <v>21</v>
      </c>
      <c r="F215" s="98">
        <v>30</v>
      </c>
      <c r="G215" s="77">
        <v>15</v>
      </c>
      <c r="H215" s="99">
        <v>86.695989999999995</v>
      </c>
    </row>
    <row r="216" spans="1:8" s="5" customFormat="1" ht="73.5" hidden="1" customHeight="1" outlineLevel="1" x14ac:dyDescent="0.25">
      <c r="A216" s="4">
        <v>1545</v>
      </c>
      <c r="B216" s="6" t="s">
        <v>38</v>
      </c>
      <c r="C216" s="97" t="s">
        <v>3435</v>
      </c>
      <c r="D216" s="77">
        <v>2022</v>
      </c>
      <c r="E216" s="77" t="s">
        <v>21</v>
      </c>
      <c r="F216" s="98">
        <v>127</v>
      </c>
      <c r="G216" s="77">
        <v>13</v>
      </c>
      <c r="H216" s="99">
        <v>228.57637</v>
      </c>
    </row>
    <row r="217" spans="1:8" s="5" customFormat="1" ht="78.75" hidden="1" outlineLevel="1" x14ac:dyDescent="0.25">
      <c r="A217" s="4">
        <v>1047</v>
      </c>
      <c r="B217" s="6" t="s">
        <v>38</v>
      </c>
      <c r="C217" s="103" t="s">
        <v>3436</v>
      </c>
      <c r="D217" s="77">
        <v>2022</v>
      </c>
      <c r="E217" s="77" t="s">
        <v>21</v>
      </c>
      <c r="F217" s="98">
        <v>30</v>
      </c>
      <c r="G217" s="77">
        <v>15</v>
      </c>
      <c r="H217" s="99">
        <v>117.46265</v>
      </c>
    </row>
    <row r="218" spans="1:8" s="5" customFormat="1" ht="94.5" hidden="1" outlineLevel="1" x14ac:dyDescent="0.25">
      <c r="A218" s="4">
        <v>1232</v>
      </c>
      <c r="B218" s="6" t="s">
        <v>38</v>
      </c>
      <c r="C218" s="103" t="s">
        <v>3437</v>
      </c>
      <c r="D218" s="77">
        <v>2022</v>
      </c>
      <c r="E218" s="77" t="s">
        <v>21</v>
      </c>
      <c r="F218" s="98">
        <v>30</v>
      </c>
      <c r="G218" s="77">
        <v>15</v>
      </c>
      <c r="H218" s="99">
        <v>61.667909999999999</v>
      </c>
    </row>
    <row r="219" spans="1:8" s="5" customFormat="1" ht="126" hidden="1" outlineLevel="1" x14ac:dyDescent="0.25">
      <c r="A219" s="4">
        <v>1492</v>
      </c>
      <c r="B219" s="6" t="s">
        <v>38</v>
      </c>
      <c r="C219" s="112" t="s">
        <v>3438</v>
      </c>
      <c r="D219" s="77">
        <v>2022</v>
      </c>
      <c r="E219" s="77" t="s">
        <v>21</v>
      </c>
      <c r="F219" s="98">
        <v>7</v>
      </c>
      <c r="G219" s="77">
        <v>15</v>
      </c>
      <c r="H219" s="99">
        <v>46.947130000000001</v>
      </c>
    </row>
    <row r="220" spans="1:8" s="5" customFormat="1" ht="110.25" hidden="1" outlineLevel="1" x14ac:dyDescent="0.25">
      <c r="A220" s="4">
        <v>1351</v>
      </c>
      <c r="B220" s="6" t="s">
        <v>38</v>
      </c>
      <c r="C220" s="91" t="s">
        <v>3439</v>
      </c>
      <c r="D220" s="77">
        <v>2022</v>
      </c>
      <c r="E220" s="77" t="s">
        <v>21</v>
      </c>
      <c r="F220" s="98">
        <v>75</v>
      </c>
      <c r="G220" s="77">
        <v>15</v>
      </c>
      <c r="H220" s="99">
        <v>130.15012999999999</v>
      </c>
    </row>
    <row r="221" spans="1:8" s="5" customFormat="1" ht="110.25" hidden="1" outlineLevel="1" x14ac:dyDescent="0.25">
      <c r="A221" s="4">
        <v>1045</v>
      </c>
      <c r="B221" s="6" t="s">
        <v>38</v>
      </c>
      <c r="C221" s="91" t="s">
        <v>3440</v>
      </c>
      <c r="D221" s="77">
        <v>2022</v>
      </c>
      <c r="E221" s="77" t="s">
        <v>21</v>
      </c>
      <c r="F221" s="98">
        <v>35</v>
      </c>
      <c r="G221" s="77">
        <v>15</v>
      </c>
      <c r="H221" s="99">
        <v>61.319600000000001</v>
      </c>
    </row>
    <row r="222" spans="1:8" s="5" customFormat="1" ht="110.25" hidden="1" outlineLevel="1" x14ac:dyDescent="0.25">
      <c r="A222" s="4">
        <v>1265</v>
      </c>
      <c r="B222" s="6" t="s">
        <v>38</v>
      </c>
      <c r="C222" s="91" t="s">
        <v>3441</v>
      </c>
      <c r="D222" s="77">
        <v>2022</v>
      </c>
      <c r="E222" s="77" t="s">
        <v>21</v>
      </c>
      <c r="F222" s="98">
        <v>85</v>
      </c>
      <c r="G222" s="77">
        <v>5</v>
      </c>
      <c r="H222" s="99">
        <v>187.06885</v>
      </c>
    </row>
    <row r="223" spans="1:8" s="5" customFormat="1" ht="110.25" hidden="1" outlineLevel="1" x14ac:dyDescent="0.25">
      <c r="A223" s="4">
        <v>1106</v>
      </c>
      <c r="B223" s="6" t="s">
        <v>38</v>
      </c>
      <c r="C223" s="91" t="s">
        <v>3442</v>
      </c>
      <c r="D223" s="77">
        <v>2022</v>
      </c>
      <c r="E223" s="77" t="s">
        <v>21</v>
      </c>
      <c r="F223" s="98">
        <v>212</v>
      </c>
      <c r="G223" s="77">
        <v>15</v>
      </c>
      <c r="H223" s="99">
        <v>381.50468000000001</v>
      </c>
    </row>
    <row r="224" spans="1:8" s="5" customFormat="1" ht="94.5" hidden="1" outlineLevel="1" x14ac:dyDescent="0.25">
      <c r="A224" s="4">
        <v>1385</v>
      </c>
      <c r="B224" s="6" t="s">
        <v>38</v>
      </c>
      <c r="C224" s="91" t="s">
        <v>3443</v>
      </c>
      <c r="D224" s="77">
        <v>2022</v>
      </c>
      <c r="E224" s="77" t="s">
        <v>21</v>
      </c>
      <c r="F224" s="98">
        <v>17</v>
      </c>
      <c r="G224" s="77">
        <v>15</v>
      </c>
      <c r="H224" s="99">
        <v>60.987769999999998</v>
      </c>
    </row>
    <row r="225" spans="1:8" s="5" customFormat="1" ht="110.25" hidden="1" outlineLevel="1" x14ac:dyDescent="0.25">
      <c r="A225" s="4">
        <v>1163</v>
      </c>
      <c r="B225" s="6" t="s">
        <v>38</v>
      </c>
      <c r="C225" s="91" t="s">
        <v>3444</v>
      </c>
      <c r="D225" s="77">
        <v>2022</v>
      </c>
      <c r="E225" s="77" t="s">
        <v>21</v>
      </c>
      <c r="F225" s="98">
        <v>62</v>
      </c>
      <c r="G225" s="77">
        <v>15</v>
      </c>
      <c r="H225" s="99">
        <v>134.59009</v>
      </c>
    </row>
    <row r="226" spans="1:8" s="5" customFormat="1" ht="94.5" hidden="1" outlineLevel="1" x14ac:dyDescent="0.25">
      <c r="A226" s="4">
        <v>1198</v>
      </c>
      <c r="B226" s="6" t="s">
        <v>38</v>
      </c>
      <c r="C226" s="91" t="s">
        <v>3445</v>
      </c>
      <c r="D226" s="77">
        <v>2022</v>
      </c>
      <c r="E226" s="77" t="s">
        <v>21</v>
      </c>
      <c r="F226" s="98">
        <v>25</v>
      </c>
      <c r="G226" s="77">
        <v>15</v>
      </c>
      <c r="H226" s="99">
        <v>73.342529999999996</v>
      </c>
    </row>
    <row r="227" spans="1:8" s="5" customFormat="1" ht="110.25" hidden="1" outlineLevel="1" x14ac:dyDescent="0.25">
      <c r="A227" s="4">
        <v>1197</v>
      </c>
      <c r="B227" s="6" t="s">
        <v>38</v>
      </c>
      <c r="C227" s="91" t="s">
        <v>3446</v>
      </c>
      <c r="D227" s="77">
        <v>2022</v>
      </c>
      <c r="E227" s="77" t="s">
        <v>21</v>
      </c>
      <c r="F227" s="98">
        <v>20</v>
      </c>
      <c r="G227" s="77">
        <v>5</v>
      </c>
      <c r="H227" s="99">
        <v>77.268770000000004</v>
      </c>
    </row>
    <row r="228" spans="1:8" s="5" customFormat="1" ht="94.5" hidden="1" outlineLevel="1" x14ac:dyDescent="0.25">
      <c r="A228" s="4">
        <v>1264</v>
      </c>
      <c r="B228" s="6" t="s">
        <v>38</v>
      </c>
      <c r="C228" s="91" t="s">
        <v>3447</v>
      </c>
      <c r="D228" s="77">
        <v>2022</v>
      </c>
      <c r="E228" s="77" t="s">
        <v>21</v>
      </c>
      <c r="F228" s="98">
        <v>17</v>
      </c>
      <c r="G228" s="77">
        <v>15</v>
      </c>
      <c r="H228" s="99">
        <v>64.073170000000005</v>
      </c>
    </row>
    <row r="229" spans="1:8" s="5" customFormat="1" ht="157.5" hidden="1" outlineLevel="1" x14ac:dyDescent="0.25">
      <c r="A229" s="4">
        <v>1046</v>
      </c>
      <c r="B229" s="6" t="s">
        <v>38</v>
      </c>
      <c r="C229" s="91" t="s">
        <v>3448</v>
      </c>
      <c r="D229" s="77">
        <v>2022</v>
      </c>
      <c r="E229" s="77" t="s">
        <v>21</v>
      </c>
      <c r="F229" s="98">
        <v>22</v>
      </c>
      <c r="G229" s="77">
        <v>0.5</v>
      </c>
      <c r="H229" s="99">
        <v>74.944710000000001</v>
      </c>
    </row>
    <row r="230" spans="1:8" s="5" customFormat="1" ht="94.5" hidden="1" outlineLevel="1" x14ac:dyDescent="0.25">
      <c r="A230" s="4">
        <v>1288</v>
      </c>
      <c r="B230" s="6" t="s">
        <v>38</v>
      </c>
      <c r="C230" s="91" t="s">
        <v>3449</v>
      </c>
      <c r="D230" s="77">
        <v>2022</v>
      </c>
      <c r="E230" s="77" t="s">
        <v>21</v>
      </c>
      <c r="F230" s="98">
        <v>17</v>
      </c>
      <c r="G230" s="77">
        <v>5</v>
      </c>
      <c r="H230" s="99">
        <v>74.034189999999995</v>
      </c>
    </row>
    <row r="231" spans="1:8" s="5" customFormat="1" ht="94.5" hidden="1" outlineLevel="1" x14ac:dyDescent="0.25">
      <c r="A231" s="4">
        <v>1489</v>
      </c>
      <c r="B231" s="6" t="s">
        <v>38</v>
      </c>
      <c r="C231" s="91" t="s">
        <v>3450</v>
      </c>
      <c r="D231" s="77">
        <v>2022</v>
      </c>
      <c r="E231" s="77" t="s">
        <v>21</v>
      </c>
      <c r="F231" s="98">
        <v>30</v>
      </c>
      <c r="G231" s="77">
        <v>5</v>
      </c>
      <c r="H231" s="99">
        <v>76.537700000000001</v>
      </c>
    </row>
    <row r="232" spans="1:8" s="5" customFormat="1" ht="110.25" hidden="1" outlineLevel="1" x14ac:dyDescent="0.25">
      <c r="A232" s="4">
        <v>1357</v>
      </c>
      <c r="B232" s="6" t="s">
        <v>38</v>
      </c>
      <c r="C232" s="95" t="s">
        <v>3451</v>
      </c>
      <c r="D232" s="77">
        <v>2022</v>
      </c>
      <c r="E232" s="77" t="s">
        <v>21</v>
      </c>
      <c r="F232" s="98">
        <v>20</v>
      </c>
      <c r="G232" s="77">
        <v>15</v>
      </c>
      <c r="H232" s="99">
        <v>82.552530000000004</v>
      </c>
    </row>
    <row r="233" spans="1:8" s="5" customFormat="1" ht="94.5" hidden="1" outlineLevel="1" x14ac:dyDescent="0.25">
      <c r="A233" s="4">
        <v>1345</v>
      </c>
      <c r="B233" s="6" t="s">
        <v>38</v>
      </c>
      <c r="C233" s="37" t="s">
        <v>3452</v>
      </c>
      <c r="D233" s="77">
        <v>2022</v>
      </c>
      <c r="E233" s="77" t="s">
        <v>21</v>
      </c>
      <c r="F233" s="98">
        <v>25</v>
      </c>
      <c r="G233" s="77">
        <v>15</v>
      </c>
      <c r="H233" s="99">
        <v>75.88973</v>
      </c>
    </row>
    <row r="234" spans="1:8" s="5" customFormat="1" ht="94.5" hidden="1" outlineLevel="1" x14ac:dyDescent="0.25">
      <c r="A234" s="4">
        <v>1323</v>
      </c>
      <c r="B234" s="6" t="s">
        <v>38</v>
      </c>
      <c r="C234" s="95" t="s">
        <v>3453</v>
      </c>
      <c r="D234" s="77">
        <v>2022</v>
      </c>
      <c r="E234" s="77" t="s">
        <v>21</v>
      </c>
      <c r="F234" s="98">
        <v>25</v>
      </c>
      <c r="G234" s="77">
        <v>15</v>
      </c>
      <c r="H234" s="99">
        <v>92.326949999999997</v>
      </c>
    </row>
    <row r="235" spans="1:8" s="5" customFormat="1" ht="110.25" hidden="1" outlineLevel="1" x14ac:dyDescent="0.25">
      <c r="A235" s="4">
        <v>1048</v>
      </c>
      <c r="B235" s="6" t="s">
        <v>38</v>
      </c>
      <c r="C235" s="95" t="s">
        <v>3454</v>
      </c>
      <c r="D235" s="77">
        <v>2022</v>
      </c>
      <c r="E235" s="77" t="s">
        <v>21</v>
      </c>
      <c r="F235" s="98">
        <v>27</v>
      </c>
      <c r="G235" s="77">
        <v>15</v>
      </c>
      <c r="H235" s="99">
        <v>54.958919999999999</v>
      </c>
    </row>
    <row r="236" spans="1:8" s="5" customFormat="1" ht="94.5" hidden="1" outlineLevel="1" x14ac:dyDescent="0.25">
      <c r="A236" s="4">
        <v>1350</v>
      </c>
      <c r="B236" s="6" t="s">
        <v>38</v>
      </c>
      <c r="C236" s="95" t="s">
        <v>3455</v>
      </c>
      <c r="D236" s="77">
        <v>2022</v>
      </c>
      <c r="E236" s="77" t="s">
        <v>21</v>
      </c>
      <c r="F236" s="98">
        <v>60</v>
      </c>
      <c r="G236" s="77">
        <v>7</v>
      </c>
      <c r="H236" s="99">
        <v>125.75944</v>
      </c>
    </row>
    <row r="237" spans="1:8" s="5" customFormat="1" ht="110.25" hidden="1" outlineLevel="1" x14ac:dyDescent="0.25">
      <c r="A237" s="4">
        <v>1181</v>
      </c>
      <c r="B237" s="6" t="s">
        <v>38</v>
      </c>
      <c r="C237" s="95" t="s">
        <v>3456</v>
      </c>
      <c r="D237" s="77">
        <v>2022</v>
      </c>
      <c r="E237" s="77" t="s">
        <v>21</v>
      </c>
      <c r="F237" s="98">
        <v>100</v>
      </c>
      <c r="G237" s="77">
        <v>15</v>
      </c>
      <c r="H237" s="99">
        <v>166.99093999999999</v>
      </c>
    </row>
    <row r="238" spans="1:8" s="5" customFormat="1" ht="141.75" hidden="1" outlineLevel="1" x14ac:dyDescent="0.25">
      <c r="A238" s="4">
        <v>1174</v>
      </c>
      <c r="B238" s="6" t="s">
        <v>38</v>
      </c>
      <c r="C238" s="102" t="s">
        <v>3457</v>
      </c>
      <c r="D238" s="77">
        <v>2022</v>
      </c>
      <c r="E238" s="77" t="s">
        <v>21</v>
      </c>
      <c r="F238" s="98">
        <v>10</v>
      </c>
      <c r="G238" s="77">
        <v>15</v>
      </c>
      <c r="H238" s="99">
        <v>55.794989999999999</v>
      </c>
    </row>
    <row r="239" spans="1:8" s="5" customFormat="1" ht="110.25" hidden="1" outlineLevel="1" x14ac:dyDescent="0.25">
      <c r="A239" s="4">
        <v>1212</v>
      </c>
      <c r="B239" s="6" t="s">
        <v>38</v>
      </c>
      <c r="C239" s="95" t="s">
        <v>3458</v>
      </c>
      <c r="D239" s="77">
        <v>2022</v>
      </c>
      <c r="E239" s="77" t="s">
        <v>21</v>
      </c>
      <c r="F239" s="98">
        <v>295</v>
      </c>
      <c r="G239" s="77">
        <v>15</v>
      </c>
      <c r="H239" s="99">
        <v>435.79489999999998</v>
      </c>
    </row>
    <row r="240" spans="1:8" s="5" customFormat="1" ht="110.25" hidden="1" outlineLevel="1" x14ac:dyDescent="0.25">
      <c r="A240" s="4">
        <v>1153</v>
      </c>
      <c r="B240" s="6" t="s">
        <v>38</v>
      </c>
      <c r="C240" s="95" t="s">
        <v>3459</v>
      </c>
      <c r="D240" s="77">
        <v>2022</v>
      </c>
      <c r="E240" s="77" t="s">
        <v>21</v>
      </c>
      <c r="F240" s="98">
        <v>135</v>
      </c>
      <c r="G240" s="77">
        <v>15</v>
      </c>
      <c r="H240" s="99">
        <v>181.67346000000001</v>
      </c>
    </row>
    <row r="241" spans="1:8" s="5" customFormat="1" ht="94.5" hidden="1" outlineLevel="1" x14ac:dyDescent="0.25">
      <c r="A241" s="4">
        <v>1224</v>
      </c>
      <c r="B241" s="6" t="s">
        <v>38</v>
      </c>
      <c r="C241" s="95" t="s">
        <v>3460</v>
      </c>
      <c r="D241" s="77">
        <v>2022</v>
      </c>
      <c r="E241" s="77" t="s">
        <v>21</v>
      </c>
      <c r="F241" s="98">
        <v>94</v>
      </c>
      <c r="G241" s="77">
        <v>15</v>
      </c>
      <c r="H241" s="99">
        <v>175.33617000000001</v>
      </c>
    </row>
    <row r="242" spans="1:8" s="5" customFormat="1" ht="141.75" hidden="1" outlineLevel="1" x14ac:dyDescent="0.25">
      <c r="A242" s="4">
        <v>1240</v>
      </c>
      <c r="B242" s="6" t="s">
        <v>38</v>
      </c>
      <c r="C242" s="95" t="s">
        <v>3461</v>
      </c>
      <c r="D242" s="77">
        <v>2022</v>
      </c>
      <c r="E242" s="77" t="s">
        <v>21</v>
      </c>
      <c r="F242" s="98">
        <v>174</v>
      </c>
      <c r="G242" s="77">
        <v>15</v>
      </c>
      <c r="H242" s="99">
        <v>270.06304</v>
      </c>
    </row>
    <row r="243" spans="1:8" s="5" customFormat="1" ht="94.5" hidden="1" outlineLevel="1" x14ac:dyDescent="0.25">
      <c r="A243" s="4">
        <v>1633</v>
      </c>
      <c r="B243" s="6" t="s">
        <v>38</v>
      </c>
      <c r="C243" s="95" t="s">
        <v>3462</v>
      </c>
      <c r="D243" s="77">
        <v>2022</v>
      </c>
      <c r="E243" s="77" t="s">
        <v>21</v>
      </c>
      <c r="F243" s="98">
        <v>400</v>
      </c>
      <c r="G243" s="77">
        <v>15</v>
      </c>
      <c r="H243" s="99">
        <v>761.30247999999995</v>
      </c>
    </row>
    <row r="244" spans="1:8" s="5" customFormat="1" ht="110.25" hidden="1" outlineLevel="1" x14ac:dyDescent="0.25">
      <c r="A244" s="4">
        <v>1077</v>
      </c>
      <c r="B244" s="6" t="s">
        <v>38</v>
      </c>
      <c r="C244" s="95" t="s">
        <v>3463</v>
      </c>
      <c r="D244" s="77">
        <v>2022</v>
      </c>
      <c r="E244" s="77" t="s">
        <v>21</v>
      </c>
      <c r="F244" s="98">
        <v>70</v>
      </c>
      <c r="G244" s="77">
        <v>15</v>
      </c>
      <c r="H244" s="99">
        <v>188.86062999999999</v>
      </c>
    </row>
    <row r="245" spans="1:8" s="5" customFormat="1" ht="126" hidden="1" outlineLevel="1" x14ac:dyDescent="0.25">
      <c r="A245" s="4">
        <v>1326</v>
      </c>
      <c r="B245" s="6" t="s">
        <v>38</v>
      </c>
      <c r="C245" s="95" t="s">
        <v>3464</v>
      </c>
      <c r="D245" s="77">
        <v>2022</v>
      </c>
      <c r="E245" s="77" t="s">
        <v>21</v>
      </c>
      <c r="F245" s="98">
        <v>15</v>
      </c>
      <c r="G245" s="77">
        <v>15</v>
      </c>
      <c r="H245" s="99">
        <v>98.498149999999995</v>
      </c>
    </row>
    <row r="246" spans="1:8" s="5" customFormat="1" ht="126" hidden="1" outlineLevel="1" x14ac:dyDescent="0.25">
      <c r="A246" s="4">
        <v>1349</v>
      </c>
      <c r="B246" s="6" t="s">
        <v>38</v>
      </c>
      <c r="C246" s="104" t="s">
        <v>3465</v>
      </c>
      <c r="D246" s="6">
        <v>2022</v>
      </c>
      <c r="E246" s="6" t="s">
        <v>21</v>
      </c>
      <c r="F246" s="105">
        <v>20</v>
      </c>
      <c r="G246" s="6">
        <v>15</v>
      </c>
      <c r="H246" s="106">
        <v>88.398300000000006</v>
      </c>
    </row>
    <row r="247" spans="1:8" s="5" customFormat="1" ht="126" hidden="1" outlineLevel="1" x14ac:dyDescent="0.25">
      <c r="A247" s="4">
        <v>1454</v>
      </c>
      <c r="B247" s="6" t="s">
        <v>38</v>
      </c>
      <c r="C247" s="107" t="s">
        <v>3466</v>
      </c>
      <c r="D247" s="6">
        <v>2022</v>
      </c>
      <c r="E247" s="6" t="s">
        <v>21</v>
      </c>
      <c r="F247" s="48">
        <v>240</v>
      </c>
      <c r="G247" s="6">
        <v>81</v>
      </c>
      <c r="H247" s="106">
        <v>283.21023000000002</v>
      </c>
    </row>
    <row r="248" spans="1:8" s="5" customFormat="1" ht="94.5" hidden="1" outlineLevel="1" x14ac:dyDescent="0.25">
      <c r="A248" s="4">
        <v>1037</v>
      </c>
      <c r="B248" s="6" t="s">
        <v>38</v>
      </c>
      <c r="C248" s="108" t="s">
        <v>3467</v>
      </c>
      <c r="D248" s="6">
        <v>2022</v>
      </c>
      <c r="E248" s="6" t="s">
        <v>21</v>
      </c>
      <c r="F248" s="48">
        <v>5</v>
      </c>
      <c r="G248" s="6">
        <v>130</v>
      </c>
      <c r="H248" s="106">
        <v>99.809659999999994</v>
      </c>
    </row>
    <row r="249" spans="1:8" s="5" customFormat="1" ht="126" hidden="1" outlineLevel="1" x14ac:dyDescent="0.25">
      <c r="A249" s="4">
        <v>1085</v>
      </c>
      <c r="B249" s="6" t="s">
        <v>38</v>
      </c>
      <c r="C249" s="108" t="s">
        <v>3468</v>
      </c>
      <c r="D249" s="6">
        <v>2022</v>
      </c>
      <c r="E249" s="6" t="s">
        <v>21</v>
      </c>
      <c r="F249" s="48">
        <v>6</v>
      </c>
      <c r="G249" s="6">
        <v>15</v>
      </c>
      <c r="H249" s="106">
        <v>78.191450000000003</v>
      </c>
    </row>
    <row r="250" spans="1:8" s="5" customFormat="1" ht="94.5" hidden="1" outlineLevel="1" x14ac:dyDescent="0.25">
      <c r="A250" s="4">
        <v>1386</v>
      </c>
      <c r="B250" s="6" t="s">
        <v>38</v>
      </c>
      <c r="C250" s="108" t="s">
        <v>3469</v>
      </c>
      <c r="D250" s="6">
        <v>2022</v>
      </c>
      <c r="E250" s="6" t="s">
        <v>21</v>
      </c>
      <c r="F250" s="48">
        <v>30</v>
      </c>
      <c r="G250" s="6">
        <v>15</v>
      </c>
      <c r="H250" s="106">
        <v>85.635409999999993</v>
      </c>
    </row>
    <row r="251" spans="1:8" s="5" customFormat="1" ht="94.5" hidden="1" outlineLevel="1" x14ac:dyDescent="0.25">
      <c r="A251" s="4">
        <v>1482</v>
      </c>
      <c r="B251" s="6" t="s">
        <v>38</v>
      </c>
      <c r="C251" s="109" t="s">
        <v>3470</v>
      </c>
      <c r="D251" s="6">
        <v>2022</v>
      </c>
      <c r="E251" s="6" t="s">
        <v>21</v>
      </c>
      <c r="F251" s="48">
        <v>65</v>
      </c>
      <c r="G251" s="6">
        <v>15</v>
      </c>
      <c r="H251" s="106">
        <v>128.42385999999999</v>
      </c>
    </row>
    <row r="252" spans="1:8" s="5" customFormat="1" ht="94.5" hidden="1" outlineLevel="1" x14ac:dyDescent="0.25">
      <c r="A252" s="4">
        <v>1509</v>
      </c>
      <c r="B252" s="6" t="s">
        <v>38</v>
      </c>
      <c r="C252" s="109" t="s">
        <v>3471</v>
      </c>
      <c r="D252" s="6">
        <v>2022</v>
      </c>
      <c r="E252" s="6" t="s">
        <v>21</v>
      </c>
      <c r="F252" s="48">
        <v>217</v>
      </c>
      <c r="G252" s="6">
        <v>15</v>
      </c>
      <c r="H252" s="106">
        <v>263.96107000000001</v>
      </c>
    </row>
    <row r="253" spans="1:8" s="5" customFormat="1" ht="94.5" hidden="1" outlineLevel="1" x14ac:dyDescent="0.25">
      <c r="A253" s="4">
        <v>1588</v>
      </c>
      <c r="B253" s="6" t="s">
        <v>38</v>
      </c>
      <c r="C253" s="109" t="s">
        <v>3472</v>
      </c>
      <c r="D253" s="6">
        <v>2022</v>
      </c>
      <c r="E253" s="6" t="s">
        <v>21</v>
      </c>
      <c r="F253" s="48">
        <v>35</v>
      </c>
      <c r="G253" s="6">
        <v>15</v>
      </c>
      <c r="H253" s="106">
        <v>67.405739999999994</v>
      </c>
    </row>
    <row r="254" spans="1:8" s="5" customFormat="1" ht="94.5" hidden="1" outlineLevel="1" x14ac:dyDescent="0.25">
      <c r="A254" s="4">
        <v>1607</v>
      </c>
      <c r="B254" s="6" t="s">
        <v>38</v>
      </c>
      <c r="C254" s="109" t="s">
        <v>3473</v>
      </c>
      <c r="D254" s="6">
        <v>2022</v>
      </c>
      <c r="E254" s="6" t="s">
        <v>21</v>
      </c>
      <c r="F254" s="48">
        <v>20</v>
      </c>
      <c r="G254" s="6">
        <v>15</v>
      </c>
      <c r="H254" s="106">
        <v>41.700960000000002</v>
      </c>
    </row>
    <row r="255" spans="1:8" s="5" customFormat="1" ht="126" hidden="1" outlineLevel="1" x14ac:dyDescent="0.25">
      <c r="A255" s="4">
        <v>1576</v>
      </c>
      <c r="B255" s="6" t="s">
        <v>38</v>
      </c>
      <c r="C255" s="107" t="s">
        <v>3474</v>
      </c>
      <c r="D255" s="6">
        <v>2022</v>
      </c>
      <c r="E255" s="6" t="s">
        <v>21</v>
      </c>
      <c r="F255" s="48">
        <v>104</v>
      </c>
      <c r="G255" s="6">
        <v>15</v>
      </c>
      <c r="H255" s="106">
        <v>170.74578</v>
      </c>
    </row>
    <row r="256" spans="1:8" s="5" customFormat="1" ht="126" hidden="1" outlineLevel="1" x14ac:dyDescent="0.25">
      <c r="A256" s="4">
        <v>1577</v>
      </c>
      <c r="B256" s="6" t="s">
        <v>38</v>
      </c>
      <c r="C256" s="109" t="s">
        <v>3475</v>
      </c>
      <c r="D256" s="6">
        <v>2022</v>
      </c>
      <c r="E256" s="6" t="s">
        <v>21</v>
      </c>
      <c r="F256" s="48">
        <v>100</v>
      </c>
      <c r="G256" s="6">
        <v>7.5</v>
      </c>
      <c r="H256" s="106">
        <v>180.77667</v>
      </c>
    </row>
    <row r="257" spans="1:8" s="5" customFormat="1" ht="110.25" hidden="1" outlineLevel="1" x14ac:dyDescent="0.25">
      <c r="A257" s="4">
        <v>1398</v>
      </c>
      <c r="B257" s="6" t="s">
        <v>38</v>
      </c>
      <c r="C257" s="109" t="s">
        <v>3476</v>
      </c>
      <c r="D257" s="6">
        <v>2022</v>
      </c>
      <c r="E257" s="6" t="s">
        <v>21</v>
      </c>
      <c r="F257" s="48">
        <v>140</v>
      </c>
      <c r="G257" s="6">
        <v>15</v>
      </c>
      <c r="H257" s="106">
        <v>200.94627</v>
      </c>
    </row>
    <row r="258" spans="1:8" s="5" customFormat="1" ht="141.75" hidden="1" outlineLevel="1" x14ac:dyDescent="0.25">
      <c r="A258" s="4">
        <v>1199</v>
      </c>
      <c r="B258" s="6" t="s">
        <v>38</v>
      </c>
      <c r="C258" s="110" t="s">
        <v>3477</v>
      </c>
      <c r="D258" s="6">
        <v>2022</v>
      </c>
      <c r="E258" s="6" t="s">
        <v>21</v>
      </c>
      <c r="F258" s="48">
        <v>5</v>
      </c>
      <c r="G258" s="6">
        <v>15</v>
      </c>
      <c r="H258" s="106">
        <v>44.871949999999998</v>
      </c>
    </row>
    <row r="259" spans="1:8" s="5" customFormat="1" ht="94.5" hidden="1" outlineLevel="1" x14ac:dyDescent="0.25">
      <c r="A259" s="4">
        <v>1508</v>
      </c>
      <c r="B259" s="6" t="s">
        <v>38</v>
      </c>
      <c r="C259" s="107" t="s">
        <v>3478</v>
      </c>
      <c r="D259" s="6">
        <v>2022</v>
      </c>
      <c r="E259" s="6" t="s">
        <v>21</v>
      </c>
      <c r="F259" s="48">
        <v>20</v>
      </c>
      <c r="G259" s="6">
        <v>15</v>
      </c>
      <c r="H259" s="106">
        <v>80.51858</v>
      </c>
    </row>
    <row r="260" spans="1:8" s="5" customFormat="1" ht="110.25" hidden="1" outlineLevel="1" x14ac:dyDescent="0.25">
      <c r="A260" s="4">
        <v>1127</v>
      </c>
      <c r="B260" s="6" t="s">
        <v>38</v>
      </c>
      <c r="C260" s="109" t="s">
        <v>3479</v>
      </c>
      <c r="D260" s="6">
        <v>2022</v>
      </c>
      <c r="E260" s="6" t="s">
        <v>21</v>
      </c>
      <c r="F260" s="48">
        <v>30</v>
      </c>
      <c r="G260" s="6">
        <v>15</v>
      </c>
      <c r="H260" s="106">
        <v>135.18854999999999</v>
      </c>
    </row>
    <row r="261" spans="1:8" s="5" customFormat="1" ht="110.25" hidden="1" outlineLevel="1" x14ac:dyDescent="0.25">
      <c r="A261" s="4">
        <v>1147</v>
      </c>
      <c r="B261" s="6" t="s">
        <v>38</v>
      </c>
      <c r="C261" s="51" t="s">
        <v>3480</v>
      </c>
      <c r="D261" s="6">
        <v>2022</v>
      </c>
      <c r="E261" s="6" t="s">
        <v>21</v>
      </c>
      <c r="F261" s="48">
        <v>93</v>
      </c>
      <c r="G261" s="6">
        <v>15</v>
      </c>
      <c r="H261" s="106">
        <v>271.86883</v>
      </c>
    </row>
    <row r="262" spans="1:8" s="5" customFormat="1" ht="110.25" hidden="1" outlineLevel="1" x14ac:dyDescent="0.25">
      <c r="A262" s="4">
        <v>1049</v>
      </c>
      <c r="B262" s="6" t="s">
        <v>38</v>
      </c>
      <c r="C262" s="109" t="s">
        <v>3481</v>
      </c>
      <c r="D262" s="6">
        <v>2022</v>
      </c>
      <c r="E262" s="6" t="s">
        <v>21</v>
      </c>
      <c r="F262" s="48">
        <v>17</v>
      </c>
      <c r="G262" s="6">
        <v>15</v>
      </c>
      <c r="H262" s="106">
        <v>103.27831</v>
      </c>
    </row>
    <row r="263" spans="1:8" s="5" customFormat="1" ht="126" hidden="1" outlineLevel="1" x14ac:dyDescent="0.25">
      <c r="A263" s="4">
        <v>1430</v>
      </c>
      <c r="B263" s="6" t="s">
        <v>38</v>
      </c>
      <c r="C263" s="109" t="s">
        <v>3482</v>
      </c>
      <c r="D263" s="6">
        <v>2022</v>
      </c>
      <c r="E263" s="6" t="s">
        <v>21</v>
      </c>
      <c r="F263" s="48">
        <v>5</v>
      </c>
      <c r="G263" s="6">
        <v>15</v>
      </c>
      <c r="H263" s="106">
        <v>74.717010000000002</v>
      </c>
    </row>
    <row r="264" spans="1:8" s="5" customFormat="1" ht="94.5" hidden="1" outlineLevel="1" x14ac:dyDescent="0.25">
      <c r="A264" s="4">
        <v>1548</v>
      </c>
      <c r="B264" s="6" t="s">
        <v>38</v>
      </c>
      <c r="C264" s="109" t="s">
        <v>3483</v>
      </c>
      <c r="D264" s="6">
        <v>2022</v>
      </c>
      <c r="E264" s="6" t="s">
        <v>21</v>
      </c>
      <c r="F264" s="48">
        <v>15</v>
      </c>
      <c r="G264" s="6">
        <v>5</v>
      </c>
      <c r="H264" s="106">
        <v>110.67224</v>
      </c>
    </row>
    <row r="265" spans="1:8" s="5" customFormat="1" ht="94.5" hidden="1" outlineLevel="1" x14ac:dyDescent="0.25">
      <c r="A265" s="4">
        <v>1581</v>
      </c>
      <c r="B265" s="6" t="s">
        <v>38</v>
      </c>
      <c r="C265" s="51" t="s">
        <v>3484</v>
      </c>
      <c r="D265" s="6">
        <v>2022</v>
      </c>
      <c r="E265" s="6" t="s">
        <v>21</v>
      </c>
      <c r="F265" s="48">
        <v>230</v>
      </c>
      <c r="G265" s="6">
        <v>15</v>
      </c>
      <c r="H265" s="106">
        <v>333.40339</v>
      </c>
    </row>
    <row r="266" spans="1:8" s="5" customFormat="1" ht="94.5" hidden="1" outlineLevel="1" x14ac:dyDescent="0.25">
      <c r="A266" s="4">
        <v>1606</v>
      </c>
      <c r="B266" s="6" t="s">
        <v>38</v>
      </c>
      <c r="C266" s="51" t="s">
        <v>3485</v>
      </c>
      <c r="D266" s="6">
        <v>2022</v>
      </c>
      <c r="E266" s="6" t="s">
        <v>21</v>
      </c>
      <c r="F266" s="48">
        <v>162</v>
      </c>
      <c r="G266" s="6">
        <v>15</v>
      </c>
      <c r="H266" s="106">
        <v>273.18070999999998</v>
      </c>
    </row>
    <row r="267" spans="1:8" s="5" customFormat="1" ht="126" hidden="1" outlineLevel="1" x14ac:dyDescent="0.25">
      <c r="A267" s="4">
        <v>1718</v>
      </c>
      <c r="B267" s="6" t="s">
        <v>38</v>
      </c>
      <c r="C267" s="51" t="s">
        <v>3486</v>
      </c>
      <c r="D267" s="6">
        <v>2022</v>
      </c>
      <c r="E267" s="6" t="s">
        <v>21</v>
      </c>
      <c r="F267" s="48">
        <v>215</v>
      </c>
      <c r="G267" s="6">
        <v>7.5</v>
      </c>
      <c r="H267" s="106">
        <v>347.46132</v>
      </c>
    </row>
    <row r="268" spans="1:8" s="5" customFormat="1" ht="110.25" hidden="1" outlineLevel="1" x14ac:dyDescent="0.25">
      <c r="A268" s="4">
        <v>1611</v>
      </c>
      <c r="B268" s="6" t="s">
        <v>38</v>
      </c>
      <c r="C268" s="51" t="s">
        <v>3487</v>
      </c>
      <c r="D268" s="6">
        <v>2022</v>
      </c>
      <c r="E268" s="6" t="s">
        <v>21</v>
      </c>
      <c r="F268" s="48">
        <v>20</v>
      </c>
      <c r="G268" s="6">
        <v>15</v>
      </c>
      <c r="H268" s="106">
        <v>50.997709999999998</v>
      </c>
    </row>
    <row r="269" spans="1:8" s="5" customFormat="1" ht="126" hidden="1" outlineLevel="1" x14ac:dyDescent="0.25">
      <c r="A269" s="4">
        <v>1579</v>
      </c>
      <c r="B269" s="6" t="s">
        <v>38</v>
      </c>
      <c r="C269" s="51" t="s">
        <v>3488</v>
      </c>
      <c r="D269" s="6">
        <v>2022</v>
      </c>
      <c r="E269" s="6" t="s">
        <v>21</v>
      </c>
      <c r="F269" s="48">
        <v>6</v>
      </c>
      <c r="G269" s="6">
        <v>15</v>
      </c>
      <c r="H269" s="106">
        <v>53.793579999999999</v>
      </c>
    </row>
    <row r="270" spans="1:8" s="5" customFormat="1" ht="110.25" hidden="1" outlineLevel="1" x14ac:dyDescent="0.25">
      <c r="A270" s="4">
        <v>1612</v>
      </c>
      <c r="B270" s="6" t="s">
        <v>38</v>
      </c>
      <c r="C270" s="111" t="s">
        <v>3489</v>
      </c>
      <c r="D270" s="6">
        <v>2022</v>
      </c>
      <c r="E270" s="6" t="s">
        <v>21</v>
      </c>
      <c r="F270" s="48">
        <v>38</v>
      </c>
      <c r="G270" s="6">
        <v>15</v>
      </c>
      <c r="H270" s="106">
        <v>78.018169999999998</v>
      </c>
    </row>
    <row r="271" spans="1:8" s="5" customFormat="1" ht="110.25" hidden="1" outlineLevel="1" x14ac:dyDescent="0.25">
      <c r="A271" s="4">
        <v>1610</v>
      </c>
      <c r="B271" s="6" t="s">
        <v>38</v>
      </c>
      <c r="C271" s="111" t="s">
        <v>3490</v>
      </c>
      <c r="D271" s="6">
        <v>2022</v>
      </c>
      <c r="E271" s="6" t="s">
        <v>21</v>
      </c>
      <c r="F271" s="48">
        <v>77</v>
      </c>
      <c r="G271" s="6">
        <v>15</v>
      </c>
      <c r="H271" s="106">
        <v>140.36573000000001</v>
      </c>
    </row>
    <row r="272" spans="1:8" s="5" customFormat="1" ht="141.75" hidden="1" outlineLevel="1" x14ac:dyDescent="0.25">
      <c r="A272" s="4">
        <v>1608</v>
      </c>
      <c r="B272" s="6" t="s">
        <v>38</v>
      </c>
      <c r="C272" s="109" t="s">
        <v>3491</v>
      </c>
      <c r="D272" s="6">
        <v>2022</v>
      </c>
      <c r="E272" s="6" t="s">
        <v>21</v>
      </c>
      <c r="F272" s="48">
        <v>5</v>
      </c>
      <c r="G272" s="6">
        <v>75</v>
      </c>
      <c r="H272" s="106">
        <v>54.704230000000003</v>
      </c>
    </row>
    <row r="273" spans="1:8" s="5" customFormat="1" ht="157.5" hidden="1" outlineLevel="1" x14ac:dyDescent="0.25">
      <c r="A273" s="4">
        <v>1043</v>
      </c>
      <c r="B273" s="6" t="s">
        <v>38</v>
      </c>
      <c r="C273" s="109" t="s">
        <v>3492</v>
      </c>
      <c r="D273" s="6">
        <v>2022</v>
      </c>
      <c r="E273" s="6" t="s">
        <v>21</v>
      </c>
      <c r="F273" s="48">
        <v>5</v>
      </c>
      <c r="G273" s="6">
        <v>15</v>
      </c>
      <c r="H273" s="106">
        <v>60.260120000000001</v>
      </c>
    </row>
    <row r="274" spans="1:8" s="5" customFormat="1" ht="94.5" hidden="1" outlineLevel="1" x14ac:dyDescent="0.25">
      <c r="A274" s="4">
        <v>1189</v>
      </c>
      <c r="B274" s="6" t="s">
        <v>38</v>
      </c>
      <c r="C274" s="51" t="s">
        <v>3493</v>
      </c>
      <c r="D274" s="6">
        <v>2022</v>
      </c>
      <c r="E274" s="6" t="s">
        <v>21</v>
      </c>
      <c r="F274" s="48">
        <v>40</v>
      </c>
      <c r="G274" s="6">
        <v>15</v>
      </c>
      <c r="H274" s="106">
        <v>158.75072</v>
      </c>
    </row>
    <row r="275" spans="1:8" s="5" customFormat="1" ht="94.5" hidden="1" outlineLevel="1" x14ac:dyDescent="0.25">
      <c r="A275" s="4">
        <v>1435</v>
      </c>
      <c r="B275" s="6" t="s">
        <v>38</v>
      </c>
      <c r="C275" s="111" t="s">
        <v>3494</v>
      </c>
      <c r="D275" s="6">
        <v>2022</v>
      </c>
      <c r="E275" s="6" t="s">
        <v>21</v>
      </c>
      <c r="F275" s="48">
        <v>114</v>
      </c>
      <c r="G275" s="6">
        <v>15</v>
      </c>
      <c r="H275" s="106">
        <v>192.48505</v>
      </c>
    </row>
    <row r="276" spans="1:8" s="5" customFormat="1" ht="94.5" hidden="1" outlineLevel="1" x14ac:dyDescent="0.25">
      <c r="A276" s="4">
        <v>1356</v>
      </c>
      <c r="B276" s="6" t="s">
        <v>38</v>
      </c>
      <c r="C276" s="111" t="s">
        <v>3495</v>
      </c>
      <c r="D276" s="6">
        <v>2022</v>
      </c>
      <c r="E276" s="6" t="s">
        <v>21</v>
      </c>
      <c r="F276" s="48">
        <v>212</v>
      </c>
      <c r="G276" s="6">
        <v>15</v>
      </c>
      <c r="H276" s="106">
        <v>329.62873000000002</v>
      </c>
    </row>
    <row r="277" spans="1:8" s="5" customFormat="1" ht="141.75" hidden="1" outlineLevel="1" x14ac:dyDescent="0.25">
      <c r="A277" s="4">
        <v>1580</v>
      </c>
      <c r="B277" s="6" t="s">
        <v>38</v>
      </c>
      <c r="C277" s="111" t="s">
        <v>3496</v>
      </c>
      <c r="D277" s="6">
        <v>2022</v>
      </c>
      <c r="E277" s="6" t="s">
        <v>21</v>
      </c>
      <c r="F277" s="48">
        <v>125</v>
      </c>
      <c r="G277" s="6">
        <v>15</v>
      </c>
      <c r="H277" s="106">
        <v>97.007850000000005</v>
      </c>
    </row>
    <row r="278" spans="1:8" s="5" customFormat="1" ht="78.75" hidden="1" outlineLevel="1" x14ac:dyDescent="0.25">
      <c r="A278" s="4">
        <v>507</v>
      </c>
      <c r="B278" s="6" t="s">
        <v>38</v>
      </c>
      <c r="C278" s="38" t="s">
        <v>3497</v>
      </c>
      <c r="D278" s="6">
        <v>2022</v>
      </c>
      <c r="E278" s="6" t="s">
        <v>21</v>
      </c>
      <c r="F278" s="4">
        <v>50</v>
      </c>
      <c r="G278" s="4">
        <v>25</v>
      </c>
      <c r="H278" s="4">
        <v>76.681370000000001</v>
      </c>
    </row>
    <row r="279" spans="1:8" s="5" customFormat="1" ht="78.75" hidden="1" outlineLevel="1" x14ac:dyDescent="0.25">
      <c r="A279" s="4">
        <v>483</v>
      </c>
      <c r="B279" s="6" t="s">
        <v>38</v>
      </c>
      <c r="C279" s="38" t="s">
        <v>3498</v>
      </c>
      <c r="D279" s="6">
        <v>2022</v>
      </c>
      <c r="E279" s="6" t="s">
        <v>21</v>
      </c>
      <c r="F279" s="4">
        <v>80</v>
      </c>
      <c r="G279" s="4">
        <v>15</v>
      </c>
      <c r="H279" s="4">
        <v>92.635739999999998</v>
      </c>
    </row>
    <row r="280" spans="1:8" s="5" customFormat="1" ht="78.75" hidden="1" outlineLevel="1" x14ac:dyDescent="0.25">
      <c r="A280" s="4">
        <v>494</v>
      </c>
      <c r="B280" s="6" t="s">
        <v>38</v>
      </c>
      <c r="C280" s="38" t="s">
        <v>3499</v>
      </c>
      <c r="D280" s="6">
        <v>2022</v>
      </c>
      <c r="E280" s="6" t="s">
        <v>21</v>
      </c>
      <c r="F280" s="4">
        <v>130</v>
      </c>
      <c r="G280" s="4">
        <v>15</v>
      </c>
      <c r="H280" s="4">
        <v>138.55509000000001</v>
      </c>
    </row>
    <row r="281" spans="1:8" s="5" customFormat="1" ht="78.75" hidden="1" outlineLevel="1" x14ac:dyDescent="0.25">
      <c r="A281" s="4">
        <v>495</v>
      </c>
      <c r="B281" s="6" t="s">
        <v>38</v>
      </c>
      <c r="C281" s="38" t="s">
        <v>3500</v>
      </c>
      <c r="D281" s="6">
        <v>2022</v>
      </c>
      <c r="E281" s="6" t="s">
        <v>21</v>
      </c>
      <c r="F281" s="4">
        <v>130</v>
      </c>
      <c r="G281" s="4">
        <v>48</v>
      </c>
      <c r="H281" s="4">
        <v>124.9079</v>
      </c>
    </row>
    <row r="282" spans="1:8" s="5" customFormat="1" ht="94.5" hidden="1" outlineLevel="1" x14ac:dyDescent="0.25">
      <c r="A282" s="4">
        <v>448</v>
      </c>
      <c r="B282" s="6" t="s">
        <v>38</v>
      </c>
      <c r="C282" s="38" t="s">
        <v>3501</v>
      </c>
      <c r="D282" s="6">
        <v>2022</v>
      </c>
      <c r="E282" s="6" t="s">
        <v>21</v>
      </c>
      <c r="F282" s="4">
        <v>10</v>
      </c>
      <c r="G282" s="4">
        <v>150</v>
      </c>
      <c r="H282" s="4">
        <v>48.51417</v>
      </c>
    </row>
    <row r="283" spans="1:8" s="5" customFormat="1" ht="63" hidden="1" outlineLevel="1" x14ac:dyDescent="0.25">
      <c r="A283" s="4">
        <v>527</v>
      </c>
      <c r="B283" s="6" t="s">
        <v>38</v>
      </c>
      <c r="C283" s="38" t="s">
        <v>3502</v>
      </c>
      <c r="D283" s="6">
        <v>2022</v>
      </c>
      <c r="E283" s="6" t="s">
        <v>21</v>
      </c>
      <c r="F283" s="4">
        <v>832</v>
      </c>
      <c r="G283" s="4">
        <v>15</v>
      </c>
      <c r="H283" s="4">
        <v>1136.2906</v>
      </c>
    </row>
    <row r="284" spans="1:8" s="5" customFormat="1" ht="63" hidden="1" outlineLevel="1" x14ac:dyDescent="0.25">
      <c r="A284" s="4">
        <v>476</v>
      </c>
      <c r="B284" s="6" t="s">
        <v>38</v>
      </c>
      <c r="C284" s="38" t="s">
        <v>3503</v>
      </c>
      <c r="D284" s="6">
        <v>2022</v>
      </c>
      <c r="E284" s="6" t="s">
        <v>21</v>
      </c>
      <c r="F284" s="4">
        <v>498</v>
      </c>
      <c r="G284" s="4">
        <v>15</v>
      </c>
      <c r="H284" s="4">
        <v>760.67341999999996</v>
      </c>
    </row>
    <row r="285" spans="1:8" s="5" customFormat="1" ht="78.75" hidden="1" outlineLevel="1" x14ac:dyDescent="0.25">
      <c r="A285" s="4">
        <v>528</v>
      </c>
      <c r="B285" s="6" t="s">
        <v>38</v>
      </c>
      <c r="C285" s="38" t="s">
        <v>3504</v>
      </c>
      <c r="D285" s="6">
        <v>2022</v>
      </c>
      <c r="E285" s="6" t="s">
        <v>21</v>
      </c>
      <c r="F285" s="4">
        <v>74</v>
      </c>
      <c r="G285" s="4">
        <v>25</v>
      </c>
      <c r="H285" s="4">
        <v>147.01255</v>
      </c>
    </row>
    <row r="286" spans="1:8" s="5" customFormat="1" ht="63" hidden="1" outlineLevel="1" x14ac:dyDescent="0.25">
      <c r="A286" s="4">
        <v>513</v>
      </c>
      <c r="B286" s="6" t="s">
        <v>38</v>
      </c>
      <c r="C286" s="38" t="s">
        <v>3505</v>
      </c>
      <c r="D286" s="6">
        <v>2022</v>
      </c>
      <c r="E286" s="6" t="s">
        <v>21</v>
      </c>
      <c r="F286" s="4">
        <v>80</v>
      </c>
      <c r="G286" s="4">
        <v>15</v>
      </c>
      <c r="H286" s="4">
        <v>84.582440000000005</v>
      </c>
    </row>
    <row r="287" spans="1:8" s="5" customFormat="1" ht="78.75" hidden="1" outlineLevel="1" x14ac:dyDescent="0.25">
      <c r="A287" s="4">
        <v>484</v>
      </c>
      <c r="B287" s="6" t="s">
        <v>38</v>
      </c>
      <c r="C287" s="38" t="s">
        <v>3506</v>
      </c>
      <c r="D287" s="6">
        <v>2022</v>
      </c>
      <c r="E287" s="6" t="s">
        <v>21</v>
      </c>
      <c r="F287" s="4">
        <v>30</v>
      </c>
      <c r="G287" s="4">
        <v>15</v>
      </c>
      <c r="H287" s="4">
        <v>61.324460000000002</v>
      </c>
    </row>
    <row r="288" spans="1:8" s="5" customFormat="1" ht="78.75" hidden="1" outlineLevel="1" x14ac:dyDescent="0.25">
      <c r="A288" s="4">
        <v>504</v>
      </c>
      <c r="B288" s="6" t="s">
        <v>38</v>
      </c>
      <c r="C288" s="38" t="s">
        <v>3507</v>
      </c>
      <c r="D288" s="6">
        <v>2022</v>
      </c>
      <c r="E288" s="6" t="s">
        <v>21</v>
      </c>
      <c r="F288" s="4">
        <v>101</v>
      </c>
      <c r="G288" s="4">
        <v>8</v>
      </c>
      <c r="H288" s="4">
        <v>112.61185</v>
      </c>
    </row>
    <row r="289" spans="1:8" s="5" customFormat="1" ht="94.5" hidden="1" outlineLevel="1" x14ac:dyDescent="0.25">
      <c r="A289" s="4">
        <v>546</v>
      </c>
      <c r="B289" s="6" t="s">
        <v>38</v>
      </c>
      <c r="C289" s="38" t="s">
        <v>3508</v>
      </c>
      <c r="D289" s="6">
        <v>2022</v>
      </c>
      <c r="E289" s="6" t="s">
        <v>21</v>
      </c>
      <c r="F289" s="4">
        <v>234</v>
      </c>
      <c r="G289" s="4">
        <v>45</v>
      </c>
      <c r="H289" s="4">
        <v>441.82686000000001</v>
      </c>
    </row>
    <row r="290" spans="1:8" s="5" customFormat="1" ht="63" hidden="1" outlineLevel="1" x14ac:dyDescent="0.25">
      <c r="A290" s="4">
        <v>537</v>
      </c>
      <c r="B290" s="6" t="s">
        <v>38</v>
      </c>
      <c r="C290" s="38" t="s">
        <v>3509</v>
      </c>
      <c r="D290" s="6">
        <v>2022</v>
      </c>
      <c r="E290" s="6" t="s">
        <v>21</v>
      </c>
      <c r="F290" s="4">
        <v>359</v>
      </c>
      <c r="G290" s="4">
        <v>15</v>
      </c>
      <c r="H290" s="4">
        <v>597.86526000000003</v>
      </c>
    </row>
    <row r="291" spans="1:8" s="5" customFormat="1" ht="78.75" hidden="1" outlineLevel="1" x14ac:dyDescent="0.25">
      <c r="A291" s="4">
        <v>538</v>
      </c>
      <c r="B291" s="6" t="s">
        <v>38</v>
      </c>
      <c r="C291" s="38" t="s">
        <v>3510</v>
      </c>
      <c r="D291" s="6">
        <v>2022</v>
      </c>
      <c r="E291" s="6" t="s">
        <v>21</v>
      </c>
      <c r="F291" s="4">
        <v>15</v>
      </c>
      <c r="G291" s="4">
        <v>15</v>
      </c>
      <c r="H291" s="4">
        <v>68.578919999999997</v>
      </c>
    </row>
    <row r="292" spans="1:8" s="5" customFormat="1" ht="63" hidden="1" outlineLevel="1" x14ac:dyDescent="0.25">
      <c r="A292" s="4">
        <v>548</v>
      </c>
      <c r="B292" s="6" t="s">
        <v>38</v>
      </c>
      <c r="C292" s="38" t="s">
        <v>3511</v>
      </c>
      <c r="D292" s="6">
        <v>2022</v>
      </c>
      <c r="E292" s="6" t="s">
        <v>21</v>
      </c>
      <c r="F292" s="4">
        <v>82</v>
      </c>
      <c r="G292" s="4">
        <v>15</v>
      </c>
      <c r="H292" s="4">
        <v>157.12530000000001</v>
      </c>
    </row>
    <row r="293" spans="1:8" s="5" customFormat="1" ht="78.75" hidden="1" outlineLevel="1" x14ac:dyDescent="0.25">
      <c r="A293" s="4">
        <v>540</v>
      </c>
      <c r="B293" s="6" t="s">
        <v>38</v>
      </c>
      <c r="C293" s="38" t="s">
        <v>3512</v>
      </c>
      <c r="D293" s="6">
        <v>2022</v>
      </c>
      <c r="E293" s="6" t="s">
        <v>21</v>
      </c>
      <c r="F293" s="4">
        <v>242</v>
      </c>
      <c r="G293" s="4">
        <v>15</v>
      </c>
      <c r="H293" s="4">
        <v>306.95316000000003</v>
      </c>
    </row>
    <row r="294" spans="1:8" s="5" customFormat="1" ht="78.75" hidden="1" outlineLevel="1" x14ac:dyDescent="0.25">
      <c r="A294" s="4">
        <v>539</v>
      </c>
      <c r="B294" s="6" t="s">
        <v>38</v>
      </c>
      <c r="C294" s="38" t="s">
        <v>3513</v>
      </c>
      <c r="D294" s="6">
        <v>2022</v>
      </c>
      <c r="E294" s="6" t="s">
        <v>21</v>
      </c>
      <c r="F294" s="4">
        <v>229</v>
      </c>
      <c r="G294" s="4">
        <v>15</v>
      </c>
      <c r="H294" s="4">
        <v>356.90062999999998</v>
      </c>
    </row>
    <row r="295" spans="1:8" s="5" customFormat="1" ht="78.75" hidden="1" outlineLevel="1" x14ac:dyDescent="0.25">
      <c r="A295" s="4">
        <v>541</v>
      </c>
      <c r="B295" s="6" t="s">
        <v>38</v>
      </c>
      <c r="C295" s="38" t="s">
        <v>3514</v>
      </c>
      <c r="D295" s="6">
        <v>2022</v>
      </c>
      <c r="E295" s="6" t="s">
        <v>21</v>
      </c>
      <c r="F295" s="4">
        <v>254</v>
      </c>
      <c r="G295" s="4">
        <v>15</v>
      </c>
      <c r="H295" s="4">
        <v>385.92149000000001</v>
      </c>
    </row>
    <row r="296" spans="1:8" s="5" customFormat="1" ht="63" hidden="1" outlineLevel="1" x14ac:dyDescent="0.25">
      <c r="A296" s="4">
        <v>543</v>
      </c>
      <c r="B296" s="6" t="s">
        <v>38</v>
      </c>
      <c r="C296" s="38" t="s">
        <v>3515</v>
      </c>
      <c r="D296" s="6">
        <v>2022</v>
      </c>
      <c r="E296" s="6" t="s">
        <v>21</v>
      </c>
      <c r="F296" s="4">
        <v>95</v>
      </c>
      <c r="G296" s="4">
        <v>45</v>
      </c>
      <c r="H296" s="4">
        <v>168.05533</v>
      </c>
    </row>
    <row r="297" spans="1:8" s="5" customFormat="1" ht="78.75" hidden="1" outlineLevel="1" x14ac:dyDescent="0.25">
      <c r="A297" s="4">
        <v>542</v>
      </c>
      <c r="B297" s="6" t="s">
        <v>38</v>
      </c>
      <c r="C297" s="38" t="s">
        <v>3516</v>
      </c>
      <c r="D297" s="6">
        <v>2022</v>
      </c>
      <c r="E297" s="6" t="s">
        <v>21</v>
      </c>
      <c r="F297" s="4">
        <v>261</v>
      </c>
      <c r="G297" s="4">
        <v>15</v>
      </c>
      <c r="H297" s="4">
        <v>458.47714000000002</v>
      </c>
    </row>
    <row r="298" spans="1:8" s="5" customFormat="1" ht="78.75" hidden="1" outlineLevel="1" x14ac:dyDescent="0.25">
      <c r="A298" s="4">
        <v>547</v>
      </c>
      <c r="B298" s="6" t="s">
        <v>38</v>
      </c>
      <c r="C298" s="38" t="s">
        <v>3517</v>
      </c>
      <c r="D298" s="6">
        <v>2022</v>
      </c>
      <c r="E298" s="6" t="s">
        <v>21</v>
      </c>
      <c r="F298" s="4">
        <v>222</v>
      </c>
      <c r="G298" s="4">
        <v>15</v>
      </c>
      <c r="H298" s="4">
        <v>388.44153999999997</v>
      </c>
    </row>
    <row r="299" spans="1:8" s="5" customFormat="1" ht="78.75" hidden="1" outlineLevel="1" x14ac:dyDescent="0.25">
      <c r="A299" s="4">
        <v>544</v>
      </c>
      <c r="B299" s="6" t="s">
        <v>38</v>
      </c>
      <c r="C299" s="38" t="s">
        <v>3518</v>
      </c>
      <c r="D299" s="6">
        <v>2022</v>
      </c>
      <c r="E299" s="6" t="s">
        <v>21</v>
      </c>
      <c r="F299" s="4">
        <v>438</v>
      </c>
      <c r="G299" s="4">
        <v>15</v>
      </c>
      <c r="H299" s="4">
        <v>519.26859999999999</v>
      </c>
    </row>
    <row r="300" spans="1:8" s="5" customFormat="1" ht="63" hidden="1" outlineLevel="1" x14ac:dyDescent="0.25">
      <c r="A300" s="4">
        <v>534</v>
      </c>
      <c r="B300" s="6" t="s">
        <v>38</v>
      </c>
      <c r="C300" s="38" t="s">
        <v>3519</v>
      </c>
      <c r="D300" s="6">
        <v>2022</v>
      </c>
      <c r="E300" s="6" t="s">
        <v>21</v>
      </c>
      <c r="F300" s="4">
        <v>202</v>
      </c>
      <c r="G300" s="4">
        <v>15</v>
      </c>
      <c r="H300" s="4">
        <v>320.16737000000001</v>
      </c>
    </row>
    <row r="301" spans="1:8" s="5" customFormat="1" ht="63" hidden="1" outlineLevel="1" x14ac:dyDescent="0.25">
      <c r="A301" s="4">
        <v>535</v>
      </c>
      <c r="B301" s="6" t="s">
        <v>38</v>
      </c>
      <c r="C301" s="38" t="s">
        <v>3520</v>
      </c>
      <c r="D301" s="6">
        <v>2022</v>
      </c>
      <c r="E301" s="6" t="s">
        <v>21</v>
      </c>
      <c r="F301" s="4">
        <v>206</v>
      </c>
      <c r="G301" s="4">
        <v>15</v>
      </c>
      <c r="H301" s="4">
        <v>304.89049</v>
      </c>
    </row>
    <row r="302" spans="1:8" s="5" customFormat="1" ht="78.75" hidden="1" outlineLevel="1" x14ac:dyDescent="0.25">
      <c r="A302" s="4">
        <v>505</v>
      </c>
      <c r="B302" s="6" t="s">
        <v>38</v>
      </c>
      <c r="C302" s="38" t="s">
        <v>3521</v>
      </c>
      <c r="D302" s="6">
        <v>2022</v>
      </c>
      <c r="E302" s="6" t="s">
        <v>21</v>
      </c>
      <c r="F302" s="4">
        <v>79</v>
      </c>
      <c r="G302" s="4">
        <v>12</v>
      </c>
      <c r="H302" s="4">
        <v>108.54040000000001</v>
      </c>
    </row>
    <row r="303" spans="1:8" s="5" customFormat="1" ht="63" hidden="1" outlineLevel="1" x14ac:dyDescent="0.25">
      <c r="A303" s="4">
        <v>515</v>
      </c>
      <c r="B303" s="6" t="s">
        <v>38</v>
      </c>
      <c r="C303" s="38" t="s">
        <v>3522</v>
      </c>
      <c r="D303" s="6">
        <v>2022</v>
      </c>
      <c r="E303" s="6" t="s">
        <v>21</v>
      </c>
      <c r="F303" s="4">
        <v>79</v>
      </c>
      <c r="G303" s="4">
        <v>8</v>
      </c>
      <c r="H303" s="4">
        <v>78.675809999999998</v>
      </c>
    </row>
    <row r="304" spans="1:8" s="5" customFormat="1" ht="63" hidden="1" outlineLevel="1" x14ac:dyDescent="0.25">
      <c r="A304" s="4">
        <v>490</v>
      </c>
      <c r="B304" s="6" t="s">
        <v>38</v>
      </c>
      <c r="C304" s="38" t="s">
        <v>3523</v>
      </c>
      <c r="D304" s="6">
        <v>2022</v>
      </c>
      <c r="E304" s="6" t="s">
        <v>21</v>
      </c>
      <c r="F304" s="4">
        <v>30</v>
      </c>
      <c r="G304" s="4">
        <v>6</v>
      </c>
      <c r="H304" s="4">
        <v>47.545529999999999</v>
      </c>
    </row>
    <row r="305" spans="1:8" s="5" customFormat="1" ht="94.5" hidden="1" outlineLevel="1" x14ac:dyDescent="0.25">
      <c r="A305" s="4">
        <v>512</v>
      </c>
      <c r="B305" s="6" t="s">
        <v>38</v>
      </c>
      <c r="C305" s="38" t="s">
        <v>3524</v>
      </c>
      <c r="D305" s="6">
        <v>2022</v>
      </c>
      <c r="E305" s="6" t="s">
        <v>21</v>
      </c>
      <c r="F305" s="4">
        <v>25</v>
      </c>
      <c r="G305" s="4">
        <v>15</v>
      </c>
      <c r="H305" s="4">
        <v>43.223750000000003</v>
      </c>
    </row>
    <row r="306" spans="1:8" s="5" customFormat="1" ht="63" hidden="1" outlineLevel="1" x14ac:dyDescent="0.25">
      <c r="A306" s="4">
        <v>478</v>
      </c>
      <c r="B306" s="6" t="s">
        <v>38</v>
      </c>
      <c r="C306" s="38" t="s">
        <v>3525</v>
      </c>
      <c r="D306" s="6">
        <v>2022</v>
      </c>
      <c r="E306" s="6" t="s">
        <v>21</v>
      </c>
      <c r="F306" s="4">
        <v>45</v>
      </c>
      <c r="G306" s="4">
        <v>15</v>
      </c>
      <c r="H306" s="4">
        <v>57.142400000000002</v>
      </c>
    </row>
    <row r="307" spans="1:8" s="5" customFormat="1" ht="78.75" hidden="1" outlineLevel="1" x14ac:dyDescent="0.25">
      <c r="A307" s="4">
        <v>481</v>
      </c>
      <c r="B307" s="6" t="s">
        <v>38</v>
      </c>
      <c r="C307" s="38" t="s">
        <v>3526</v>
      </c>
      <c r="D307" s="6">
        <v>2022</v>
      </c>
      <c r="E307" s="6" t="s">
        <v>21</v>
      </c>
      <c r="F307" s="4">
        <v>32</v>
      </c>
      <c r="G307" s="4">
        <v>15</v>
      </c>
      <c r="H307" s="4">
        <v>45.986530000000002</v>
      </c>
    </row>
    <row r="308" spans="1:8" s="5" customFormat="1" ht="78.75" hidden="1" outlineLevel="1" x14ac:dyDescent="0.25">
      <c r="A308" s="4">
        <v>550</v>
      </c>
      <c r="B308" s="6" t="s">
        <v>38</v>
      </c>
      <c r="C308" s="38" t="s">
        <v>3527</v>
      </c>
      <c r="D308" s="6">
        <v>2022</v>
      </c>
      <c r="E308" s="6" t="s">
        <v>21</v>
      </c>
      <c r="F308" s="4">
        <v>111</v>
      </c>
      <c r="G308" s="4">
        <v>10</v>
      </c>
      <c r="H308" s="4">
        <v>407.63623999999999</v>
      </c>
    </row>
    <row r="309" spans="1:8" s="5" customFormat="1" ht="94.5" hidden="1" outlineLevel="1" x14ac:dyDescent="0.25">
      <c r="A309" s="4">
        <v>551</v>
      </c>
      <c r="B309" s="6" t="s">
        <v>38</v>
      </c>
      <c r="C309" s="38" t="s">
        <v>3528</v>
      </c>
      <c r="D309" s="6">
        <v>2022</v>
      </c>
      <c r="E309" s="6" t="s">
        <v>21</v>
      </c>
      <c r="F309" s="4">
        <v>352</v>
      </c>
      <c r="G309" s="4">
        <v>15</v>
      </c>
      <c r="H309" s="4">
        <v>544.17678999999998</v>
      </c>
    </row>
    <row r="310" spans="1:8" s="5" customFormat="1" ht="63" hidden="1" outlineLevel="1" x14ac:dyDescent="0.25">
      <c r="A310" s="4">
        <v>552</v>
      </c>
      <c r="B310" s="6" t="s">
        <v>38</v>
      </c>
      <c r="C310" s="38" t="s">
        <v>3529</v>
      </c>
      <c r="D310" s="6">
        <v>2022</v>
      </c>
      <c r="E310" s="6" t="s">
        <v>21</v>
      </c>
      <c r="F310" s="4">
        <v>250</v>
      </c>
      <c r="G310" s="4">
        <v>15</v>
      </c>
      <c r="H310" s="4">
        <v>450.41041000000001</v>
      </c>
    </row>
    <row r="311" spans="1:8" s="5" customFormat="1" ht="94.5" hidden="1" outlineLevel="1" x14ac:dyDescent="0.25">
      <c r="A311" s="4">
        <v>453</v>
      </c>
      <c r="B311" s="6" t="s">
        <v>38</v>
      </c>
      <c r="C311" s="38" t="s">
        <v>3530</v>
      </c>
      <c r="D311" s="6">
        <v>2022</v>
      </c>
      <c r="E311" s="6" t="s">
        <v>21</v>
      </c>
      <c r="F311" s="4">
        <v>15</v>
      </c>
      <c r="G311" s="4">
        <v>15</v>
      </c>
      <c r="H311" s="4">
        <v>95.808999999999997</v>
      </c>
    </row>
    <row r="312" spans="1:8" s="5" customFormat="1" ht="78.75" hidden="1" outlineLevel="1" x14ac:dyDescent="0.25">
      <c r="A312" s="4">
        <v>511</v>
      </c>
      <c r="B312" s="6" t="s">
        <v>38</v>
      </c>
      <c r="C312" s="38" t="s">
        <v>3531</v>
      </c>
      <c r="D312" s="6">
        <v>2022</v>
      </c>
      <c r="E312" s="6" t="s">
        <v>21</v>
      </c>
      <c r="F312" s="4">
        <v>40</v>
      </c>
      <c r="G312" s="4">
        <v>15</v>
      </c>
      <c r="H312" s="4">
        <v>64.231790000000004</v>
      </c>
    </row>
    <row r="313" spans="1:8" s="5" customFormat="1" ht="63" hidden="1" outlineLevel="1" x14ac:dyDescent="0.25">
      <c r="A313" s="4">
        <v>491</v>
      </c>
      <c r="B313" s="6" t="s">
        <v>38</v>
      </c>
      <c r="C313" s="38" t="s">
        <v>3532</v>
      </c>
      <c r="D313" s="6">
        <v>2022</v>
      </c>
      <c r="E313" s="6" t="s">
        <v>21</v>
      </c>
      <c r="F313" s="4">
        <v>50</v>
      </c>
      <c r="G313" s="4">
        <v>15</v>
      </c>
      <c r="H313" s="4">
        <v>89.076070000000001</v>
      </c>
    </row>
    <row r="314" spans="1:8" s="5" customFormat="1" ht="78.75" hidden="1" outlineLevel="1" x14ac:dyDescent="0.25">
      <c r="A314" s="4">
        <v>489</v>
      </c>
      <c r="B314" s="6" t="s">
        <v>38</v>
      </c>
      <c r="C314" s="38" t="s">
        <v>3533</v>
      </c>
      <c r="D314" s="6">
        <v>2022</v>
      </c>
      <c r="E314" s="6" t="s">
        <v>21</v>
      </c>
      <c r="F314" s="4">
        <v>70</v>
      </c>
      <c r="G314" s="4">
        <v>15</v>
      </c>
      <c r="H314" s="4">
        <v>84.207030000000003</v>
      </c>
    </row>
    <row r="315" spans="1:8" s="5" customFormat="1" ht="63" hidden="1" outlineLevel="1" x14ac:dyDescent="0.25">
      <c r="A315" s="4">
        <v>510</v>
      </c>
      <c r="B315" s="6" t="s">
        <v>38</v>
      </c>
      <c r="C315" s="38" t="s">
        <v>3534</v>
      </c>
      <c r="D315" s="6">
        <v>2022</v>
      </c>
      <c r="E315" s="6" t="s">
        <v>21</v>
      </c>
      <c r="F315" s="4">
        <v>60</v>
      </c>
      <c r="G315" s="4">
        <v>15</v>
      </c>
      <c r="H315" s="4">
        <v>69.356979999999993</v>
      </c>
    </row>
    <row r="316" spans="1:8" s="5" customFormat="1" ht="63" hidden="1" outlineLevel="1" x14ac:dyDescent="0.25">
      <c r="A316" s="4">
        <v>517</v>
      </c>
      <c r="B316" s="6" t="s">
        <v>38</v>
      </c>
      <c r="C316" s="38" t="s">
        <v>3535</v>
      </c>
      <c r="D316" s="6">
        <v>2022</v>
      </c>
      <c r="E316" s="6" t="s">
        <v>21</v>
      </c>
      <c r="F316" s="4">
        <v>207</v>
      </c>
      <c r="G316" s="4">
        <v>15</v>
      </c>
      <c r="H316" s="4">
        <v>171.23723000000001</v>
      </c>
    </row>
    <row r="317" spans="1:8" s="5" customFormat="1" ht="47.25" hidden="1" outlineLevel="1" x14ac:dyDescent="0.25">
      <c r="A317" s="4">
        <v>485</v>
      </c>
      <c r="B317" s="6" t="s">
        <v>38</v>
      </c>
      <c r="C317" s="38" t="s">
        <v>3536</v>
      </c>
      <c r="D317" s="6">
        <v>2022</v>
      </c>
      <c r="E317" s="6" t="s">
        <v>21</v>
      </c>
      <c r="F317" s="4">
        <v>100</v>
      </c>
      <c r="G317" s="4">
        <v>15</v>
      </c>
      <c r="H317" s="4">
        <v>146.81829999999999</v>
      </c>
    </row>
    <row r="318" spans="1:8" s="5" customFormat="1" ht="63" hidden="1" outlineLevel="1" x14ac:dyDescent="0.25">
      <c r="A318" s="4">
        <v>554</v>
      </c>
      <c r="B318" s="6" t="s">
        <v>38</v>
      </c>
      <c r="C318" s="38" t="s">
        <v>3537</v>
      </c>
      <c r="D318" s="6">
        <v>2022</v>
      </c>
      <c r="E318" s="6" t="s">
        <v>21</v>
      </c>
      <c r="F318" s="4">
        <v>120</v>
      </c>
      <c r="G318" s="4">
        <v>15</v>
      </c>
      <c r="H318" s="4">
        <v>185.05725000000001</v>
      </c>
    </row>
    <row r="319" spans="1:8" s="5" customFormat="1" ht="63" hidden="1" outlineLevel="1" x14ac:dyDescent="0.25">
      <c r="A319" s="4">
        <v>521</v>
      </c>
      <c r="B319" s="6" t="s">
        <v>38</v>
      </c>
      <c r="C319" s="38" t="s">
        <v>3538</v>
      </c>
      <c r="D319" s="6">
        <v>2022</v>
      </c>
      <c r="E319" s="6" t="s">
        <v>21</v>
      </c>
      <c r="F319" s="4">
        <v>70</v>
      </c>
      <c r="G319" s="4">
        <v>6</v>
      </c>
      <c r="H319" s="4">
        <v>91.986919999999998</v>
      </c>
    </row>
    <row r="320" spans="1:8" s="5" customFormat="1" ht="63" hidden="1" outlineLevel="1" x14ac:dyDescent="0.25">
      <c r="A320" s="4">
        <v>522</v>
      </c>
      <c r="B320" s="6" t="s">
        <v>38</v>
      </c>
      <c r="C320" s="38" t="s">
        <v>3539</v>
      </c>
      <c r="D320" s="6">
        <v>2022</v>
      </c>
      <c r="E320" s="6" t="s">
        <v>21</v>
      </c>
      <c r="F320" s="4">
        <v>130</v>
      </c>
      <c r="G320" s="4">
        <v>15</v>
      </c>
      <c r="H320" s="4">
        <v>174.79154</v>
      </c>
    </row>
    <row r="321" spans="1:8" s="5" customFormat="1" ht="63" hidden="1" outlineLevel="1" x14ac:dyDescent="0.25">
      <c r="A321" s="4">
        <v>524</v>
      </c>
      <c r="B321" s="6" t="s">
        <v>38</v>
      </c>
      <c r="C321" s="38" t="s">
        <v>3540</v>
      </c>
      <c r="D321" s="6">
        <v>2022</v>
      </c>
      <c r="E321" s="6" t="s">
        <v>21</v>
      </c>
      <c r="F321" s="4">
        <v>80</v>
      </c>
      <c r="G321" s="4">
        <v>15</v>
      </c>
      <c r="H321" s="4">
        <v>99.865710000000007</v>
      </c>
    </row>
    <row r="322" spans="1:8" s="5" customFormat="1" ht="78.75" hidden="1" outlineLevel="1" x14ac:dyDescent="0.25">
      <c r="A322" s="4">
        <v>558</v>
      </c>
      <c r="B322" s="6" t="s">
        <v>38</v>
      </c>
      <c r="C322" s="38" t="s">
        <v>3541</v>
      </c>
      <c r="D322" s="6">
        <v>2022</v>
      </c>
      <c r="E322" s="6" t="s">
        <v>21</v>
      </c>
      <c r="F322" s="4">
        <v>429</v>
      </c>
      <c r="G322" s="4">
        <v>6</v>
      </c>
      <c r="H322" s="4">
        <v>731.35284000000001</v>
      </c>
    </row>
    <row r="323" spans="1:8" s="5" customFormat="1" ht="94.5" hidden="1" outlineLevel="1" x14ac:dyDescent="0.25">
      <c r="A323" s="4">
        <v>457</v>
      </c>
      <c r="B323" s="6" t="s">
        <v>38</v>
      </c>
      <c r="C323" s="38" t="s">
        <v>3542</v>
      </c>
      <c r="D323" s="6">
        <v>2022</v>
      </c>
      <c r="E323" s="6" t="s">
        <v>21</v>
      </c>
      <c r="F323" s="4">
        <v>3</v>
      </c>
      <c r="G323" s="4">
        <v>15</v>
      </c>
      <c r="H323" s="4">
        <v>50.829740000000001</v>
      </c>
    </row>
    <row r="324" spans="1:8" s="5" customFormat="1" ht="78.75" hidden="1" outlineLevel="1" x14ac:dyDescent="0.25">
      <c r="A324" s="4">
        <v>559</v>
      </c>
      <c r="B324" s="6" t="s">
        <v>38</v>
      </c>
      <c r="C324" s="38" t="s">
        <v>3543</v>
      </c>
      <c r="D324" s="6">
        <v>2022</v>
      </c>
      <c r="E324" s="6" t="s">
        <v>21</v>
      </c>
      <c r="F324" s="4">
        <v>60</v>
      </c>
      <c r="G324" s="4">
        <v>10</v>
      </c>
      <c r="H324" s="4">
        <v>76.681910000000002</v>
      </c>
    </row>
    <row r="325" spans="1:8" s="5" customFormat="1" ht="110.25" hidden="1" outlineLevel="1" x14ac:dyDescent="0.25">
      <c r="A325" s="4">
        <v>531</v>
      </c>
      <c r="B325" s="6" t="s">
        <v>38</v>
      </c>
      <c r="C325" s="38" t="s">
        <v>3544</v>
      </c>
      <c r="D325" s="6">
        <v>2022</v>
      </c>
      <c r="E325" s="6" t="s">
        <v>21</v>
      </c>
      <c r="F325" s="4">
        <v>17</v>
      </c>
      <c r="G325" s="4">
        <v>15</v>
      </c>
      <c r="H325" s="4">
        <v>47.320450000000001</v>
      </c>
    </row>
    <row r="326" spans="1:8" s="5" customFormat="1" ht="78.75" hidden="1" outlineLevel="1" x14ac:dyDescent="0.25">
      <c r="A326" s="4">
        <v>545</v>
      </c>
      <c r="B326" s="6" t="s">
        <v>38</v>
      </c>
      <c r="C326" s="38" t="s">
        <v>3545</v>
      </c>
      <c r="D326" s="6">
        <v>2022</v>
      </c>
      <c r="E326" s="6" t="s">
        <v>21</v>
      </c>
      <c r="F326" s="4">
        <v>40</v>
      </c>
      <c r="G326" s="4">
        <v>15</v>
      </c>
      <c r="H326" s="4">
        <v>74.245990000000006</v>
      </c>
    </row>
    <row r="327" spans="1:8" s="5" customFormat="1" ht="78.75" hidden="1" outlineLevel="1" x14ac:dyDescent="0.25">
      <c r="A327" s="4">
        <v>497</v>
      </c>
      <c r="B327" s="6" t="s">
        <v>38</v>
      </c>
      <c r="C327" s="38" t="s">
        <v>3546</v>
      </c>
      <c r="D327" s="6">
        <v>2022</v>
      </c>
      <c r="E327" s="6" t="s">
        <v>21</v>
      </c>
      <c r="F327" s="4">
        <v>75</v>
      </c>
      <c r="G327" s="4">
        <v>15</v>
      </c>
      <c r="H327" s="4">
        <v>93.581659999999999</v>
      </c>
    </row>
    <row r="328" spans="1:8" s="5" customFormat="1" ht="78.75" hidden="1" outlineLevel="1" x14ac:dyDescent="0.25">
      <c r="A328" s="4">
        <v>498</v>
      </c>
      <c r="B328" s="6" t="s">
        <v>38</v>
      </c>
      <c r="C328" s="38" t="s">
        <v>3547</v>
      </c>
      <c r="D328" s="6">
        <v>2022</v>
      </c>
      <c r="E328" s="6" t="s">
        <v>21</v>
      </c>
      <c r="F328" s="4">
        <v>87</v>
      </c>
      <c r="G328" s="4">
        <v>15</v>
      </c>
      <c r="H328" s="4">
        <v>122.85124999999999</v>
      </c>
    </row>
    <row r="329" spans="1:8" s="5" customFormat="1" ht="78.75" hidden="1" outlineLevel="1" x14ac:dyDescent="0.25">
      <c r="A329" s="4">
        <v>486</v>
      </c>
      <c r="B329" s="6" t="s">
        <v>38</v>
      </c>
      <c r="C329" s="38" t="s">
        <v>3548</v>
      </c>
      <c r="D329" s="6">
        <v>2022</v>
      </c>
      <c r="E329" s="6" t="s">
        <v>21</v>
      </c>
      <c r="F329" s="4">
        <v>67</v>
      </c>
      <c r="G329" s="4">
        <v>15</v>
      </c>
      <c r="H329" s="4">
        <v>99.780749999999998</v>
      </c>
    </row>
    <row r="330" spans="1:8" s="5" customFormat="1" ht="94.5" hidden="1" outlineLevel="1" x14ac:dyDescent="0.25">
      <c r="A330" s="4">
        <v>506</v>
      </c>
      <c r="B330" s="6" t="s">
        <v>38</v>
      </c>
      <c r="C330" s="38" t="s">
        <v>3549</v>
      </c>
      <c r="D330" s="6">
        <v>2022</v>
      </c>
      <c r="E330" s="6" t="s">
        <v>21</v>
      </c>
      <c r="F330" s="4">
        <v>40</v>
      </c>
      <c r="G330" s="4">
        <v>15</v>
      </c>
      <c r="H330" s="4">
        <v>70.731489999999994</v>
      </c>
    </row>
    <row r="331" spans="1:8" s="5" customFormat="1" ht="78.75" hidden="1" outlineLevel="1" x14ac:dyDescent="0.25">
      <c r="A331" s="4">
        <v>556</v>
      </c>
      <c r="B331" s="6" t="s">
        <v>38</v>
      </c>
      <c r="C331" s="38" t="s">
        <v>3550</v>
      </c>
      <c r="D331" s="6">
        <v>2022</v>
      </c>
      <c r="E331" s="6" t="s">
        <v>21</v>
      </c>
      <c r="F331" s="4">
        <v>45</v>
      </c>
      <c r="G331" s="4">
        <v>15</v>
      </c>
      <c r="H331" s="4">
        <v>63.15737</v>
      </c>
    </row>
    <row r="332" spans="1:8" s="5" customFormat="1" ht="94.5" hidden="1" outlineLevel="1" x14ac:dyDescent="0.25">
      <c r="A332" s="4">
        <v>519</v>
      </c>
      <c r="B332" s="6" t="s">
        <v>38</v>
      </c>
      <c r="C332" s="38" t="s">
        <v>3551</v>
      </c>
      <c r="D332" s="6">
        <v>2022</v>
      </c>
      <c r="E332" s="6" t="s">
        <v>21</v>
      </c>
      <c r="F332" s="4">
        <v>70</v>
      </c>
      <c r="G332" s="4">
        <v>30</v>
      </c>
      <c r="H332" s="4">
        <v>116.86789</v>
      </c>
    </row>
    <row r="333" spans="1:8" s="5" customFormat="1" ht="94.5" hidden="1" outlineLevel="1" x14ac:dyDescent="0.25">
      <c r="A333" s="4">
        <v>458</v>
      </c>
      <c r="B333" s="6" t="s">
        <v>38</v>
      </c>
      <c r="C333" s="38" t="s">
        <v>3552</v>
      </c>
      <c r="D333" s="6">
        <v>2022</v>
      </c>
      <c r="E333" s="6" t="s">
        <v>21</v>
      </c>
      <c r="F333" s="4">
        <v>5</v>
      </c>
      <c r="G333" s="4">
        <v>10</v>
      </c>
      <c r="H333" s="4">
        <v>113.61928</v>
      </c>
    </row>
    <row r="334" spans="1:8" s="5" customFormat="1" ht="78.75" hidden="1" outlineLevel="1" x14ac:dyDescent="0.25">
      <c r="A334" s="4">
        <v>459</v>
      </c>
      <c r="B334" s="6" t="s">
        <v>38</v>
      </c>
      <c r="C334" s="38" t="s">
        <v>3553</v>
      </c>
      <c r="D334" s="6">
        <v>2022</v>
      </c>
      <c r="E334" s="6" t="s">
        <v>21</v>
      </c>
      <c r="F334" s="4">
        <v>5</v>
      </c>
      <c r="G334" s="4">
        <v>150</v>
      </c>
      <c r="H334" s="4">
        <v>114.42673000000001</v>
      </c>
    </row>
    <row r="335" spans="1:8" s="5" customFormat="1" ht="47.25" hidden="1" outlineLevel="1" x14ac:dyDescent="0.25">
      <c r="A335" s="4">
        <v>499</v>
      </c>
      <c r="B335" s="6" t="s">
        <v>38</v>
      </c>
      <c r="C335" s="38" t="s">
        <v>3554</v>
      </c>
      <c r="D335" s="6">
        <v>2022</v>
      </c>
      <c r="E335" s="6" t="s">
        <v>21</v>
      </c>
      <c r="F335" s="4">
        <v>146</v>
      </c>
      <c r="G335" s="4">
        <v>15</v>
      </c>
      <c r="H335" s="4">
        <v>198.70015000000001</v>
      </c>
    </row>
    <row r="336" spans="1:8" s="5" customFormat="1" ht="63" hidden="1" outlineLevel="1" x14ac:dyDescent="0.25">
      <c r="A336" s="4">
        <v>488</v>
      </c>
      <c r="B336" s="6" t="s">
        <v>38</v>
      </c>
      <c r="C336" s="38" t="s">
        <v>3555</v>
      </c>
      <c r="D336" s="6">
        <v>2022</v>
      </c>
      <c r="E336" s="6" t="s">
        <v>21</v>
      </c>
      <c r="F336" s="4">
        <v>50</v>
      </c>
      <c r="G336" s="4">
        <v>15</v>
      </c>
      <c r="H336" s="4">
        <v>119.18939</v>
      </c>
    </row>
    <row r="337" spans="1:8" s="5" customFormat="1" ht="63" hidden="1" outlineLevel="1" x14ac:dyDescent="0.25">
      <c r="A337" s="4">
        <v>529</v>
      </c>
      <c r="B337" s="6" t="s">
        <v>38</v>
      </c>
      <c r="C337" s="38" t="s">
        <v>3556</v>
      </c>
      <c r="D337" s="6">
        <v>2022</v>
      </c>
      <c r="E337" s="6" t="s">
        <v>21</v>
      </c>
      <c r="F337" s="4">
        <v>60</v>
      </c>
      <c r="G337" s="4">
        <v>10</v>
      </c>
      <c r="H337" s="4">
        <v>123.19410999999999</v>
      </c>
    </row>
    <row r="338" spans="1:8" s="5" customFormat="1" ht="78.75" hidden="1" outlineLevel="1" x14ac:dyDescent="0.25">
      <c r="A338" s="4">
        <v>525</v>
      </c>
      <c r="B338" s="6" t="s">
        <v>38</v>
      </c>
      <c r="C338" s="38" t="s">
        <v>3557</v>
      </c>
      <c r="D338" s="6">
        <v>2022</v>
      </c>
      <c r="E338" s="6" t="s">
        <v>21</v>
      </c>
      <c r="F338" s="4">
        <v>60</v>
      </c>
      <c r="G338" s="4">
        <v>15</v>
      </c>
      <c r="H338" s="4">
        <v>116.68177</v>
      </c>
    </row>
    <row r="339" spans="1:8" s="5" customFormat="1" ht="63" hidden="1" outlineLevel="1" x14ac:dyDescent="0.25">
      <c r="A339" s="4">
        <v>503</v>
      </c>
      <c r="B339" s="6" t="s">
        <v>38</v>
      </c>
      <c r="C339" s="38" t="s">
        <v>3558</v>
      </c>
      <c r="D339" s="6">
        <v>2022</v>
      </c>
      <c r="E339" s="6" t="s">
        <v>21</v>
      </c>
      <c r="F339" s="4">
        <v>75</v>
      </c>
      <c r="G339" s="4">
        <v>15</v>
      </c>
      <c r="H339" s="4">
        <v>105.43219000000001</v>
      </c>
    </row>
    <row r="340" spans="1:8" s="5" customFormat="1" ht="63" hidden="1" outlineLevel="1" x14ac:dyDescent="0.25">
      <c r="A340" s="4">
        <v>536</v>
      </c>
      <c r="B340" s="6" t="s">
        <v>38</v>
      </c>
      <c r="C340" s="38" t="s">
        <v>3559</v>
      </c>
      <c r="D340" s="6">
        <v>2022</v>
      </c>
      <c r="E340" s="6" t="s">
        <v>21</v>
      </c>
      <c r="F340" s="4">
        <v>18</v>
      </c>
      <c r="G340" s="4">
        <v>9</v>
      </c>
      <c r="H340" s="4">
        <v>45.406599999999997</v>
      </c>
    </row>
    <row r="341" spans="1:8" s="5" customFormat="1" ht="94.5" hidden="1" outlineLevel="1" x14ac:dyDescent="0.25">
      <c r="A341" s="4">
        <v>477</v>
      </c>
      <c r="B341" s="6" t="s">
        <v>38</v>
      </c>
      <c r="C341" s="38" t="s">
        <v>3560</v>
      </c>
      <c r="D341" s="6">
        <v>2022</v>
      </c>
      <c r="E341" s="6" t="s">
        <v>21</v>
      </c>
      <c r="F341" s="4">
        <v>236</v>
      </c>
      <c r="G341" s="4">
        <v>30</v>
      </c>
      <c r="H341" s="4">
        <v>301.27055999999999</v>
      </c>
    </row>
    <row r="342" spans="1:8" s="5" customFormat="1" ht="63" hidden="1" outlineLevel="1" x14ac:dyDescent="0.25">
      <c r="A342" s="4">
        <v>563</v>
      </c>
      <c r="B342" s="6" t="s">
        <v>38</v>
      </c>
      <c r="C342" s="38" t="s">
        <v>3561</v>
      </c>
      <c r="D342" s="6">
        <v>2022</v>
      </c>
      <c r="E342" s="6" t="s">
        <v>21</v>
      </c>
      <c r="F342" s="4">
        <v>274</v>
      </c>
      <c r="G342" s="4">
        <v>33</v>
      </c>
      <c r="H342" s="4">
        <v>638.58929999999998</v>
      </c>
    </row>
    <row r="343" spans="1:8" s="5" customFormat="1" ht="94.5" hidden="1" outlineLevel="1" x14ac:dyDescent="0.25">
      <c r="A343" s="4">
        <v>565</v>
      </c>
      <c r="B343" s="6" t="s">
        <v>38</v>
      </c>
      <c r="C343" s="38" t="s">
        <v>3562</v>
      </c>
      <c r="D343" s="6">
        <v>2022</v>
      </c>
      <c r="E343" s="6" t="s">
        <v>21</v>
      </c>
      <c r="F343" s="4">
        <v>392</v>
      </c>
      <c r="G343" s="4">
        <v>15</v>
      </c>
      <c r="H343" s="4">
        <v>664.91034000000002</v>
      </c>
    </row>
    <row r="344" spans="1:8" s="5" customFormat="1" ht="94.5" hidden="1" outlineLevel="1" x14ac:dyDescent="0.25">
      <c r="A344" s="4">
        <v>566</v>
      </c>
      <c r="B344" s="6" t="s">
        <v>38</v>
      </c>
      <c r="C344" s="38" t="s">
        <v>3563</v>
      </c>
      <c r="D344" s="6">
        <v>2022</v>
      </c>
      <c r="E344" s="6" t="s">
        <v>21</v>
      </c>
      <c r="F344" s="4">
        <v>205</v>
      </c>
      <c r="G344" s="4">
        <v>15</v>
      </c>
      <c r="H344" s="4">
        <v>454.65312999999998</v>
      </c>
    </row>
    <row r="345" spans="1:8" s="5" customFormat="1" ht="110.25" hidden="1" outlineLevel="1" x14ac:dyDescent="0.25">
      <c r="A345" s="4">
        <v>462</v>
      </c>
      <c r="B345" s="6" t="s">
        <v>38</v>
      </c>
      <c r="C345" s="38" t="s">
        <v>3564</v>
      </c>
      <c r="D345" s="6">
        <v>2022</v>
      </c>
      <c r="E345" s="6" t="s">
        <v>21</v>
      </c>
      <c r="F345" s="4">
        <v>10</v>
      </c>
      <c r="G345" s="4">
        <v>15</v>
      </c>
      <c r="H345" s="4">
        <v>204.73282</v>
      </c>
    </row>
    <row r="346" spans="1:8" s="5" customFormat="1" ht="63" hidden="1" outlineLevel="1" x14ac:dyDescent="0.25">
      <c r="A346" s="4">
        <v>480</v>
      </c>
      <c r="B346" s="6" t="s">
        <v>38</v>
      </c>
      <c r="C346" s="38" t="s">
        <v>3565</v>
      </c>
      <c r="D346" s="6">
        <v>2022</v>
      </c>
      <c r="E346" s="6" t="s">
        <v>21</v>
      </c>
      <c r="F346" s="4">
        <v>70</v>
      </c>
      <c r="G346" s="4">
        <v>15</v>
      </c>
      <c r="H346" s="4">
        <v>114.75586</v>
      </c>
    </row>
    <row r="347" spans="1:8" s="5" customFormat="1" ht="94.5" hidden="1" outlineLevel="1" x14ac:dyDescent="0.25">
      <c r="A347" s="4">
        <v>463</v>
      </c>
      <c r="B347" s="6" t="s">
        <v>38</v>
      </c>
      <c r="C347" s="38" t="s">
        <v>3566</v>
      </c>
      <c r="D347" s="6">
        <v>2022</v>
      </c>
      <c r="E347" s="6" t="s">
        <v>21</v>
      </c>
      <c r="F347" s="4">
        <v>5</v>
      </c>
      <c r="G347" s="4">
        <v>50</v>
      </c>
      <c r="H347" s="4">
        <v>72.729249999999993</v>
      </c>
    </row>
    <row r="348" spans="1:8" s="5" customFormat="1" ht="63" hidden="1" outlineLevel="1" x14ac:dyDescent="0.25">
      <c r="A348" s="4">
        <v>567</v>
      </c>
      <c r="B348" s="6" t="s">
        <v>38</v>
      </c>
      <c r="C348" s="38" t="s">
        <v>3567</v>
      </c>
      <c r="D348" s="6">
        <v>2022</v>
      </c>
      <c r="E348" s="6" t="s">
        <v>21</v>
      </c>
      <c r="F348" s="4">
        <v>469</v>
      </c>
      <c r="G348" s="4">
        <v>15</v>
      </c>
      <c r="H348" s="4">
        <v>920.31254999999999</v>
      </c>
    </row>
    <row r="349" spans="1:8" s="5" customFormat="1" ht="94.5" hidden="1" outlineLevel="1" x14ac:dyDescent="0.25">
      <c r="A349" s="4">
        <v>465</v>
      </c>
      <c r="B349" s="6" t="s">
        <v>38</v>
      </c>
      <c r="C349" s="38" t="s">
        <v>3568</v>
      </c>
      <c r="D349" s="6">
        <v>2022</v>
      </c>
      <c r="E349" s="6" t="s">
        <v>21</v>
      </c>
      <c r="F349" s="4">
        <v>15</v>
      </c>
      <c r="G349" s="4">
        <v>15</v>
      </c>
      <c r="H349" s="4">
        <v>105.99618</v>
      </c>
    </row>
    <row r="350" spans="1:8" s="5" customFormat="1" ht="78.75" hidden="1" outlineLevel="1" x14ac:dyDescent="0.25">
      <c r="A350" s="4">
        <v>467</v>
      </c>
      <c r="B350" s="6" t="s">
        <v>38</v>
      </c>
      <c r="C350" s="38" t="s">
        <v>3569</v>
      </c>
      <c r="D350" s="6">
        <v>2022</v>
      </c>
      <c r="E350" s="6" t="s">
        <v>21</v>
      </c>
      <c r="F350" s="4">
        <v>10</v>
      </c>
      <c r="G350" s="4">
        <v>15</v>
      </c>
      <c r="H350" s="4">
        <v>147.21777</v>
      </c>
    </row>
    <row r="351" spans="1:8" s="5" customFormat="1" ht="94.5" hidden="1" outlineLevel="1" x14ac:dyDescent="0.25">
      <c r="A351" s="4">
        <v>501</v>
      </c>
      <c r="B351" s="6" t="s">
        <v>38</v>
      </c>
      <c r="C351" s="38" t="s">
        <v>3570</v>
      </c>
      <c r="D351" s="6">
        <v>2022</v>
      </c>
      <c r="E351" s="6" t="s">
        <v>21</v>
      </c>
      <c r="F351" s="4">
        <v>40</v>
      </c>
      <c r="G351" s="4">
        <v>15</v>
      </c>
      <c r="H351" s="4">
        <v>82.810109999999995</v>
      </c>
    </row>
    <row r="352" spans="1:8" s="5" customFormat="1" ht="63" hidden="1" outlineLevel="1" x14ac:dyDescent="0.25">
      <c r="A352" s="4">
        <v>493</v>
      </c>
      <c r="B352" s="6" t="s">
        <v>38</v>
      </c>
      <c r="C352" s="38" t="s">
        <v>3571</v>
      </c>
      <c r="D352" s="6">
        <v>2022</v>
      </c>
      <c r="E352" s="6" t="s">
        <v>21</v>
      </c>
      <c r="F352" s="4">
        <v>55</v>
      </c>
      <c r="G352" s="4">
        <v>7.5</v>
      </c>
      <c r="H352" s="4">
        <v>119.44837</v>
      </c>
    </row>
    <row r="353" spans="1:8" s="5" customFormat="1" ht="94.5" hidden="1" outlineLevel="1" x14ac:dyDescent="0.25">
      <c r="A353" s="4">
        <v>468</v>
      </c>
      <c r="B353" s="6" t="s">
        <v>38</v>
      </c>
      <c r="C353" s="38" t="s">
        <v>3572</v>
      </c>
      <c r="D353" s="6">
        <v>2022</v>
      </c>
      <c r="E353" s="6" t="s">
        <v>21</v>
      </c>
      <c r="F353" s="4">
        <v>21</v>
      </c>
      <c r="G353" s="4">
        <v>13.48</v>
      </c>
      <c r="H353" s="4">
        <v>16.704999999999998</v>
      </c>
    </row>
    <row r="354" spans="1:8" s="5" customFormat="1" ht="110.25" hidden="1" outlineLevel="1" x14ac:dyDescent="0.25">
      <c r="A354" s="4">
        <v>469</v>
      </c>
      <c r="B354" s="6" t="s">
        <v>38</v>
      </c>
      <c r="C354" s="38" t="s">
        <v>3573</v>
      </c>
      <c r="D354" s="6">
        <v>2022</v>
      </c>
      <c r="E354" s="6" t="s">
        <v>21</v>
      </c>
      <c r="F354" s="4">
        <v>35</v>
      </c>
      <c r="G354" s="4">
        <v>18</v>
      </c>
      <c r="H354" s="4">
        <v>20.581</v>
      </c>
    </row>
    <row r="355" spans="1:8" s="5" customFormat="1" ht="94.5" hidden="1" outlineLevel="1" x14ac:dyDescent="0.25">
      <c r="A355" s="4">
        <v>516</v>
      </c>
      <c r="B355" s="6" t="s">
        <v>38</v>
      </c>
      <c r="C355" s="38" t="s">
        <v>3574</v>
      </c>
      <c r="D355" s="6">
        <v>2022</v>
      </c>
      <c r="E355" s="6" t="s">
        <v>21</v>
      </c>
      <c r="F355" s="4">
        <v>85</v>
      </c>
      <c r="G355" s="4">
        <v>15</v>
      </c>
      <c r="H355" s="4">
        <v>131.46483000000001</v>
      </c>
    </row>
    <row r="356" spans="1:8" s="5" customFormat="1" ht="63" hidden="1" outlineLevel="1" x14ac:dyDescent="0.25">
      <c r="A356" s="4">
        <v>496</v>
      </c>
      <c r="B356" s="6" t="s">
        <v>38</v>
      </c>
      <c r="C356" s="38" t="s">
        <v>3575</v>
      </c>
      <c r="D356" s="6">
        <v>2022</v>
      </c>
      <c r="E356" s="6" t="s">
        <v>21</v>
      </c>
      <c r="F356" s="4">
        <v>30</v>
      </c>
      <c r="G356" s="4">
        <v>15</v>
      </c>
      <c r="H356" s="4">
        <v>61.341560000000001</v>
      </c>
    </row>
    <row r="357" spans="1:8" s="5" customFormat="1" ht="63" hidden="1" outlineLevel="1" x14ac:dyDescent="0.25">
      <c r="A357" s="4">
        <v>555</v>
      </c>
      <c r="B357" s="6" t="s">
        <v>38</v>
      </c>
      <c r="C357" s="38" t="s">
        <v>3576</v>
      </c>
      <c r="D357" s="6">
        <v>2022</v>
      </c>
      <c r="E357" s="6" t="s">
        <v>21</v>
      </c>
      <c r="F357" s="4">
        <v>50</v>
      </c>
      <c r="G357" s="4">
        <v>15</v>
      </c>
      <c r="H357" s="4">
        <v>94.268199999999993</v>
      </c>
    </row>
    <row r="358" spans="1:8" s="5" customFormat="1" ht="87.75" hidden="1" customHeight="1" outlineLevel="1" x14ac:dyDescent="0.25">
      <c r="A358" s="4">
        <v>526</v>
      </c>
      <c r="B358" s="6" t="s">
        <v>38</v>
      </c>
      <c r="C358" s="38" t="s">
        <v>3577</v>
      </c>
      <c r="D358" s="6">
        <v>2022</v>
      </c>
      <c r="E358" s="6" t="s">
        <v>21</v>
      </c>
      <c r="F358" s="4">
        <v>30</v>
      </c>
      <c r="G358" s="4">
        <v>15</v>
      </c>
      <c r="H358" s="4">
        <v>81.459059999999994</v>
      </c>
    </row>
    <row r="359" spans="1:8" s="5" customFormat="1" ht="121.5" hidden="1" customHeight="1" outlineLevel="1" x14ac:dyDescent="0.25">
      <c r="A359" s="4">
        <v>470</v>
      </c>
      <c r="B359" s="6" t="s">
        <v>38</v>
      </c>
      <c r="C359" s="38" t="s">
        <v>3578</v>
      </c>
      <c r="D359" s="6">
        <v>2022</v>
      </c>
      <c r="E359" s="6" t="s">
        <v>21</v>
      </c>
      <c r="F359" s="4">
        <v>5</v>
      </c>
      <c r="G359" s="4">
        <v>15</v>
      </c>
      <c r="H359" s="4">
        <v>56.00188</v>
      </c>
    </row>
    <row r="360" spans="1:8" s="5" customFormat="1" ht="63" hidden="1" outlineLevel="1" x14ac:dyDescent="0.25">
      <c r="A360" s="4">
        <v>523</v>
      </c>
      <c r="B360" s="6" t="s">
        <v>38</v>
      </c>
      <c r="C360" s="38" t="s">
        <v>3579</v>
      </c>
      <c r="D360" s="6">
        <v>2022</v>
      </c>
      <c r="E360" s="6" t="s">
        <v>21</v>
      </c>
      <c r="F360" s="4">
        <v>198</v>
      </c>
      <c r="G360" s="4">
        <v>15</v>
      </c>
      <c r="H360" s="4">
        <v>216.77954</v>
      </c>
    </row>
    <row r="361" spans="1:8" s="5" customFormat="1" ht="63" hidden="1" outlineLevel="1" x14ac:dyDescent="0.25">
      <c r="A361" s="4">
        <v>570</v>
      </c>
      <c r="B361" s="6" t="s">
        <v>38</v>
      </c>
      <c r="C361" s="38" t="s">
        <v>3580</v>
      </c>
      <c r="D361" s="6">
        <v>2022</v>
      </c>
      <c r="E361" s="6" t="s">
        <v>21</v>
      </c>
      <c r="F361" s="4">
        <v>646</v>
      </c>
      <c r="G361" s="4">
        <v>75</v>
      </c>
      <c r="H361" s="4">
        <v>1238.25721</v>
      </c>
    </row>
    <row r="362" spans="1:8" s="5" customFormat="1" ht="110.25" hidden="1" outlineLevel="1" x14ac:dyDescent="0.25">
      <c r="A362" s="4">
        <v>571</v>
      </c>
      <c r="B362" s="6" t="s">
        <v>38</v>
      </c>
      <c r="C362" s="38" t="s">
        <v>3581</v>
      </c>
      <c r="D362" s="6">
        <v>2022</v>
      </c>
      <c r="E362" s="6" t="s">
        <v>21</v>
      </c>
      <c r="F362" s="4">
        <v>374</v>
      </c>
      <c r="G362" s="4">
        <v>15</v>
      </c>
      <c r="H362" s="4">
        <v>696.54776000000004</v>
      </c>
    </row>
    <row r="363" spans="1:8" s="5" customFormat="1" ht="94.5" hidden="1" outlineLevel="1" x14ac:dyDescent="0.25">
      <c r="A363" s="4">
        <v>572</v>
      </c>
      <c r="B363" s="6" t="s">
        <v>38</v>
      </c>
      <c r="C363" s="38" t="s">
        <v>3582</v>
      </c>
      <c r="D363" s="6">
        <v>2022</v>
      </c>
      <c r="E363" s="6" t="s">
        <v>21</v>
      </c>
      <c r="F363" s="4">
        <v>104</v>
      </c>
      <c r="G363" s="4">
        <v>15</v>
      </c>
      <c r="H363" s="4">
        <v>297.51693999999998</v>
      </c>
    </row>
    <row r="364" spans="1:8" s="5" customFormat="1" ht="78.75" hidden="1" outlineLevel="1" x14ac:dyDescent="0.25">
      <c r="A364" s="4">
        <v>573</v>
      </c>
      <c r="B364" s="6" t="s">
        <v>38</v>
      </c>
      <c r="C364" s="38" t="s">
        <v>3583</v>
      </c>
      <c r="D364" s="6">
        <v>2022</v>
      </c>
      <c r="E364" s="6" t="s">
        <v>21</v>
      </c>
      <c r="F364" s="4">
        <v>87</v>
      </c>
      <c r="G364" s="4">
        <v>15</v>
      </c>
      <c r="H364" s="4">
        <v>292.1601</v>
      </c>
    </row>
    <row r="365" spans="1:8" s="5" customFormat="1" ht="110.25" hidden="1" outlineLevel="1" x14ac:dyDescent="0.25">
      <c r="A365" s="4">
        <v>574</v>
      </c>
      <c r="B365" s="6" t="s">
        <v>38</v>
      </c>
      <c r="C365" s="38" t="s">
        <v>3584</v>
      </c>
      <c r="D365" s="6">
        <v>2022</v>
      </c>
      <c r="E365" s="6" t="s">
        <v>21</v>
      </c>
      <c r="F365" s="4">
        <v>265</v>
      </c>
      <c r="G365" s="4">
        <v>30</v>
      </c>
      <c r="H365" s="4">
        <v>624.99323000000004</v>
      </c>
    </row>
    <row r="366" spans="1:8" s="5" customFormat="1" ht="110.25" hidden="1" outlineLevel="1" x14ac:dyDescent="0.25">
      <c r="A366" s="4">
        <v>473</v>
      </c>
      <c r="B366" s="6" t="s">
        <v>38</v>
      </c>
      <c r="C366" s="38" t="s">
        <v>3585</v>
      </c>
      <c r="D366" s="6">
        <v>2022</v>
      </c>
      <c r="E366" s="6" t="s">
        <v>21</v>
      </c>
      <c r="F366" s="4">
        <v>26</v>
      </c>
      <c r="G366" s="4">
        <v>15</v>
      </c>
      <c r="H366" s="4">
        <v>142.55452</v>
      </c>
    </row>
    <row r="367" spans="1:8" s="5" customFormat="1" ht="78.75" hidden="1" outlineLevel="1" x14ac:dyDescent="0.25">
      <c r="A367" s="4">
        <v>575</v>
      </c>
      <c r="B367" s="6" t="s">
        <v>38</v>
      </c>
      <c r="C367" s="38" t="s">
        <v>3586</v>
      </c>
      <c r="D367" s="6">
        <v>2022</v>
      </c>
      <c r="E367" s="6" t="s">
        <v>21</v>
      </c>
      <c r="F367" s="4">
        <v>97</v>
      </c>
      <c r="G367" s="4">
        <v>15</v>
      </c>
      <c r="H367" s="4">
        <v>341.56259999999997</v>
      </c>
    </row>
    <row r="368" spans="1:8" s="5" customFormat="1" ht="126" hidden="1" outlineLevel="1" x14ac:dyDescent="0.25">
      <c r="A368" s="4">
        <v>576</v>
      </c>
      <c r="B368" s="6" t="s">
        <v>38</v>
      </c>
      <c r="C368" s="38" t="s">
        <v>3587</v>
      </c>
      <c r="D368" s="6">
        <v>2022</v>
      </c>
      <c r="E368" s="6" t="s">
        <v>21</v>
      </c>
      <c r="F368" s="4">
        <v>30</v>
      </c>
      <c r="G368" s="4">
        <v>15</v>
      </c>
      <c r="H368" s="4">
        <v>159.92272</v>
      </c>
    </row>
    <row r="369" spans="1:8" s="5" customFormat="1" ht="94.5" hidden="1" outlineLevel="1" x14ac:dyDescent="0.25">
      <c r="A369" s="4">
        <v>577</v>
      </c>
      <c r="B369" s="6" t="s">
        <v>38</v>
      </c>
      <c r="C369" s="38" t="s">
        <v>3588</v>
      </c>
      <c r="D369" s="6">
        <v>2022</v>
      </c>
      <c r="E369" s="6" t="s">
        <v>21</v>
      </c>
      <c r="F369" s="4">
        <v>30</v>
      </c>
      <c r="G369" s="4">
        <v>15</v>
      </c>
      <c r="H369" s="4">
        <v>172.40461999999999</v>
      </c>
    </row>
    <row r="370" spans="1:8" s="5" customFormat="1" ht="78.75" hidden="1" outlineLevel="1" x14ac:dyDescent="0.25">
      <c r="A370" s="4">
        <v>487</v>
      </c>
      <c r="B370" s="6" t="s">
        <v>38</v>
      </c>
      <c r="C370" s="38" t="s">
        <v>3589</v>
      </c>
      <c r="D370" s="6">
        <v>2022</v>
      </c>
      <c r="E370" s="6" t="s">
        <v>21</v>
      </c>
      <c r="F370" s="4">
        <v>100</v>
      </c>
      <c r="G370" s="4">
        <v>15</v>
      </c>
      <c r="H370" s="4">
        <v>128.53939</v>
      </c>
    </row>
    <row r="371" spans="1:8" s="5" customFormat="1" ht="94.5" hidden="1" outlineLevel="1" x14ac:dyDescent="0.25">
      <c r="A371" s="4">
        <v>569</v>
      </c>
      <c r="B371" s="6" t="s">
        <v>38</v>
      </c>
      <c r="C371" s="38" t="s">
        <v>3590</v>
      </c>
      <c r="D371" s="6">
        <v>2022</v>
      </c>
      <c r="E371" s="6" t="s">
        <v>21</v>
      </c>
      <c r="F371" s="4">
        <v>55</v>
      </c>
      <c r="G371" s="4">
        <v>7.5</v>
      </c>
      <c r="H371" s="4">
        <v>72.569190000000006</v>
      </c>
    </row>
    <row r="372" spans="1:8" s="5" customFormat="1" ht="63" hidden="1" outlineLevel="1" x14ac:dyDescent="0.25">
      <c r="A372" s="4">
        <v>509</v>
      </c>
      <c r="B372" s="6" t="s">
        <v>38</v>
      </c>
      <c r="C372" s="38" t="s">
        <v>3591</v>
      </c>
      <c r="D372" s="6">
        <v>2022</v>
      </c>
      <c r="E372" s="6" t="s">
        <v>21</v>
      </c>
      <c r="F372" s="4">
        <v>130</v>
      </c>
      <c r="G372" s="4">
        <v>15</v>
      </c>
      <c r="H372" s="4">
        <v>159.82772</v>
      </c>
    </row>
    <row r="373" spans="1:8" s="5" customFormat="1" ht="63" hidden="1" outlineLevel="1" x14ac:dyDescent="0.25">
      <c r="A373" s="4">
        <v>520</v>
      </c>
      <c r="B373" s="6" t="s">
        <v>38</v>
      </c>
      <c r="C373" s="38" t="s">
        <v>3592</v>
      </c>
      <c r="D373" s="6">
        <v>2022</v>
      </c>
      <c r="E373" s="6" t="s">
        <v>21</v>
      </c>
      <c r="F373" s="4">
        <v>30</v>
      </c>
      <c r="G373" s="4">
        <v>6</v>
      </c>
      <c r="H373" s="4">
        <v>51.695880000000002</v>
      </c>
    </row>
    <row r="374" spans="1:8" s="5" customFormat="1" ht="63" hidden="1" outlineLevel="1" x14ac:dyDescent="0.25">
      <c r="A374" s="4">
        <v>500</v>
      </c>
      <c r="B374" s="6" t="s">
        <v>38</v>
      </c>
      <c r="C374" s="38" t="s">
        <v>3593</v>
      </c>
      <c r="D374" s="6">
        <v>2022</v>
      </c>
      <c r="E374" s="6" t="s">
        <v>21</v>
      </c>
      <c r="F374" s="4">
        <v>30</v>
      </c>
      <c r="G374" s="4">
        <v>15</v>
      </c>
      <c r="H374" s="4">
        <v>64.788960000000003</v>
      </c>
    </row>
    <row r="375" spans="1:8" s="5" customFormat="1" ht="94.5" hidden="1" outlineLevel="1" x14ac:dyDescent="0.25">
      <c r="A375" s="4">
        <v>568</v>
      </c>
      <c r="B375" s="6" t="s">
        <v>38</v>
      </c>
      <c r="C375" s="38" t="s">
        <v>3594</v>
      </c>
      <c r="D375" s="6">
        <v>2022</v>
      </c>
      <c r="E375" s="6" t="s">
        <v>21</v>
      </c>
      <c r="F375" s="4">
        <v>75</v>
      </c>
      <c r="G375" s="4">
        <v>15</v>
      </c>
      <c r="H375" s="4">
        <v>120.9772</v>
      </c>
    </row>
    <row r="376" spans="1:8" s="5" customFormat="1" ht="78.75" hidden="1" outlineLevel="1" x14ac:dyDescent="0.25">
      <c r="A376" s="4">
        <v>578</v>
      </c>
      <c r="B376" s="6" t="s">
        <v>38</v>
      </c>
      <c r="C376" s="38" t="s">
        <v>3595</v>
      </c>
      <c r="D376" s="6">
        <v>2022</v>
      </c>
      <c r="E376" s="6" t="s">
        <v>21</v>
      </c>
      <c r="F376" s="4">
        <v>359</v>
      </c>
      <c r="G376" s="4">
        <v>15</v>
      </c>
      <c r="H376" s="4">
        <v>839.52675999999997</v>
      </c>
    </row>
    <row r="377" spans="1:8" s="5" customFormat="1" ht="47.25" hidden="1" outlineLevel="1" x14ac:dyDescent="0.25">
      <c r="A377" s="4">
        <v>580</v>
      </c>
      <c r="B377" s="6" t="s">
        <v>38</v>
      </c>
      <c r="C377" s="38" t="s">
        <v>3596</v>
      </c>
      <c r="D377" s="6">
        <v>2022</v>
      </c>
      <c r="E377" s="6" t="s">
        <v>21</v>
      </c>
      <c r="F377" s="4">
        <v>600</v>
      </c>
      <c r="G377" s="4">
        <v>15</v>
      </c>
      <c r="H377" s="4">
        <v>1122.0989</v>
      </c>
    </row>
    <row r="378" spans="1:8" s="5" customFormat="1" ht="94.5" hidden="1" outlineLevel="1" x14ac:dyDescent="0.25">
      <c r="A378" s="4">
        <v>581</v>
      </c>
      <c r="B378" s="6" t="s">
        <v>38</v>
      </c>
      <c r="C378" s="38" t="s">
        <v>3597</v>
      </c>
      <c r="D378" s="6">
        <v>2022</v>
      </c>
      <c r="E378" s="6" t="s">
        <v>21</v>
      </c>
      <c r="F378" s="4">
        <v>60</v>
      </c>
      <c r="G378" s="4">
        <v>15</v>
      </c>
      <c r="H378" s="4">
        <v>158.33752999999999</v>
      </c>
    </row>
    <row r="379" spans="1:8" s="5" customFormat="1" ht="78.75" hidden="1" outlineLevel="1" x14ac:dyDescent="0.25">
      <c r="A379" s="4">
        <v>582</v>
      </c>
      <c r="B379" s="6" t="s">
        <v>38</v>
      </c>
      <c r="C379" s="38" t="s">
        <v>3598</v>
      </c>
      <c r="D379" s="6">
        <v>2022</v>
      </c>
      <c r="E379" s="6" t="s">
        <v>21</v>
      </c>
      <c r="F379" s="4">
        <v>260</v>
      </c>
      <c r="G379" s="4">
        <v>15</v>
      </c>
      <c r="H379" s="4">
        <v>709.18024000000003</v>
      </c>
    </row>
    <row r="380" spans="1:8" s="5" customFormat="1" ht="47.25" hidden="1" outlineLevel="1" x14ac:dyDescent="0.25">
      <c r="A380" s="4">
        <v>514</v>
      </c>
      <c r="B380" s="6" t="s">
        <v>38</v>
      </c>
      <c r="C380" s="38" t="s">
        <v>3599</v>
      </c>
      <c r="D380" s="6">
        <v>2022</v>
      </c>
      <c r="E380" s="6" t="s">
        <v>21</v>
      </c>
      <c r="F380" s="4">
        <v>170</v>
      </c>
      <c r="G380" s="4">
        <v>15</v>
      </c>
      <c r="H380" s="4">
        <v>244.80686</v>
      </c>
    </row>
    <row r="381" spans="1:8" s="5" customFormat="1" ht="78.75" hidden="1" outlineLevel="1" x14ac:dyDescent="0.25">
      <c r="A381" s="4">
        <v>553</v>
      </c>
      <c r="B381" s="6" t="s">
        <v>38</v>
      </c>
      <c r="C381" s="38" t="s">
        <v>3600</v>
      </c>
      <c r="D381" s="6">
        <v>2022</v>
      </c>
      <c r="E381" s="6" t="s">
        <v>21</v>
      </c>
      <c r="F381" s="4">
        <v>30</v>
      </c>
      <c r="G381" s="4">
        <v>15</v>
      </c>
      <c r="H381" s="4">
        <v>67.529740000000004</v>
      </c>
    </row>
    <row r="382" spans="1:8" s="5" customFormat="1" ht="94.5" hidden="1" outlineLevel="1" x14ac:dyDescent="0.25">
      <c r="A382" s="4">
        <v>518</v>
      </c>
      <c r="B382" s="6" t="s">
        <v>38</v>
      </c>
      <c r="C382" s="38" t="s">
        <v>3601</v>
      </c>
      <c r="D382" s="6">
        <v>2022</v>
      </c>
      <c r="E382" s="6" t="s">
        <v>21</v>
      </c>
      <c r="F382" s="4">
        <v>40</v>
      </c>
      <c r="G382" s="4">
        <v>15</v>
      </c>
      <c r="H382" s="4">
        <v>82.723849999999999</v>
      </c>
    </row>
    <row r="383" spans="1:8" s="5" customFormat="1" ht="78.75" hidden="1" outlineLevel="1" x14ac:dyDescent="0.25">
      <c r="A383" s="4">
        <v>530</v>
      </c>
      <c r="B383" s="6" t="s">
        <v>38</v>
      </c>
      <c r="C383" s="38" t="s">
        <v>3602</v>
      </c>
      <c r="D383" s="6">
        <v>2022</v>
      </c>
      <c r="E383" s="6" t="s">
        <v>21</v>
      </c>
      <c r="F383" s="4">
        <v>30</v>
      </c>
      <c r="G383" s="4">
        <v>15</v>
      </c>
      <c r="H383" s="4">
        <v>63.001350000000002</v>
      </c>
    </row>
    <row r="384" spans="1:8" s="5" customFormat="1" ht="78.75" hidden="1" outlineLevel="1" x14ac:dyDescent="0.25">
      <c r="A384" s="4">
        <v>508</v>
      </c>
      <c r="B384" s="6" t="s">
        <v>38</v>
      </c>
      <c r="C384" s="38" t="s">
        <v>3603</v>
      </c>
      <c r="D384" s="6">
        <v>2022</v>
      </c>
      <c r="E384" s="6" t="s">
        <v>21</v>
      </c>
      <c r="F384" s="4">
        <v>45</v>
      </c>
      <c r="G384" s="4">
        <v>15</v>
      </c>
      <c r="H384" s="4">
        <v>85.221180000000004</v>
      </c>
    </row>
    <row r="385" spans="1:8" s="5" customFormat="1" ht="63" hidden="1" outlineLevel="1" x14ac:dyDescent="0.25">
      <c r="A385" s="4">
        <v>557</v>
      </c>
      <c r="B385" s="6" t="s">
        <v>38</v>
      </c>
      <c r="C385" s="38" t="s">
        <v>3604</v>
      </c>
      <c r="D385" s="6">
        <v>2022</v>
      </c>
      <c r="E385" s="6" t="s">
        <v>21</v>
      </c>
      <c r="F385" s="4">
        <v>45</v>
      </c>
      <c r="G385" s="4">
        <v>15</v>
      </c>
      <c r="H385" s="4">
        <v>85.530479999999997</v>
      </c>
    </row>
    <row r="386" spans="1:8" s="5" customFormat="1" ht="63" hidden="1" outlineLevel="1" x14ac:dyDescent="0.25">
      <c r="A386" s="4">
        <v>502</v>
      </c>
      <c r="B386" s="6" t="s">
        <v>38</v>
      </c>
      <c r="C386" s="38" t="s">
        <v>3605</v>
      </c>
      <c r="D386" s="6">
        <v>2022</v>
      </c>
      <c r="E386" s="6" t="s">
        <v>21</v>
      </c>
      <c r="F386" s="4">
        <v>45</v>
      </c>
      <c r="G386" s="4">
        <v>15</v>
      </c>
      <c r="H386" s="4">
        <v>75.01858</v>
      </c>
    </row>
    <row r="387" spans="1:8" s="5" customFormat="1" ht="63" hidden="1" outlineLevel="1" x14ac:dyDescent="0.25">
      <c r="A387" s="4">
        <v>532</v>
      </c>
      <c r="B387" s="6" t="s">
        <v>38</v>
      </c>
      <c r="C387" s="38" t="s">
        <v>3606</v>
      </c>
      <c r="D387" s="6">
        <v>2022</v>
      </c>
      <c r="E387" s="6" t="s">
        <v>21</v>
      </c>
      <c r="F387" s="4">
        <v>170</v>
      </c>
      <c r="G387" s="4">
        <v>15</v>
      </c>
      <c r="H387" s="4">
        <v>234.99970999999999</v>
      </c>
    </row>
    <row r="388" spans="1:8" s="5" customFormat="1" ht="78.75" hidden="1" outlineLevel="1" x14ac:dyDescent="0.25">
      <c r="A388" s="4">
        <v>583</v>
      </c>
      <c r="B388" s="6" t="s">
        <v>38</v>
      </c>
      <c r="C388" s="38" t="s">
        <v>3607</v>
      </c>
      <c r="D388" s="6">
        <v>2022</v>
      </c>
      <c r="E388" s="6" t="s">
        <v>21</v>
      </c>
      <c r="F388" s="4">
        <v>20</v>
      </c>
      <c r="G388" s="4">
        <v>15</v>
      </c>
      <c r="H388" s="4">
        <v>260.81921</v>
      </c>
    </row>
    <row r="389" spans="1:8" s="5" customFormat="1" ht="78.75" hidden="1" outlineLevel="1" x14ac:dyDescent="0.25">
      <c r="A389" s="4">
        <v>584</v>
      </c>
      <c r="B389" s="6" t="s">
        <v>38</v>
      </c>
      <c r="C389" s="38" t="s">
        <v>3608</v>
      </c>
      <c r="D389" s="6">
        <v>2022</v>
      </c>
      <c r="E389" s="6" t="s">
        <v>21</v>
      </c>
      <c r="F389" s="4">
        <v>25</v>
      </c>
      <c r="G389" s="4">
        <v>15</v>
      </c>
      <c r="H389" s="4">
        <v>199.46014</v>
      </c>
    </row>
    <row r="390" spans="1:8" s="5" customFormat="1" ht="110.25" hidden="1" outlineLevel="1" x14ac:dyDescent="0.25">
      <c r="A390" s="4">
        <v>585</v>
      </c>
      <c r="B390" s="6" t="s">
        <v>38</v>
      </c>
      <c r="C390" s="38" t="s">
        <v>3609</v>
      </c>
      <c r="D390" s="6">
        <v>2022</v>
      </c>
      <c r="E390" s="6" t="s">
        <v>21</v>
      </c>
      <c r="F390" s="4">
        <v>66</v>
      </c>
      <c r="G390" s="4">
        <v>15</v>
      </c>
      <c r="H390" s="4">
        <v>265.08226999999999</v>
      </c>
    </row>
    <row r="391" spans="1:8" s="5" customFormat="1" ht="78.75" hidden="1" outlineLevel="1" x14ac:dyDescent="0.25">
      <c r="A391" s="4">
        <v>586</v>
      </c>
      <c r="B391" s="6" t="s">
        <v>38</v>
      </c>
      <c r="C391" s="38" t="s">
        <v>3610</v>
      </c>
      <c r="D391" s="6">
        <v>2022</v>
      </c>
      <c r="E391" s="6" t="s">
        <v>21</v>
      </c>
      <c r="F391" s="4">
        <v>249</v>
      </c>
      <c r="G391" s="4">
        <v>15</v>
      </c>
      <c r="H391" s="4">
        <v>793.77412000000004</v>
      </c>
    </row>
    <row r="392" spans="1:8" s="5" customFormat="1" ht="94.5" hidden="1" outlineLevel="1" x14ac:dyDescent="0.25">
      <c r="A392" s="4">
        <v>474</v>
      </c>
      <c r="B392" s="6" t="s">
        <v>38</v>
      </c>
      <c r="C392" s="38" t="s">
        <v>3611</v>
      </c>
      <c r="D392" s="6">
        <v>2022</v>
      </c>
      <c r="E392" s="6" t="s">
        <v>21</v>
      </c>
      <c r="F392" s="4">
        <v>11</v>
      </c>
      <c r="G392" s="4">
        <v>15</v>
      </c>
      <c r="H392" s="4">
        <v>102.60263999999999</v>
      </c>
    </row>
    <row r="393" spans="1:8" s="5" customFormat="1" ht="126" hidden="1" outlineLevel="1" x14ac:dyDescent="0.25">
      <c r="A393" s="4">
        <v>5548</v>
      </c>
      <c r="B393" s="6" t="s">
        <v>38</v>
      </c>
      <c r="C393" s="38" t="s">
        <v>3612</v>
      </c>
      <c r="D393" s="6">
        <v>2022</v>
      </c>
      <c r="E393" s="6" t="s">
        <v>21</v>
      </c>
      <c r="F393" s="4">
        <v>64</v>
      </c>
      <c r="G393" s="4">
        <v>1</v>
      </c>
      <c r="H393" s="4">
        <v>111.723</v>
      </c>
    </row>
    <row r="394" spans="1:8" s="5" customFormat="1" ht="157.5" hidden="1" outlineLevel="1" x14ac:dyDescent="0.25">
      <c r="A394" s="4">
        <v>5579</v>
      </c>
      <c r="B394" s="6" t="s">
        <v>38</v>
      </c>
      <c r="C394" s="38" t="s">
        <v>3613</v>
      </c>
      <c r="D394" s="6">
        <v>2022</v>
      </c>
      <c r="E394" s="6" t="s">
        <v>21</v>
      </c>
      <c r="F394" s="4">
        <v>195</v>
      </c>
      <c r="G394" s="4">
        <v>50</v>
      </c>
      <c r="H394" s="4">
        <v>195.762</v>
      </c>
    </row>
    <row r="395" spans="1:8" s="5" customFormat="1" ht="126" hidden="1" outlineLevel="1" x14ac:dyDescent="0.25">
      <c r="A395" s="4">
        <v>5576</v>
      </c>
      <c r="B395" s="6" t="s">
        <v>38</v>
      </c>
      <c r="C395" s="38" t="s">
        <v>3614</v>
      </c>
      <c r="D395" s="6">
        <v>2022</v>
      </c>
      <c r="E395" s="6" t="s">
        <v>21</v>
      </c>
      <c r="F395" s="4">
        <v>110</v>
      </c>
      <c r="G395" s="4">
        <v>35</v>
      </c>
      <c r="H395" s="4">
        <v>137.03700000000001</v>
      </c>
    </row>
    <row r="396" spans="1:8" s="5" customFormat="1" ht="110.25" hidden="1" outlineLevel="1" x14ac:dyDescent="0.25">
      <c r="A396" s="4">
        <v>5603</v>
      </c>
      <c r="B396" s="6" t="s">
        <v>38</v>
      </c>
      <c r="C396" s="38" t="s">
        <v>3615</v>
      </c>
      <c r="D396" s="6">
        <v>2022</v>
      </c>
      <c r="E396" s="6" t="s">
        <v>21</v>
      </c>
      <c r="F396" s="4">
        <v>40</v>
      </c>
      <c r="G396" s="4">
        <v>15</v>
      </c>
      <c r="H396" s="4">
        <v>119.241</v>
      </c>
    </row>
    <row r="397" spans="1:8" s="5" customFormat="1" ht="126" hidden="1" outlineLevel="1" x14ac:dyDescent="0.25">
      <c r="A397" s="4">
        <v>5435</v>
      </c>
      <c r="B397" s="6" t="s">
        <v>38</v>
      </c>
      <c r="C397" s="38" t="s">
        <v>3616</v>
      </c>
      <c r="D397" s="6">
        <v>2022</v>
      </c>
      <c r="E397" s="6" t="s">
        <v>21</v>
      </c>
      <c r="F397" s="4">
        <v>37</v>
      </c>
      <c r="G397" s="4">
        <v>15</v>
      </c>
      <c r="H397" s="4">
        <v>185.31100000000001</v>
      </c>
    </row>
    <row r="398" spans="1:8" s="5" customFormat="1" ht="110.25" hidden="1" outlineLevel="1" x14ac:dyDescent="0.25">
      <c r="A398" s="4">
        <v>5419</v>
      </c>
      <c r="B398" s="6" t="s">
        <v>38</v>
      </c>
      <c r="C398" s="38" t="s">
        <v>3617</v>
      </c>
      <c r="D398" s="6">
        <v>2022</v>
      </c>
      <c r="E398" s="6" t="s">
        <v>21</v>
      </c>
      <c r="F398" s="4">
        <v>96</v>
      </c>
      <c r="G398" s="4">
        <v>100</v>
      </c>
      <c r="H398" s="4">
        <v>225.70699999999999</v>
      </c>
    </row>
    <row r="399" spans="1:8" s="5" customFormat="1" ht="110.25" hidden="1" outlineLevel="1" x14ac:dyDescent="0.25">
      <c r="A399" s="4">
        <v>5424</v>
      </c>
      <c r="B399" s="6" t="s">
        <v>38</v>
      </c>
      <c r="C399" s="38" t="s">
        <v>3618</v>
      </c>
      <c r="D399" s="6">
        <v>2022</v>
      </c>
      <c r="E399" s="6" t="s">
        <v>21</v>
      </c>
      <c r="F399" s="4">
        <v>60</v>
      </c>
      <c r="G399" s="4">
        <v>15</v>
      </c>
      <c r="H399" s="4">
        <v>132.79900000000001</v>
      </c>
    </row>
    <row r="400" spans="1:8" s="5" customFormat="1" ht="126" hidden="1" outlineLevel="1" x14ac:dyDescent="0.25">
      <c r="A400" s="4">
        <v>5449</v>
      </c>
      <c r="B400" s="6" t="s">
        <v>38</v>
      </c>
      <c r="C400" s="38" t="s">
        <v>3619</v>
      </c>
      <c r="D400" s="6">
        <v>2022</v>
      </c>
      <c r="E400" s="6" t="s">
        <v>21</v>
      </c>
      <c r="F400" s="4">
        <v>30</v>
      </c>
      <c r="G400" s="4">
        <v>15</v>
      </c>
      <c r="H400" s="4">
        <v>103.508</v>
      </c>
    </row>
    <row r="401" spans="1:8" s="5" customFormat="1" ht="126" hidden="1" outlineLevel="1" x14ac:dyDescent="0.25">
      <c r="A401" s="4">
        <v>5537</v>
      </c>
      <c r="B401" s="6" t="s">
        <v>38</v>
      </c>
      <c r="C401" s="38" t="s">
        <v>3620</v>
      </c>
      <c r="D401" s="6">
        <v>2022</v>
      </c>
      <c r="E401" s="6" t="s">
        <v>21</v>
      </c>
      <c r="F401" s="4">
        <v>100</v>
      </c>
      <c r="G401" s="4">
        <v>15</v>
      </c>
      <c r="H401" s="4">
        <v>195.78399999999999</v>
      </c>
    </row>
    <row r="402" spans="1:8" s="5" customFormat="1" ht="110.25" hidden="1" outlineLevel="1" x14ac:dyDescent="0.25">
      <c r="A402" s="4">
        <v>5536</v>
      </c>
      <c r="B402" s="6" t="s">
        <v>38</v>
      </c>
      <c r="C402" s="38" t="s">
        <v>3621</v>
      </c>
      <c r="D402" s="6">
        <v>2022</v>
      </c>
      <c r="E402" s="6" t="s">
        <v>21</v>
      </c>
      <c r="F402" s="4">
        <v>100</v>
      </c>
      <c r="G402" s="4">
        <v>15</v>
      </c>
      <c r="H402" s="4">
        <v>172.11199999999999</v>
      </c>
    </row>
    <row r="403" spans="1:8" s="5" customFormat="1" ht="157.5" hidden="1" outlineLevel="1" x14ac:dyDescent="0.25">
      <c r="A403" s="4">
        <v>5691</v>
      </c>
      <c r="B403" s="6" t="s">
        <v>38</v>
      </c>
      <c r="C403" s="38" t="s">
        <v>3622</v>
      </c>
      <c r="D403" s="6">
        <v>2022</v>
      </c>
      <c r="E403" s="6" t="s">
        <v>21</v>
      </c>
      <c r="F403" s="4">
        <v>50</v>
      </c>
      <c r="G403" s="4">
        <v>15</v>
      </c>
      <c r="H403" s="4">
        <v>90.712000000000003</v>
      </c>
    </row>
    <row r="404" spans="1:8" s="5" customFormat="1" ht="141.75" hidden="1" outlineLevel="1" x14ac:dyDescent="0.25">
      <c r="A404" s="4">
        <v>5728</v>
      </c>
      <c r="B404" s="6" t="s">
        <v>38</v>
      </c>
      <c r="C404" s="38" t="s">
        <v>3623</v>
      </c>
      <c r="D404" s="6">
        <v>2022</v>
      </c>
      <c r="E404" s="6" t="s">
        <v>21</v>
      </c>
      <c r="F404" s="4">
        <v>70</v>
      </c>
      <c r="G404" s="4">
        <v>50</v>
      </c>
      <c r="H404" s="4">
        <v>150.108</v>
      </c>
    </row>
    <row r="405" spans="1:8" s="5" customFormat="1" ht="157.5" hidden="1" outlineLevel="1" x14ac:dyDescent="0.25">
      <c r="A405" s="4">
        <v>5690</v>
      </c>
      <c r="B405" s="6" t="s">
        <v>38</v>
      </c>
      <c r="C405" s="38" t="s">
        <v>3624</v>
      </c>
      <c r="D405" s="6">
        <v>2022</v>
      </c>
      <c r="E405" s="6" t="s">
        <v>21</v>
      </c>
      <c r="F405" s="4">
        <v>15</v>
      </c>
      <c r="G405" s="4">
        <v>10</v>
      </c>
      <c r="H405" s="4">
        <v>57.246000000000002</v>
      </c>
    </row>
    <row r="406" spans="1:8" s="5" customFormat="1" ht="126" hidden="1" outlineLevel="1" x14ac:dyDescent="0.25">
      <c r="A406" s="4">
        <v>5623</v>
      </c>
      <c r="B406" s="6" t="s">
        <v>38</v>
      </c>
      <c r="C406" s="38" t="s">
        <v>3625</v>
      </c>
      <c r="D406" s="6">
        <v>2022</v>
      </c>
      <c r="E406" s="6" t="s">
        <v>21</v>
      </c>
      <c r="F406" s="4">
        <v>170</v>
      </c>
      <c r="G406" s="4">
        <v>15</v>
      </c>
      <c r="H406" s="4">
        <v>191.86600000000001</v>
      </c>
    </row>
    <row r="407" spans="1:8" s="5" customFormat="1" ht="110.25" hidden="1" outlineLevel="1" x14ac:dyDescent="0.25">
      <c r="A407" s="4">
        <v>5501</v>
      </c>
      <c r="B407" s="6" t="s">
        <v>38</v>
      </c>
      <c r="C407" s="38" t="s">
        <v>3626</v>
      </c>
      <c r="D407" s="6">
        <v>2022</v>
      </c>
      <c r="E407" s="6" t="s">
        <v>21</v>
      </c>
      <c r="F407" s="4">
        <v>225</v>
      </c>
      <c r="G407" s="4">
        <v>15</v>
      </c>
      <c r="H407" s="4">
        <v>324.67700000000002</v>
      </c>
    </row>
    <row r="408" spans="1:8" s="5" customFormat="1" ht="110.25" hidden="1" outlineLevel="1" x14ac:dyDescent="0.25">
      <c r="A408" s="4">
        <v>5522</v>
      </c>
      <c r="B408" s="6" t="s">
        <v>38</v>
      </c>
      <c r="C408" s="38" t="s">
        <v>3627</v>
      </c>
      <c r="D408" s="6">
        <v>2022</v>
      </c>
      <c r="E408" s="6" t="s">
        <v>21</v>
      </c>
      <c r="F408" s="4">
        <v>190</v>
      </c>
      <c r="G408" s="4">
        <v>15</v>
      </c>
      <c r="H408" s="4">
        <v>264.32900000000001</v>
      </c>
    </row>
    <row r="409" spans="1:8" s="5" customFormat="1" ht="110.25" hidden="1" outlineLevel="1" x14ac:dyDescent="0.25">
      <c r="A409" s="4">
        <v>5549</v>
      </c>
      <c r="B409" s="6" t="s">
        <v>38</v>
      </c>
      <c r="C409" s="38" t="s">
        <v>3628</v>
      </c>
      <c r="D409" s="6">
        <v>2022</v>
      </c>
      <c r="E409" s="6" t="s">
        <v>21</v>
      </c>
      <c r="F409" s="4">
        <v>30</v>
      </c>
      <c r="G409" s="4">
        <v>15</v>
      </c>
      <c r="H409" s="4">
        <v>111.294</v>
      </c>
    </row>
    <row r="410" spans="1:8" s="5" customFormat="1" ht="110.25" hidden="1" outlineLevel="1" x14ac:dyDescent="0.25">
      <c r="A410" s="4">
        <v>5693</v>
      </c>
      <c r="B410" s="6" t="s">
        <v>38</v>
      </c>
      <c r="C410" s="38" t="s">
        <v>3629</v>
      </c>
      <c r="D410" s="6">
        <v>2022</v>
      </c>
      <c r="E410" s="6" t="s">
        <v>21</v>
      </c>
      <c r="F410" s="4">
        <v>30</v>
      </c>
      <c r="G410" s="4">
        <v>15</v>
      </c>
      <c r="H410" s="4">
        <v>98.515000000000001</v>
      </c>
    </row>
    <row r="411" spans="1:8" s="5" customFormat="1" ht="126" hidden="1" outlineLevel="1" x14ac:dyDescent="0.25">
      <c r="A411" s="4">
        <v>5643</v>
      </c>
      <c r="B411" s="6" t="s">
        <v>38</v>
      </c>
      <c r="C411" s="38" t="s">
        <v>3630</v>
      </c>
      <c r="D411" s="6">
        <v>2022</v>
      </c>
      <c r="E411" s="6" t="s">
        <v>21</v>
      </c>
      <c r="F411" s="4">
        <v>40</v>
      </c>
      <c r="G411" s="4">
        <v>15</v>
      </c>
      <c r="H411" s="4">
        <v>121.82899999999999</v>
      </c>
    </row>
    <row r="412" spans="1:8" s="5" customFormat="1" ht="110.25" hidden="1" outlineLevel="1" x14ac:dyDescent="0.25">
      <c r="A412" s="4">
        <v>5644</v>
      </c>
      <c r="B412" s="6" t="s">
        <v>38</v>
      </c>
      <c r="C412" s="38" t="s">
        <v>3631</v>
      </c>
      <c r="D412" s="6">
        <v>2022</v>
      </c>
      <c r="E412" s="6" t="s">
        <v>21</v>
      </c>
      <c r="F412" s="4">
        <v>150</v>
      </c>
      <c r="G412" s="4">
        <v>15</v>
      </c>
      <c r="H412" s="4">
        <v>210.94900000000001</v>
      </c>
    </row>
    <row r="413" spans="1:8" s="5" customFormat="1" ht="126" hidden="1" outlineLevel="1" x14ac:dyDescent="0.25">
      <c r="A413" s="4">
        <v>5642</v>
      </c>
      <c r="B413" s="6" t="s">
        <v>38</v>
      </c>
      <c r="C413" s="38" t="s">
        <v>3632</v>
      </c>
      <c r="D413" s="6">
        <v>2022</v>
      </c>
      <c r="E413" s="6" t="s">
        <v>21</v>
      </c>
      <c r="F413" s="4">
        <v>230</v>
      </c>
      <c r="G413" s="4">
        <v>13</v>
      </c>
      <c r="H413" s="4">
        <v>258.14699999999999</v>
      </c>
    </row>
    <row r="414" spans="1:8" s="5" customFormat="1" ht="126" hidden="1" outlineLevel="1" x14ac:dyDescent="0.25">
      <c r="A414" s="4">
        <v>5422</v>
      </c>
      <c r="B414" s="6" t="s">
        <v>38</v>
      </c>
      <c r="C414" s="38" t="s">
        <v>3633</v>
      </c>
      <c r="D414" s="6">
        <v>2022</v>
      </c>
      <c r="E414" s="6" t="s">
        <v>21</v>
      </c>
      <c r="F414" s="4">
        <v>7</v>
      </c>
      <c r="G414" s="4">
        <v>25</v>
      </c>
      <c r="H414" s="4">
        <v>87.927999999999997</v>
      </c>
    </row>
    <row r="415" spans="1:8" s="5" customFormat="1" ht="110.25" hidden="1" outlineLevel="1" x14ac:dyDescent="0.25">
      <c r="A415" s="4">
        <v>5423</v>
      </c>
      <c r="B415" s="6" t="s">
        <v>38</v>
      </c>
      <c r="C415" s="38" t="s">
        <v>3634</v>
      </c>
      <c r="D415" s="6">
        <v>2022</v>
      </c>
      <c r="E415" s="6" t="s">
        <v>21</v>
      </c>
      <c r="F415" s="4">
        <v>95</v>
      </c>
      <c r="G415" s="4">
        <v>15</v>
      </c>
      <c r="H415" s="4">
        <v>193.19399999999999</v>
      </c>
    </row>
    <row r="416" spans="1:8" s="5" customFormat="1" ht="126" hidden="1" outlineLevel="1" x14ac:dyDescent="0.25">
      <c r="A416" s="4">
        <v>5478</v>
      </c>
      <c r="B416" s="6" t="s">
        <v>38</v>
      </c>
      <c r="C416" s="38" t="s">
        <v>3635</v>
      </c>
      <c r="D416" s="6">
        <v>2022</v>
      </c>
      <c r="E416" s="6" t="s">
        <v>21</v>
      </c>
      <c r="F416" s="4">
        <v>200</v>
      </c>
      <c r="G416" s="4">
        <v>15</v>
      </c>
      <c r="H416" s="4">
        <v>243.83</v>
      </c>
    </row>
    <row r="417" spans="1:8" s="5" customFormat="1" ht="110.25" hidden="1" outlineLevel="1" x14ac:dyDescent="0.25">
      <c r="A417" s="4">
        <v>5500</v>
      </c>
      <c r="B417" s="6" t="s">
        <v>38</v>
      </c>
      <c r="C417" s="38" t="s">
        <v>3636</v>
      </c>
      <c r="D417" s="6">
        <v>2022</v>
      </c>
      <c r="E417" s="6" t="s">
        <v>21</v>
      </c>
      <c r="F417" s="4">
        <v>50</v>
      </c>
      <c r="G417" s="4">
        <v>15</v>
      </c>
      <c r="H417" s="4">
        <v>145.93899999999999</v>
      </c>
    </row>
    <row r="418" spans="1:8" s="5" customFormat="1" ht="110.25" hidden="1" outlineLevel="1" x14ac:dyDescent="0.25">
      <c r="A418" s="4">
        <v>5521</v>
      </c>
      <c r="B418" s="6" t="s">
        <v>38</v>
      </c>
      <c r="C418" s="38" t="s">
        <v>3637</v>
      </c>
      <c r="D418" s="6">
        <v>2022</v>
      </c>
      <c r="E418" s="6" t="s">
        <v>21</v>
      </c>
      <c r="F418" s="4">
        <v>210</v>
      </c>
      <c r="G418" s="4">
        <v>15</v>
      </c>
      <c r="H418" s="4">
        <v>353.09800000000001</v>
      </c>
    </row>
    <row r="419" spans="1:8" s="5" customFormat="1" ht="110.25" hidden="1" outlineLevel="1" x14ac:dyDescent="0.25">
      <c r="A419" s="4">
        <v>5523</v>
      </c>
      <c r="B419" s="6" t="s">
        <v>38</v>
      </c>
      <c r="C419" s="38" t="s">
        <v>3638</v>
      </c>
      <c r="D419" s="6">
        <v>2022</v>
      </c>
      <c r="E419" s="6" t="s">
        <v>21</v>
      </c>
      <c r="F419" s="4">
        <v>30</v>
      </c>
      <c r="G419" s="4">
        <v>15</v>
      </c>
      <c r="H419" s="4">
        <v>152.322</v>
      </c>
    </row>
    <row r="420" spans="1:8" s="5" customFormat="1" ht="110.25" hidden="1" outlineLevel="1" x14ac:dyDescent="0.25">
      <c r="A420" s="4">
        <v>5535</v>
      </c>
      <c r="B420" s="6" t="s">
        <v>38</v>
      </c>
      <c r="C420" s="38" t="s">
        <v>3639</v>
      </c>
      <c r="D420" s="6">
        <v>2022</v>
      </c>
      <c r="E420" s="6" t="s">
        <v>21</v>
      </c>
      <c r="F420" s="4">
        <v>30</v>
      </c>
      <c r="G420" s="4">
        <v>15</v>
      </c>
      <c r="H420" s="4">
        <v>140.47300000000001</v>
      </c>
    </row>
    <row r="421" spans="1:8" s="5" customFormat="1" ht="126" hidden="1" outlineLevel="1" x14ac:dyDescent="0.25">
      <c r="A421" s="4">
        <v>5578</v>
      </c>
      <c r="B421" s="6" t="s">
        <v>38</v>
      </c>
      <c r="C421" s="38" t="s">
        <v>3640</v>
      </c>
      <c r="D421" s="6">
        <v>2022</v>
      </c>
      <c r="E421" s="6" t="s">
        <v>21</v>
      </c>
      <c r="F421" s="4">
        <v>140</v>
      </c>
      <c r="G421" s="4">
        <v>24</v>
      </c>
      <c r="H421" s="4">
        <v>219.20099999999999</v>
      </c>
    </row>
    <row r="422" spans="1:8" s="5" customFormat="1" ht="110.25" hidden="1" outlineLevel="1" x14ac:dyDescent="0.25">
      <c r="A422" s="4">
        <v>5604</v>
      </c>
      <c r="B422" s="6" t="s">
        <v>38</v>
      </c>
      <c r="C422" s="38" t="s">
        <v>3641</v>
      </c>
      <c r="D422" s="6">
        <v>2022</v>
      </c>
      <c r="E422" s="6" t="s">
        <v>21</v>
      </c>
      <c r="F422" s="4">
        <v>60</v>
      </c>
      <c r="G422" s="4">
        <v>15</v>
      </c>
      <c r="H422" s="4">
        <v>109.236</v>
      </c>
    </row>
    <row r="423" spans="1:8" s="5" customFormat="1" ht="110.25" hidden="1" outlineLevel="1" x14ac:dyDescent="0.25">
      <c r="A423" s="4">
        <v>5605</v>
      </c>
      <c r="B423" s="6" t="s">
        <v>38</v>
      </c>
      <c r="C423" s="38" t="s">
        <v>3642</v>
      </c>
      <c r="D423" s="6">
        <v>2022</v>
      </c>
      <c r="E423" s="6" t="s">
        <v>21</v>
      </c>
      <c r="F423" s="4">
        <v>30</v>
      </c>
      <c r="G423" s="4">
        <v>15</v>
      </c>
      <c r="H423" s="4">
        <v>85.41</v>
      </c>
    </row>
    <row r="424" spans="1:8" s="5" customFormat="1" ht="126" hidden="1" outlineLevel="1" x14ac:dyDescent="0.25">
      <c r="A424" s="4">
        <v>5606</v>
      </c>
      <c r="B424" s="6" t="s">
        <v>38</v>
      </c>
      <c r="C424" s="38" t="s">
        <v>3643</v>
      </c>
      <c r="D424" s="6">
        <v>2022</v>
      </c>
      <c r="E424" s="6" t="s">
        <v>21</v>
      </c>
      <c r="F424" s="4">
        <v>420</v>
      </c>
      <c r="G424" s="4">
        <v>25</v>
      </c>
      <c r="H424" s="4">
        <v>350.55</v>
      </c>
    </row>
    <row r="425" spans="1:8" s="5" customFormat="1" ht="110.25" hidden="1" outlineLevel="1" x14ac:dyDescent="0.25">
      <c r="A425" s="4">
        <v>5687</v>
      </c>
      <c r="B425" s="6" t="s">
        <v>38</v>
      </c>
      <c r="C425" s="38" t="s">
        <v>3644</v>
      </c>
      <c r="D425" s="6">
        <v>2022</v>
      </c>
      <c r="E425" s="6" t="s">
        <v>21</v>
      </c>
      <c r="F425" s="4">
        <v>235</v>
      </c>
      <c r="G425" s="4">
        <v>15</v>
      </c>
      <c r="H425" s="4">
        <v>224.29599999999999</v>
      </c>
    </row>
    <row r="426" spans="1:8" s="5" customFormat="1" ht="126" hidden="1" outlineLevel="1" x14ac:dyDescent="0.25">
      <c r="A426" s="4">
        <v>5835</v>
      </c>
      <c r="B426" s="6" t="s">
        <v>38</v>
      </c>
      <c r="C426" s="38" t="s">
        <v>3645</v>
      </c>
      <c r="D426" s="6">
        <v>2022</v>
      </c>
      <c r="E426" s="6" t="s">
        <v>21</v>
      </c>
      <c r="F426" s="4">
        <v>62</v>
      </c>
      <c r="G426" s="4">
        <v>15</v>
      </c>
      <c r="H426" s="4">
        <v>226.36600000000001</v>
      </c>
    </row>
    <row r="427" spans="1:8" s="5" customFormat="1" ht="110.25" hidden="1" outlineLevel="1" x14ac:dyDescent="0.25">
      <c r="A427" s="4">
        <v>5902</v>
      </c>
      <c r="B427" s="6" t="s">
        <v>38</v>
      </c>
      <c r="C427" s="38" t="s">
        <v>3646</v>
      </c>
      <c r="D427" s="6">
        <v>2022</v>
      </c>
      <c r="E427" s="6" t="s">
        <v>21</v>
      </c>
      <c r="F427" s="4">
        <v>76</v>
      </c>
      <c r="G427" s="4">
        <v>15</v>
      </c>
      <c r="H427" s="4">
        <v>169.76900000000001</v>
      </c>
    </row>
    <row r="428" spans="1:8" s="5" customFormat="1" ht="110.25" hidden="1" outlineLevel="1" x14ac:dyDescent="0.25">
      <c r="A428" s="4">
        <v>5903</v>
      </c>
      <c r="B428" s="6" t="s">
        <v>38</v>
      </c>
      <c r="C428" s="38" t="s">
        <v>3647</v>
      </c>
      <c r="D428" s="6">
        <v>2022</v>
      </c>
      <c r="E428" s="6" t="s">
        <v>21</v>
      </c>
      <c r="F428" s="4">
        <v>140</v>
      </c>
      <c r="G428" s="4">
        <v>15</v>
      </c>
      <c r="H428" s="4">
        <v>183.81200000000001</v>
      </c>
    </row>
    <row r="429" spans="1:8" s="5" customFormat="1" ht="110.25" hidden="1" outlineLevel="1" x14ac:dyDescent="0.25">
      <c r="A429" s="4">
        <v>5904</v>
      </c>
      <c r="B429" s="6" t="s">
        <v>38</v>
      </c>
      <c r="C429" s="38" t="s">
        <v>3648</v>
      </c>
      <c r="D429" s="6">
        <v>2022</v>
      </c>
      <c r="E429" s="6" t="s">
        <v>21</v>
      </c>
      <c r="F429" s="4">
        <v>120</v>
      </c>
      <c r="G429" s="4">
        <v>15</v>
      </c>
      <c r="H429" s="4">
        <v>200.73099999999999</v>
      </c>
    </row>
    <row r="430" spans="1:8" s="5" customFormat="1" ht="126" hidden="1" outlineLevel="1" x14ac:dyDescent="0.25">
      <c r="A430" s="4">
        <v>5624</v>
      </c>
      <c r="B430" s="6" t="s">
        <v>38</v>
      </c>
      <c r="C430" s="38" t="s">
        <v>3649</v>
      </c>
      <c r="D430" s="6">
        <v>2022</v>
      </c>
      <c r="E430" s="6" t="s">
        <v>21</v>
      </c>
      <c r="F430" s="4">
        <v>45</v>
      </c>
      <c r="G430" s="4">
        <v>15</v>
      </c>
      <c r="H430" s="4">
        <v>101.123</v>
      </c>
    </row>
    <row r="431" spans="1:8" s="5" customFormat="1" ht="110.25" hidden="1" outlineLevel="1" x14ac:dyDescent="0.25">
      <c r="A431" s="4">
        <v>5727</v>
      </c>
      <c r="B431" s="6" t="s">
        <v>38</v>
      </c>
      <c r="C431" s="38" t="s">
        <v>3650</v>
      </c>
      <c r="D431" s="6">
        <v>2022</v>
      </c>
      <c r="E431" s="6" t="s">
        <v>21</v>
      </c>
      <c r="F431" s="4">
        <v>40</v>
      </c>
      <c r="G431" s="4">
        <v>15</v>
      </c>
      <c r="H431" s="4">
        <v>118.143</v>
      </c>
    </row>
    <row r="432" spans="1:8" s="5" customFormat="1" ht="110.25" hidden="1" outlineLevel="1" x14ac:dyDescent="0.25">
      <c r="A432" s="4">
        <v>5685</v>
      </c>
      <c r="B432" s="6" t="s">
        <v>38</v>
      </c>
      <c r="C432" s="38" t="s">
        <v>3651</v>
      </c>
      <c r="D432" s="6">
        <v>2022</v>
      </c>
      <c r="E432" s="6" t="s">
        <v>21</v>
      </c>
      <c r="F432" s="4">
        <v>450</v>
      </c>
      <c r="G432" s="4">
        <v>15</v>
      </c>
      <c r="H432" s="4">
        <v>448.60599999999999</v>
      </c>
    </row>
    <row r="433" spans="1:8" s="5" customFormat="1" ht="126" hidden="1" outlineLevel="1" x14ac:dyDescent="0.25">
      <c r="A433" s="4">
        <v>5688</v>
      </c>
      <c r="B433" s="6" t="s">
        <v>38</v>
      </c>
      <c r="C433" s="38" t="s">
        <v>3652</v>
      </c>
      <c r="D433" s="6">
        <v>2022</v>
      </c>
      <c r="E433" s="6" t="s">
        <v>21</v>
      </c>
      <c r="F433" s="4">
        <v>40</v>
      </c>
      <c r="G433" s="4">
        <v>3.8849999999999998</v>
      </c>
      <c r="H433" s="4">
        <v>88.454999999999998</v>
      </c>
    </row>
    <row r="434" spans="1:8" s="5" customFormat="1" ht="126" hidden="1" outlineLevel="1" x14ac:dyDescent="0.25">
      <c r="A434" s="4">
        <v>5689</v>
      </c>
      <c r="B434" s="6" t="s">
        <v>38</v>
      </c>
      <c r="C434" s="38" t="s">
        <v>3653</v>
      </c>
      <c r="D434" s="6">
        <v>2022</v>
      </c>
      <c r="E434" s="6" t="s">
        <v>21</v>
      </c>
      <c r="F434" s="4">
        <v>30</v>
      </c>
      <c r="G434" s="4">
        <v>3.145</v>
      </c>
      <c r="H434" s="4">
        <v>89.194999999999993</v>
      </c>
    </row>
    <row r="435" spans="1:8" s="5" customFormat="1" ht="126" hidden="1" outlineLevel="1" x14ac:dyDescent="0.25">
      <c r="A435" s="4">
        <v>5747</v>
      </c>
      <c r="B435" s="6" t="s">
        <v>38</v>
      </c>
      <c r="C435" s="38" t="s">
        <v>3654</v>
      </c>
      <c r="D435" s="6">
        <v>2022</v>
      </c>
      <c r="E435" s="6" t="s">
        <v>21</v>
      </c>
      <c r="F435" s="4">
        <v>90</v>
      </c>
      <c r="G435" s="4">
        <v>7.5</v>
      </c>
      <c r="H435" s="4">
        <v>133.88499999999999</v>
      </c>
    </row>
    <row r="436" spans="1:8" s="5" customFormat="1" ht="141.75" hidden="1" outlineLevel="1" x14ac:dyDescent="0.25">
      <c r="A436" s="4">
        <v>5748</v>
      </c>
      <c r="B436" s="6" t="s">
        <v>38</v>
      </c>
      <c r="C436" s="38" t="s">
        <v>3655</v>
      </c>
      <c r="D436" s="6">
        <v>2022</v>
      </c>
      <c r="E436" s="6" t="s">
        <v>21</v>
      </c>
      <c r="F436" s="4">
        <v>35</v>
      </c>
      <c r="G436" s="4">
        <v>7.5</v>
      </c>
      <c r="H436" s="4">
        <v>99.385000000000005</v>
      </c>
    </row>
    <row r="437" spans="1:8" s="5" customFormat="1" ht="126" hidden="1" outlineLevel="1" x14ac:dyDescent="0.25">
      <c r="A437" s="4">
        <v>5834</v>
      </c>
      <c r="B437" s="6" t="s">
        <v>38</v>
      </c>
      <c r="C437" s="38" t="s">
        <v>3656</v>
      </c>
      <c r="D437" s="6">
        <v>2022</v>
      </c>
      <c r="E437" s="6" t="s">
        <v>21</v>
      </c>
      <c r="F437" s="4">
        <v>35</v>
      </c>
      <c r="G437" s="4">
        <v>100</v>
      </c>
      <c r="H437" s="4">
        <v>115.43600000000001</v>
      </c>
    </row>
    <row r="438" spans="1:8" s="5" customFormat="1" ht="126" hidden="1" outlineLevel="1" x14ac:dyDescent="0.25">
      <c r="A438" s="4">
        <v>5420</v>
      </c>
      <c r="B438" s="6" t="s">
        <v>38</v>
      </c>
      <c r="C438" s="38" t="s">
        <v>3657</v>
      </c>
      <c r="D438" s="6">
        <v>2022</v>
      </c>
      <c r="E438" s="6" t="s">
        <v>21</v>
      </c>
      <c r="F438" s="4">
        <v>40</v>
      </c>
      <c r="G438" s="4">
        <v>30</v>
      </c>
      <c r="H438" s="4">
        <v>145.69200000000001</v>
      </c>
    </row>
    <row r="439" spans="1:8" s="5" customFormat="1" ht="110.25" hidden="1" outlineLevel="1" x14ac:dyDescent="0.25">
      <c r="A439" s="4">
        <v>5477</v>
      </c>
      <c r="B439" s="6" t="s">
        <v>38</v>
      </c>
      <c r="C439" s="38" t="s">
        <v>3658</v>
      </c>
      <c r="D439" s="6">
        <v>2022</v>
      </c>
      <c r="E439" s="6" t="s">
        <v>21</v>
      </c>
      <c r="F439" s="4">
        <v>30</v>
      </c>
      <c r="G439" s="4">
        <v>15</v>
      </c>
      <c r="H439" s="4">
        <v>114.899</v>
      </c>
    </row>
    <row r="440" spans="1:8" s="5" customFormat="1" ht="110.25" hidden="1" outlineLevel="1" x14ac:dyDescent="0.25">
      <c r="A440" s="4">
        <v>5666</v>
      </c>
      <c r="B440" s="6" t="s">
        <v>38</v>
      </c>
      <c r="C440" s="38" t="s">
        <v>3659</v>
      </c>
      <c r="D440" s="6">
        <v>2022</v>
      </c>
      <c r="E440" s="6" t="s">
        <v>21</v>
      </c>
      <c r="F440" s="4">
        <v>480</v>
      </c>
      <c r="G440" s="4">
        <v>15</v>
      </c>
      <c r="H440" s="4">
        <v>583.971</v>
      </c>
    </row>
    <row r="441" spans="1:8" s="5" customFormat="1" ht="110.25" hidden="1" outlineLevel="1" x14ac:dyDescent="0.25">
      <c r="A441" s="4">
        <v>5686</v>
      </c>
      <c r="B441" s="6" t="s">
        <v>38</v>
      </c>
      <c r="C441" s="38" t="s">
        <v>3660</v>
      </c>
      <c r="D441" s="6">
        <v>2022</v>
      </c>
      <c r="E441" s="6" t="s">
        <v>21</v>
      </c>
      <c r="F441" s="4">
        <v>55</v>
      </c>
      <c r="G441" s="4">
        <v>15</v>
      </c>
      <c r="H441" s="4">
        <v>109.7</v>
      </c>
    </row>
    <row r="442" spans="1:8" s="5" customFormat="1" ht="126" hidden="1" outlineLevel="1" x14ac:dyDescent="0.25">
      <c r="A442" s="4">
        <v>5763</v>
      </c>
      <c r="B442" s="6" t="s">
        <v>38</v>
      </c>
      <c r="C442" s="38" t="s">
        <v>3661</v>
      </c>
      <c r="D442" s="6">
        <v>2022</v>
      </c>
      <c r="E442" s="6" t="s">
        <v>21</v>
      </c>
      <c r="F442" s="4">
        <v>105</v>
      </c>
      <c r="G442" s="4">
        <v>15</v>
      </c>
      <c r="H442" s="4">
        <v>207.43799999999999</v>
      </c>
    </row>
    <row r="443" spans="1:8" s="5" customFormat="1" ht="110.25" hidden="1" outlineLevel="1" x14ac:dyDescent="0.25">
      <c r="A443" s="4">
        <v>5764</v>
      </c>
      <c r="B443" s="6" t="s">
        <v>38</v>
      </c>
      <c r="C443" s="38" t="s">
        <v>3662</v>
      </c>
      <c r="D443" s="6">
        <v>2022</v>
      </c>
      <c r="E443" s="6" t="s">
        <v>21</v>
      </c>
      <c r="F443" s="4">
        <v>30</v>
      </c>
      <c r="G443" s="4">
        <v>6.5</v>
      </c>
      <c r="H443" s="4">
        <v>124.78700000000001</v>
      </c>
    </row>
    <row r="444" spans="1:8" s="5" customFormat="1" ht="110.25" hidden="1" outlineLevel="1" x14ac:dyDescent="0.25">
      <c r="A444" s="4">
        <v>5829</v>
      </c>
      <c r="B444" s="6" t="s">
        <v>38</v>
      </c>
      <c r="C444" s="38" t="s">
        <v>3663</v>
      </c>
      <c r="D444" s="6">
        <v>2022</v>
      </c>
      <c r="E444" s="6" t="s">
        <v>21</v>
      </c>
      <c r="F444" s="4">
        <v>35</v>
      </c>
      <c r="G444" s="4">
        <v>15</v>
      </c>
      <c r="H444" s="4">
        <v>106.419</v>
      </c>
    </row>
    <row r="445" spans="1:8" s="5" customFormat="1" ht="126" hidden="1" outlineLevel="1" x14ac:dyDescent="0.25">
      <c r="A445" s="4">
        <v>5852</v>
      </c>
      <c r="B445" s="6" t="s">
        <v>38</v>
      </c>
      <c r="C445" s="38" t="s">
        <v>3664</v>
      </c>
      <c r="D445" s="6">
        <v>2022</v>
      </c>
      <c r="E445" s="6" t="s">
        <v>21</v>
      </c>
      <c r="F445" s="4">
        <v>32</v>
      </c>
      <c r="G445" s="4">
        <v>15</v>
      </c>
      <c r="H445" s="4">
        <v>81.513999999999996</v>
      </c>
    </row>
    <row r="446" spans="1:8" s="5" customFormat="1" ht="126" hidden="1" outlineLevel="1" x14ac:dyDescent="0.25">
      <c r="A446" s="4">
        <v>5436</v>
      </c>
      <c r="B446" s="6" t="s">
        <v>38</v>
      </c>
      <c r="C446" s="38" t="s">
        <v>3665</v>
      </c>
      <c r="D446" s="6">
        <v>2022</v>
      </c>
      <c r="E446" s="6" t="s">
        <v>21</v>
      </c>
      <c r="F446" s="4">
        <v>10</v>
      </c>
      <c r="G446" s="4">
        <v>15</v>
      </c>
      <c r="H446" s="4">
        <v>121.907</v>
      </c>
    </row>
    <row r="447" spans="1:8" s="5" customFormat="1" ht="126" hidden="1" outlineLevel="1" x14ac:dyDescent="0.25">
      <c r="A447" s="4">
        <v>5692</v>
      </c>
      <c r="B447" s="6" t="s">
        <v>38</v>
      </c>
      <c r="C447" s="38" t="s">
        <v>3666</v>
      </c>
      <c r="D447" s="6">
        <v>2022</v>
      </c>
      <c r="E447" s="6" t="s">
        <v>21</v>
      </c>
      <c r="F447" s="4">
        <v>106</v>
      </c>
      <c r="G447" s="4">
        <v>15</v>
      </c>
      <c r="H447" s="4">
        <v>164.434</v>
      </c>
    </row>
    <row r="448" spans="1:8" s="5" customFormat="1" ht="126" hidden="1" outlineLevel="1" x14ac:dyDescent="0.25">
      <c r="A448" s="4">
        <v>5766</v>
      </c>
      <c r="B448" s="6" t="s">
        <v>38</v>
      </c>
      <c r="C448" s="38" t="s">
        <v>3667</v>
      </c>
      <c r="D448" s="6">
        <v>2022</v>
      </c>
      <c r="E448" s="6" t="s">
        <v>21</v>
      </c>
      <c r="F448" s="4">
        <v>360</v>
      </c>
      <c r="G448" s="4">
        <v>15</v>
      </c>
      <c r="H448" s="4">
        <v>407.68799999999999</v>
      </c>
    </row>
    <row r="449" spans="1:8" s="5" customFormat="1" ht="110.25" hidden="1" outlineLevel="1" x14ac:dyDescent="0.25">
      <c r="A449" s="4">
        <v>5824</v>
      </c>
      <c r="B449" s="6" t="s">
        <v>38</v>
      </c>
      <c r="C449" s="38" t="s">
        <v>3668</v>
      </c>
      <c r="D449" s="6">
        <v>2022</v>
      </c>
      <c r="E449" s="6" t="s">
        <v>21</v>
      </c>
      <c r="F449" s="4">
        <v>45</v>
      </c>
      <c r="G449" s="4">
        <v>10</v>
      </c>
      <c r="H449" s="4">
        <v>130.37899999999999</v>
      </c>
    </row>
    <row r="450" spans="1:8" s="5" customFormat="1" ht="126" hidden="1" outlineLevel="1" x14ac:dyDescent="0.25">
      <c r="A450" s="4">
        <v>5885</v>
      </c>
      <c r="B450" s="6" t="s">
        <v>38</v>
      </c>
      <c r="C450" s="38" t="s">
        <v>3669</v>
      </c>
      <c r="D450" s="6">
        <v>2022</v>
      </c>
      <c r="E450" s="6" t="s">
        <v>21</v>
      </c>
      <c r="F450" s="4">
        <v>62</v>
      </c>
      <c r="G450" s="4">
        <v>30</v>
      </c>
      <c r="H450" s="4">
        <v>286.666</v>
      </c>
    </row>
    <row r="451" spans="1:8" s="5" customFormat="1" ht="110.25" hidden="1" outlineLevel="1" x14ac:dyDescent="0.25">
      <c r="A451" s="4">
        <v>5577</v>
      </c>
      <c r="B451" s="6" t="s">
        <v>38</v>
      </c>
      <c r="C451" s="38" t="s">
        <v>3670</v>
      </c>
      <c r="D451" s="6">
        <v>2022</v>
      </c>
      <c r="E451" s="6" t="s">
        <v>21</v>
      </c>
      <c r="F451" s="4">
        <v>750</v>
      </c>
      <c r="G451" s="4">
        <v>15</v>
      </c>
      <c r="H451" s="4">
        <v>937.17100000000005</v>
      </c>
    </row>
    <row r="452" spans="1:8" s="5" customFormat="1" ht="110.25" hidden="1" outlineLevel="1" x14ac:dyDescent="0.25">
      <c r="A452" s="4">
        <v>5607</v>
      </c>
      <c r="B452" s="6" t="s">
        <v>38</v>
      </c>
      <c r="C452" s="38" t="s">
        <v>3671</v>
      </c>
      <c r="D452" s="6">
        <v>2022</v>
      </c>
      <c r="E452" s="6" t="s">
        <v>21</v>
      </c>
      <c r="F452" s="4">
        <v>280</v>
      </c>
      <c r="G452" s="4">
        <v>15</v>
      </c>
      <c r="H452" s="4">
        <v>335.61799999999999</v>
      </c>
    </row>
    <row r="453" spans="1:8" s="5" customFormat="1" ht="126" hidden="1" outlineLevel="1" x14ac:dyDescent="0.25">
      <c r="A453" s="4">
        <v>5622</v>
      </c>
      <c r="B453" s="6" t="s">
        <v>38</v>
      </c>
      <c r="C453" s="38" t="s">
        <v>3672</v>
      </c>
      <c r="D453" s="6">
        <v>2022</v>
      </c>
      <c r="E453" s="6" t="s">
        <v>21</v>
      </c>
      <c r="F453" s="4">
        <v>560</v>
      </c>
      <c r="G453" s="4">
        <v>15</v>
      </c>
      <c r="H453" s="4">
        <v>546.41099999999994</v>
      </c>
    </row>
    <row r="454" spans="1:8" s="5" customFormat="1" ht="126" hidden="1" outlineLevel="1" x14ac:dyDescent="0.25">
      <c r="A454" s="4">
        <v>5729</v>
      </c>
      <c r="B454" s="6" t="s">
        <v>38</v>
      </c>
      <c r="C454" s="38" t="s">
        <v>3673</v>
      </c>
      <c r="D454" s="6">
        <v>2022</v>
      </c>
      <c r="E454" s="6" t="s">
        <v>21</v>
      </c>
      <c r="F454" s="4">
        <v>170</v>
      </c>
      <c r="G454" s="4">
        <v>15</v>
      </c>
      <c r="H454" s="4">
        <v>252.42400000000001</v>
      </c>
    </row>
    <row r="455" spans="1:8" s="5" customFormat="1" ht="110.25" hidden="1" outlineLevel="1" x14ac:dyDescent="0.25">
      <c r="A455" s="4">
        <v>5765</v>
      </c>
      <c r="B455" s="6" t="s">
        <v>38</v>
      </c>
      <c r="C455" s="38" t="s">
        <v>3674</v>
      </c>
      <c r="D455" s="6">
        <v>2022</v>
      </c>
      <c r="E455" s="6" t="s">
        <v>21</v>
      </c>
      <c r="F455" s="4">
        <v>40</v>
      </c>
      <c r="G455" s="4">
        <v>10</v>
      </c>
      <c r="H455" s="4">
        <v>109.354</v>
      </c>
    </row>
    <row r="456" spans="1:8" s="5" customFormat="1" ht="126" hidden="1" outlineLevel="1" x14ac:dyDescent="0.25">
      <c r="A456" s="4">
        <v>5767</v>
      </c>
      <c r="B456" s="6" t="s">
        <v>38</v>
      </c>
      <c r="C456" s="38" t="s">
        <v>3675</v>
      </c>
      <c r="D456" s="6">
        <v>2022</v>
      </c>
      <c r="E456" s="6" t="s">
        <v>21</v>
      </c>
      <c r="F456" s="4">
        <v>5</v>
      </c>
      <c r="G456" s="4">
        <v>15</v>
      </c>
      <c r="H456" s="4">
        <v>62.343000000000004</v>
      </c>
    </row>
    <row r="457" spans="1:8" s="5" customFormat="1" ht="126" hidden="1" outlineLevel="1" x14ac:dyDescent="0.25">
      <c r="A457" s="4">
        <v>5768</v>
      </c>
      <c r="B457" s="6" t="s">
        <v>38</v>
      </c>
      <c r="C457" s="38" t="s">
        <v>3676</v>
      </c>
      <c r="D457" s="6">
        <v>2022</v>
      </c>
      <c r="E457" s="6" t="s">
        <v>21</v>
      </c>
      <c r="F457" s="4">
        <v>10</v>
      </c>
      <c r="G457" s="4">
        <v>62</v>
      </c>
      <c r="H457" s="4">
        <v>94.807000000000002</v>
      </c>
    </row>
    <row r="458" spans="1:8" s="5" customFormat="1" ht="126" hidden="1" outlineLevel="1" x14ac:dyDescent="0.25">
      <c r="A458" s="4">
        <v>5825</v>
      </c>
      <c r="B458" s="6" t="s">
        <v>38</v>
      </c>
      <c r="C458" s="38" t="s">
        <v>3677</v>
      </c>
      <c r="D458" s="6">
        <v>2022</v>
      </c>
      <c r="E458" s="6" t="s">
        <v>21</v>
      </c>
      <c r="F458" s="4">
        <v>58</v>
      </c>
      <c r="G458" s="4">
        <v>15</v>
      </c>
      <c r="H458" s="4">
        <v>128.16999999999999</v>
      </c>
    </row>
    <row r="459" spans="1:8" s="5" customFormat="1" ht="173.25" hidden="1" outlineLevel="1" x14ac:dyDescent="0.25">
      <c r="A459" s="4">
        <v>5826</v>
      </c>
      <c r="B459" s="6" t="s">
        <v>38</v>
      </c>
      <c r="C459" s="38" t="s">
        <v>3678</v>
      </c>
      <c r="D459" s="6">
        <v>2022</v>
      </c>
      <c r="E459" s="6" t="s">
        <v>21</v>
      </c>
      <c r="F459" s="4">
        <v>207</v>
      </c>
      <c r="G459" s="4">
        <v>30</v>
      </c>
      <c r="H459" s="4">
        <v>323.92899999999997</v>
      </c>
    </row>
    <row r="460" spans="1:8" s="5" customFormat="1" ht="141.75" hidden="1" outlineLevel="1" x14ac:dyDescent="0.25">
      <c r="A460" s="4">
        <v>5827</v>
      </c>
      <c r="B460" s="6" t="s">
        <v>38</v>
      </c>
      <c r="C460" s="38" t="s">
        <v>3679</v>
      </c>
      <c r="D460" s="6">
        <v>2022</v>
      </c>
      <c r="E460" s="6" t="s">
        <v>21</v>
      </c>
      <c r="F460" s="4">
        <v>220</v>
      </c>
      <c r="G460" s="4">
        <v>33</v>
      </c>
      <c r="H460" s="4">
        <v>326.971</v>
      </c>
    </row>
    <row r="461" spans="1:8" s="5" customFormat="1" ht="126" hidden="1" outlineLevel="1" x14ac:dyDescent="0.25">
      <c r="A461" s="4">
        <v>5860</v>
      </c>
      <c r="B461" s="6" t="s">
        <v>38</v>
      </c>
      <c r="C461" s="38" t="s">
        <v>3680</v>
      </c>
      <c r="D461" s="6">
        <v>2022</v>
      </c>
      <c r="E461" s="6" t="s">
        <v>21</v>
      </c>
      <c r="F461" s="4">
        <v>145</v>
      </c>
      <c r="G461" s="4">
        <v>60</v>
      </c>
      <c r="H461" s="4">
        <v>346.16399999999999</v>
      </c>
    </row>
    <row r="462" spans="1:8" s="5" customFormat="1" ht="63" hidden="1" outlineLevel="1" x14ac:dyDescent="0.25">
      <c r="A462" s="4">
        <v>164</v>
      </c>
      <c r="B462" s="6" t="s">
        <v>38</v>
      </c>
      <c r="C462" s="38" t="s">
        <v>3681</v>
      </c>
      <c r="D462" s="6">
        <v>2022</v>
      </c>
      <c r="E462" s="6" t="s">
        <v>21</v>
      </c>
      <c r="F462" s="4">
        <v>60</v>
      </c>
      <c r="G462" s="4">
        <v>15</v>
      </c>
      <c r="H462" s="4">
        <v>233</v>
      </c>
    </row>
    <row r="463" spans="1:8" s="5" customFormat="1" ht="63" hidden="1" outlineLevel="1" x14ac:dyDescent="0.25">
      <c r="A463" s="4">
        <v>138</v>
      </c>
      <c r="B463" s="6" t="s">
        <v>38</v>
      </c>
      <c r="C463" s="38" t="s">
        <v>3682</v>
      </c>
      <c r="D463" s="6">
        <v>2022</v>
      </c>
      <c r="E463" s="6" t="s">
        <v>21</v>
      </c>
      <c r="F463" s="4">
        <v>150</v>
      </c>
      <c r="G463" s="4">
        <v>30</v>
      </c>
      <c r="H463" s="4">
        <v>449</v>
      </c>
    </row>
    <row r="464" spans="1:8" s="5" customFormat="1" ht="78.75" hidden="1" outlineLevel="1" x14ac:dyDescent="0.25">
      <c r="A464" s="4">
        <v>150</v>
      </c>
      <c r="B464" s="6" t="s">
        <v>38</v>
      </c>
      <c r="C464" s="38" t="s">
        <v>3683</v>
      </c>
      <c r="D464" s="6">
        <v>2022</v>
      </c>
      <c r="E464" s="6" t="s">
        <v>21</v>
      </c>
      <c r="F464" s="4">
        <v>320</v>
      </c>
      <c r="G464" s="4">
        <v>15</v>
      </c>
      <c r="H464" s="4">
        <v>363</v>
      </c>
    </row>
    <row r="465" spans="1:8" s="5" customFormat="1" ht="63" hidden="1" outlineLevel="1" x14ac:dyDescent="0.25">
      <c r="A465" s="4">
        <v>151</v>
      </c>
      <c r="B465" s="6" t="s">
        <v>38</v>
      </c>
      <c r="C465" s="38" t="s">
        <v>3684</v>
      </c>
      <c r="D465" s="6">
        <v>2022</v>
      </c>
      <c r="E465" s="6" t="s">
        <v>21</v>
      </c>
      <c r="F465" s="4">
        <v>269</v>
      </c>
      <c r="G465" s="4">
        <v>5</v>
      </c>
      <c r="H465" s="4">
        <v>458</v>
      </c>
    </row>
    <row r="466" spans="1:8" s="5" customFormat="1" ht="78.75" hidden="1" outlineLevel="1" x14ac:dyDescent="0.25">
      <c r="A466" s="4">
        <v>149</v>
      </c>
      <c r="B466" s="6" t="s">
        <v>38</v>
      </c>
      <c r="C466" s="38" t="s">
        <v>3685</v>
      </c>
      <c r="D466" s="6">
        <v>2022</v>
      </c>
      <c r="E466" s="6" t="s">
        <v>21</v>
      </c>
      <c r="F466" s="4">
        <v>220</v>
      </c>
      <c r="G466" s="4">
        <v>30</v>
      </c>
      <c r="H466" s="4">
        <v>516</v>
      </c>
    </row>
    <row r="467" spans="1:8" s="5" customFormat="1" ht="47.25" hidden="1" outlineLevel="1" x14ac:dyDescent="0.25">
      <c r="A467" s="4">
        <v>179</v>
      </c>
      <c r="B467" s="6" t="s">
        <v>38</v>
      </c>
      <c r="C467" s="38" t="s">
        <v>3686</v>
      </c>
      <c r="D467" s="6">
        <v>2022</v>
      </c>
      <c r="E467" s="6" t="s">
        <v>21</v>
      </c>
      <c r="F467" s="4">
        <v>80</v>
      </c>
      <c r="G467" s="4">
        <v>100</v>
      </c>
      <c r="H467" s="4">
        <v>125</v>
      </c>
    </row>
    <row r="468" spans="1:8" s="5" customFormat="1" ht="47.25" hidden="1" outlineLevel="1" x14ac:dyDescent="0.25">
      <c r="A468" s="4">
        <v>118</v>
      </c>
      <c r="B468" s="6" t="s">
        <v>38</v>
      </c>
      <c r="C468" s="38" t="s">
        <v>3687</v>
      </c>
      <c r="D468" s="6">
        <v>2022</v>
      </c>
      <c r="E468" s="6" t="s">
        <v>21</v>
      </c>
      <c r="F468" s="4">
        <v>17</v>
      </c>
      <c r="G468" s="4">
        <v>100</v>
      </c>
      <c r="H468" s="4">
        <v>30</v>
      </c>
    </row>
    <row r="469" spans="1:8" s="5" customFormat="1" ht="63" hidden="1" outlineLevel="1" x14ac:dyDescent="0.25">
      <c r="A469" s="4">
        <v>114</v>
      </c>
      <c r="B469" s="6" t="s">
        <v>38</v>
      </c>
      <c r="C469" s="38" t="s">
        <v>3688</v>
      </c>
      <c r="D469" s="6">
        <v>2022</v>
      </c>
      <c r="E469" s="6" t="s">
        <v>21</v>
      </c>
      <c r="F469" s="4">
        <v>200</v>
      </c>
      <c r="G469" s="4">
        <v>14</v>
      </c>
      <c r="H469" s="4">
        <v>86</v>
      </c>
    </row>
    <row r="470" spans="1:8" s="5" customFormat="1" ht="63" hidden="1" outlineLevel="1" x14ac:dyDescent="0.25">
      <c r="A470" s="4">
        <v>115</v>
      </c>
      <c r="B470" s="6" t="s">
        <v>38</v>
      </c>
      <c r="C470" s="38" t="s">
        <v>3689</v>
      </c>
      <c r="D470" s="6">
        <v>2022</v>
      </c>
      <c r="E470" s="6" t="s">
        <v>21</v>
      </c>
      <c r="F470" s="4">
        <v>50</v>
      </c>
      <c r="G470" s="4">
        <v>5</v>
      </c>
      <c r="H470" s="4">
        <v>103</v>
      </c>
    </row>
    <row r="471" spans="1:8" s="5" customFormat="1" ht="63" hidden="1" outlineLevel="1" x14ac:dyDescent="0.25">
      <c r="A471" s="4">
        <v>121</v>
      </c>
      <c r="B471" s="6" t="s">
        <v>38</v>
      </c>
      <c r="C471" s="38" t="s">
        <v>3690</v>
      </c>
      <c r="D471" s="6">
        <v>2022</v>
      </c>
      <c r="E471" s="6" t="s">
        <v>21</v>
      </c>
      <c r="F471" s="4">
        <v>10</v>
      </c>
      <c r="G471" s="4">
        <v>15</v>
      </c>
      <c r="H471" s="4">
        <v>51</v>
      </c>
    </row>
    <row r="472" spans="1:8" s="5" customFormat="1" ht="94.5" hidden="1" outlineLevel="1" x14ac:dyDescent="0.25">
      <c r="A472" s="4">
        <v>119</v>
      </c>
      <c r="B472" s="6" t="s">
        <v>38</v>
      </c>
      <c r="C472" s="38" t="s">
        <v>3691</v>
      </c>
      <c r="D472" s="6">
        <v>2022</v>
      </c>
      <c r="E472" s="6" t="s">
        <v>21</v>
      </c>
      <c r="F472" s="4">
        <v>5</v>
      </c>
      <c r="G472" s="4">
        <v>15</v>
      </c>
      <c r="H472" s="4">
        <v>18</v>
      </c>
    </row>
    <row r="473" spans="1:8" s="5" customFormat="1" ht="63" hidden="1" outlineLevel="1" x14ac:dyDescent="0.25">
      <c r="A473" s="4">
        <v>112</v>
      </c>
      <c r="B473" s="6" t="s">
        <v>38</v>
      </c>
      <c r="C473" s="38" t="s">
        <v>3692</v>
      </c>
      <c r="D473" s="6">
        <v>2022</v>
      </c>
      <c r="E473" s="6" t="s">
        <v>21</v>
      </c>
      <c r="F473" s="4">
        <v>220</v>
      </c>
      <c r="G473" s="4">
        <v>25</v>
      </c>
      <c r="H473" s="4">
        <v>243</v>
      </c>
    </row>
    <row r="474" spans="1:8" s="5" customFormat="1" ht="78.75" hidden="1" outlineLevel="1" x14ac:dyDescent="0.25">
      <c r="A474" s="4">
        <v>48</v>
      </c>
      <c r="B474" s="6" t="s">
        <v>38</v>
      </c>
      <c r="C474" s="38" t="s">
        <v>3693</v>
      </c>
      <c r="D474" s="6">
        <v>2022</v>
      </c>
      <c r="E474" s="6" t="s">
        <v>21</v>
      </c>
      <c r="F474" s="4">
        <v>130</v>
      </c>
      <c r="G474" s="4">
        <v>30</v>
      </c>
      <c r="H474" s="4">
        <v>119</v>
      </c>
    </row>
    <row r="475" spans="1:8" s="5" customFormat="1" ht="63" hidden="1" outlineLevel="1" x14ac:dyDescent="0.25">
      <c r="A475" s="4">
        <v>181</v>
      </c>
      <c r="B475" s="6" t="s">
        <v>38</v>
      </c>
      <c r="C475" s="38" t="s">
        <v>3694</v>
      </c>
      <c r="D475" s="6">
        <v>2022</v>
      </c>
      <c r="E475" s="6" t="s">
        <v>21</v>
      </c>
      <c r="F475" s="4">
        <v>14</v>
      </c>
      <c r="G475" s="4">
        <v>15</v>
      </c>
      <c r="H475" s="4">
        <v>60</v>
      </c>
    </row>
    <row r="476" spans="1:8" s="5" customFormat="1" ht="63" hidden="1" outlineLevel="1" x14ac:dyDescent="0.25">
      <c r="A476" s="4">
        <v>116</v>
      </c>
      <c r="B476" s="6" t="s">
        <v>38</v>
      </c>
      <c r="C476" s="38" t="s">
        <v>3695</v>
      </c>
      <c r="D476" s="6">
        <v>2022</v>
      </c>
      <c r="E476" s="6" t="s">
        <v>21</v>
      </c>
      <c r="F476" s="4">
        <v>30</v>
      </c>
      <c r="G476" s="4">
        <v>150</v>
      </c>
      <c r="H476" s="4">
        <v>36</v>
      </c>
    </row>
    <row r="477" spans="1:8" s="5" customFormat="1" ht="63" hidden="1" outlineLevel="1" x14ac:dyDescent="0.25">
      <c r="A477" s="4">
        <v>108</v>
      </c>
      <c r="B477" s="6" t="s">
        <v>38</v>
      </c>
      <c r="C477" s="38" t="s">
        <v>3696</v>
      </c>
      <c r="D477" s="6">
        <v>2022</v>
      </c>
      <c r="E477" s="6" t="s">
        <v>21</v>
      </c>
      <c r="F477" s="4">
        <v>155</v>
      </c>
      <c r="G477" s="4">
        <v>15</v>
      </c>
      <c r="H477" s="4">
        <v>185</v>
      </c>
    </row>
    <row r="478" spans="1:8" s="5" customFormat="1" ht="63" hidden="1" outlineLevel="1" x14ac:dyDescent="0.25">
      <c r="A478" s="4">
        <v>110</v>
      </c>
      <c r="B478" s="6" t="s">
        <v>38</v>
      </c>
      <c r="C478" s="38" t="s">
        <v>3697</v>
      </c>
      <c r="D478" s="6">
        <v>2022</v>
      </c>
      <c r="E478" s="6" t="s">
        <v>21</v>
      </c>
      <c r="F478" s="4">
        <v>63</v>
      </c>
      <c r="G478" s="4">
        <v>15</v>
      </c>
      <c r="H478" s="4">
        <v>91</v>
      </c>
    </row>
    <row r="479" spans="1:8" s="5" customFormat="1" ht="63" hidden="1" outlineLevel="1" x14ac:dyDescent="0.25">
      <c r="A479" s="4">
        <v>117</v>
      </c>
      <c r="B479" s="6" t="s">
        <v>38</v>
      </c>
      <c r="C479" s="38" t="s">
        <v>3698</v>
      </c>
      <c r="D479" s="6">
        <v>2022</v>
      </c>
      <c r="E479" s="6" t="s">
        <v>21</v>
      </c>
      <c r="F479" s="4">
        <v>10</v>
      </c>
      <c r="G479" s="4">
        <v>15</v>
      </c>
      <c r="H479" s="4">
        <v>14</v>
      </c>
    </row>
    <row r="480" spans="1:8" s="5" customFormat="1" ht="47.25" hidden="1" outlineLevel="1" x14ac:dyDescent="0.25">
      <c r="A480" s="4">
        <v>113</v>
      </c>
      <c r="B480" s="6" t="s">
        <v>38</v>
      </c>
      <c r="C480" s="38" t="s">
        <v>3699</v>
      </c>
      <c r="D480" s="6">
        <v>2022</v>
      </c>
      <c r="E480" s="6" t="s">
        <v>21</v>
      </c>
      <c r="F480" s="4">
        <v>30</v>
      </c>
      <c r="G480" s="4">
        <v>10</v>
      </c>
      <c r="H480" s="4">
        <v>72</v>
      </c>
    </row>
    <row r="481" spans="1:8" s="5" customFormat="1" ht="63" hidden="1" outlineLevel="1" x14ac:dyDescent="0.25">
      <c r="A481" s="4">
        <v>152</v>
      </c>
      <c r="B481" s="6" t="s">
        <v>38</v>
      </c>
      <c r="C481" s="38" t="s">
        <v>3700</v>
      </c>
      <c r="D481" s="6">
        <v>2022</v>
      </c>
      <c r="E481" s="6" t="s">
        <v>21</v>
      </c>
      <c r="F481" s="4">
        <v>30</v>
      </c>
      <c r="G481" s="4">
        <v>150</v>
      </c>
      <c r="H481" s="4">
        <v>11</v>
      </c>
    </row>
    <row r="482" spans="1:8" s="5" customFormat="1" ht="47.25" hidden="1" outlineLevel="1" x14ac:dyDescent="0.25">
      <c r="A482" s="4">
        <v>111</v>
      </c>
      <c r="B482" s="6" t="s">
        <v>38</v>
      </c>
      <c r="C482" s="38" t="s">
        <v>3701</v>
      </c>
      <c r="D482" s="6">
        <v>2022</v>
      </c>
      <c r="E482" s="6" t="s">
        <v>21</v>
      </c>
      <c r="F482" s="4">
        <v>90</v>
      </c>
      <c r="G482" s="4">
        <v>15</v>
      </c>
      <c r="H482" s="4">
        <v>79</v>
      </c>
    </row>
    <row r="483" spans="1:8" s="5" customFormat="1" ht="63" hidden="1" outlineLevel="1" x14ac:dyDescent="0.25">
      <c r="A483" s="4">
        <v>140</v>
      </c>
      <c r="B483" s="6" t="s">
        <v>38</v>
      </c>
      <c r="C483" s="38" t="s">
        <v>3702</v>
      </c>
      <c r="D483" s="6">
        <v>2022</v>
      </c>
      <c r="E483" s="6" t="s">
        <v>21</v>
      </c>
      <c r="F483" s="4">
        <v>110</v>
      </c>
      <c r="G483" s="4">
        <v>15</v>
      </c>
      <c r="H483" s="4">
        <v>85</v>
      </c>
    </row>
    <row r="484" spans="1:8" s="5" customFormat="1" ht="63" hidden="1" outlineLevel="1" x14ac:dyDescent="0.25">
      <c r="A484" s="4">
        <v>156</v>
      </c>
      <c r="B484" s="6" t="s">
        <v>38</v>
      </c>
      <c r="C484" s="38" t="s">
        <v>3703</v>
      </c>
      <c r="D484" s="6">
        <v>2022</v>
      </c>
      <c r="E484" s="6" t="s">
        <v>21</v>
      </c>
      <c r="F484" s="4">
        <v>110</v>
      </c>
      <c r="G484" s="4">
        <v>30</v>
      </c>
      <c r="H484" s="4">
        <v>160</v>
      </c>
    </row>
    <row r="485" spans="1:8" s="5" customFormat="1" ht="78.75" hidden="1" outlineLevel="1" x14ac:dyDescent="0.25">
      <c r="A485" s="4">
        <v>157</v>
      </c>
      <c r="B485" s="6" t="s">
        <v>38</v>
      </c>
      <c r="C485" s="38" t="s">
        <v>3704</v>
      </c>
      <c r="D485" s="6">
        <v>2022</v>
      </c>
      <c r="E485" s="6" t="s">
        <v>21</v>
      </c>
      <c r="F485" s="4">
        <v>5</v>
      </c>
      <c r="G485" s="4">
        <v>15</v>
      </c>
      <c r="H485" s="4">
        <v>18</v>
      </c>
    </row>
    <row r="486" spans="1:8" s="5" customFormat="1" ht="47.25" hidden="1" outlineLevel="1" x14ac:dyDescent="0.25">
      <c r="A486" s="4">
        <v>141</v>
      </c>
      <c r="B486" s="6" t="s">
        <v>38</v>
      </c>
      <c r="C486" s="38" t="s">
        <v>3705</v>
      </c>
      <c r="D486" s="6">
        <v>2022</v>
      </c>
      <c r="E486" s="6" t="s">
        <v>21</v>
      </c>
      <c r="F486" s="4">
        <v>500</v>
      </c>
      <c r="G486" s="4">
        <v>15</v>
      </c>
      <c r="H486" s="4">
        <v>284</v>
      </c>
    </row>
    <row r="487" spans="1:8" s="5" customFormat="1" ht="63" hidden="1" outlineLevel="1" x14ac:dyDescent="0.25">
      <c r="A487" s="4">
        <v>202</v>
      </c>
      <c r="B487" s="6" t="s">
        <v>38</v>
      </c>
      <c r="C487" s="38" t="s">
        <v>3706</v>
      </c>
      <c r="D487" s="6">
        <v>2022</v>
      </c>
      <c r="E487" s="6" t="s">
        <v>21</v>
      </c>
      <c r="F487" s="4">
        <v>208</v>
      </c>
      <c r="G487" s="4">
        <v>60</v>
      </c>
      <c r="H487" s="4">
        <v>620</v>
      </c>
    </row>
    <row r="488" spans="1:8" s="5" customFormat="1" ht="63" hidden="1" outlineLevel="1" x14ac:dyDescent="0.25">
      <c r="A488" s="4">
        <v>205</v>
      </c>
      <c r="B488" s="6" t="s">
        <v>38</v>
      </c>
      <c r="C488" s="38" t="s">
        <v>3707</v>
      </c>
      <c r="D488" s="6">
        <v>2022</v>
      </c>
      <c r="E488" s="6" t="s">
        <v>21</v>
      </c>
      <c r="F488" s="4">
        <v>14</v>
      </c>
      <c r="G488" s="4">
        <v>15</v>
      </c>
      <c r="H488" s="4">
        <v>51</v>
      </c>
    </row>
    <row r="489" spans="1:8" s="5" customFormat="1" ht="47.25" hidden="1" outlineLevel="1" x14ac:dyDescent="0.25">
      <c r="A489" s="4">
        <v>204</v>
      </c>
      <c r="B489" s="6" t="s">
        <v>38</v>
      </c>
      <c r="C489" s="38" t="s">
        <v>3708</v>
      </c>
      <c r="D489" s="6">
        <v>2022</v>
      </c>
      <c r="E489" s="6" t="s">
        <v>21</v>
      </c>
      <c r="F489" s="4">
        <v>200</v>
      </c>
      <c r="G489" s="4">
        <v>5</v>
      </c>
      <c r="H489" s="4">
        <v>459</v>
      </c>
    </row>
    <row r="490" spans="1:8" s="5" customFormat="1" ht="63" hidden="1" outlineLevel="1" x14ac:dyDescent="0.25">
      <c r="A490" s="4">
        <v>206</v>
      </c>
      <c r="B490" s="6" t="s">
        <v>38</v>
      </c>
      <c r="C490" s="38" t="s">
        <v>3709</v>
      </c>
      <c r="D490" s="6">
        <v>2022</v>
      </c>
      <c r="E490" s="6" t="s">
        <v>21</v>
      </c>
      <c r="F490" s="4">
        <v>366</v>
      </c>
      <c r="G490" s="4">
        <v>60</v>
      </c>
      <c r="H490" s="4">
        <v>578</v>
      </c>
    </row>
    <row r="491" spans="1:8" s="5" customFormat="1" ht="63" hidden="1" outlineLevel="1" x14ac:dyDescent="0.25">
      <c r="A491" s="4">
        <v>207</v>
      </c>
      <c r="B491" s="6" t="s">
        <v>38</v>
      </c>
      <c r="C491" s="38" t="s">
        <v>3710</v>
      </c>
      <c r="D491" s="6">
        <v>2022</v>
      </c>
      <c r="E491" s="6" t="s">
        <v>21</v>
      </c>
      <c r="F491" s="4">
        <v>234</v>
      </c>
      <c r="G491" s="4">
        <v>15</v>
      </c>
      <c r="H491" s="4">
        <v>349</v>
      </c>
    </row>
    <row r="492" spans="1:8" s="5" customFormat="1" ht="63" hidden="1" outlineLevel="1" x14ac:dyDescent="0.25">
      <c r="A492" s="4">
        <v>251</v>
      </c>
      <c r="B492" s="6" t="s">
        <v>38</v>
      </c>
      <c r="C492" s="38" t="s">
        <v>3711</v>
      </c>
      <c r="D492" s="6">
        <v>2022</v>
      </c>
      <c r="E492" s="6" t="s">
        <v>21</v>
      </c>
      <c r="F492" s="4">
        <v>618</v>
      </c>
      <c r="G492" s="4">
        <v>45</v>
      </c>
      <c r="H492" s="4">
        <v>968</v>
      </c>
    </row>
    <row r="493" spans="1:8" s="5" customFormat="1" ht="47.25" hidden="1" outlineLevel="1" x14ac:dyDescent="0.25">
      <c r="A493" s="4">
        <v>203</v>
      </c>
      <c r="B493" s="6" t="s">
        <v>38</v>
      </c>
      <c r="C493" s="38" t="s">
        <v>3712</v>
      </c>
      <c r="D493" s="6">
        <v>2022</v>
      </c>
      <c r="E493" s="6" t="s">
        <v>21</v>
      </c>
      <c r="F493" s="4">
        <v>25</v>
      </c>
      <c r="G493" s="4">
        <v>30</v>
      </c>
      <c r="H493" s="4">
        <v>85</v>
      </c>
    </row>
    <row r="494" spans="1:8" s="5" customFormat="1" ht="78.75" hidden="1" outlineLevel="1" x14ac:dyDescent="0.25">
      <c r="A494" s="4">
        <v>201</v>
      </c>
      <c r="B494" s="6" t="s">
        <v>38</v>
      </c>
      <c r="C494" s="38" t="s">
        <v>3713</v>
      </c>
      <c r="D494" s="6">
        <v>2022</v>
      </c>
      <c r="E494" s="6" t="s">
        <v>21</v>
      </c>
      <c r="F494" s="4">
        <v>5</v>
      </c>
      <c r="G494" s="4">
        <v>15</v>
      </c>
      <c r="H494" s="4">
        <v>39</v>
      </c>
    </row>
    <row r="495" spans="1:8" s="5" customFormat="1" ht="94.5" hidden="1" outlineLevel="1" x14ac:dyDescent="0.25">
      <c r="A495" s="4">
        <v>128</v>
      </c>
      <c r="B495" s="6" t="s">
        <v>38</v>
      </c>
      <c r="C495" s="38" t="s">
        <v>3714</v>
      </c>
      <c r="D495" s="6">
        <v>2022</v>
      </c>
      <c r="E495" s="6" t="s">
        <v>21</v>
      </c>
      <c r="F495" s="4">
        <v>236</v>
      </c>
      <c r="G495" s="4">
        <v>45</v>
      </c>
      <c r="H495" s="4">
        <v>416</v>
      </c>
    </row>
    <row r="496" spans="1:8" s="5" customFormat="1" ht="63" hidden="1" outlineLevel="1" x14ac:dyDescent="0.25">
      <c r="A496" s="4">
        <v>154</v>
      </c>
      <c r="B496" s="6" t="s">
        <v>38</v>
      </c>
      <c r="C496" s="38" t="s">
        <v>3715</v>
      </c>
      <c r="D496" s="6">
        <v>2022</v>
      </c>
      <c r="E496" s="6" t="s">
        <v>21</v>
      </c>
      <c r="F496" s="4">
        <v>30</v>
      </c>
      <c r="G496" s="4">
        <v>10</v>
      </c>
      <c r="H496" s="4">
        <v>39</v>
      </c>
    </row>
    <row r="497" spans="1:8" s="5" customFormat="1" ht="47.25" hidden="1" outlineLevel="1" x14ac:dyDescent="0.25">
      <c r="A497" s="4">
        <v>155</v>
      </c>
      <c r="B497" s="6" t="s">
        <v>38</v>
      </c>
      <c r="C497" s="38" t="s">
        <v>3716</v>
      </c>
      <c r="D497" s="6">
        <v>2022</v>
      </c>
      <c r="E497" s="6" t="s">
        <v>21</v>
      </c>
      <c r="F497" s="4">
        <v>30</v>
      </c>
      <c r="G497" s="4">
        <v>15</v>
      </c>
      <c r="H497" s="4">
        <v>28</v>
      </c>
    </row>
    <row r="498" spans="1:8" s="5" customFormat="1" ht="47.25" hidden="1" outlineLevel="1" x14ac:dyDescent="0.25">
      <c r="A498" s="4">
        <v>146</v>
      </c>
      <c r="B498" s="6" t="s">
        <v>38</v>
      </c>
      <c r="C498" s="38" t="s">
        <v>3717</v>
      </c>
      <c r="D498" s="6">
        <v>2022</v>
      </c>
      <c r="E498" s="6" t="s">
        <v>21</v>
      </c>
      <c r="F498" s="4">
        <v>45</v>
      </c>
      <c r="G498" s="4">
        <v>10</v>
      </c>
      <c r="H498" s="4">
        <v>45</v>
      </c>
    </row>
    <row r="499" spans="1:8" s="5" customFormat="1" ht="63" hidden="1" outlineLevel="1" x14ac:dyDescent="0.25">
      <c r="A499" s="4">
        <v>145</v>
      </c>
      <c r="B499" s="6" t="s">
        <v>38</v>
      </c>
      <c r="C499" s="38" t="s">
        <v>3718</v>
      </c>
      <c r="D499" s="6">
        <v>2022</v>
      </c>
      <c r="E499" s="6" t="s">
        <v>21</v>
      </c>
      <c r="F499" s="4">
        <v>50</v>
      </c>
      <c r="G499" s="4">
        <v>15</v>
      </c>
      <c r="H499" s="4">
        <v>82</v>
      </c>
    </row>
    <row r="500" spans="1:8" s="5" customFormat="1" ht="63" hidden="1" outlineLevel="1" x14ac:dyDescent="0.25">
      <c r="A500" s="4">
        <v>143</v>
      </c>
      <c r="B500" s="6" t="s">
        <v>38</v>
      </c>
      <c r="C500" s="38" t="s">
        <v>3719</v>
      </c>
      <c r="D500" s="6">
        <v>2022</v>
      </c>
      <c r="E500" s="6" t="s">
        <v>21</v>
      </c>
      <c r="F500" s="4">
        <v>70</v>
      </c>
      <c r="G500" s="4">
        <v>15</v>
      </c>
      <c r="H500" s="4">
        <v>64</v>
      </c>
    </row>
    <row r="501" spans="1:8" s="5" customFormat="1" ht="63" hidden="1" outlineLevel="1" x14ac:dyDescent="0.25">
      <c r="A501" s="4">
        <v>147</v>
      </c>
      <c r="B501" s="6" t="s">
        <v>38</v>
      </c>
      <c r="C501" s="38" t="s">
        <v>3720</v>
      </c>
      <c r="D501" s="6">
        <v>2022</v>
      </c>
      <c r="E501" s="6" t="s">
        <v>21</v>
      </c>
      <c r="F501" s="4">
        <v>310</v>
      </c>
      <c r="G501" s="4">
        <v>15</v>
      </c>
      <c r="H501" s="4">
        <v>155</v>
      </c>
    </row>
    <row r="502" spans="1:8" s="5" customFormat="1" ht="78.75" hidden="1" outlineLevel="1" x14ac:dyDescent="0.25">
      <c r="A502" s="4">
        <v>165</v>
      </c>
      <c r="B502" s="6" t="s">
        <v>38</v>
      </c>
      <c r="C502" s="38" t="s">
        <v>3721</v>
      </c>
      <c r="D502" s="6">
        <v>2022</v>
      </c>
      <c r="E502" s="6" t="s">
        <v>21</v>
      </c>
      <c r="F502" s="4">
        <v>70</v>
      </c>
      <c r="G502" s="4">
        <v>15</v>
      </c>
      <c r="H502" s="4">
        <v>23</v>
      </c>
    </row>
    <row r="503" spans="1:8" s="5" customFormat="1" ht="47.25" hidden="1" outlineLevel="1" x14ac:dyDescent="0.25">
      <c r="A503" s="4">
        <v>169</v>
      </c>
      <c r="B503" s="6" t="s">
        <v>38</v>
      </c>
      <c r="C503" s="38" t="s">
        <v>3722</v>
      </c>
      <c r="D503" s="6">
        <v>2022</v>
      </c>
      <c r="E503" s="6" t="s">
        <v>21</v>
      </c>
      <c r="F503" s="4">
        <v>100</v>
      </c>
      <c r="G503" s="4">
        <v>15</v>
      </c>
      <c r="H503" s="4">
        <v>69</v>
      </c>
    </row>
    <row r="504" spans="1:8" s="5" customFormat="1" ht="78.75" hidden="1" outlineLevel="1" x14ac:dyDescent="0.25">
      <c r="A504" s="4">
        <v>217</v>
      </c>
      <c r="B504" s="6" t="s">
        <v>38</v>
      </c>
      <c r="C504" s="38" t="s">
        <v>3723</v>
      </c>
      <c r="D504" s="6">
        <v>2022</v>
      </c>
      <c r="E504" s="6" t="s">
        <v>21</v>
      </c>
      <c r="F504" s="4">
        <v>80</v>
      </c>
      <c r="G504" s="4">
        <v>15</v>
      </c>
      <c r="H504" s="4">
        <v>72</v>
      </c>
    </row>
    <row r="505" spans="1:8" s="5" customFormat="1" ht="47.25" hidden="1" outlineLevel="1" x14ac:dyDescent="0.25">
      <c r="A505" s="4">
        <v>213</v>
      </c>
      <c r="B505" s="6" t="s">
        <v>38</v>
      </c>
      <c r="C505" s="38" t="s">
        <v>3724</v>
      </c>
      <c r="D505" s="6">
        <v>2022</v>
      </c>
      <c r="E505" s="6" t="s">
        <v>21</v>
      </c>
      <c r="F505" s="4">
        <v>20</v>
      </c>
      <c r="G505" s="4">
        <v>15</v>
      </c>
      <c r="H505" s="4">
        <v>30</v>
      </c>
    </row>
    <row r="506" spans="1:8" s="5" customFormat="1" ht="63" hidden="1" outlineLevel="1" x14ac:dyDescent="0.25">
      <c r="A506" s="4">
        <v>223</v>
      </c>
      <c r="B506" s="6" t="s">
        <v>38</v>
      </c>
      <c r="C506" s="38" t="s">
        <v>3725</v>
      </c>
      <c r="D506" s="6">
        <v>2022</v>
      </c>
      <c r="E506" s="6" t="s">
        <v>21</v>
      </c>
      <c r="F506" s="4">
        <v>20</v>
      </c>
      <c r="G506" s="4">
        <v>15</v>
      </c>
      <c r="H506" s="4">
        <v>31</v>
      </c>
    </row>
    <row r="507" spans="1:8" s="5" customFormat="1" ht="47.25" hidden="1" outlineLevel="1" x14ac:dyDescent="0.25">
      <c r="A507" s="4">
        <v>215</v>
      </c>
      <c r="B507" s="6" t="s">
        <v>38</v>
      </c>
      <c r="C507" s="38" t="s">
        <v>3726</v>
      </c>
      <c r="D507" s="6">
        <v>2022</v>
      </c>
      <c r="E507" s="6" t="s">
        <v>21</v>
      </c>
      <c r="F507" s="4">
        <v>37</v>
      </c>
      <c r="G507" s="4">
        <v>15</v>
      </c>
      <c r="H507" s="4">
        <v>38</v>
      </c>
    </row>
    <row r="508" spans="1:8" s="5" customFormat="1" ht="47.25" hidden="1" outlineLevel="1" x14ac:dyDescent="0.25">
      <c r="A508" s="4">
        <v>144</v>
      </c>
      <c r="B508" s="6" t="s">
        <v>38</v>
      </c>
      <c r="C508" s="38" t="s">
        <v>3727</v>
      </c>
      <c r="D508" s="6">
        <v>2022</v>
      </c>
      <c r="E508" s="6" t="s">
        <v>21</v>
      </c>
      <c r="F508" s="4">
        <v>25</v>
      </c>
      <c r="G508" s="4">
        <v>15</v>
      </c>
      <c r="H508" s="4">
        <v>36</v>
      </c>
    </row>
    <row r="509" spans="1:8" s="5" customFormat="1" ht="78.75" hidden="1" outlineLevel="1" x14ac:dyDescent="0.25">
      <c r="A509" s="4">
        <v>135</v>
      </c>
      <c r="B509" s="6" t="s">
        <v>38</v>
      </c>
      <c r="C509" s="38" t="s">
        <v>3728</v>
      </c>
      <c r="D509" s="6">
        <v>2022</v>
      </c>
      <c r="E509" s="6" t="s">
        <v>21</v>
      </c>
      <c r="F509" s="4">
        <v>90</v>
      </c>
      <c r="G509" s="4">
        <v>15</v>
      </c>
      <c r="H509" s="4">
        <v>156</v>
      </c>
    </row>
    <row r="510" spans="1:8" s="5" customFormat="1" ht="78.75" hidden="1" outlineLevel="1" x14ac:dyDescent="0.25">
      <c r="A510" s="4">
        <v>142</v>
      </c>
      <c r="B510" s="6" t="s">
        <v>38</v>
      </c>
      <c r="C510" s="38" t="s">
        <v>3729</v>
      </c>
      <c r="D510" s="6">
        <v>2022</v>
      </c>
      <c r="E510" s="6" t="s">
        <v>21</v>
      </c>
      <c r="F510" s="4">
        <v>410</v>
      </c>
      <c r="G510" s="4">
        <v>15</v>
      </c>
      <c r="H510" s="4">
        <v>212</v>
      </c>
    </row>
    <row r="511" spans="1:8" s="5" customFormat="1" ht="63" hidden="1" outlineLevel="1" x14ac:dyDescent="0.25">
      <c r="A511" s="4">
        <v>183</v>
      </c>
      <c r="B511" s="6" t="s">
        <v>38</v>
      </c>
      <c r="C511" s="38" t="s">
        <v>3730</v>
      </c>
      <c r="D511" s="6">
        <v>2022</v>
      </c>
      <c r="E511" s="6" t="s">
        <v>21</v>
      </c>
      <c r="F511" s="4">
        <v>5</v>
      </c>
      <c r="G511" s="4">
        <v>15</v>
      </c>
      <c r="H511" s="4">
        <v>17</v>
      </c>
    </row>
    <row r="512" spans="1:8" s="5" customFormat="1" ht="110.25" hidden="1" outlineLevel="1" x14ac:dyDescent="0.25">
      <c r="A512" s="4">
        <v>126</v>
      </c>
      <c r="B512" s="6" t="s">
        <v>38</v>
      </c>
      <c r="C512" s="38" t="s">
        <v>3731</v>
      </c>
      <c r="D512" s="6">
        <v>2022</v>
      </c>
      <c r="E512" s="6" t="s">
        <v>21</v>
      </c>
      <c r="F512" s="4">
        <v>182</v>
      </c>
      <c r="G512" s="4">
        <v>30</v>
      </c>
      <c r="H512" s="4">
        <v>257</v>
      </c>
    </row>
    <row r="513" spans="1:8" s="5" customFormat="1" ht="78.75" hidden="1" outlineLevel="1" x14ac:dyDescent="0.25">
      <c r="A513" s="4">
        <v>127</v>
      </c>
      <c r="B513" s="6" t="s">
        <v>38</v>
      </c>
      <c r="C513" s="38" t="s">
        <v>3732</v>
      </c>
      <c r="D513" s="6">
        <v>2022</v>
      </c>
      <c r="E513" s="6" t="s">
        <v>21</v>
      </c>
      <c r="F513" s="4">
        <v>222</v>
      </c>
      <c r="G513" s="4">
        <v>15</v>
      </c>
      <c r="H513" s="4">
        <v>299</v>
      </c>
    </row>
    <row r="514" spans="1:8" s="5" customFormat="1" ht="47.25" hidden="1" outlineLevel="1" x14ac:dyDescent="0.25">
      <c r="A514" s="4">
        <v>104</v>
      </c>
      <c r="B514" s="6" t="s">
        <v>38</v>
      </c>
      <c r="C514" s="38" t="s">
        <v>3733</v>
      </c>
      <c r="D514" s="6">
        <v>2022</v>
      </c>
      <c r="E514" s="6" t="s">
        <v>21</v>
      </c>
      <c r="F514" s="4">
        <v>60</v>
      </c>
      <c r="G514" s="4">
        <v>30</v>
      </c>
      <c r="H514" s="4">
        <v>154</v>
      </c>
    </row>
    <row r="515" spans="1:8" s="5" customFormat="1" ht="63" hidden="1" outlineLevel="1" x14ac:dyDescent="0.25">
      <c r="A515" s="4">
        <v>105</v>
      </c>
      <c r="B515" s="6" t="s">
        <v>38</v>
      </c>
      <c r="C515" s="38" t="s">
        <v>3734</v>
      </c>
      <c r="D515" s="6">
        <v>2022</v>
      </c>
      <c r="E515" s="6" t="s">
        <v>21</v>
      </c>
      <c r="F515" s="4">
        <v>43</v>
      </c>
      <c r="G515" s="4">
        <v>15</v>
      </c>
      <c r="H515" s="4">
        <v>141</v>
      </c>
    </row>
    <row r="516" spans="1:8" s="5" customFormat="1" ht="63" hidden="1" outlineLevel="1" x14ac:dyDescent="0.25">
      <c r="A516" s="4">
        <v>103</v>
      </c>
      <c r="B516" s="6" t="s">
        <v>38</v>
      </c>
      <c r="C516" s="38" t="s">
        <v>3735</v>
      </c>
      <c r="D516" s="6">
        <v>2022</v>
      </c>
      <c r="E516" s="6" t="s">
        <v>21</v>
      </c>
      <c r="F516" s="4">
        <v>5</v>
      </c>
      <c r="G516" s="4">
        <v>15</v>
      </c>
      <c r="H516" s="4">
        <v>65</v>
      </c>
    </row>
    <row r="517" spans="1:8" s="5" customFormat="1" ht="63" hidden="1" outlineLevel="1" x14ac:dyDescent="0.25">
      <c r="A517" s="4">
        <v>102</v>
      </c>
      <c r="B517" s="6" t="s">
        <v>38</v>
      </c>
      <c r="C517" s="38" t="s">
        <v>3736</v>
      </c>
      <c r="D517" s="6">
        <v>2022</v>
      </c>
      <c r="E517" s="6" t="s">
        <v>21</v>
      </c>
      <c r="F517" s="4">
        <v>297</v>
      </c>
      <c r="G517" s="4">
        <v>15</v>
      </c>
      <c r="H517" s="4">
        <v>481</v>
      </c>
    </row>
    <row r="518" spans="1:8" s="5" customFormat="1" ht="63" hidden="1" outlineLevel="1" x14ac:dyDescent="0.25">
      <c r="A518" s="4">
        <v>15</v>
      </c>
      <c r="B518" s="6" t="s">
        <v>38</v>
      </c>
      <c r="C518" s="38" t="s">
        <v>3737</v>
      </c>
      <c r="D518" s="6">
        <v>2022</v>
      </c>
      <c r="E518" s="6" t="s">
        <v>21</v>
      </c>
      <c r="F518" s="4">
        <v>290</v>
      </c>
      <c r="G518" s="4">
        <v>15</v>
      </c>
      <c r="H518" s="4">
        <v>416</v>
      </c>
    </row>
    <row r="519" spans="1:8" s="5" customFormat="1" ht="78.75" hidden="1" outlineLevel="1" x14ac:dyDescent="0.25">
      <c r="A519" s="4">
        <v>16</v>
      </c>
      <c r="B519" s="6" t="s">
        <v>38</v>
      </c>
      <c r="C519" s="38" t="s">
        <v>3738</v>
      </c>
      <c r="D519" s="6">
        <v>2022</v>
      </c>
      <c r="E519" s="6" t="s">
        <v>21</v>
      </c>
      <c r="F519" s="4">
        <v>3</v>
      </c>
      <c r="G519" s="4">
        <v>15</v>
      </c>
      <c r="H519" s="4">
        <v>72</v>
      </c>
    </row>
    <row r="520" spans="1:8" s="5" customFormat="1" ht="78.75" hidden="1" outlineLevel="1" x14ac:dyDescent="0.25">
      <c r="A520" s="4">
        <v>106</v>
      </c>
      <c r="B520" s="6" t="s">
        <v>38</v>
      </c>
      <c r="C520" s="38" t="s">
        <v>3739</v>
      </c>
      <c r="D520" s="6">
        <v>2022</v>
      </c>
      <c r="E520" s="6" t="s">
        <v>21</v>
      </c>
      <c r="F520" s="4">
        <v>352</v>
      </c>
      <c r="G520" s="4">
        <v>45</v>
      </c>
      <c r="H520" s="4">
        <v>475</v>
      </c>
    </row>
    <row r="521" spans="1:8" s="5" customFormat="1" ht="63" hidden="1" outlineLevel="1" x14ac:dyDescent="0.25">
      <c r="A521" s="4">
        <v>101</v>
      </c>
      <c r="B521" s="6" t="s">
        <v>38</v>
      </c>
      <c r="C521" s="38" t="s">
        <v>3740</v>
      </c>
      <c r="D521" s="6">
        <v>2022</v>
      </c>
      <c r="E521" s="6" t="s">
        <v>21</v>
      </c>
      <c r="F521" s="4">
        <v>210</v>
      </c>
      <c r="G521" s="4">
        <v>15</v>
      </c>
      <c r="H521" s="4">
        <v>424</v>
      </c>
    </row>
    <row r="522" spans="1:8" s="5" customFormat="1" ht="63" hidden="1" outlineLevel="1" x14ac:dyDescent="0.25">
      <c r="A522" s="4">
        <v>22</v>
      </c>
      <c r="B522" s="6" t="s">
        <v>38</v>
      </c>
      <c r="C522" s="38" t="s">
        <v>3741</v>
      </c>
      <c r="D522" s="6">
        <v>2022</v>
      </c>
      <c r="E522" s="6" t="s">
        <v>21</v>
      </c>
      <c r="F522" s="4">
        <v>335</v>
      </c>
      <c r="G522" s="4">
        <v>15</v>
      </c>
      <c r="H522" s="4">
        <v>304</v>
      </c>
    </row>
    <row r="523" spans="1:8" s="5" customFormat="1" ht="63" hidden="1" outlineLevel="1" x14ac:dyDescent="0.25">
      <c r="A523" s="4">
        <v>29</v>
      </c>
      <c r="B523" s="6" t="s">
        <v>38</v>
      </c>
      <c r="C523" s="38" t="s">
        <v>3742</v>
      </c>
      <c r="D523" s="6">
        <v>2022</v>
      </c>
      <c r="E523" s="6" t="s">
        <v>21</v>
      </c>
      <c r="F523" s="4">
        <v>75</v>
      </c>
      <c r="G523" s="4">
        <v>45</v>
      </c>
      <c r="H523" s="4">
        <v>100</v>
      </c>
    </row>
    <row r="524" spans="1:8" s="5" customFormat="1" ht="47.25" hidden="1" outlineLevel="1" x14ac:dyDescent="0.25">
      <c r="A524" s="4">
        <v>18</v>
      </c>
      <c r="B524" s="6" t="s">
        <v>38</v>
      </c>
      <c r="C524" s="38" t="s">
        <v>3743</v>
      </c>
      <c r="D524" s="6">
        <v>2022</v>
      </c>
      <c r="E524" s="6" t="s">
        <v>21</v>
      </c>
      <c r="F524" s="4">
        <v>30</v>
      </c>
      <c r="G524" s="4">
        <v>150</v>
      </c>
      <c r="H524" s="4">
        <v>48</v>
      </c>
    </row>
    <row r="525" spans="1:8" s="5" customFormat="1" ht="78.75" hidden="1" outlineLevel="1" x14ac:dyDescent="0.25">
      <c r="A525" s="4">
        <v>37</v>
      </c>
      <c r="B525" s="6" t="s">
        <v>38</v>
      </c>
      <c r="C525" s="38" t="s">
        <v>3744</v>
      </c>
      <c r="D525" s="6">
        <v>2022</v>
      </c>
      <c r="E525" s="6" t="s">
        <v>21</v>
      </c>
      <c r="F525" s="4">
        <v>128</v>
      </c>
      <c r="G525" s="4">
        <v>150</v>
      </c>
      <c r="H525" s="4">
        <v>58</v>
      </c>
    </row>
    <row r="526" spans="1:8" s="5" customFormat="1" ht="63" hidden="1" outlineLevel="1" x14ac:dyDescent="0.25">
      <c r="A526" s="4">
        <v>21</v>
      </c>
      <c r="B526" s="6" t="s">
        <v>38</v>
      </c>
      <c r="C526" s="38" t="s">
        <v>3745</v>
      </c>
      <c r="D526" s="6">
        <v>2022</v>
      </c>
      <c r="E526" s="6" t="s">
        <v>21</v>
      </c>
      <c r="F526" s="4">
        <v>125</v>
      </c>
      <c r="G526" s="4">
        <v>15</v>
      </c>
      <c r="H526" s="4">
        <v>119</v>
      </c>
    </row>
    <row r="527" spans="1:8" s="5" customFormat="1" ht="47.25" hidden="1" outlineLevel="1" x14ac:dyDescent="0.25">
      <c r="A527" s="4">
        <v>35</v>
      </c>
      <c r="B527" s="6" t="s">
        <v>38</v>
      </c>
      <c r="C527" s="38" t="s">
        <v>3746</v>
      </c>
      <c r="D527" s="6">
        <v>2022</v>
      </c>
      <c r="E527" s="6" t="s">
        <v>21</v>
      </c>
      <c r="F527" s="4">
        <v>210</v>
      </c>
      <c r="G527" s="4">
        <v>60</v>
      </c>
      <c r="H527" s="4">
        <v>133</v>
      </c>
    </row>
    <row r="528" spans="1:8" s="5" customFormat="1" ht="63" hidden="1" outlineLevel="1" x14ac:dyDescent="0.25">
      <c r="A528" s="4">
        <v>40</v>
      </c>
      <c r="B528" s="6" t="s">
        <v>38</v>
      </c>
      <c r="C528" s="38" t="s">
        <v>3747</v>
      </c>
      <c r="D528" s="6">
        <v>2022</v>
      </c>
      <c r="E528" s="6" t="s">
        <v>21</v>
      </c>
      <c r="F528" s="4">
        <v>82</v>
      </c>
      <c r="G528" s="4">
        <v>15</v>
      </c>
      <c r="H528" s="4">
        <v>82</v>
      </c>
    </row>
    <row r="529" spans="1:8" s="5" customFormat="1" ht="78.75" hidden="1" outlineLevel="1" x14ac:dyDescent="0.25">
      <c r="A529" s="4">
        <v>41</v>
      </c>
      <c r="B529" s="6" t="s">
        <v>38</v>
      </c>
      <c r="C529" s="38" t="s">
        <v>3748</v>
      </c>
      <c r="D529" s="6">
        <v>2022</v>
      </c>
      <c r="E529" s="6" t="s">
        <v>21</v>
      </c>
      <c r="F529" s="4">
        <v>120</v>
      </c>
      <c r="G529" s="4">
        <v>15</v>
      </c>
      <c r="H529" s="4">
        <v>149</v>
      </c>
    </row>
    <row r="530" spans="1:8" s="5" customFormat="1" ht="63" hidden="1" outlineLevel="1" x14ac:dyDescent="0.25">
      <c r="A530" s="4">
        <v>19</v>
      </c>
      <c r="B530" s="6" t="s">
        <v>38</v>
      </c>
      <c r="C530" s="38" t="s">
        <v>3749</v>
      </c>
      <c r="D530" s="6">
        <v>2022</v>
      </c>
      <c r="E530" s="6" t="s">
        <v>21</v>
      </c>
      <c r="F530" s="4">
        <v>150</v>
      </c>
      <c r="G530" s="4">
        <v>35</v>
      </c>
      <c r="H530" s="4">
        <v>64</v>
      </c>
    </row>
    <row r="531" spans="1:8" s="5" customFormat="1" ht="63" hidden="1" outlineLevel="1" x14ac:dyDescent="0.25">
      <c r="A531" s="4">
        <v>23</v>
      </c>
      <c r="B531" s="6" t="s">
        <v>38</v>
      </c>
      <c r="C531" s="38" t="s">
        <v>3750</v>
      </c>
      <c r="D531" s="6">
        <v>2022</v>
      </c>
      <c r="E531" s="6" t="s">
        <v>21</v>
      </c>
      <c r="F531" s="4">
        <v>237</v>
      </c>
      <c r="G531" s="4">
        <v>15</v>
      </c>
      <c r="H531" s="4">
        <v>242</v>
      </c>
    </row>
    <row r="532" spans="1:8" s="5" customFormat="1" ht="78.75" hidden="1" outlineLevel="1" x14ac:dyDescent="0.25">
      <c r="A532" s="4">
        <v>25</v>
      </c>
      <c r="B532" s="6" t="s">
        <v>38</v>
      </c>
      <c r="C532" s="38" t="s">
        <v>3751</v>
      </c>
      <c r="D532" s="6">
        <v>2022</v>
      </c>
      <c r="E532" s="6" t="s">
        <v>21</v>
      </c>
      <c r="F532" s="4">
        <v>73</v>
      </c>
      <c r="G532" s="4">
        <v>100</v>
      </c>
      <c r="H532" s="4">
        <v>41</v>
      </c>
    </row>
    <row r="533" spans="1:8" s="5" customFormat="1" ht="47.25" hidden="1" outlineLevel="1" x14ac:dyDescent="0.25">
      <c r="A533" s="4">
        <v>47</v>
      </c>
      <c r="B533" s="6" t="s">
        <v>38</v>
      </c>
      <c r="C533" s="38" t="s">
        <v>3752</v>
      </c>
      <c r="D533" s="6">
        <v>2022</v>
      </c>
      <c r="E533" s="6" t="s">
        <v>21</v>
      </c>
      <c r="F533" s="4">
        <v>30</v>
      </c>
      <c r="G533" s="4">
        <v>40</v>
      </c>
      <c r="H533" s="4">
        <v>48</v>
      </c>
    </row>
    <row r="534" spans="1:8" s="5" customFormat="1" ht="47.25" hidden="1" outlineLevel="1" x14ac:dyDescent="0.25">
      <c r="A534" s="4">
        <v>45</v>
      </c>
      <c r="B534" s="6" t="s">
        <v>38</v>
      </c>
      <c r="C534" s="38" t="s">
        <v>3753</v>
      </c>
      <c r="D534" s="6">
        <v>2022</v>
      </c>
      <c r="E534" s="6" t="s">
        <v>21</v>
      </c>
      <c r="F534" s="4">
        <v>30</v>
      </c>
      <c r="G534" s="4">
        <v>100</v>
      </c>
      <c r="H534" s="4">
        <v>50</v>
      </c>
    </row>
    <row r="535" spans="1:8" s="5" customFormat="1" ht="47.25" hidden="1" outlineLevel="1" x14ac:dyDescent="0.25">
      <c r="A535" s="4">
        <v>43</v>
      </c>
      <c r="B535" s="6" t="s">
        <v>38</v>
      </c>
      <c r="C535" s="38" t="s">
        <v>3754</v>
      </c>
      <c r="D535" s="6">
        <v>2022</v>
      </c>
      <c r="E535" s="6" t="s">
        <v>21</v>
      </c>
      <c r="F535" s="4">
        <v>35</v>
      </c>
      <c r="G535" s="4">
        <v>15</v>
      </c>
      <c r="H535" s="4">
        <v>30</v>
      </c>
    </row>
    <row r="536" spans="1:8" s="5" customFormat="1" ht="63" hidden="1" outlineLevel="1" x14ac:dyDescent="0.25">
      <c r="A536" s="4">
        <v>20</v>
      </c>
      <c r="B536" s="6" t="s">
        <v>38</v>
      </c>
      <c r="C536" s="38" t="s">
        <v>3755</v>
      </c>
      <c r="D536" s="6">
        <v>2022</v>
      </c>
      <c r="E536" s="6" t="s">
        <v>21</v>
      </c>
      <c r="F536" s="4">
        <v>50</v>
      </c>
      <c r="G536" s="4">
        <v>15</v>
      </c>
      <c r="H536" s="4">
        <v>62</v>
      </c>
    </row>
    <row r="537" spans="1:8" s="5" customFormat="1" ht="63" hidden="1" outlineLevel="1" x14ac:dyDescent="0.25">
      <c r="A537" s="4">
        <v>33</v>
      </c>
      <c r="B537" s="6" t="s">
        <v>38</v>
      </c>
      <c r="C537" s="38" t="s">
        <v>3756</v>
      </c>
      <c r="D537" s="6">
        <v>2022</v>
      </c>
      <c r="E537" s="6" t="s">
        <v>21</v>
      </c>
      <c r="F537" s="4">
        <v>50</v>
      </c>
      <c r="G537" s="4">
        <v>15</v>
      </c>
      <c r="H537" s="4">
        <v>59</v>
      </c>
    </row>
    <row r="538" spans="1:8" s="5" customFormat="1" ht="63" hidden="1" outlineLevel="1" x14ac:dyDescent="0.25">
      <c r="A538" s="4">
        <v>38</v>
      </c>
      <c r="B538" s="6" t="s">
        <v>38</v>
      </c>
      <c r="C538" s="38" t="s">
        <v>3757</v>
      </c>
      <c r="D538" s="6">
        <v>2022</v>
      </c>
      <c r="E538" s="6" t="s">
        <v>21</v>
      </c>
      <c r="F538" s="4">
        <v>40</v>
      </c>
      <c r="G538" s="4">
        <v>6</v>
      </c>
      <c r="H538" s="4">
        <v>56</v>
      </c>
    </row>
    <row r="539" spans="1:8" s="5" customFormat="1" ht="63" hidden="1" outlineLevel="1" x14ac:dyDescent="0.25">
      <c r="A539" s="4">
        <v>107</v>
      </c>
      <c r="B539" s="6" t="s">
        <v>38</v>
      </c>
      <c r="C539" s="38" t="s">
        <v>3758</v>
      </c>
      <c r="D539" s="6">
        <v>2022</v>
      </c>
      <c r="E539" s="6" t="s">
        <v>21</v>
      </c>
      <c r="F539" s="4">
        <v>210</v>
      </c>
      <c r="G539" s="4">
        <v>15</v>
      </c>
      <c r="H539" s="4">
        <v>163</v>
      </c>
    </row>
    <row r="540" spans="1:8" s="5" customFormat="1" ht="47.25" hidden="1" outlineLevel="1" x14ac:dyDescent="0.25">
      <c r="A540" s="4">
        <v>28</v>
      </c>
      <c r="B540" s="6" t="s">
        <v>38</v>
      </c>
      <c r="C540" s="38" t="s">
        <v>3759</v>
      </c>
      <c r="D540" s="6">
        <v>2022</v>
      </c>
      <c r="E540" s="6" t="s">
        <v>21</v>
      </c>
      <c r="F540" s="4">
        <v>30</v>
      </c>
      <c r="G540" s="4">
        <v>5</v>
      </c>
      <c r="H540" s="4">
        <v>59</v>
      </c>
    </row>
    <row r="541" spans="1:8" s="5" customFormat="1" ht="47.25" hidden="1" outlineLevel="1" x14ac:dyDescent="0.25">
      <c r="A541" s="4">
        <v>39</v>
      </c>
      <c r="B541" s="6" t="s">
        <v>38</v>
      </c>
      <c r="C541" s="38" t="s">
        <v>3760</v>
      </c>
      <c r="D541" s="6">
        <v>2022</v>
      </c>
      <c r="E541" s="6" t="s">
        <v>21</v>
      </c>
      <c r="F541" s="4">
        <v>20</v>
      </c>
      <c r="G541" s="4">
        <v>15</v>
      </c>
      <c r="H541" s="4">
        <v>41</v>
      </c>
    </row>
    <row r="542" spans="1:8" s="5" customFormat="1" ht="78.75" hidden="1" outlineLevel="1" x14ac:dyDescent="0.25">
      <c r="A542" s="4">
        <v>24</v>
      </c>
      <c r="B542" s="6" t="s">
        <v>38</v>
      </c>
      <c r="C542" s="38" t="s">
        <v>3761</v>
      </c>
      <c r="D542" s="6">
        <v>2022</v>
      </c>
      <c r="E542" s="6" t="s">
        <v>21</v>
      </c>
      <c r="F542" s="4">
        <v>30</v>
      </c>
      <c r="G542" s="4">
        <v>3</v>
      </c>
      <c r="H542" s="4">
        <v>27</v>
      </c>
    </row>
    <row r="543" spans="1:8" s="5" customFormat="1" ht="78.75" hidden="1" outlineLevel="1" x14ac:dyDescent="0.25">
      <c r="A543" s="4">
        <v>31</v>
      </c>
      <c r="B543" s="6" t="s">
        <v>38</v>
      </c>
      <c r="C543" s="38" t="s">
        <v>3762</v>
      </c>
      <c r="D543" s="6">
        <v>2022</v>
      </c>
      <c r="E543" s="6" t="s">
        <v>21</v>
      </c>
      <c r="F543" s="4">
        <v>60</v>
      </c>
      <c r="G543" s="4">
        <v>7</v>
      </c>
      <c r="H543" s="4">
        <v>76</v>
      </c>
    </row>
    <row r="544" spans="1:8" s="5" customFormat="1" ht="78.75" hidden="1" outlineLevel="1" x14ac:dyDescent="0.25">
      <c r="A544" s="4">
        <v>129</v>
      </c>
      <c r="B544" s="6" t="s">
        <v>38</v>
      </c>
      <c r="C544" s="38" t="s">
        <v>3763</v>
      </c>
      <c r="D544" s="6">
        <v>2022</v>
      </c>
      <c r="E544" s="6" t="s">
        <v>21</v>
      </c>
      <c r="F544" s="4">
        <v>657</v>
      </c>
      <c r="G544" s="4">
        <v>16</v>
      </c>
      <c r="H544" s="4">
        <v>507</v>
      </c>
    </row>
    <row r="545" spans="1:8" s="5" customFormat="1" ht="63" hidden="1" outlineLevel="1" x14ac:dyDescent="0.25">
      <c r="A545" s="4">
        <v>136</v>
      </c>
      <c r="B545" s="6" t="s">
        <v>38</v>
      </c>
      <c r="C545" s="38" t="s">
        <v>3764</v>
      </c>
      <c r="D545" s="6">
        <v>2022</v>
      </c>
      <c r="E545" s="6" t="s">
        <v>21</v>
      </c>
      <c r="F545" s="4">
        <v>228</v>
      </c>
      <c r="G545" s="4">
        <v>75</v>
      </c>
      <c r="H545" s="4">
        <v>258</v>
      </c>
    </row>
    <row r="546" spans="1:8" s="5" customFormat="1" ht="63" hidden="1" outlineLevel="1" x14ac:dyDescent="0.25">
      <c r="A546" s="4">
        <v>94</v>
      </c>
      <c r="B546" s="6" t="s">
        <v>38</v>
      </c>
      <c r="C546" s="38" t="s">
        <v>3765</v>
      </c>
      <c r="D546" s="6">
        <v>2022</v>
      </c>
      <c r="E546" s="6" t="s">
        <v>21</v>
      </c>
      <c r="F546" s="4">
        <v>15</v>
      </c>
      <c r="G546" s="4">
        <v>7.5</v>
      </c>
      <c r="H546" s="4">
        <v>25</v>
      </c>
    </row>
    <row r="547" spans="1:8" s="5" customFormat="1" ht="63" hidden="1" outlineLevel="1" x14ac:dyDescent="0.25">
      <c r="A547" s="4">
        <v>42</v>
      </c>
      <c r="B547" s="6" t="s">
        <v>38</v>
      </c>
      <c r="C547" s="38" t="s">
        <v>3766</v>
      </c>
      <c r="D547" s="6">
        <v>2022</v>
      </c>
      <c r="E547" s="6" t="s">
        <v>21</v>
      </c>
      <c r="F547" s="4">
        <v>1060</v>
      </c>
      <c r="G547" s="4">
        <v>15</v>
      </c>
      <c r="H547" s="4">
        <v>619</v>
      </c>
    </row>
    <row r="548" spans="1:8" s="5" customFormat="1" ht="63" hidden="1" outlineLevel="1" x14ac:dyDescent="0.25">
      <c r="A548" s="4">
        <v>91</v>
      </c>
      <c r="B548" s="6" t="s">
        <v>38</v>
      </c>
      <c r="C548" s="38" t="s">
        <v>3767</v>
      </c>
      <c r="D548" s="6">
        <v>2022</v>
      </c>
      <c r="E548" s="6" t="s">
        <v>21</v>
      </c>
      <c r="F548" s="4">
        <v>30</v>
      </c>
      <c r="G548" s="4">
        <v>5</v>
      </c>
      <c r="H548" s="4">
        <v>46</v>
      </c>
    </row>
    <row r="549" spans="1:8" s="5" customFormat="1" ht="63" hidden="1" outlineLevel="1" x14ac:dyDescent="0.25">
      <c r="A549" s="4">
        <v>46</v>
      </c>
      <c r="B549" s="6" t="s">
        <v>38</v>
      </c>
      <c r="C549" s="38" t="s">
        <v>3768</v>
      </c>
      <c r="D549" s="6">
        <v>2022</v>
      </c>
      <c r="E549" s="6" t="s">
        <v>21</v>
      </c>
      <c r="F549" s="4">
        <v>30</v>
      </c>
      <c r="G549" s="4">
        <v>50</v>
      </c>
      <c r="H549" s="4">
        <v>54</v>
      </c>
    </row>
    <row r="550" spans="1:8" s="5" customFormat="1" ht="47.25" hidden="1" outlineLevel="1" x14ac:dyDescent="0.25">
      <c r="A550" s="4">
        <v>44</v>
      </c>
      <c r="B550" s="6" t="s">
        <v>38</v>
      </c>
      <c r="C550" s="38" t="s">
        <v>3769</v>
      </c>
      <c r="D550" s="6">
        <v>2022</v>
      </c>
      <c r="E550" s="6" t="s">
        <v>21</v>
      </c>
      <c r="F550" s="4">
        <v>285</v>
      </c>
      <c r="G550" s="4">
        <v>30</v>
      </c>
      <c r="H550" s="4">
        <v>194</v>
      </c>
    </row>
    <row r="551" spans="1:8" s="5" customFormat="1" ht="78.75" hidden="1" outlineLevel="1" x14ac:dyDescent="0.25">
      <c r="A551" s="4">
        <v>92</v>
      </c>
      <c r="B551" s="6" t="s">
        <v>38</v>
      </c>
      <c r="C551" s="38" t="s">
        <v>3770</v>
      </c>
      <c r="D551" s="6">
        <v>2022</v>
      </c>
      <c r="E551" s="6" t="s">
        <v>21</v>
      </c>
      <c r="F551" s="4">
        <v>20</v>
      </c>
      <c r="G551" s="4">
        <v>6</v>
      </c>
      <c r="H551" s="4">
        <v>40</v>
      </c>
    </row>
    <row r="552" spans="1:8" s="5" customFormat="1" ht="47.25" hidden="1" outlineLevel="1" x14ac:dyDescent="0.25">
      <c r="A552" s="4">
        <v>76</v>
      </c>
      <c r="B552" s="6" t="s">
        <v>38</v>
      </c>
      <c r="C552" s="38" t="s">
        <v>3771</v>
      </c>
      <c r="D552" s="6">
        <v>2022</v>
      </c>
      <c r="E552" s="6" t="s">
        <v>21</v>
      </c>
      <c r="F552" s="4">
        <v>35</v>
      </c>
      <c r="G552" s="4">
        <v>15</v>
      </c>
      <c r="H552" s="4">
        <v>48</v>
      </c>
    </row>
    <row r="553" spans="1:8" s="5" customFormat="1" ht="78.75" hidden="1" outlineLevel="1" x14ac:dyDescent="0.25">
      <c r="A553" s="4">
        <v>34</v>
      </c>
      <c r="B553" s="6" t="s">
        <v>38</v>
      </c>
      <c r="C553" s="38" t="s">
        <v>3772</v>
      </c>
      <c r="D553" s="6">
        <v>2022</v>
      </c>
      <c r="E553" s="6" t="s">
        <v>21</v>
      </c>
      <c r="F553" s="4">
        <v>120</v>
      </c>
      <c r="G553" s="4">
        <v>15</v>
      </c>
      <c r="H553" s="4">
        <v>76</v>
      </c>
    </row>
    <row r="554" spans="1:8" s="5" customFormat="1" ht="47.25" hidden="1" outlineLevel="1" x14ac:dyDescent="0.25">
      <c r="A554" s="4">
        <v>36</v>
      </c>
      <c r="B554" s="6" t="s">
        <v>38</v>
      </c>
      <c r="C554" s="38" t="s">
        <v>3773</v>
      </c>
      <c r="D554" s="6">
        <v>2022</v>
      </c>
      <c r="E554" s="6" t="s">
        <v>21</v>
      </c>
      <c r="F554" s="4">
        <v>40</v>
      </c>
      <c r="G554" s="4">
        <v>15</v>
      </c>
      <c r="H554" s="4">
        <v>38</v>
      </c>
    </row>
    <row r="555" spans="1:8" s="5" customFormat="1" ht="63" hidden="1" outlineLevel="1" x14ac:dyDescent="0.25">
      <c r="A555" s="4">
        <v>93</v>
      </c>
      <c r="B555" s="6" t="s">
        <v>38</v>
      </c>
      <c r="C555" s="38" t="s">
        <v>3774</v>
      </c>
      <c r="D555" s="6">
        <v>2022</v>
      </c>
      <c r="E555" s="6" t="s">
        <v>21</v>
      </c>
      <c r="F555" s="4">
        <v>20</v>
      </c>
      <c r="G555" s="4">
        <v>15</v>
      </c>
      <c r="H555" s="4">
        <v>39</v>
      </c>
    </row>
    <row r="556" spans="1:8" s="5" customFormat="1" ht="63" hidden="1" outlineLevel="1" x14ac:dyDescent="0.25">
      <c r="A556" s="4">
        <v>120</v>
      </c>
      <c r="B556" s="6" t="s">
        <v>38</v>
      </c>
      <c r="C556" s="38" t="s">
        <v>3775</v>
      </c>
      <c r="D556" s="6">
        <v>2022</v>
      </c>
      <c r="E556" s="6" t="s">
        <v>21</v>
      </c>
      <c r="F556" s="4">
        <v>3</v>
      </c>
      <c r="G556" s="4">
        <v>150</v>
      </c>
      <c r="H556" s="4">
        <v>34</v>
      </c>
    </row>
    <row r="557" spans="1:8" s="5" customFormat="1" ht="63" hidden="1" outlineLevel="1" x14ac:dyDescent="0.25">
      <c r="A557" s="4">
        <v>109</v>
      </c>
      <c r="B557" s="6" t="s">
        <v>38</v>
      </c>
      <c r="C557" s="38" t="s">
        <v>3776</v>
      </c>
      <c r="D557" s="6">
        <v>2022</v>
      </c>
      <c r="E557" s="6" t="s">
        <v>21</v>
      </c>
      <c r="F557" s="4">
        <v>30</v>
      </c>
      <c r="G557" s="4">
        <v>15</v>
      </c>
      <c r="H557" s="4">
        <v>59</v>
      </c>
    </row>
    <row r="558" spans="1:8" s="5" customFormat="1" ht="78.75" hidden="1" outlineLevel="1" x14ac:dyDescent="0.25">
      <c r="A558" s="4">
        <v>30</v>
      </c>
      <c r="B558" s="6" t="s">
        <v>38</v>
      </c>
      <c r="C558" s="38" t="s">
        <v>3777</v>
      </c>
      <c r="D558" s="6">
        <v>2022</v>
      </c>
      <c r="E558" s="6" t="s">
        <v>21</v>
      </c>
      <c r="F558" s="4">
        <v>130</v>
      </c>
      <c r="G558" s="4">
        <v>15</v>
      </c>
      <c r="H558" s="4">
        <v>146</v>
      </c>
    </row>
    <row r="559" spans="1:8" s="5" customFormat="1" ht="63" hidden="1" outlineLevel="1" x14ac:dyDescent="0.25">
      <c r="A559" s="4">
        <v>90</v>
      </c>
      <c r="B559" s="6" t="s">
        <v>38</v>
      </c>
      <c r="C559" s="38" t="s">
        <v>3778</v>
      </c>
      <c r="D559" s="6">
        <v>2022</v>
      </c>
      <c r="E559" s="6" t="s">
        <v>21</v>
      </c>
      <c r="F559" s="4">
        <v>30</v>
      </c>
      <c r="G559" s="4">
        <v>15</v>
      </c>
      <c r="H559" s="4">
        <v>46</v>
      </c>
    </row>
    <row r="560" spans="1:8" s="5" customFormat="1" ht="63" hidden="1" outlineLevel="1" x14ac:dyDescent="0.25">
      <c r="A560" s="4">
        <v>32</v>
      </c>
      <c r="B560" s="6" t="s">
        <v>38</v>
      </c>
      <c r="C560" s="38" t="s">
        <v>3779</v>
      </c>
      <c r="D560" s="6">
        <v>2022</v>
      </c>
      <c r="E560" s="6" t="s">
        <v>21</v>
      </c>
      <c r="F560" s="4">
        <v>45</v>
      </c>
      <c r="G560" s="4">
        <v>15</v>
      </c>
      <c r="H560" s="4">
        <v>70</v>
      </c>
    </row>
    <row r="561" spans="1:8" s="5" customFormat="1" ht="63" hidden="1" outlineLevel="1" x14ac:dyDescent="0.25">
      <c r="A561" s="4">
        <v>249</v>
      </c>
      <c r="B561" s="6" t="s">
        <v>38</v>
      </c>
      <c r="C561" s="38" t="s">
        <v>3780</v>
      </c>
      <c r="D561" s="6">
        <v>2022</v>
      </c>
      <c r="E561" s="6" t="s">
        <v>21</v>
      </c>
      <c r="F561" s="4">
        <v>308</v>
      </c>
      <c r="G561" s="4">
        <v>15</v>
      </c>
      <c r="H561" s="4">
        <v>752</v>
      </c>
    </row>
    <row r="562" spans="1:8" s="5" customFormat="1" ht="63" hidden="1" outlineLevel="1" x14ac:dyDescent="0.25">
      <c r="A562" s="4">
        <v>148</v>
      </c>
      <c r="B562" s="6" t="s">
        <v>38</v>
      </c>
      <c r="C562" s="38" t="s">
        <v>3781</v>
      </c>
      <c r="D562" s="6">
        <v>2022</v>
      </c>
      <c r="E562" s="6" t="s">
        <v>21</v>
      </c>
      <c r="F562" s="4">
        <v>300</v>
      </c>
      <c r="G562" s="4">
        <v>56</v>
      </c>
      <c r="H562" s="4">
        <v>332</v>
      </c>
    </row>
    <row r="563" spans="1:8" s="5" customFormat="1" ht="78.75" hidden="1" outlineLevel="1" x14ac:dyDescent="0.25">
      <c r="A563" s="4">
        <v>221</v>
      </c>
      <c r="B563" s="6" t="s">
        <v>38</v>
      </c>
      <c r="C563" s="38" t="s">
        <v>3782</v>
      </c>
      <c r="D563" s="6">
        <v>2022</v>
      </c>
      <c r="E563" s="6" t="s">
        <v>21</v>
      </c>
      <c r="F563" s="4">
        <v>30</v>
      </c>
      <c r="G563" s="4">
        <v>6</v>
      </c>
      <c r="H563" s="4">
        <v>56</v>
      </c>
    </row>
    <row r="564" spans="1:8" s="5" customFormat="1" ht="63" hidden="1" outlineLevel="1" x14ac:dyDescent="0.25">
      <c r="A564" s="4">
        <v>211</v>
      </c>
      <c r="B564" s="6" t="s">
        <v>38</v>
      </c>
      <c r="C564" s="38" t="s">
        <v>3783</v>
      </c>
      <c r="D564" s="6">
        <v>2022</v>
      </c>
      <c r="E564" s="6" t="s">
        <v>21</v>
      </c>
      <c r="F564" s="4">
        <v>35</v>
      </c>
      <c r="G564" s="4">
        <v>15</v>
      </c>
      <c r="H564" s="4">
        <v>35</v>
      </c>
    </row>
    <row r="565" spans="1:8" s="5" customFormat="1" ht="78.75" hidden="1" outlineLevel="1" x14ac:dyDescent="0.25">
      <c r="A565" s="4">
        <v>170</v>
      </c>
      <c r="B565" s="6" t="s">
        <v>38</v>
      </c>
      <c r="C565" s="38" t="s">
        <v>3784</v>
      </c>
      <c r="D565" s="6">
        <v>2022</v>
      </c>
      <c r="E565" s="6" t="s">
        <v>21</v>
      </c>
      <c r="F565" s="4">
        <v>165</v>
      </c>
      <c r="G565" s="4">
        <v>15</v>
      </c>
      <c r="H565" s="4">
        <v>129</v>
      </c>
    </row>
    <row r="566" spans="1:8" s="5" customFormat="1" ht="47.25" hidden="1" outlineLevel="1" x14ac:dyDescent="0.25">
      <c r="A566" s="4">
        <v>195</v>
      </c>
      <c r="B566" s="6" t="s">
        <v>38</v>
      </c>
      <c r="C566" s="38" t="s">
        <v>3785</v>
      </c>
      <c r="D566" s="6">
        <v>2022</v>
      </c>
      <c r="E566" s="6" t="s">
        <v>21</v>
      </c>
      <c r="F566" s="4">
        <v>90</v>
      </c>
      <c r="G566" s="4">
        <v>15</v>
      </c>
      <c r="H566" s="4">
        <v>63</v>
      </c>
    </row>
    <row r="567" spans="1:8" s="5" customFormat="1" ht="47.25" hidden="1" outlineLevel="1" x14ac:dyDescent="0.25">
      <c r="A567" s="4">
        <v>220</v>
      </c>
      <c r="B567" s="6" t="s">
        <v>38</v>
      </c>
      <c r="C567" s="38" t="s">
        <v>3786</v>
      </c>
      <c r="D567" s="6">
        <v>2022</v>
      </c>
      <c r="E567" s="6" t="s">
        <v>21</v>
      </c>
      <c r="F567" s="4">
        <v>35</v>
      </c>
      <c r="G567" s="4">
        <v>15</v>
      </c>
      <c r="H567" s="4">
        <v>56</v>
      </c>
    </row>
    <row r="568" spans="1:8" s="5" customFormat="1" ht="63" hidden="1" outlineLevel="1" x14ac:dyDescent="0.25">
      <c r="A568" s="4">
        <v>216</v>
      </c>
      <c r="B568" s="6" t="s">
        <v>38</v>
      </c>
      <c r="C568" s="38" t="s">
        <v>3787</v>
      </c>
      <c r="D568" s="6">
        <v>2022</v>
      </c>
      <c r="E568" s="6" t="s">
        <v>21</v>
      </c>
      <c r="F568" s="4">
        <v>35</v>
      </c>
      <c r="G568" s="4">
        <v>15</v>
      </c>
      <c r="H568" s="4">
        <v>56</v>
      </c>
    </row>
    <row r="569" spans="1:8" s="5" customFormat="1" ht="78.75" hidden="1" outlineLevel="1" x14ac:dyDescent="0.25">
      <c r="A569" s="4">
        <v>177</v>
      </c>
      <c r="B569" s="6" t="s">
        <v>38</v>
      </c>
      <c r="C569" s="38" t="s">
        <v>3788</v>
      </c>
      <c r="D569" s="6">
        <v>2022</v>
      </c>
      <c r="E569" s="6" t="s">
        <v>21</v>
      </c>
      <c r="F569" s="4">
        <v>140</v>
      </c>
      <c r="G569" s="4">
        <v>180</v>
      </c>
      <c r="H569" s="4">
        <v>41</v>
      </c>
    </row>
    <row r="570" spans="1:8" s="5" customFormat="1" ht="63" hidden="1" outlineLevel="1" x14ac:dyDescent="0.25">
      <c r="A570" s="4">
        <v>171</v>
      </c>
      <c r="B570" s="6" t="s">
        <v>38</v>
      </c>
      <c r="C570" s="38" t="s">
        <v>3789</v>
      </c>
      <c r="D570" s="6">
        <v>2022</v>
      </c>
      <c r="E570" s="6" t="s">
        <v>21</v>
      </c>
      <c r="F570" s="4">
        <v>140</v>
      </c>
      <c r="G570" s="4">
        <v>100</v>
      </c>
      <c r="H570" s="4">
        <v>81</v>
      </c>
    </row>
    <row r="571" spans="1:8" s="5" customFormat="1" ht="63" hidden="1" outlineLevel="1" x14ac:dyDescent="0.25">
      <c r="A571" s="4">
        <v>137</v>
      </c>
      <c r="B571" s="6" t="s">
        <v>38</v>
      </c>
      <c r="C571" s="38" t="s">
        <v>3790</v>
      </c>
      <c r="D571" s="6">
        <v>2022</v>
      </c>
      <c r="E571" s="6" t="s">
        <v>21</v>
      </c>
      <c r="F571" s="4">
        <v>68</v>
      </c>
      <c r="G571" s="4">
        <v>58</v>
      </c>
      <c r="H571" s="4">
        <v>99</v>
      </c>
    </row>
    <row r="572" spans="1:8" s="5" customFormat="1" ht="47.25" hidden="1" outlineLevel="1" x14ac:dyDescent="0.25">
      <c r="A572" s="4">
        <v>200</v>
      </c>
      <c r="B572" s="6" t="s">
        <v>38</v>
      </c>
      <c r="C572" s="38" t="s">
        <v>3791</v>
      </c>
      <c r="D572" s="6">
        <v>2022</v>
      </c>
      <c r="E572" s="6" t="s">
        <v>21</v>
      </c>
      <c r="F572" s="4">
        <v>20</v>
      </c>
      <c r="G572" s="4">
        <v>50</v>
      </c>
      <c r="H572" s="4">
        <v>17</v>
      </c>
    </row>
    <row r="573" spans="1:8" s="5" customFormat="1" ht="47.25" hidden="1" outlineLevel="1" x14ac:dyDescent="0.25">
      <c r="A573" s="4">
        <v>192</v>
      </c>
      <c r="B573" s="6" t="s">
        <v>38</v>
      </c>
      <c r="C573" s="38" t="s">
        <v>3792</v>
      </c>
      <c r="D573" s="6">
        <v>2022</v>
      </c>
      <c r="E573" s="6" t="s">
        <v>21</v>
      </c>
      <c r="F573" s="4">
        <v>240</v>
      </c>
      <c r="G573" s="4">
        <v>25</v>
      </c>
      <c r="H573" s="4">
        <v>125</v>
      </c>
    </row>
    <row r="574" spans="1:8" s="5" customFormat="1" ht="63" hidden="1" outlineLevel="1" x14ac:dyDescent="0.25">
      <c r="A574" s="4">
        <v>172</v>
      </c>
      <c r="B574" s="6" t="s">
        <v>38</v>
      </c>
      <c r="C574" s="38" t="s">
        <v>3793</v>
      </c>
      <c r="D574" s="6">
        <v>2022</v>
      </c>
      <c r="E574" s="6" t="s">
        <v>21</v>
      </c>
      <c r="F574" s="4">
        <v>220</v>
      </c>
      <c r="G574" s="4">
        <v>15</v>
      </c>
      <c r="H574" s="4">
        <v>103</v>
      </c>
    </row>
    <row r="575" spans="1:8" s="5" customFormat="1" ht="63" hidden="1" outlineLevel="1" x14ac:dyDescent="0.25">
      <c r="A575" s="4">
        <v>182</v>
      </c>
      <c r="B575" s="6" t="s">
        <v>38</v>
      </c>
      <c r="C575" s="38" t="s">
        <v>3794</v>
      </c>
      <c r="D575" s="6">
        <v>2022</v>
      </c>
      <c r="E575" s="6" t="s">
        <v>21</v>
      </c>
      <c r="F575" s="4">
        <v>150</v>
      </c>
      <c r="G575" s="4">
        <v>15</v>
      </c>
      <c r="H575" s="4">
        <v>164</v>
      </c>
    </row>
    <row r="576" spans="1:8" s="5" customFormat="1" ht="63" hidden="1" outlineLevel="1" x14ac:dyDescent="0.25">
      <c r="A576" s="4">
        <v>283</v>
      </c>
      <c r="B576" s="6" t="s">
        <v>38</v>
      </c>
      <c r="C576" s="38" t="s">
        <v>3795</v>
      </c>
      <c r="D576" s="6">
        <v>2022</v>
      </c>
      <c r="E576" s="6" t="s">
        <v>21</v>
      </c>
      <c r="F576" s="4">
        <v>665</v>
      </c>
      <c r="G576" s="4">
        <v>15</v>
      </c>
      <c r="H576" s="4">
        <v>390</v>
      </c>
    </row>
    <row r="577" spans="1:8" s="5" customFormat="1" ht="47.25" hidden="1" outlineLevel="1" x14ac:dyDescent="0.25">
      <c r="A577" s="4">
        <v>352</v>
      </c>
      <c r="B577" s="6" t="s">
        <v>38</v>
      </c>
      <c r="C577" s="38" t="s">
        <v>3796</v>
      </c>
      <c r="D577" s="6">
        <v>2022</v>
      </c>
      <c r="E577" s="6" t="s">
        <v>21</v>
      </c>
      <c r="F577" s="4">
        <v>260</v>
      </c>
      <c r="G577" s="4">
        <v>7</v>
      </c>
      <c r="H577" s="4">
        <v>477</v>
      </c>
    </row>
    <row r="578" spans="1:8" s="5" customFormat="1" ht="126" hidden="1" outlineLevel="1" x14ac:dyDescent="0.25">
      <c r="A578" s="4">
        <v>353</v>
      </c>
      <c r="B578" s="6" t="s">
        <v>38</v>
      </c>
      <c r="C578" s="38" t="s">
        <v>3797</v>
      </c>
      <c r="D578" s="6">
        <v>2022</v>
      </c>
      <c r="E578" s="6" t="s">
        <v>21</v>
      </c>
      <c r="F578" s="4">
        <v>1221</v>
      </c>
      <c r="G578" s="4">
        <v>135</v>
      </c>
      <c r="H578" s="4">
        <v>2033</v>
      </c>
    </row>
    <row r="579" spans="1:8" s="5" customFormat="1" ht="47.25" hidden="1" outlineLevel="1" x14ac:dyDescent="0.25">
      <c r="A579" s="4">
        <v>359</v>
      </c>
      <c r="B579" s="6" t="s">
        <v>38</v>
      </c>
      <c r="C579" s="38" t="s">
        <v>3798</v>
      </c>
      <c r="D579" s="6">
        <v>2022</v>
      </c>
      <c r="E579" s="6" t="s">
        <v>21</v>
      </c>
      <c r="F579" s="4">
        <v>370</v>
      </c>
      <c r="G579" s="4">
        <v>15</v>
      </c>
      <c r="H579" s="4">
        <v>807</v>
      </c>
    </row>
    <row r="580" spans="1:8" s="5" customFormat="1" ht="47.25" hidden="1" outlineLevel="1" x14ac:dyDescent="0.25">
      <c r="A580" s="4">
        <v>287</v>
      </c>
      <c r="B580" s="6" t="s">
        <v>38</v>
      </c>
      <c r="C580" s="38" t="s">
        <v>3799</v>
      </c>
      <c r="D580" s="6">
        <v>2022</v>
      </c>
      <c r="E580" s="6" t="s">
        <v>21</v>
      </c>
      <c r="F580" s="4">
        <v>50</v>
      </c>
      <c r="G580" s="4">
        <v>15</v>
      </c>
      <c r="H580" s="4">
        <v>86</v>
      </c>
    </row>
    <row r="581" spans="1:8" s="5" customFormat="1" ht="47.25" hidden="1" outlineLevel="1" x14ac:dyDescent="0.25">
      <c r="A581" s="4">
        <v>185</v>
      </c>
      <c r="B581" s="6" t="s">
        <v>38</v>
      </c>
      <c r="C581" s="38" t="s">
        <v>3800</v>
      </c>
      <c r="D581" s="6">
        <v>2022</v>
      </c>
      <c r="E581" s="6" t="s">
        <v>21</v>
      </c>
      <c r="F581" s="4">
        <v>35</v>
      </c>
      <c r="G581" s="4">
        <v>150</v>
      </c>
      <c r="H581" s="4">
        <v>46</v>
      </c>
    </row>
    <row r="582" spans="1:8" s="5" customFormat="1" ht="63" hidden="1" outlineLevel="1" x14ac:dyDescent="0.25">
      <c r="A582" s="4">
        <v>186</v>
      </c>
      <c r="B582" s="6" t="s">
        <v>38</v>
      </c>
      <c r="C582" s="38" t="s">
        <v>3801</v>
      </c>
      <c r="D582" s="6">
        <v>2022</v>
      </c>
      <c r="E582" s="6" t="s">
        <v>21</v>
      </c>
      <c r="F582" s="4">
        <v>10</v>
      </c>
      <c r="G582" s="4">
        <v>150</v>
      </c>
      <c r="H582" s="4">
        <v>34</v>
      </c>
    </row>
    <row r="583" spans="1:8" s="5" customFormat="1" ht="47.25" hidden="1" outlineLevel="1" x14ac:dyDescent="0.25">
      <c r="A583" s="4">
        <v>184</v>
      </c>
      <c r="B583" s="6" t="s">
        <v>38</v>
      </c>
      <c r="C583" s="38" t="s">
        <v>3802</v>
      </c>
      <c r="D583" s="6">
        <v>2022</v>
      </c>
      <c r="E583" s="6" t="s">
        <v>21</v>
      </c>
      <c r="F583" s="4">
        <v>710</v>
      </c>
      <c r="G583" s="4">
        <v>405</v>
      </c>
      <c r="H583" s="4">
        <v>734</v>
      </c>
    </row>
    <row r="584" spans="1:8" s="5" customFormat="1" ht="63" hidden="1" outlineLevel="1" x14ac:dyDescent="0.25">
      <c r="A584" s="4">
        <v>262</v>
      </c>
      <c r="B584" s="6" t="s">
        <v>38</v>
      </c>
      <c r="C584" s="38" t="s">
        <v>3803</v>
      </c>
      <c r="D584" s="6">
        <v>2022</v>
      </c>
      <c r="E584" s="6" t="s">
        <v>21</v>
      </c>
      <c r="F584" s="4">
        <v>30</v>
      </c>
      <c r="G584" s="4">
        <v>15</v>
      </c>
      <c r="H584" s="4">
        <v>41</v>
      </c>
    </row>
    <row r="585" spans="1:8" s="5" customFormat="1" ht="63" hidden="1" outlineLevel="1" x14ac:dyDescent="0.25">
      <c r="A585" s="4">
        <v>286</v>
      </c>
      <c r="B585" s="6" t="s">
        <v>38</v>
      </c>
      <c r="C585" s="38" t="s">
        <v>3804</v>
      </c>
      <c r="D585" s="6">
        <v>2022</v>
      </c>
      <c r="E585" s="6" t="s">
        <v>21</v>
      </c>
      <c r="F585" s="4">
        <v>245</v>
      </c>
      <c r="G585" s="4">
        <v>15</v>
      </c>
      <c r="H585" s="4">
        <v>276</v>
      </c>
    </row>
    <row r="586" spans="1:8" s="5" customFormat="1" ht="78.75" hidden="1" outlineLevel="1" x14ac:dyDescent="0.25">
      <c r="A586" s="4">
        <v>219</v>
      </c>
      <c r="B586" s="6" t="s">
        <v>38</v>
      </c>
      <c r="C586" s="38" t="s">
        <v>3805</v>
      </c>
      <c r="D586" s="6">
        <v>2022</v>
      </c>
      <c r="E586" s="6" t="s">
        <v>21</v>
      </c>
      <c r="F586" s="4">
        <v>50</v>
      </c>
      <c r="G586" s="4">
        <v>15</v>
      </c>
      <c r="H586" s="4">
        <v>64</v>
      </c>
    </row>
    <row r="587" spans="1:8" s="5" customFormat="1" ht="63" hidden="1" outlineLevel="1" x14ac:dyDescent="0.25">
      <c r="A587" s="4">
        <v>222</v>
      </c>
      <c r="B587" s="6" t="s">
        <v>38</v>
      </c>
      <c r="C587" s="38" t="s">
        <v>3806</v>
      </c>
      <c r="D587" s="6">
        <v>2022</v>
      </c>
      <c r="E587" s="6" t="s">
        <v>21</v>
      </c>
      <c r="F587" s="4">
        <v>30</v>
      </c>
      <c r="G587" s="4">
        <v>14</v>
      </c>
      <c r="H587" s="4">
        <v>50</v>
      </c>
    </row>
    <row r="588" spans="1:8" s="5" customFormat="1" ht="63" hidden="1" outlineLevel="1" x14ac:dyDescent="0.25">
      <c r="A588" s="4">
        <v>208</v>
      </c>
      <c r="B588" s="6" t="s">
        <v>38</v>
      </c>
      <c r="C588" s="38" t="s">
        <v>3807</v>
      </c>
      <c r="D588" s="6">
        <v>2022</v>
      </c>
      <c r="E588" s="6" t="s">
        <v>21</v>
      </c>
      <c r="F588" s="4">
        <v>40</v>
      </c>
      <c r="G588" s="4">
        <v>15</v>
      </c>
      <c r="H588" s="4">
        <v>45</v>
      </c>
    </row>
    <row r="589" spans="1:8" s="5" customFormat="1" ht="63" hidden="1" outlineLevel="1" x14ac:dyDescent="0.25">
      <c r="A589" s="4">
        <v>260</v>
      </c>
      <c r="B589" s="6" t="s">
        <v>38</v>
      </c>
      <c r="C589" s="38" t="s">
        <v>3808</v>
      </c>
      <c r="D589" s="6">
        <v>2022</v>
      </c>
      <c r="E589" s="6" t="s">
        <v>21</v>
      </c>
      <c r="F589" s="4">
        <v>50</v>
      </c>
      <c r="G589" s="4">
        <v>15</v>
      </c>
      <c r="H589" s="4">
        <v>61</v>
      </c>
    </row>
    <row r="590" spans="1:8" s="5" customFormat="1" ht="47.25" hidden="1" outlineLevel="1" x14ac:dyDescent="0.25">
      <c r="A590" s="4">
        <v>209</v>
      </c>
      <c r="B590" s="6" t="s">
        <v>38</v>
      </c>
      <c r="C590" s="38" t="s">
        <v>3809</v>
      </c>
      <c r="D590" s="6">
        <v>2022</v>
      </c>
      <c r="E590" s="6" t="s">
        <v>21</v>
      </c>
      <c r="F590" s="4">
        <v>30</v>
      </c>
      <c r="G590" s="4">
        <v>15</v>
      </c>
      <c r="H590" s="4">
        <v>39</v>
      </c>
    </row>
    <row r="591" spans="1:8" s="5" customFormat="1" ht="63" hidden="1" outlineLevel="1" x14ac:dyDescent="0.25">
      <c r="A591" s="4">
        <v>210</v>
      </c>
      <c r="B591" s="6" t="s">
        <v>38</v>
      </c>
      <c r="C591" s="38" t="s">
        <v>3810</v>
      </c>
      <c r="D591" s="6">
        <v>2022</v>
      </c>
      <c r="E591" s="6" t="s">
        <v>21</v>
      </c>
      <c r="F591" s="4">
        <v>40</v>
      </c>
      <c r="G591" s="4">
        <v>10</v>
      </c>
      <c r="H591" s="4">
        <v>43</v>
      </c>
    </row>
    <row r="592" spans="1:8" s="5" customFormat="1" ht="63" hidden="1" outlineLevel="1" x14ac:dyDescent="0.25">
      <c r="A592" s="4">
        <v>218</v>
      </c>
      <c r="B592" s="6" t="s">
        <v>38</v>
      </c>
      <c r="C592" s="38" t="s">
        <v>3811</v>
      </c>
      <c r="D592" s="6">
        <v>2022</v>
      </c>
      <c r="E592" s="6" t="s">
        <v>21</v>
      </c>
      <c r="F592" s="4">
        <v>45</v>
      </c>
      <c r="G592" s="4">
        <v>28</v>
      </c>
      <c r="H592" s="4">
        <v>47</v>
      </c>
    </row>
    <row r="593" spans="1:8" s="5" customFormat="1" ht="63" hidden="1" outlineLevel="1" x14ac:dyDescent="0.25">
      <c r="A593" s="4">
        <v>212</v>
      </c>
      <c r="B593" s="6" t="s">
        <v>38</v>
      </c>
      <c r="C593" s="38" t="s">
        <v>3812</v>
      </c>
      <c r="D593" s="6">
        <v>2022</v>
      </c>
      <c r="E593" s="6" t="s">
        <v>21</v>
      </c>
      <c r="F593" s="4">
        <v>15</v>
      </c>
      <c r="G593" s="4">
        <v>15</v>
      </c>
      <c r="H593" s="4">
        <v>33</v>
      </c>
    </row>
    <row r="594" spans="1:8" s="5" customFormat="1" ht="63" hidden="1" outlineLevel="1" x14ac:dyDescent="0.25">
      <c r="A594" s="4">
        <v>255</v>
      </c>
      <c r="B594" s="6" t="s">
        <v>38</v>
      </c>
      <c r="C594" s="38" t="s">
        <v>3813</v>
      </c>
      <c r="D594" s="6">
        <v>2022</v>
      </c>
      <c r="E594" s="6" t="s">
        <v>21</v>
      </c>
      <c r="F594" s="4">
        <v>50</v>
      </c>
      <c r="G594" s="4">
        <v>6</v>
      </c>
      <c r="H594" s="4">
        <v>59</v>
      </c>
    </row>
    <row r="595" spans="1:8" s="5" customFormat="1" ht="63" hidden="1" outlineLevel="1" x14ac:dyDescent="0.25">
      <c r="A595" s="4">
        <v>193</v>
      </c>
      <c r="B595" s="6" t="s">
        <v>38</v>
      </c>
      <c r="C595" s="38" t="s">
        <v>3814</v>
      </c>
      <c r="D595" s="6">
        <v>2022</v>
      </c>
      <c r="E595" s="6" t="s">
        <v>21</v>
      </c>
      <c r="F595" s="4">
        <v>50</v>
      </c>
      <c r="G595" s="4">
        <v>15</v>
      </c>
      <c r="H595" s="4">
        <v>61</v>
      </c>
    </row>
    <row r="596" spans="1:8" s="5" customFormat="1" ht="47.25" hidden="1" outlineLevel="1" x14ac:dyDescent="0.25">
      <c r="A596" s="4">
        <v>194</v>
      </c>
      <c r="B596" s="6" t="s">
        <v>38</v>
      </c>
      <c r="C596" s="38" t="s">
        <v>3815</v>
      </c>
      <c r="D596" s="6">
        <v>2022</v>
      </c>
      <c r="E596" s="6" t="s">
        <v>21</v>
      </c>
      <c r="F596" s="4">
        <v>150</v>
      </c>
      <c r="G596" s="4">
        <v>15</v>
      </c>
      <c r="H596" s="4">
        <v>90</v>
      </c>
    </row>
    <row r="597" spans="1:8" s="5" customFormat="1" ht="78.75" hidden="1" outlineLevel="1" x14ac:dyDescent="0.25">
      <c r="A597" s="4">
        <v>290</v>
      </c>
      <c r="B597" s="6" t="s">
        <v>38</v>
      </c>
      <c r="C597" s="38" t="s">
        <v>3816</v>
      </c>
      <c r="D597" s="6">
        <v>2022</v>
      </c>
      <c r="E597" s="6" t="s">
        <v>21</v>
      </c>
      <c r="F597" s="4">
        <v>1190</v>
      </c>
      <c r="G597" s="4">
        <v>90</v>
      </c>
      <c r="H597" s="4">
        <v>902</v>
      </c>
    </row>
    <row r="598" spans="1:8" s="5" customFormat="1" ht="63" hidden="1" outlineLevel="1" x14ac:dyDescent="0.25">
      <c r="A598" s="4">
        <v>253</v>
      </c>
      <c r="B598" s="6" t="s">
        <v>38</v>
      </c>
      <c r="C598" s="38" t="s">
        <v>3817</v>
      </c>
      <c r="D598" s="6">
        <v>2022</v>
      </c>
      <c r="E598" s="6" t="s">
        <v>21</v>
      </c>
      <c r="F598" s="4">
        <v>150</v>
      </c>
      <c r="G598" s="4">
        <v>15</v>
      </c>
      <c r="H598" s="4">
        <v>145</v>
      </c>
    </row>
    <row r="599" spans="1:8" s="5" customFormat="1" ht="47.25" hidden="1" outlineLevel="1" x14ac:dyDescent="0.25">
      <c r="A599" s="4">
        <v>252</v>
      </c>
      <c r="B599" s="6" t="s">
        <v>38</v>
      </c>
      <c r="C599" s="38" t="s">
        <v>3818</v>
      </c>
      <c r="D599" s="6">
        <v>2022</v>
      </c>
      <c r="E599" s="6" t="s">
        <v>21</v>
      </c>
      <c r="F599" s="4">
        <v>40</v>
      </c>
      <c r="G599" s="4">
        <v>15</v>
      </c>
      <c r="H599" s="4">
        <v>46</v>
      </c>
    </row>
    <row r="600" spans="1:8" s="5" customFormat="1" ht="47.25" hidden="1" outlineLevel="1" x14ac:dyDescent="0.25">
      <c r="A600" s="4">
        <v>278</v>
      </c>
      <c r="B600" s="6" t="s">
        <v>38</v>
      </c>
      <c r="C600" s="38" t="s">
        <v>3819</v>
      </c>
      <c r="D600" s="6">
        <v>2022</v>
      </c>
      <c r="E600" s="6" t="s">
        <v>21</v>
      </c>
      <c r="F600" s="4">
        <v>110</v>
      </c>
      <c r="G600" s="4">
        <v>15</v>
      </c>
      <c r="H600" s="4">
        <v>107</v>
      </c>
    </row>
    <row r="601" spans="1:8" s="5" customFormat="1" ht="63" hidden="1" outlineLevel="1" x14ac:dyDescent="0.25">
      <c r="A601" s="4">
        <v>196</v>
      </c>
      <c r="B601" s="6" t="s">
        <v>38</v>
      </c>
      <c r="C601" s="38" t="s">
        <v>3820</v>
      </c>
      <c r="D601" s="6">
        <v>2022</v>
      </c>
      <c r="E601" s="6" t="s">
        <v>21</v>
      </c>
      <c r="F601" s="4">
        <v>200</v>
      </c>
      <c r="G601" s="4">
        <v>30</v>
      </c>
      <c r="H601" s="4">
        <v>226</v>
      </c>
    </row>
    <row r="602" spans="1:8" s="5" customFormat="1" ht="78.75" hidden="1" outlineLevel="1" x14ac:dyDescent="0.25">
      <c r="A602" s="4">
        <v>197</v>
      </c>
      <c r="B602" s="6" t="s">
        <v>38</v>
      </c>
      <c r="C602" s="38" t="s">
        <v>3821</v>
      </c>
      <c r="D602" s="6">
        <v>2022</v>
      </c>
      <c r="E602" s="6" t="s">
        <v>21</v>
      </c>
      <c r="F602" s="4">
        <v>30</v>
      </c>
      <c r="G602" s="4">
        <v>15</v>
      </c>
      <c r="H602" s="4">
        <v>44</v>
      </c>
    </row>
    <row r="603" spans="1:8" s="5" customFormat="1" ht="63" hidden="1" outlineLevel="1" x14ac:dyDescent="0.25">
      <c r="A603" s="4">
        <v>254</v>
      </c>
      <c r="B603" s="6" t="s">
        <v>38</v>
      </c>
      <c r="C603" s="38" t="s">
        <v>3822</v>
      </c>
      <c r="D603" s="6">
        <v>2022</v>
      </c>
      <c r="E603" s="6" t="s">
        <v>21</v>
      </c>
      <c r="F603" s="4">
        <v>220</v>
      </c>
      <c r="G603" s="4">
        <v>25</v>
      </c>
      <c r="H603" s="4">
        <v>103</v>
      </c>
    </row>
    <row r="604" spans="1:8" s="5" customFormat="1" ht="63" hidden="1" outlineLevel="1" x14ac:dyDescent="0.25">
      <c r="A604" s="4">
        <v>256</v>
      </c>
      <c r="B604" s="6" t="s">
        <v>38</v>
      </c>
      <c r="C604" s="38" t="s">
        <v>3823</v>
      </c>
      <c r="D604" s="6">
        <v>2022</v>
      </c>
      <c r="E604" s="6" t="s">
        <v>21</v>
      </c>
      <c r="F604" s="4">
        <v>30</v>
      </c>
      <c r="G604" s="4">
        <v>15</v>
      </c>
      <c r="H604" s="4">
        <v>42</v>
      </c>
    </row>
    <row r="605" spans="1:8" s="5" customFormat="1" ht="78.75" hidden="1" outlineLevel="1" x14ac:dyDescent="0.25">
      <c r="A605" s="4">
        <v>256</v>
      </c>
      <c r="B605" s="6" t="s">
        <v>38</v>
      </c>
      <c r="C605" s="38" t="s">
        <v>3824</v>
      </c>
      <c r="D605" s="6">
        <v>2022</v>
      </c>
      <c r="E605" s="6" t="s">
        <v>21</v>
      </c>
      <c r="F605" s="4">
        <v>30</v>
      </c>
      <c r="G605" s="4">
        <v>15</v>
      </c>
      <c r="H605" s="4">
        <v>42</v>
      </c>
    </row>
    <row r="606" spans="1:8" s="5" customFormat="1" ht="63" hidden="1" outlineLevel="1" x14ac:dyDescent="0.25">
      <c r="A606" s="4">
        <v>259</v>
      </c>
      <c r="B606" s="6" t="s">
        <v>38</v>
      </c>
      <c r="C606" s="38" t="s">
        <v>3825</v>
      </c>
      <c r="D606" s="6">
        <v>2022</v>
      </c>
      <c r="E606" s="6" t="s">
        <v>21</v>
      </c>
      <c r="F606" s="4">
        <v>150</v>
      </c>
      <c r="G606" s="4">
        <v>15</v>
      </c>
      <c r="H606" s="4">
        <v>132</v>
      </c>
    </row>
    <row r="607" spans="1:8" s="5" customFormat="1" ht="78.75" hidden="1" outlineLevel="1" x14ac:dyDescent="0.25">
      <c r="A607" s="4">
        <v>258</v>
      </c>
      <c r="B607" s="6" t="s">
        <v>38</v>
      </c>
      <c r="C607" s="38" t="s">
        <v>3826</v>
      </c>
      <c r="D607" s="6">
        <v>2022</v>
      </c>
      <c r="E607" s="6" t="s">
        <v>21</v>
      </c>
      <c r="F607" s="4">
        <v>150</v>
      </c>
      <c r="G607" s="4">
        <v>45</v>
      </c>
      <c r="H607" s="4">
        <v>216</v>
      </c>
    </row>
    <row r="608" spans="1:8" s="5" customFormat="1" ht="47.25" hidden="1" outlineLevel="1" x14ac:dyDescent="0.25">
      <c r="A608" s="4">
        <v>355</v>
      </c>
      <c r="B608" s="6" t="s">
        <v>38</v>
      </c>
      <c r="C608" s="38" t="s">
        <v>3827</v>
      </c>
      <c r="D608" s="6">
        <v>2022</v>
      </c>
      <c r="E608" s="6" t="s">
        <v>21</v>
      </c>
      <c r="F608" s="4">
        <v>404</v>
      </c>
      <c r="G608" s="4">
        <v>60</v>
      </c>
      <c r="H608" s="4">
        <v>734</v>
      </c>
    </row>
    <row r="609" spans="1:8" s="5" customFormat="1" ht="63" hidden="1" outlineLevel="1" x14ac:dyDescent="0.25">
      <c r="A609" s="4">
        <v>396</v>
      </c>
      <c r="B609" s="6" t="s">
        <v>38</v>
      </c>
      <c r="C609" s="38" t="s">
        <v>3828</v>
      </c>
      <c r="D609" s="6">
        <v>2022</v>
      </c>
      <c r="E609" s="6" t="s">
        <v>21</v>
      </c>
      <c r="F609" s="4">
        <v>453</v>
      </c>
      <c r="G609" s="4">
        <v>21</v>
      </c>
      <c r="H609" s="4">
        <v>882</v>
      </c>
    </row>
    <row r="610" spans="1:8" s="5" customFormat="1" ht="63" hidden="1" outlineLevel="1" x14ac:dyDescent="0.25">
      <c r="A610" s="4">
        <v>398</v>
      </c>
      <c r="B610" s="6" t="s">
        <v>38</v>
      </c>
      <c r="C610" s="38" t="s">
        <v>3829</v>
      </c>
      <c r="D610" s="6">
        <v>2022</v>
      </c>
      <c r="E610" s="6" t="s">
        <v>21</v>
      </c>
      <c r="F610" s="4">
        <v>734</v>
      </c>
      <c r="G610" s="4">
        <v>30</v>
      </c>
      <c r="H610" s="4">
        <v>1384</v>
      </c>
    </row>
    <row r="611" spans="1:8" s="5" customFormat="1" ht="63" hidden="1" outlineLevel="1" x14ac:dyDescent="0.25">
      <c r="A611" s="4">
        <v>351</v>
      </c>
      <c r="B611" s="6" t="s">
        <v>38</v>
      </c>
      <c r="C611" s="38" t="s">
        <v>3830</v>
      </c>
      <c r="D611" s="6">
        <v>2022</v>
      </c>
      <c r="E611" s="6" t="s">
        <v>21</v>
      </c>
      <c r="F611" s="4">
        <v>1125</v>
      </c>
      <c r="G611" s="4">
        <v>40</v>
      </c>
      <c r="H611" s="4">
        <v>1579</v>
      </c>
    </row>
    <row r="612" spans="1:8" s="5" customFormat="1" ht="78.75" hidden="1" outlineLevel="1" x14ac:dyDescent="0.25">
      <c r="A612" s="4">
        <v>357</v>
      </c>
      <c r="B612" s="6" t="s">
        <v>38</v>
      </c>
      <c r="C612" s="38" t="s">
        <v>3831</v>
      </c>
      <c r="D612" s="6">
        <v>2022</v>
      </c>
      <c r="E612" s="6" t="s">
        <v>21</v>
      </c>
      <c r="F612" s="4">
        <v>5</v>
      </c>
      <c r="G612" s="4">
        <v>15</v>
      </c>
      <c r="H612" s="4">
        <v>45</v>
      </c>
    </row>
    <row r="613" spans="1:8" s="5" customFormat="1" ht="63" hidden="1" outlineLevel="1" x14ac:dyDescent="0.25">
      <c r="A613" s="4">
        <v>350</v>
      </c>
      <c r="B613" s="6" t="s">
        <v>38</v>
      </c>
      <c r="C613" s="38" t="s">
        <v>3832</v>
      </c>
      <c r="D613" s="6">
        <v>2022</v>
      </c>
      <c r="E613" s="6" t="s">
        <v>21</v>
      </c>
      <c r="F613" s="4">
        <v>936</v>
      </c>
      <c r="G613" s="4">
        <v>150</v>
      </c>
      <c r="H613" s="4">
        <v>973</v>
      </c>
    </row>
    <row r="614" spans="1:8" s="5" customFormat="1" ht="63" hidden="1" outlineLevel="1" x14ac:dyDescent="0.25">
      <c r="A614" s="4">
        <v>428</v>
      </c>
      <c r="B614" s="6" t="s">
        <v>38</v>
      </c>
      <c r="C614" s="38" t="s">
        <v>3833</v>
      </c>
      <c r="D614" s="6">
        <v>2022</v>
      </c>
      <c r="E614" s="6" t="s">
        <v>21</v>
      </c>
      <c r="F614" s="4">
        <v>293</v>
      </c>
      <c r="G614" s="4">
        <v>30</v>
      </c>
      <c r="H614" s="4">
        <v>611</v>
      </c>
    </row>
    <row r="615" spans="1:8" s="5" customFormat="1" ht="78.75" hidden="1" outlineLevel="1" x14ac:dyDescent="0.25">
      <c r="A615" s="4">
        <v>429</v>
      </c>
      <c r="B615" s="6" t="s">
        <v>38</v>
      </c>
      <c r="C615" s="38" t="s">
        <v>3834</v>
      </c>
      <c r="D615" s="6">
        <v>2022</v>
      </c>
      <c r="E615" s="6" t="s">
        <v>21</v>
      </c>
      <c r="F615" s="4">
        <v>203</v>
      </c>
      <c r="G615" s="4">
        <v>15</v>
      </c>
      <c r="H615" s="4">
        <v>478</v>
      </c>
    </row>
    <row r="616" spans="1:8" s="5" customFormat="1" ht="63" hidden="1" outlineLevel="1" x14ac:dyDescent="0.25">
      <c r="A616" s="4">
        <v>427</v>
      </c>
      <c r="B616" s="6" t="s">
        <v>38</v>
      </c>
      <c r="C616" s="38" t="s">
        <v>3835</v>
      </c>
      <c r="D616" s="6">
        <v>2022</v>
      </c>
      <c r="E616" s="6" t="s">
        <v>21</v>
      </c>
      <c r="F616" s="4">
        <v>13</v>
      </c>
      <c r="G616" s="4">
        <v>15</v>
      </c>
      <c r="H616" s="4">
        <v>66</v>
      </c>
    </row>
    <row r="617" spans="1:8" s="5" customFormat="1" ht="78.75" hidden="1" outlineLevel="1" x14ac:dyDescent="0.25">
      <c r="A617" s="4">
        <v>430</v>
      </c>
      <c r="B617" s="6" t="s">
        <v>38</v>
      </c>
      <c r="C617" s="38" t="s">
        <v>3836</v>
      </c>
      <c r="D617" s="6">
        <v>2022</v>
      </c>
      <c r="E617" s="6" t="s">
        <v>21</v>
      </c>
      <c r="F617" s="4">
        <v>506</v>
      </c>
      <c r="G617" s="4">
        <v>160</v>
      </c>
      <c r="H617" s="4">
        <v>737</v>
      </c>
    </row>
    <row r="618" spans="1:8" s="5" customFormat="1" ht="63" hidden="1" outlineLevel="1" x14ac:dyDescent="0.25">
      <c r="A618" s="4">
        <v>425</v>
      </c>
      <c r="B618" s="6" t="s">
        <v>38</v>
      </c>
      <c r="C618" s="38" t="s">
        <v>3837</v>
      </c>
      <c r="D618" s="6">
        <v>2022</v>
      </c>
      <c r="E618" s="6" t="s">
        <v>21</v>
      </c>
      <c r="F618" s="4">
        <v>1014</v>
      </c>
      <c r="G618" s="4">
        <v>120</v>
      </c>
      <c r="H618" s="4">
        <v>1562</v>
      </c>
    </row>
    <row r="619" spans="1:8" s="5" customFormat="1" ht="47.25" hidden="1" outlineLevel="1" x14ac:dyDescent="0.25">
      <c r="A619" s="4">
        <v>397</v>
      </c>
      <c r="B619" s="6" t="s">
        <v>38</v>
      </c>
      <c r="C619" s="38" t="s">
        <v>3838</v>
      </c>
      <c r="D619" s="6">
        <v>2022</v>
      </c>
      <c r="E619" s="6" t="s">
        <v>21</v>
      </c>
      <c r="F619" s="4">
        <v>14</v>
      </c>
      <c r="G619" s="4">
        <v>15</v>
      </c>
      <c r="H619" s="4">
        <v>112</v>
      </c>
    </row>
    <row r="620" spans="1:8" s="5" customFormat="1" ht="94.5" hidden="1" outlineLevel="1" x14ac:dyDescent="0.25">
      <c r="A620" s="4">
        <v>288</v>
      </c>
      <c r="B620" s="6" t="s">
        <v>38</v>
      </c>
      <c r="C620" s="38" t="s">
        <v>3839</v>
      </c>
      <c r="D620" s="6">
        <v>2022</v>
      </c>
      <c r="E620" s="6" t="s">
        <v>21</v>
      </c>
      <c r="F620" s="4">
        <v>640</v>
      </c>
      <c r="G620" s="4">
        <v>179.97</v>
      </c>
      <c r="H620" s="4">
        <v>565</v>
      </c>
    </row>
    <row r="621" spans="1:8" s="5" customFormat="1" ht="63" hidden="1" outlineLevel="1" x14ac:dyDescent="0.25">
      <c r="A621" s="4">
        <v>370</v>
      </c>
      <c r="B621" s="6" t="s">
        <v>38</v>
      </c>
      <c r="C621" s="38" t="s">
        <v>3840</v>
      </c>
      <c r="D621" s="6">
        <v>2022</v>
      </c>
      <c r="E621" s="6" t="s">
        <v>21</v>
      </c>
      <c r="F621" s="4">
        <v>86</v>
      </c>
      <c r="G621" s="4">
        <v>28</v>
      </c>
      <c r="H621" s="4">
        <v>142</v>
      </c>
    </row>
    <row r="622" spans="1:8" s="5" customFormat="1" ht="63" hidden="1" outlineLevel="1" x14ac:dyDescent="0.25">
      <c r="A622" s="4">
        <v>323</v>
      </c>
      <c r="B622" s="6" t="s">
        <v>38</v>
      </c>
      <c r="C622" s="38" t="s">
        <v>3841</v>
      </c>
      <c r="D622" s="6">
        <v>2022</v>
      </c>
      <c r="E622" s="6" t="s">
        <v>21</v>
      </c>
      <c r="F622" s="4">
        <v>180</v>
      </c>
      <c r="G622" s="4">
        <v>30</v>
      </c>
      <c r="H622" s="4">
        <v>221</v>
      </c>
    </row>
    <row r="623" spans="1:8" s="5" customFormat="1" ht="78.75" hidden="1" outlineLevel="1" x14ac:dyDescent="0.25">
      <c r="A623" s="4">
        <v>375</v>
      </c>
      <c r="B623" s="6" t="s">
        <v>38</v>
      </c>
      <c r="C623" s="38" t="s">
        <v>3842</v>
      </c>
      <c r="D623" s="6">
        <v>2022</v>
      </c>
      <c r="E623" s="6" t="s">
        <v>21</v>
      </c>
      <c r="F623" s="4">
        <v>75</v>
      </c>
      <c r="G623" s="4">
        <v>15</v>
      </c>
      <c r="H623" s="4">
        <v>111</v>
      </c>
    </row>
    <row r="624" spans="1:8" s="5" customFormat="1" ht="47.25" hidden="1" outlineLevel="1" x14ac:dyDescent="0.25">
      <c r="A624" s="4">
        <v>326</v>
      </c>
      <c r="B624" s="6" t="s">
        <v>38</v>
      </c>
      <c r="C624" s="38" t="s">
        <v>3843</v>
      </c>
      <c r="D624" s="6">
        <v>2022</v>
      </c>
      <c r="E624" s="6" t="s">
        <v>21</v>
      </c>
      <c r="F624" s="4">
        <v>120</v>
      </c>
      <c r="G624" s="4">
        <v>15</v>
      </c>
      <c r="H624" s="4">
        <v>150</v>
      </c>
    </row>
    <row r="625" spans="1:8" s="5" customFormat="1" ht="63" hidden="1" outlineLevel="1" x14ac:dyDescent="0.25">
      <c r="A625" s="4">
        <v>319</v>
      </c>
      <c r="B625" s="6" t="s">
        <v>38</v>
      </c>
      <c r="C625" s="38" t="s">
        <v>3844</v>
      </c>
      <c r="D625" s="6">
        <v>2022</v>
      </c>
      <c r="E625" s="6" t="s">
        <v>21</v>
      </c>
      <c r="F625" s="4">
        <v>40</v>
      </c>
      <c r="G625" s="4">
        <v>15</v>
      </c>
      <c r="H625" s="4">
        <v>58</v>
      </c>
    </row>
    <row r="626" spans="1:8" s="5" customFormat="1" ht="78.75" hidden="1" outlineLevel="1" x14ac:dyDescent="0.25">
      <c r="A626" s="4">
        <v>383</v>
      </c>
      <c r="B626" s="6" t="s">
        <v>38</v>
      </c>
      <c r="C626" s="38" t="s">
        <v>3845</v>
      </c>
      <c r="D626" s="6">
        <v>2022</v>
      </c>
      <c r="E626" s="6" t="s">
        <v>21</v>
      </c>
      <c r="F626" s="4">
        <v>70</v>
      </c>
      <c r="G626" s="4">
        <v>15</v>
      </c>
      <c r="H626" s="4">
        <v>109</v>
      </c>
    </row>
    <row r="627" spans="1:8" s="5" customFormat="1" ht="63" hidden="1" outlineLevel="1" x14ac:dyDescent="0.25">
      <c r="A627" s="4">
        <v>330</v>
      </c>
      <c r="B627" s="6" t="s">
        <v>38</v>
      </c>
      <c r="C627" s="38" t="s">
        <v>3846</v>
      </c>
      <c r="D627" s="6">
        <v>2022</v>
      </c>
      <c r="E627" s="6" t="s">
        <v>21</v>
      </c>
      <c r="F627" s="4">
        <v>70</v>
      </c>
      <c r="G627" s="4">
        <v>15</v>
      </c>
      <c r="H627" s="4">
        <v>65</v>
      </c>
    </row>
    <row r="628" spans="1:8" s="5" customFormat="1" ht="47.25" hidden="1" outlineLevel="1" x14ac:dyDescent="0.25">
      <c r="A628" s="4">
        <v>320</v>
      </c>
      <c r="B628" s="6" t="s">
        <v>38</v>
      </c>
      <c r="C628" s="38" t="s">
        <v>3847</v>
      </c>
      <c r="D628" s="6">
        <v>2022</v>
      </c>
      <c r="E628" s="6" t="s">
        <v>21</v>
      </c>
      <c r="F628" s="4">
        <v>60</v>
      </c>
      <c r="G628" s="4">
        <v>15</v>
      </c>
      <c r="H628" s="4">
        <v>89</v>
      </c>
    </row>
    <row r="629" spans="1:8" s="5" customFormat="1" ht="63" hidden="1" outlineLevel="1" x14ac:dyDescent="0.25">
      <c r="A629" s="4">
        <v>325</v>
      </c>
      <c r="B629" s="6" t="s">
        <v>38</v>
      </c>
      <c r="C629" s="38" t="s">
        <v>3848</v>
      </c>
      <c r="D629" s="6">
        <v>2022</v>
      </c>
      <c r="E629" s="6" t="s">
        <v>21</v>
      </c>
      <c r="F629" s="4">
        <v>110</v>
      </c>
      <c r="G629" s="4">
        <v>14</v>
      </c>
      <c r="H629" s="4">
        <v>141</v>
      </c>
    </row>
    <row r="630" spans="1:8" s="5" customFormat="1" ht="63" hidden="1" outlineLevel="1" x14ac:dyDescent="0.25">
      <c r="A630" s="4">
        <v>328</v>
      </c>
      <c r="B630" s="6" t="s">
        <v>38</v>
      </c>
      <c r="C630" s="38" t="s">
        <v>3849</v>
      </c>
      <c r="D630" s="6">
        <v>2022</v>
      </c>
      <c r="E630" s="6" t="s">
        <v>21</v>
      </c>
      <c r="F630" s="4">
        <v>30</v>
      </c>
      <c r="G630" s="4">
        <v>14</v>
      </c>
      <c r="H630" s="4">
        <v>70</v>
      </c>
    </row>
    <row r="631" spans="1:8" s="5" customFormat="1" ht="63" hidden="1" outlineLevel="1" x14ac:dyDescent="0.25">
      <c r="A631" s="4">
        <v>382</v>
      </c>
      <c r="B631" s="6" t="s">
        <v>38</v>
      </c>
      <c r="C631" s="38" t="s">
        <v>3850</v>
      </c>
      <c r="D631" s="6">
        <v>2022</v>
      </c>
      <c r="E631" s="6" t="s">
        <v>21</v>
      </c>
      <c r="F631" s="4">
        <v>30</v>
      </c>
      <c r="G631" s="4">
        <v>15</v>
      </c>
      <c r="H631" s="4">
        <v>50</v>
      </c>
    </row>
    <row r="632" spans="1:8" s="5" customFormat="1" ht="63" hidden="1" outlineLevel="1" x14ac:dyDescent="0.25">
      <c r="A632" s="4">
        <v>321</v>
      </c>
      <c r="B632" s="6" t="s">
        <v>38</v>
      </c>
      <c r="C632" s="38" t="s">
        <v>3851</v>
      </c>
      <c r="D632" s="6">
        <v>2022</v>
      </c>
      <c r="E632" s="6" t="s">
        <v>21</v>
      </c>
      <c r="F632" s="4">
        <v>180</v>
      </c>
      <c r="G632" s="4">
        <v>30</v>
      </c>
      <c r="H632" s="4">
        <v>253</v>
      </c>
    </row>
    <row r="633" spans="1:8" s="5" customFormat="1" ht="63" hidden="1" outlineLevel="1" x14ac:dyDescent="0.25">
      <c r="A633" s="4">
        <v>366</v>
      </c>
      <c r="B633" s="6" t="s">
        <v>38</v>
      </c>
      <c r="C633" s="38" t="s">
        <v>3852</v>
      </c>
      <c r="D633" s="6">
        <v>2022</v>
      </c>
      <c r="E633" s="6" t="s">
        <v>21</v>
      </c>
      <c r="F633" s="4">
        <v>40</v>
      </c>
      <c r="G633" s="4">
        <v>6</v>
      </c>
      <c r="H633" s="4">
        <v>54</v>
      </c>
    </row>
    <row r="634" spans="1:8" s="5" customFormat="1" ht="63" hidden="1" outlineLevel="1" x14ac:dyDescent="0.25">
      <c r="A634" s="4">
        <v>374</v>
      </c>
      <c r="B634" s="6" t="s">
        <v>38</v>
      </c>
      <c r="C634" s="38" t="s">
        <v>3853</v>
      </c>
      <c r="D634" s="6">
        <v>2022</v>
      </c>
      <c r="E634" s="6" t="s">
        <v>21</v>
      </c>
      <c r="F634" s="4">
        <v>70</v>
      </c>
      <c r="G634" s="4">
        <v>15</v>
      </c>
      <c r="H634" s="4">
        <v>87</v>
      </c>
    </row>
    <row r="635" spans="1:8" s="5" customFormat="1" ht="63" hidden="1" outlineLevel="1" x14ac:dyDescent="0.25">
      <c r="A635" s="4">
        <v>327</v>
      </c>
      <c r="B635" s="6" t="s">
        <v>38</v>
      </c>
      <c r="C635" s="38" t="s">
        <v>3854</v>
      </c>
      <c r="D635" s="6">
        <v>2022</v>
      </c>
      <c r="E635" s="6" t="s">
        <v>21</v>
      </c>
      <c r="F635" s="4">
        <v>140</v>
      </c>
      <c r="G635" s="4">
        <v>15</v>
      </c>
      <c r="H635" s="4">
        <v>181</v>
      </c>
    </row>
    <row r="636" spans="1:8" s="5" customFormat="1" ht="47.25" hidden="1" outlineLevel="1" x14ac:dyDescent="0.25">
      <c r="A636" s="4">
        <v>365</v>
      </c>
      <c r="B636" s="6" t="s">
        <v>38</v>
      </c>
      <c r="C636" s="38" t="s">
        <v>3855</v>
      </c>
      <c r="D636" s="6">
        <v>2022</v>
      </c>
      <c r="E636" s="6" t="s">
        <v>21</v>
      </c>
      <c r="F636" s="4">
        <v>45</v>
      </c>
      <c r="G636" s="4">
        <v>15</v>
      </c>
      <c r="H636" s="4">
        <v>94</v>
      </c>
    </row>
    <row r="637" spans="1:8" s="5" customFormat="1" ht="47.25" hidden="1" outlineLevel="1" x14ac:dyDescent="0.25">
      <c r="A637" s="4">
        <v>214</v>
      </c>
      <c r="B637" s="6" t="s">
        <v>38</v>
      </c>
      <c r="C637" s="38" t="s">
        <v>3856</v>
      </c>
      <c r="D637" s="6">
        <v>2022</v>
      </c>
      <c r="E637" s="6" t="s">
        <v>21</v>
      </c>
      <c r="F637" s="4">
        <v>30</v>
      </c>
      <c r="G637" s="4">
        <v>15</v>
      </c>
      <c r="H637" s="4">
        <v>44</v>
      </c>
    </row>
    <row r="638" spans="1:8" s="5" customFormat="1" ht="63" hidden="1" outlineLevel="1" x14ac:dyDescent="0.25">
      <c r="A638" s="4">
        <v>285</v>
      </c>
      <c r="B638" s="6" t="s">
        <v>38</v>
      </c>
      <c r="C638" s="38" t="s">
        <v>3857</v>
      </c>
      <c r="D638" s="6">
        <v>2022</v>
      </c>
      <c r="E638" s="6" t="s">
        <v>21</v>
      </c>
      <c r="F638" s="4">
        <v>100</v>
      </c>
      <c r="G638" s="4">
        <v>15</v>
      </c>
      <c r="H638" s="4">
        <v>54</v>
      </c>
    </row>
    <row r="639" spans="1:8" s="5" customFormat="1" ht="63" hidden="1" outlineLevel="1" x14ac:dyDescent="0.25">
      <c r="A639" s="4">
        <v>294</v>
      </c>
      <c r="B639" s="6" t="s">
        <v>38</v>
      </c>
      <c r="C639" s="38" t="s">
        <v>3858</v>
      </c>
      <c r="D639" s="6">
        <v>2022</v>
      </c>
      <c r="E639" s="6" t="s">
        <v>21</v>
      </c>
      <c r="F639" s="4">
        <v>35</v>
      </c>
      <c r="G639" s="4">
        <v>15</v>
      </c>
      <c r="H639" s="4">
        <v>37</v>
      </c>
    </row>
    <row r="640" spans="1:8" s="5" customFormat="1" ht="47.25" hidden="1" outlineLevel="1" x14ac:dyDescent="0.25">
      <c r="A640" s="4">
        <v>293</v>
      </c>
      <c r="B640" s="6" t="s">
        <v>38</v>
      </c>
      <c r="C640" s="38" t="s">
        <v>3859</v>
      </c>
      <c r="D640" s="6">
        <v>2022</v>
      </c>
      <c r="E640" s="6" t="s">
        <v>21</v>
      </c>
      <c r="F640" s="4">
        <v>80</v>
      </c>
      <c r="G640" s="4">
        <v>15</v>
      </c>
      <c r="H640" s="4">
        <v>55</v>
      </c>
    </row>
    <row r="641" spans="1:8" s="5" customFormat="1" ht="63" hidden="1" outlineLevel="1" x14ac:dyDescent="0.25">
      <c r="A641" s="4">
        <v>296</v>
      </c>
      <c r="B641" s="6" t="s">
        <v>38</v>
      </c>
      <c r="C641" s="38" t="s">
        <v>3860</v>
      </c>
      <c r="D641" s="6">
        <v>2022</v>
      </c>
      <c r="E641" s="6" t="s">
        <v>21</v>
      </c>
      <c r="F641" s="4">
        <v>45</v>
      </c>
      <c r="G641" s="4">
        <v>15</v>
      </c>
      <c r="H641" s="4">
        <v>68</v>
      </c>
    </row>
    <row r="642" spans="1:8" s="5" customFormat="1" ht="63" hidden="1" outlineLevel="1" x14ac:dyDescent="0.25">
      <c r="A642" s="4">
        <v>292</v>
      </c>
      <c r="B642" s="6" t="s">
        <v>38</v>
      </c>
      <c r="C642" s="38" t="s">
        <v>3861</v>
      </c>
      <c r="D642" s="6">
        <v>2022</v>
      </c>
      <c r="E642" s="6" t="s">
        <v>21</v>
      </c>
      <c r="F642" s="4">
        <v>65</v>
      </c>
      <c r="G642" s="4">
        <v>7.0000000000000007E-2</v>
      </c>
      <c r="H642" s="4">
        <v>102</v>
      </c>
    </row>
    <row r="643" spans="1:8" s="5" customFormat="1" ht="47.25" hidden="1" outlineLevel="1" x14ac:dyDescent="0.25">
      <c r="A643" s="4">
        <v>291</v>
      </c>
      <c r="B643" s="6" t="s">
        <v>38</v>
      </c>
      <c r="C643" s="38" t="s">
        <v>3862</v>
      </c>
      <c r="D643" s="6">
        <v>2022</v>
      </c>
      <c r="E643" s="6" t="s">
        <v>21</v>
      </c>
      <c r="F643" s="4">
        <v>310</v>
      </c>
      <c r="G643" s="4">
        <v>15</v>
      </c>
      <c r="H643" s="4">
        <v>302</v>
      </c>
    </row>
    <row r="644" spans="1:8" s="5" customFormat="1" ht="47.25" hidden="1" outlineLevel="1" x14ac:dyDescent="0.25">
      <c r="A644" s="4">
        <v>299</v>
      </c>
      <c r="B644" s="6" t="s">
        <v>38</v>
      </c>
      <c r="C644" s="38" t="s">
        <v>3863</v>
      </c>
      <c r="D644" s="6">
        <v>2022</v>
      </c>
      <c r="E644" s="6" t="s">
        <v>21</v>
      </c>
      <c r="F644" s="4">
        <v>40</v>
      </c>
      <c r="G644" s="4">
        <v>15</v>
      </c>
      <c r="H644" s="4">
        <v>83</v>
      </c>
    </row>
    <row r="645" spans="1:8" s="5" customFormat="1" ht="47.25" hidden="1" outlineLevel="1" x14ac:dyDescent="0.25">
      <c r="A645" s="4">
        <v>298</v>
      </c>
      <c r="B645" s="6" t="s">
        <v>38</v>
      </c>
      <c r="C645" s="38" t="s">
        <v>3864</v>
      </c>
      <c r="D645" s="6">
        <v>2022</v>
      </c>
      <c r="E645" s="6" t="s">
        <v>21</v>
      </c>
      <c r="F645" s="4">
        <v>30</v>
      </c>
      <c r="G645" s="4">
        <v>5</v>
      </c>
      <c r="H645" s="4">
        <v>42</v>
      </c>
    </row>
    <row r="646" spans="1:8" s="5" customFormat="1" ht="63" hidden="1" outlineLevel="1" x14ac:dyDescent="0.25">
      <c r="A646" s="4">
        <v>362</v>
      </c>
      <c r="B646" s="6" t="s">
        <v>38</v>
      </c>
      <c r="C646" s="38" t="s">
        <v>3865</v>
      </c>
      <c r="D646" s="6">
        <v>2022</v>
      </c>
      <c r="E646" s="6" t="s">
        <v>21</v>
      </c>
      <c r="F646" s="4">
        <v>20</v>
      </c>
      <c r="G646" s="4">
        <v>15</v>
      </c>
      <c r="H646" s="4">
        <v>51</v>
      </c>
    </row>
    <row r="647" spans="1:8" s="5" customFormat="1" ht="47.25" hidden="1" outlineLevel="1" x14ac:dyDescent="0.25">
      <c r="A647" s="4">
        <v>381</v>
      </c>
      <c r="B647" s="6" t="s">
        <v>38</v>
      </c>
      <c r="C647" s="38" t="s">
        <v>3866</v>
      </c>
      <c r="D647" s="6">
        <v>2022</v>
      </c>
      <c r="E647" s="6" t="s">
        <v>21</v>
      </c>
      <c r="F647" s="4">
        <v>40</v>
      </c>
      <c r="G647" s="4">
        <v>15</v>
      </c>
      <c r="H647" s="4">
        <v>80</v>
      </c>
    </row>
    <row r="648" spans="1:8" s="5" customFormat="1" ht="63" hidden="1" outlineLevel="1" x14ac:dyDescent="0.25">
      <c r="A648" s="4">
        <v>300</v>
      </c>
      <c r="B648" s="6" t="s">
        <v>38</v>
      </c>
      <c r="C648" s="38" t="s">
        <v>3867</v>
      </c>
      <c r="D648" s="6">
        <v>2022</v>
      </c>
      <c r="E648" s="6" t="s">
        <v>21</v>
      </c>
      <c r="F648" s="4">
        <v>30</v>
      </c>
      <c r="G648" s="4">
        <v>15</v>
      </c>
      <c r="H648" s="4">
        <v>46</v>
      </c>
    </row>
    <row r="649" spans="1:8" s="5" customFormat="1" ht="78.75" hidden="1" outlineLevel="1" x14ac:dyDescent="0.25">
      <c r="A649" s="4">
        <v>426</v>
      </c>
      <c r="B649" s="6" t="s">
        <v>38</v>
      </c>
      <c r="C649" s="38" t="s">
        <v>3868</v>
      </c>
      <c r="D649" s="6">
        <v>2022</v>
      </c>
      <c r="E649" s="6" t="s">
        <v>21</v>
      </c>
      <c r="F649" s="4">
        <v>839</v>
      </c>
      <c r="G649" s="4">
        <v>104.4</v>
      </c>
      <c r="H649" s="4">
        <v>1538</v>
      </c>
    </row>
    <row r="650" spans="1:8" s="5" customFormat="1" ht="78.75" hidden="1" outlineLevel="1" x14ac:dyDescent="0.25">
      <c r="A650" s="4">
        <v>322</v>
      </c>
      <c r="B650" s="6" t="s">
        <v>38</v>
      </c>
      <c r="C650" s="38" t="s">
        <v>3869</v>
      </c>
      <c r="D650" s="6">
        <v>2022</v>
      </c>
      <c r="E650" s="6" t="s">
        <v>21</v>
      </c>
      <c r="F650" s="4">
        <v>340</v>
      </c>
      <c r="G650" s="4">
        <v>15</v>
      </c>
      <c r="H650" s="4">
        <v>366</v>
      </c>
    </row>
    <row r="651" spans="1:8" s="5" customFormat="1" ht="63" hidden="1" outlineLevel="1" x14ac:dyDescent="0.25">
      <c r="A651" s="4">
        <v>324</v>
      </c>
      <c r="B651" s="6" t="s">
        <v>38</v>
      </c>
      <c r="C651" s="38" t="s">
        <v>3870</v>
      </c>
      <c r="D651" s="6">
        <v>2022</v>
      </c>
      <c r="E651" s="6" t="s">
        <v>21</v>
      </c>
      <c r="F651" s="4">
        <v>70</v>
      </c>
      <c r="G651" s="4">
        <v>15</v>
      </c>
      <c r="H651" s="4">
        <v>113</v>
      </c>
    </row>
    <row r="652" spans="1:8" s="5" customFormat="1" ht="78.75" hidden="1" outlineLevel="1" x14ac:dyDescent="0.25">
      <c r="A652" s="4">
        <v>376</v>
      </c>
      <c r="B652" s="6" t="s">
        <v>38</v>
      </c>
      <c r="C652" s="38" t="s">
        <v>3871</v>
      </c>
      <c r="D652" s="6">
        <v>2022</v>
      </c>
      <c r="E652" s="6" t="s">
        <v>21</v>
      </c>
      <c r="F652" s="4">
        <v>60</v>
      </c>
      <c r="G652" s="4">
        <v>15</v>
      </c>
      <c r="H652" s="4">
        <v>88</v>
      </c>
    </row>
    <row r="653" spans="1:8" s="5" customFormat="1" ht="78.75" hidden="1" outlineLevel="1" x14ac:dyDescent="0.25">
      <c r="A653" s="4">
        <v>360</v>
      </c>
      <c r="B653" s="6" t="s">
        <v>38</v>
      </c>
      <c r="C653" s="38" t="s">
        <v>3872</v>
      </c>
      <c r="D653" s="6">
        <v>2022</v>
      </c>
      <c r="E653" s="6" t="s">
        <v>21</v>
      </c>
      <c r="F653" s="4">
        <v>156</v>
      </c>
      <c r="G653" s="4">
        <v>15</v>
      </c>
      <c r="H653" s="4">
        <v>207</v>
      </c>
    </row>
    <row r="654" spans="1:8" s="5" customFormat="1" ht="63" hidden="1" outlineLevel="1" x14ac:dyDescent="0.25">
      <c r="A654" s="4">
        <v>369</v>
      </c>
      <c r="B654" s="6" t="s">
        <v>38</v>
      </c>
      <c r="C654" s="38" t="s">
        <v>3873</v>
      </c>
      <c r="D654" s="6">
        <v>2022</v>
      </c>
      <c r="E654" s="6" t="s">
        <v>21</v>
      </c>
      <c r="F654" s="4">
        <v>60</v>
      </c>
      <c r="G654" s="4">
        <v>15</v>
      </c>
      <c r="H654" s="4">
        <v>108</v>
      </c>
    </row>
    <row r="655" spans="1:8" s="5" customFormat="1" ht="47.25" hidden="1" outlineLevel="1" x14ac:dyDescent="0.25">
      <c r="A655" s="4">
        <v>373</v>
      </c>
      <c r="B655" s="6" t="s">
        <v>38</v>
      </c>
      <c r="C655" s="38" t="s">
        <v>3874</v>
      </c>
      <c r="D655" s="6">
        <v>2022</v>
      </c>
      <c r="E655" s="6" t="s">
        <v>21</v>
      </c>
      <c r="F655" s="4">
        <v>40</v>
      </c>
      <c r="G655" s="4">
        <v>15</v>
      </c>
      <c r="H655" s="4">
        <v>53</v>
      </c>
    </row>
    <row r="656" spans="1:8" s="5" customFormat="1" ht="78.75" hidden="1" outlineLevel="1" x14ac:dyDescent="0.25">
      <c r="A656" s="4">
        <v>364</v>
      </c>
      <c r="B656" s="6" t="s">
        <v>38</v>
      </c>
      <c r="C656" s="38" t="s">
        <v>3875</v>
      </c>
      <c r="D656" s="6">
        <v>2022</v>
      </c>
      <c r="E656" s="6" t="s">
        <v>21</v>
      </c>
      <c r="F656" s="4">
        <v>100</v>
      </c>
      <c r="G656" s="4">
        <v>15</v>
      </c>
      <c r="H656" s="4">
        <v>146</v>
      </c>
    </row>
    <row r="657" spans="1:8" s="5" customFormat="1" ht="47.25" hidden="1" outlineLevel="1" x14ac:dyDescent="0.25">
      <c r="A657" s="4">
        <v>367</v>
      </c>
      <c r="B657" s="6" t="s">
        <v>38</v>
      </c>
      <c r="C657" s="38" t="s">
        <v>3876</v>
      </c>
      <c r="D657" s="6">
        <v>2022</v>
      </c>
      <c r="E657" s="6" t="s">
        <v>21</v>
      </c>
      <c r="F657" s="4">
        <v>80</v>
      </c>
      <c r="G657" s="4">
        <v>15</v>
      </c>
      <c r="H657" s="4">
        <v>119</v>
      </c>
    </row>
    <row r="658" spans="1:8" s="5" customFormat="1" ht="63" hidden="1" outlineLevel="1" x14ac:dyDescent="0.25">
      <c r="A658" s="4">
        <v>368</v>
      </c>
      <c r="B658" s="6" t="s">
        <v>38</v>
      </c>
      <c r="C658" s="38" t="s">
        <v>3877</v>
      </c>
      <c r="D658" s="6">
        <v>2022</v>
      </c>
      <c r="E658" s="6" t="s">
        <v>21</v>
      </c>
      <c r="F658" s="4">
        <v>30</v>
      </c>
      <c r="G658" s="4">
        <v>15</v>
      </c>
      <c r="H658" s="4">
        <v>50</v>
      </c>
    </row>
    <row r="659" spans="1:8" s="5" customFormat="1" ht="63" hidden="1" outlineLevel="1" x14ac:dyDescent="0.25">
      <c r="A659" s="4">
        <v>372</v>
      </c>
      <c r="B659" s="6" t="s">
        <v>38</v>
      </c>
      <c r="C659" s="38" t="s">
        <v>3878</v>
      </c>
      <c r="D659" s="6">
        <v>2022</v>
      </c>
      <c r="E659" s="6" t="s">
        <v>21</v>
      </c>
      <c r="F659" s="4">
        <v>40</v>
      </c>
      <c r="G659" s="4">
        <v>15</v>
      </c>
      <c r="H659" s="4">
        <v>55</v>
      </c>
    </row>
    <row r="660" spans="1:8" s="5" customFormat="1" ht="63" hidden="1" outlineLevel="1" x14ac:dyDescent="0.25">
      <c r="A660" s="4">
        <v>371</v>
      </c>
      <c r="B660" s="6" t="s">
        <v>38</v>
      </c>
      <c r="C660" s="38" t="s">
        <v>3879</v>
      </c>
      <c r="D660" s="6">
        <v>2022</v>
      </c>
      <c r="E660" s="6" t="s">
        <v>21</v>
      </c>
      <c r="F660" s="4">
        <v>30</v>
      </c>
      <c r="G660" s="4">
        <v>15</v>
      </c>
      <c r="H660" s="4">
        <v>47</v>
      </c>
    </row>
    <row r="661" spans="1:8" s="5" customFormat="1" ht="63" hidden="1" outlineLevel="1" x14ac:dyDescent="0.25">
      <c r="A661" s="4">
        <v>377</v>
      </c>
      <c r="B661" s="6" t="s">
        <v>38</v>
      </c>
      <c r="C661" s="38" t="s">
        <v>3880</v>
      </c>
      <c r="D661" s="6">
        <v>2022</v>
      </c>
      <c r="E661" s="6" t="s">
        <v>21</v>
      </c>
      <c r="F661" s="4">
        <v>70</v>
      </c>
      <c r="G661" s="4">
        <v>15</v>
      </c>
      <c r="H661" s="4">
        <v>84</v>
      </c>
    </row>
    <row r="662" spans="1:8" s="5" customFormat="1" ht="63" hidden="1" outlineLevel="1" x14ac:dyDescent="0.25">
      <c r="A662" s="4">
        <v>379</v>
      </c>
      <c r="B662" s="6" t="s">
        <v>38</v>
      </c>
      <c r="C662" s="38" t="s">
        <v>3881</v>
      </c>
      <c r="D662" s="6">
        <v>2022</v>
      </c>
      <c r="E662" s="6" t="s">
        <v>21</v>
      </c>
      <c r="F662" s="4">
        <v>30</v>
      </c>
      <c r="G662" s="4">
        <v>15</v>
      </c>
      <c r="H662" s="4">
        <v>52</v>
      </c>
    </row>
    <row r="663" spans="1:8" s="5" customFormat="1" ht="63" hidden="1" outlineLevel="1" x14ac:dyDescent="0.25">
      <c r="A663" s="4">
        <v>378</v>
      </c>
      <c r="B663" s="6" t="s">
        <v>38</v>
      </c>
      <c r="C663" s="38" t="s">
        <v>3882</v>
      </c>
      <c r="D663" s="6">
        <v>2022</v>
      </c>
      <c r="E663" s="6" t="s">
        <v>21</v>
      </c>
      <c r="F663" s="4">
        <v>80</v>
      </c>
      <c r="G663" s="4">
        <v>15</v>
      </c>
      <c r="H663" s="4">
        <v>159</v>
      </c>
    </row>
    <row r="664" spans="1:8" s="5" customFormat="1" ht="47.25" hidden="1" outlineLevel="1" x14ac:dyDescent="0.25">
      <c r="A664" s="4">
        <v>380</v>
      </c>
      <c r="B664" s="6" t="s">
        <v>38</v>
      </c>
      <c r="C664" s="38" t="s">
        <v>3883</v>
      </c>
      <c r="D664" s="6">
        <v>2022</v>
      </c>
      <c r="E664" s="6" t="s">
        <v>21</v>
      </c>
      <c r="F664" s="4">
        <v>60</v>
      </c>
      <c r="G664" s="4">
        <v>15</v>
      </c>
      <c r="H664" s="4">
        <v>52</v>
      </c>
    </row>
    <row r="665" spans="1:8" s="5" customFormat="1" ht="63" hidden="1" outlineLevel="1" x14ac:dyDescent="0.25">
      <c r="A665" s="4">
        <v>361</v>
      </c>
      <c r="B665" s="6" t="s">
        <v>38</v>
      </c>
      <c r="C665" s="38" t="s">
        <v>3884</v>
      </c>
      <c r="D665" s="6">
        <v>2022</v>
      </c>
      <c r="E665" s="6" t="s">
        <v>21</v>
      </c>
      <c r="F665" s="4">
        <v>75</v>
      </c>
      <c r="G665" s="4">
        <v>15</v>
      </c>
      <c r="H665" s="4">
        <v>116</v>
      </c>
    </row>
    <row r="666" spans="1:8" s="5" customFormat="1" ht="47.25" hidden="1" outlineLevel="1" x14ac:dyDescent="0.25">
      <c r="A666" s="4">
        <v>407</v>
      </c>
      <c r="B666" s="6" t="s">
        <v>38</v>
      </c>
      <c r="C666" s="38" t="s">
        <v>3885</v>
      </c>
      <c r="D666" s="6">
        <v>2022</v>
      </c>
      <c r="E666" s="6" t="s">
        <v>21</v>
      </c>
      <c r="F666" s="4">
        <v>170</v>
      </c>
      <c r="G666" s="4">
        <v>30</v>
      </c>
      <c r="H666" s="4">
        <v>123</v>
      </c>
    </row>
    <row r="667" spans="1:8" s="5" customFormat="1" ht="94.5" hidden="1" outlineLevel="1" x14ac:dyDescent="0.25">
      <c r="A667" s="4">
        <v>404</v>
      </c>
      <c r="B667" s="6" t="s">
        <v>38</v>
      </c>
      <c r="C667" s="38" t="s">
        <v>3886</v>
      </c>
      <c r="D667" s="6">
        <v>2022</v>
      </c>
      <c r="E667" s="6" t="s">
        <v>21</v>
      </c>
      <c r="F667" s="4">
        <v>25</v>
      </c>
      <c r="G667" s="4">
        <v>15</v>
      </c>
      <c r="H667" s="4">
        <v>38</v>
      </c>
    </row>
    <row r="668" spans="1:8" s="5" customFormat="1" ht="47.25" hidden="1" outlineLevel="1" x14ac:dyDescent="0.25">
      <c r="A668" s="4">
        <v>406</v>
      </c>
      <c r="B668" s="6" t="s">
        <v>38</v>
      </c>
      <c r="C668" s="38" t="s">
        <v>3887</v>
      </c>
      <c r="D668" s="6">
        <v>2022</v>
      </c>
      <c r="E668" s="6" t="s">
        <v>21</v>
      </c>
      <c r="F668" s="4">
        <v>22</v>
      </c>
      <c r="G668" s="4">
        <v>15</v>
      </c>
      <c r="H668" s="4">
        <v>37</v>
      </c>
    </row>
    <row r="669" spans="1:8" s="5" customFormat="1" ht="63" hidden="1" outlineLevel="1" x14ac:dyDescent="0.25">
      <c r="A669" s="4">
        <v>433</v>
      </c>
      <c r="B669" s="6" t="s">
        <v>38</v>
      </c>
      <c r="C669" s="38" t="s">
        <v>3888</v>
      </c>
      <c r="D669" s="6">
        <v>2022</v>
      </c>
      <c r="E669" s="6" t="s">
        <v>21</v>
      </c>
      <c r="F669" s="4">
        <v>100</v>
      </c>
      <c r="G669" s="4">
        <v>15</v>
      </c>
      <c r="H669" s="4">
        <v>224</v>
      </c>
    </row>
    <row r="670" spans="1:8" s="5" customFormat="1" ht="63" hidden="1" outlineLevel="1" x14ac:dyDescent="0.25">
      <c r="A670" s="4">
        <v>403</v>
      </c>
      <c r="B670" s="6" t="s">
        <v>38</v>
      </c>
      <c r="C670" s="38" t="s">
        <v>3889</v>
      </c>
      <c r="D670" s="6">
        <v>2022</v>
      </c>
      <c r="E670" s="6" t="s">
        <v>21</v>
      </c>
      <c r="F670" s="4">
        <v>120</v>
      </c>
      <c r="G670" s="4">
        <v>5</v>
      </c>
      <c r="H670" s="4">
        <v>99</v>
      </c>
    </row>
    <row r="671" spans="1:8" s="5" customFormat="1" ht="110.25" hidden="1" outlineLevel="1" x14ac:dyDescent="0.25">
      <c r="A671" s="4">
        <v>5056</v>
      </c>
      <c r="B671" s="6" t="s">
        <v>38</v>
      </c>
      <c r="C671" s="38" t="s">
        <v>3890</v>
      </c>
      <c r="D671" s="6">
        <v>2022</v>
      </c>
      <c r="E671" s="6" t="s">
        <v>21</v>
      </c>
      <c r="F671" s="4">
        <v>90</v>
      </c>
      <c r="G671" s="4">
        <v>269.2</v>
      </c>
      <c r="H671" s="4">
        <v>270</v>
      </c>
    </row>
    <row r="672" spans="1:8" s="5" customFormat="1" ht="94.5" hidden="1" outlineLevel="1" x14ac:dyDescent="0.25">
      <c r="A672" s="4">
        <v>5395</v>
      </c>
      <c r="B672" s="6" t="s">
        <v>38</v>
      </c>
      <c r="C672" s="38" t="s">
        <v>3891</v>
      </c>
      <c r="D672" s="6">
        <v>2022</v>
      </c>
      <c r="E672" s="6" t="s">
        <v>21</v>
      </c>
      <c r="F672" s="4">
        <v>40</v>
      </c>
      <c r="G672" s="4">
        <v>15</v>
      </c>
      <c r="H672" s="4">
        <v>91</v>
      </c>
    </row>
    <row r="673" spans="1:8" s="5" customFormat="1" ht="94.5" hidden="1" outlineLevel="1" x14ac:dyDescent="0.25">
      <c r="A673" s="4">
        <v>5396</v>
      </c>
      <c r="B673" s="6" t="s">
        <v>38</v>
      </c>
      <c r="C673" s="38" t="s">
        <v>3892</v>
      </c>
      <c r="D673" s="6">
        <v>2022</v>
      </c>
      <c r="E673" s="6" t="s">
        <v>21</v>
      </c>
      <c r="F673" s="4">
        <v>4</v>
      </c>
      <c r="G673" s="4">
        <v>15</v>
      </c>
      <c r="H673" s="4">
        <v>101</v>
      </c>
    </row>
    <row r="674" spans="1:8" s="5" customFormat="1" ht="110.25" hidden="1" outlineLevel="1" x14ac:dyDescent="0.25">
      <c r="A674" s="4">
        <v>5397</v>
      </c>
      <c r="B674" s="6" t="s">
        <v>38</v>
      </c>
      <c r="C674" s="38" t="s">
        <v>3893</v>
      </c>
      <c r="D674" s="6">
        <v>2022</v>
      </c>
      <c r="E674" s="6" t="s">
        <v>21</v>
      </c>
      <c r="F674" s="4">
        <v>10</v>
      </c>
      <c r="G674" s="4">
        <v>15</v>
      </c>
      <c r="H674" s="4">
        <v>48</v>
      </c>
    </row>
    <row r="675" spans="1:8" s="5" customFormat="1" ht="94.5" hidden="1" outlineLevel="1" x14ac:dyDescent="0.25">
      <c r="A675" s="4">
        <v>5398</v>
      </c>
      <c r="B675" s="6" t="s">
        <v>38</v>
      </c>
      <c r="C675" s="38" t="s">
        <v>3894</v>
      </c>
      <c r="D675" s="6">
        <v>2022</v>
      </c>
      <c r="E675" s="6" t="s">
        <v>21</v>
      </c>
      <c r="F675" s="4">
        <v>50</v>
      </c>
      <c r="G675" s="4">
        <v>150</v>
      </c>
      <c r="H675" s="4">
        <v>76</v>
      </c>
    </row>
    <row r="676" spans="1:8" s="5" customFormat="1" ht="78.75" hidden="1" outlineLevel="1" x14ac:dyDescent="0.25">
      <c r="A676" s="4">
        <v>5360</v>
      </c>
      <c r="B676" s="6" t="s">
        <v>38</v>
      </c>
      <c r="C676" s="38" t="s">
        <v>3895</v>
      </c>
      <c r="D676" s="6">
        <v>2022</v>
      </c>
      <c r="E676" s="6" t="s">
        <v>21</v>
      </c>
      <c r="F676" s="4">
        <v>65</v>
      </c>
      <c r="G676" s="4">
        <v>15</v>
      </c>
      <c r="H676" s="4">
        <v>130</v>
      </c>
    </row>
    <row r="677" spans="1:8" s="5" customFormat="1" ht="94.5" hidden="1" outlineLevel="1" x14ac:dyDescent="0.25">
      <c r="A677" s="4">
        <v>5361</v>
      </c>
      <c r="B677" s="6" t="s">
        <v>38</v>
      </c>
      <c r="C677" s="38" t="s">
        <v>3896</v>
      </c>
      <c r="D677" s="6">
        <v>2022</v>
      </c>
      <c r="E677" s="6" t="s">
        <v>21</v>
      </c>
      <c r="F677" s="4">
        <v>30</v>
      </c>
      <c r="G677" s="4">
        <v>7.5</v>
      </c>
      <c r="H677" s="4">
        <v>121</v>
      </c>
    </row>
    <row r="678" spans="1:8" s="5" customFormat="1" ht="110.25" hidden="1" outlineLevel="1" x14ac:dyDescent="0.25">
      <c r="A678" s="4">
        <v>5226</v>
      </c>
      <c r="B678" s="6" t="s">
        <v>38</v>
      </c>
      <c r="C678" s="38" t="s">
        <v>3897</v>
      </c>
      <c r="D678" s="6">
        <v>2022</v>
      </c>
      <c r="E678" s="6" t="s">
        <v>21</v>
      </c>
      <c r="F678" s="4">
        <v>154</v>
      </c>
      <c r="G678" s="4">
        <v>13</v>
      </c>
      <c r="H678" s="4">
        <v>174</v>
      </c>
    </row>
    <row r="679" spans="1:8" s="5" customFormat="1" ht="110.25" hidden="1" outlineLevel="1" x14ac:dyDescent="0.25">
      <c r="A679" s="4">
        <v>5227</v>
      </c>
      <c r="B679" s="6" t="s">
        <v>38</v>
      </c>
      <c r="C679" s="38" t="s">
        <v>3898</v>
      </c>
      <c r="D679" s="6">
        <v>2022</v>
      </c>
      <c r="E679" s="6" t="s">
        <v>21</v>
      </c>
      <c r="F679" s="4">
        <v>75</v>
      </c>
      <c r="G679" s="4">
        <v>15</v>
      </c>
      <c r="H679" s="4">
        <v>131</v>
      </c>
    </row>
    <row r="680" spans="1:8" s="5" customFormat="1" ht="110.25" hidden="1" outlineLevel="1" x14ac:dyDescent="0.25">
      <c r="A680" s="4">
        <v>5077</v>
      </c>
      <c r="B680" s="6" t="s">
        <v>38</v>
      </c>
      <c r="C680" s="38" t="s">
        <v>3899</v>
      </c>
      <c r="D680" s="6">
        <v>2022</v>
      </c>
      <c r="E680" s="6" t="s">
        <v>21</v>
      </c>
      <c r="F680" s="4">
        <v>10</v>
      </c>
      <c r="G680" s="4">
        <v>15</v>
      </c>
      <c r="H680" s="4">
        <v>106</v>
      </c>
    </row>
    <row r="681" spans="1:8" s="5" customFormat="1" ht="94.5" hidden="1" outlineLevel="1" x14ac:dyDescent="0.25">
      <c r="A681" s="4">
        <v>5076</v>
      </c>
      <c r="B681" s="6" t="s">
        <v>38</v>
      </c>
      <c r="C681" s="38" t="s">
        <v>3900</v>
      </c>
      <c r="D681" s="6">
        <v>2022</v>
      </c>
      <c r="E681" s="6" t="s">
        <v>21</v>
      </c>
      <c r="F681" s="4">
        <v>190</v>
      </c>
      <c r="G681" s="4">
        <v>7.5</v>
      </c>
      <c r="H681" s="4">
        <v>175</v>
      </c>
    </row>
    <row r="682" spans="1:8" s="5" customFormat="1" ht="94.5" hidden="1" outlineLevel="1" x14ac:dyDescent="0.25">
      <c r="A682" s="4">
        <v>5224</v>
      </c>
      <c r="B682" s="6" t="s">
        <v>38</v>
      </c>
      <c r="C682" s="38" t="s">
        <v>3901</v>
      </c>
      <c r="D682" s="6">
        <v>2022</v>
      </c>
      <c r="E682" s="6" t="s">
        <v>21</v>
      </c>
      <c r="F682" s="4">
        <v>20</v>
      </c>
      <c r="G682" s="4">
        <v>15</v>
      </c>
      <c r="H682" s="4">
        <v>65</v>
      </c>
    </row>
    <row r="683" spans="1:8" s="5" customFormat="1" ht="94.5" hidden="1" outlineLevel="1" x14ac:dyDescent="0.25">
      <c r="A683" s="4">
        <v>5225</v>
      </c>
      <c r="B683" s="6" t="s">
        <v>38</v>
      </c>
      <c r="C683" s="38" t="s">
        <v>3902</v>
      </c>
      <c r="D683" s="6">
        <v>2022</v>
      </c>
      <c r="E683" s="6" t="s">
        <v>21</v>
      </c>
      <c r="F683" s="4">
        <v>165</v>
      </c>
      <c r="G683" s="4">
        <v>15</v>
      </c>
      <c r="H683" s="4">
        <v>325</v>
      </c>
    </row>
    <row r="684" spans="1:8" s="5" customFormat="1" ht="94.5" hidden="1" outlineLevel="1" x14ac:dyDescent="0.25">
      <c r="A684" s="4">
        <v>5212</v>
      </c>
      <c r="B684" s="6" t="s">
        <v>38</v>
      </c>
      <c r="C684" s="38" t="s">
        <v>3903</v>
      </c>
      <c r="D684" s="6">
        <v>2022</v>
      </c>
      <c r="E684" s="6" t="s">
        <v>21</v>
      </c>
      <c r="F684" s="4">
        <v>90</v>
      </c>
      <c r="G684" s="4">
        <v>15</v>
      </c>
      <c r="H684" s="4">
        <v>139</v>
      </c>
    </row>
    <row r="685" spans="1:8" s="5" customFormat="1" ht="94.5" hidden="1" outlineLevel="1" x14ac:dyDescent="0.25">
      <c r="A685" s="4">
        <v>5213</v>
      </c>
      <c r="B685" s="6" t="s">
        <v>38</v>
      </c>
      <c r="C685" s="38" t="s">
        <v>3904</v>
      </c>
      <c r="D685" s="6">
        <v>2022</v>
      </c>
      <c r="E685" s="6" t="s">
        <v>21</v>
      </c>
      <c r="F685" s="4">
        <v>80</v>
      </c>
      <c r="G685" s="4">
        <v>13</v>
      </c>
      <c r="H685" s="4">
        <v>142</v>
      </c>
    </row>
    <row r="686" spans="1:8" s="5" customFormat="1" ht="94.5" hidden="1" outlineLevel="1" x14ac:dyDescent="0.25">
      <c r="A686" s="4">
        <v>5213</v>
      </c>
      <c r="B686" s="6" t="s">
        <v>38</v>
      </c>
      <c r="C686" s="38" t="s">
        <v>3904</v>
      </c>
      <c r="D686" s="6">
        <v>2022</v>
      </c>
      <c r="E686" s="6" t="s">
        <v>21</v>
      </c>
      <c r="F686" s="4">
        <v>80</v>
      </c>
      <c r="G686" s="4">
        <v>13</v>
      </c>
      <c r="H686" s="4">
        <v>142</v>
      </c>
    </row>
    <row r="687" spans="1:8" s="5" customFormat="1" ht="94.5" hidden="1" outlineLevel="1" x14ac:dyDescent="0.25">
      <c r="A687" s="4">
        <v>5149</v>
      </c>
      <c r="B687" s="6" t="s">
        <v>38</v>
      </c>
      <c r="C687" s="38" t="s">
        <v>3905</v>
      </c>
      <c r="D687" s="6">
        <v>2022</v>
      </c>
      <c r="E687" s="6" t="s">
        <v>21</v>
      </c>
      <c r="F687" s="4">
        <v>53</v>
      </c>
      <c r="G687" s="4">
        <v>13.5</v>
      </c>
      <c r="H687" s="4">
        <v>94</v>
      </c>
    </row>
    <row r="688" spans="1:8" s="5" customFormat="1" ht="110.25" hidden="1" outlineLevel="1" x14ac:dyDescent="0.25">
      <c r="A688" s="4">
        <v>5151</v>
      </c>
      <c r="B688" s="6" t="s">
        <v>38</v>
      </c>
      <c r="C688" s="38" t="s">
        <v>3906</v>
      </c>
      <c r="D688" s="6">
        <v>2022</v>
      </c>
      <c r="E688" s="6" t="s">
        <v>21</v>
      </c>
      <c r="F688" s="4">
        <v>270</v>
      </c>
      <c r="G688" s="4">
        <v>150</v>
      </c>
      <c r="H688" s="4">
        <v>475</v>
      </c>
    </row>
    <row r="689" spans="1:8" s="5" customFormat="1" ht="94.5" hidden="1" outlineLevel="1" x14ac:dyDescent="0.25">
      <c r="A689" s="4">
        <v>5150</v>
      </c>
      <c r="B689" s="6" t="s">
        <v>38</v>
      </c>
      <c r="C689" s="38" t="s">
        <v>3907</v>
      </c>
      <c r="D689" s="6">
        <v>2022</v>
      </c>
      <c r="E689" s="6" t="s">
        <v>21</v>
      </c>
      <c r="F689" s="4">
        <v>30</v>
      </c>
      <c r="G689" s="4">
        <v>25</v>
      </c>
      <c r="H689" s="4">
        <v>99</v>
      </c>
    </row>
    <row r="690" spans="1:8" s="5" customFormat="1" ht="94.5" hidden="1" outlineLevel="1" x14ac:dyDescent="0.25">
      <c r="A690" s="4">
        <v>5152</v>
      </c>
      <c r="B690" s="6" t="s">
        <v>38</v>
      </c>
      <c r="C690" s="38" t="s">
        <v>3908</v>
      </c>
      <c r="D690" s="6">
        <v>2022</v>
      </c>
      <c r="E690" s="6" t="s">
        <v>21</v>
      </c>
      <c r="F690" s="4">
        <v>46</v>
      </c>
      <c r="G690" s="4">
        <v>15</v>
      </c>
      <c r="H690" s="4">
        <v>128</v>
      </c>
    </row>
    <row r="691" spans="1:8" s="5" customFormat="1" ht="110.25" hidden="1" outlineLevel="1" x14ac:dyDescent="0.25">
      <c r="A691" s="4">
        <v>5058</v>
      </c>
      <c r="B691" s="6" t="s">
        <v>38</v>
      </c>
      <c r="C691" s="38" t="s">
        <v>3909</v>
      </c>
      <c r="D691" s="6">
        <v>2022</v>
      </c>
      <c r="E691" s="6" t="s">
        <v>21</v>
      </c>
      <c r="F691" s="4">
        <v>25</v>
      </c>
      <c r="G691" s="4">
        <v>15</v>
      </c>
      <c r="H691" s="4">
        <v>128</v>
      </c>
    </row>
    <row r="692" spans="1:8" s="5" customFormat="1" ht="157.5" hidden="1" outlineLevel="1" x14ac:dyDescent="0.25">
      <c r="A692" s="4">
        <v>5059</v>
      </c>
      <c r="B692" s="6" t="s">
        <v>38</v>
      </c>
      <c r="C692" s="38" t="s">
        <v>3910</v>
      </c>
      <c r="D692" s="6">
        <v>2022</v>
      </c>
      <c r="E692" s="6" t="s">
        <v>21</v>
      </c>
      <c r="F692" s="4">
        <v>25</v>
      </c>
      <c r="G692" s="4">
        <v>30</v>
      </c>
      <c r="H692" s="4">
        <v>116</v>
      </c>
    </row>
    <row r="693" spans="1:8" s="5" customFormat="1" ht="78.75" hidden="1" outlineLevel="1" x14ac:dyDescent="0.25">
      <c r="A693" s="4">
        <v>5337</v>
      </c>
      <c r="B693" s="6" t="s">
        <v>38</v>
      </c>
      <c r="C693" s="38" t="s">
        <v>3911</v>
      </c>
      <c r="D693" s="6">
        <v>2022</v>
      </c>
      <c r="E693" s="6" t="s">
        <v>21</v>
      </c>
      <c r="F693" s="4">
        <v>160</v>
      </c>
      <c r="G693" s="4">
        <v>8</v>
      </c>
      <c r="H693" s="4">
        <v>345</v>
      </c>
    </row>
    <row r="694" spans="1:8" s="5" customFormat="1" ht="63" hidden="1" outlineLevel="1" x14ac:dyDescent="0.25">
      <c r="A694" s="4">
        <v>5338</v>
      </c>
      <c r="B694" s="6" t="s">
        <v>38</v>
      </c>
      <c r="C694" s="38" t="s">
        <v>3912</v>
      </c>
      <c r="D694" s="6">
        <v>2022</v>
      </c>
      <c r="E694" s="6" t="s">
        <v>21</v>
      </c>
      <c r="F694" s="4">
        <v>135</v>
      </c>
      <c r="G694" s="4">
        <v>2</v>
      </c>
      <c r="H694" s="4">
        <v>211</v>
      </c>
    </row>
    <row r="695" spans="1:8" s="5" customFormat="1" ht="78.75" hidden="1" outlineLevel="1" x14ac:dyDescent="0.25">
      <c r="A695" s="4">
        <v>5335</v>
      </c>
      <c r="B695" s="6" t="s">
        <v>38</v>
      </c>
      <c r="C695" s="38" t="s">
        <v>3913</v>
      </c>
      <c r="D695" s="6">
        <v>2022</v>
      </c>
      <c r="E695" s="6" t="s">
        <v>21</v>
      </c>
      <c r="F695" s="4">
        <v>633</v>
      </c>
      <c r="G695" s="4">
        <v>15</v>
      </c>
      <c r="H695" s="4">
        <v>961</v>
      </c>
    </row>
    <row r="696" spans="1:8" s="5" customFormat="1" ht="94.5" hidden="1" outlineLevel="1" x14ac:dyDescent="0.25">
      <c r="A696" s="4">
        <v>5144</v>
      </c>
      <c r="B696" s="6" t="s">
        <v>38</v>
      </c>
      <c r="C696" s="38" t="s">
        <v>3914</v>
      </c>
      <c r="D696" s="6">
        <v>2022</v>
      </c>
      <c r="E696" s="6" t="s">
        <v>21</v>
      </c>
      <c r="F696" s="4">
        <v>25</v>
      </c>
      <c r="G696" s="4">
        <v>10</v>
      </c>
      <c r="H696" s="4">
        <v>67</v>
      </c>
    </row>
    <row r="697" spans="1:8" s="5" customFormat="1" ht="94.5" hidden="1" outlineLevel="1" x14ac:dyDescent="0.25">
      <c r="A697" s="4">
        <v>5301</v>
      </c>
      <c r="B697" s="6" t="s">
        <v>38</v>
      </c>
      <c r="C697" s="38" t="s">
        <v>3915</v>
      </c>
      <c r="D697" s="6">
        <v>2022</v>
      </c>
      <c r="E697" s="6" t="s">
        <v>21</v>
      </c>
      <c r="F697" s="4">
        <v>5</v>
      </c>
      <c r="G697" s="4">
        <v>15</v>
      </c>
      <c r="H697" s="4">
        <v>113</v>
      </c>
    </row>
    <row r="698" spans="1:8" s="5" customFormat="1" ht="126" hidden="1" outlineLevel="1" x14ac:dyDescent="0.25">
      <c r="A698" s="4">
        <v>5302</v>
      </c>
      <c r="B698" s="6" t="s">
        <v>38</v>
      </c>
      <c r="C698" s="38" t="s">
        <v>3916</v>
      </c>
      <c r="D698" s="6">
        <v>2022</v>
      </c>
      <c r="E698" s="6" t="s">
        <v>21</v>
      </c>
      <c r="F698" s="4">
        <v>119</v>
      </c>
      <c r="G698" s="4">
        <v>25</v>
      </c>
      <c r="H698" s="4">
        <v>415</v>
      </c>
    </row>
    <row r="699" spans="1:8" s="5" customFormat="1" ht="94.5" hidden="1" outlineLevel="1" x14ac:dyDescent="0.25">
      <c r="A699" s="4">
        <v>5256</v>
      </c>
      <c r="B699" s="6" t="s">
        <v>38</v>
      </c>
      <c r="C699" s="38" t="s">
        <v>3917</v>
      </c>
      <c r="D699" s="6">
        <v>2022</v>
      </c>
      <c r="E699" s="6" t="s">
        <v>21</v>
      </c>
      <c r="F699" s="4">
        <v>30</v>
      </c>
      <c r="G699" s="4">
        <v>7</v>
      </c>
      <c r="H699" s="4">
        <v>85</v>
      </c>
    </row>
    <row r="700" spans="1:8" s="5" customFormat="1" ht="110.25" hidden="1" outlineLevel="1" x14ac:dyDescent="0.25">
      <c r="A700" s="4">
        <v>5258</v>
      </c>
      <c r="B700" s="6" t="s">
        <v>38</v>
      </c>
      <c r="C700" s="38" t="s">
        <v>3918</v>
      </c>
      <c r="D700" s="6">
        <v>2022</v>
      </c>
      <c r="E700" s="6" t="s">
        <v>21</v>
      </c>
      <c r="F700" s="4">
        <v>30</v>
      </c>
      <c r="G700" s="4">
        <v>15</v>
      </c>
      <c r="H700" s="4">
        <v>62</v>
      </c>
    </row>
    <row r="701" spans="1:8" s="5" customFormat="1" ht="94.5" hidden="1" outlineLevel="1" x14ac:dyDescent="0.25">
      <c r="A701" s="4">
        <v>5259</v>
      </c>
      <c r="B701" s="6" t="s">
        <v>38</v>
      </c>
      <c r="C701" s="38" t="s">
        <v>3919</v>
      </c>
      <c r="D701" s="6">
        <v>2022</v>
      </c>
      <c r="E701" s="6" t="s">
        <v>21</v>
      </c>
      <c r="F701" s="4">
        <v>100</v>
      </c>
      <c r="G701" s="4">
        <v>15</v>
      </c>
      <c r="H701" s="4">
        <v>145</v>
      </c>
    </row>
    <row r="702" spans="1:8" s="5" customFormat="1" ht="94.5" hidden="1" outlineLevel="1" x14ac:dyDescent="0.25">
      <c r="A702" s="4">
        <v>5260</v>
      </c>
      <c r="B702" s="6" t="s">
        <v>38</v>
      </c>
      <c r="C702" s="38" t="s">
        <v>3920</v>
      </c>
      <c r="D702" s="6">
        <v>2022</v>
      </c>
      <c r="E702" s="6" t="s">
        <v>21</v>
      </c>
      <c r="F702" s="4">
        <v>80</v>
      </c>
      <c r="G702" s="4">
        <v>15</v>
      </c>
      <c r="H702" s="4">
        <v>143</v>
      </c>
    </row>
    <row r="703" spans="1:8" s="5" customFormat="1" ht="94.5" hidden="1" outlineLevel="1" x14ac:dyDescent="0.25">
      <c r="A703" s="4">
        <v>5098</v>
      </c>
      <c r="B703" s="6" t="s">
        <v>38</v>
      </c>
      <c r="C703" s="38" t="s">
        <v>3921</v>
      </c>
      <c r="D703" s="6">
        <v>2022</v>
      </c>
      <c r="E703" s="6" t="s">
        <v>21</v>
      </c>
      <c r="F703" s="4">
        <v>135</v>
      </c>
      <c r="G703" s="4">
        <v>150</v>
      </c>
      <c r="H703" s="4">
        <v>108</v>
      </c>
    </row>
    <row r="704" spans="1:8" s="5" customFormat="1" ht="94.5" hidden="1" outlineLevel="1" x14ac:dyDescent="0.25">
      <c r="A704" s="4">
        <v>5099</v>
      </c>
      <c r="B704" s="6" t="s">
        <v>38</v>
      </c>
      <c r="C704" s="38" t="s">
        <v>3922</v>
      </c>
      <c r="D704" s="6">
        <v>2022</v>
      </c>
      <c r="E704" s="6" t="s">
        <v>21</v>
      </c>
      <c r="F704" s="4">
        <v>7</v>
      </c>
      <c r="G704" s="4">
        <v>15</v>
      </c>
      <c r="H704" s="4">
        <v>173</v>
      </c>
    </row>
    <row r="705" spans="1:8" s="5" customFormat="1" ht="110.25" hidden="1" outlineLevel="1" x14ac:dyDescent="0.25">
      <c r="A705" s="4">
        <v>5100</v>
      </c>
      <c r="B705" s="6" t="s">
        <v>38</v>
      </c>
      <c r="C705" s="38" t="s">
        <v>3923</v>
      </c>
      <c r="D705" s="6">
        <v>2022</v>
      </c>
      <c r="E705" s="6" t="s">
        <v>21</v>
      </c>
      <c r="F705" s="4">
        <v>5</v>
      </c>
      <c r="G705" s="4">
        <v>10</v>
      </c>
      <c r="H705" s="4">
        <v>178</v>
      </c>
    </row>
    <row r="706" spans="1:8" s="5" customFormat="1" ht="63" hidden="1" outlineLevel="1" x14ac:dyDescent="0.25">
      <c r="A706" s="4">
        <v>5101</v>
      </c>
      <c r="B706" s="6" t="s">
        <v>38</v>
      </c>
      <c r="C706" s="38" t="s">
        <v>3924</v>
      </c>
      <c r="D706" s="6">
        <v>2022</v>
      </c>
      <c r="E706" s="6" t="s">
        <v>21</v>
      </c>
      <c r="F706" s="4">
        <v>334</v>
      </c>
      <c r="G706" s="4">
        <v>15</v>
      </c>
      <c r="H706" s="4">
        <v>764</v>
      </c>
    </row>
    <row r="707" spans="1:8" s="5" customFormat="1" ht="94.5" hidden="1" outlineLevel="1" x14ac:dyDescent="0.25">
      <c r="A707" s="4">
        <v>5102</v>
      </c>
      <c r="B707" s="6" t="s">
        <v>38</v>
      </c>
      <c r="C707" s="38" t="s">
        <v>3925</v>
      </c>
      <c r="D707" s="6">
        <v>2022</v>
      </c>
      <c r="E707" s="6" t="s">
        <v>21</v>
      </c>
      <c r="F707" s="4">
        <v>40</v>
      </c>
      <c r="G707" s="4">
        <v>15</v>
      </c>
      <c r="H707" s="4">
        <v>168</v>
      </c>
    </row>
    <row r="708" spans="1:8" s="5" customFormat="1" ht="81" hidden="1" customHeight="1" outlineLevel="1" x14ac:dyDescent="0.25">
      <c r="A708" s="4">
        <v>5103</v>
      </c>
      <c r="B708" s="6" t="s">
        <v>38</v>
      </c>
      <c r="C708" s="38" t="s">
        <v>3926</v>
      </c>
      <c r="D708" s="6">
        <v>2022</v>
      </c>
      <c r="E708" s="6" t="s">
        <v>21</v>
      </c>
      <c r="F708" s="4">
        <v>240</v>
      </c>
      <c r="G708" s="4">
        <v>15</v>
      </c>
      <c r="H708" s="4">
        <v>78</v>
      </c>
    </row>
    <row r="709" spans="1:8" s="5" customFormat="1" ht="102.75" hidden="1" customHeight="1" outlineLevel="1" x14ac:dyDescent="0.25">
      <c r="A709" s="4">
        <v>5104</v>
      </c>
      <c r="B709" s="6" t="s">
        <v>38</v>
      </c>
      <c r="C709" s="38" t="s">
        <v>3927</v>
      </c>
      <c r="D709" s="6">
        <v>2022</v>
      </c>
      <c r="E709" s="6" t="s">
        <v>21</v>
      </c>
      <c r="F709" s="4">
        <v>40</v>
      </c>
      <c r="G709" s="4">
        <v>15</v>
      </c>
      <c r="H709" s="4">
        <v>63</v>
      </c>
    </row>
    <row r="710" spans="1:8" s="5" customFormat="1" ht="126" hidden="1" outlineLevel="1" x14ac:dyDescent="0.25">
      <c r="A710" s="4">
        <v>5257</v>
      </c>
      <c r="B710" s="6" t="s">
        <v>38</v>
      </c>
      <c r="C710" s="38" t="s">
        <v>3928</v>
      </c>
      <c r="D710" s="6">
        <v>2022</v>
      </c>
      <c r="E710" s="6" t="s">
        <v>21</v>
      </c>
      <c r="F710" s="4">
        <v>110</v>
      </c>
      <c r="G710" s="4">
        <v>7.5</v>
      </c>
      <c r="H710" s="4">
        <v>193</v>
      </c>
    </row>
    <row r="711" spans="1:8" s="5" customFormat="1" ht="78.75" hidden="1" customHeight="1" outlineLevel="1" x14ac:dyDescent="0.25">
      <c r="A711" s="4">
        <v>135</v>
      </c>
      <c r="B711" s="6" t="s">
        <v>38</v>
      </c>
      <c r="C711" s="38" t="s">
        <v>254</v>
      </c>
      <c r="D711" s="6">
        <v>2020</v>
      </c>
      <c r="E711" s="6"/>
      <c r="F711" s="6">
        <v>134</v>
      </c>
      <c r="G711" s="6">
        <v>15</v>
      </c>
      <c r="H711" s="6">
        <v>197.04131000000001</v>
      </c>
    </row>
    <row r="712" spans="1:8" s="5" customFormat="1" ht="78.75" hidden="1" customHeight="1" outlineLevel="1" x14ac:dyDescent="0.25">
      <c r="A712" s="4">
        <v>152</v>
      </c>
      <c r="B712" s="6" t="s">
        <v>38</v>
      </c>
      <c r="C712" s="38" t="s">
        <v>255</v>
      </c>
      <c r="D712" s="6">
        <v>2020</v>
      </c>
      <c r="E712" s="6"/>
      <c r="F712" s="6">
        <v>81</v>
      </c>
      <c r="G712" s="6">
        <v>27</v>
      </c>
      <c r="H712" s="6">
        <v>203.18107000000001</v>
      </c>
    </row>
    <row r="713" spans="1:8" s="5" customFormat="1" ht="94.5" hidden="1" customHeight="1" outlineLevel="1" x14ac:dyDescent="0.25">
      <c r="A713" s="4">
        <v>1563</v>
      </c>
      <c r="B713" s="6" t="s">
        <v>38</v>
      </c>
      <c r="C713" s="38" t="s">
        <v>256</v>
      </c>
      <c r="D713" s="6">
        <v>2020</v>
      </c>
      <c r="E713" s="6"/>
      <c r="F713" s="6">
        <v>10</v>
      </c>
      <c r="G713" s="6">
        <v>15</v>
      </c>
      <c r="H713" s="6">
        <v>38.916589999999999</v>
      </c>
    </row>
    <row r="714" spans="1:8" s="5" customFormat="1" ht="126" hidden="1" customHeight="1" outlineLevel="1" x14ac:dyDescent="0.25">
      <c r="A714" s="4">
        <v>1562</v>
      </c>
      <c r="B714" s="6" t="s">
        <v>38</v>
      </c>
      <c r="C714" s="38" t="s">
        <v>257</v>
      </c>
      <c r="D714" s="6">
        <v>2020</v>
      </c>
      <c r="E714" s="6"/>
      <c r="F714" s="6">
        <v>10</v>
      </c>
      <c r="G714" s="6">
        <v>15</v>
      </c>
      <c r="H714" s="6">
        <v>58.554130000000001</v>
      </c>
    </row>
    <row r="715" spans="1:8" s="5" customFormat="1" ht="141.75" hidden="1" customHeight="1" outlineLevel="1" x14ac:dyDescent="0.25">
      <c r="A715" s="4">
        <v>1645</v>
      </c>
      <c r="B715" s="6" t="s">
        <v>38</v>
      </c>
      <c r="C715" s="38" t="s">
        <v>258</v>
      </c>
      <c r="D715" s="6">
        <v>2020</v>
      </c>
      <c r="E715" s="6"/>
      <c r="F715" s="6">
        <v>19</v>
      </c>
      <c r="G715" s="6">
        <v>10</v>
      </c>
      <c r="H715" s="6">
        <v>161.71827999999999</v>
      </c>
    </row>
    <row r="716" spans="1:8" s="5" customFormat="1" ht="94.5" hidden="1" customHeight="1" outlineLevel="1" x14ac:dyDescent="0.25">
      <c r="A716" s="4">
        <v>280</v>
      </c>
      <c r="B716" s="6" t="s">
        <v>38</v>
      </c>
      <c r="C716" s="38" t="s">
        <v>259</v>
      </c>
      <c r="D716" s="6">
        <v>2020</v>
      </c>
      <c r="E716" s="6"/>
      <c r="F716" s="6">
        <v>5</v>
      </c>
      <c r="G716" s="6">
        <v>15</v>
      </c>
      <c r="H716" s="6">
        <v>22.854150000000001</v>
      </c>
    </row>
    <row r="717" spans="1:8" s="5" customFormat="1" ht="78.75" hidden="1" customHeight="1" outlineLevel="1" x14ac:dyDescent="0.25">
      <c r="A717" s="4">
        <v>1502</v>
      </c>
      <c r="B717" s="6" t="s">
        <v>38</v>
      </c>
      <c r="C717" s="38" t="s">
        <v>260</v>
      </c>
      <c r="D717" s="6">
        <v>2020</v>
      </c>
      <c r="E717" s="6"/>
      <c r="F717" s="6">
        <v>54</v>
      </c>
      <c r="G717" s="6">
        <v>12</v>
      </c>
      <c r="H717" s="6">
        <v>84.242959999999997</v>
      </c>
    </row>
    <row r="718" spans="1:8" s="5" customFormat="1" ht="94.5" hidden="1" customHeight="1" outlineLevel="1" x14ac:dyDescent="0.25">
      <c r="A718" s="4">
        <v>479</v>
      </c>
      <c r="B718" s="6" t="s">
        <v>38</v>
      </c>
      <c r="C718" s="38" t="s">
        <v>261</v>
      </c>
      <c r="D718" s="6">
        <v>2020</v>
      </c>
      <c r="E718" s="6"/>
      <c r="F718" s="6">
        <v>7</v>
      </c>
      <c r="G718" s="6">
        <v>50</v>
      </c>
      <c r="H718" s="6">
        <v>26.657</v>
      </c>
    </row>
    <row r="719" spans="1:8" s="5" customFormat="1" ht="94.5" hidden="1" customHeight="1" outlineLevel="1" x14ac:dyDescent="0.25">
      <c r="A719" s="4">
        <v>1522</v>
      </c>
      <c r="B719" s="6" t="s">
        <v>38</v>
      </c>
      <c r="C719" s="38" t="s">
        <v>262</v>
      </c>
      <c r="D719" s="6">
        <v>2020</v>
      </c>
      <c r="E719" s="6"/>
      <c r="F719" s="6">
        <v>5</v>
      </c>
      <c r="G719" s="6">
        <v>25</v>
      </c>
      <c r="H719" s="6">
        <v>40.219189999999998</v>
      </c>
    </row>
    <row r="720" spans="1:8" s="5" customFormat="1" ht="110.25" hidden="1" customHeight="1" outlineLevel="1" x14ac:dyDescent="0.25">
      <c r="A720" s="4">
        <v>565</v>
      </c>
      <c r="B720" s="6" t="s">
        <v>38</v>
      </c>
      <c r="C720" s="38" t="s">
        <v>263</v>
      </c>
      <c r="D720" s="6">
        <v>2020</v>
      </c>
      <c r="E720" s="6"/>
      <c r="F720" s="6">
        <v>7</v>
      </c>
      <c r="G720" s="6">
        <v>30</v>
      </c>
      <c r="H720" s="6">
        <v>23.415030000000002</v>
      </c>
    </row>
    <row r="721" spans="1:8" s="5" customFormat="1" ht="78.75" hidden="1" customHeight="1" outlineLevel="1" x14ac:dyDescent="0.25">
      <c r="A721" s="4">
        <v>1598</v>
      </c>
      <c r="B721" s="6" t="s">
        <v>38</v>
      </c>
      <c r="C721" s="38" t="s">
        <v>264</v>
      </c>
      <c r="D721" s="6">
        <v>2020</v>
      </c>
      <c r="E721" s="6"/>
      <c r="F721" s="6">
        <v>44</v>
      </c>
      <c r="G721" s="6">
        <v>15</v>
      </c>
      <c r="H721" s="6">
        <v>79.247979999999998</v>
      </c>
    </row>
    <row r="722" spans="1:8" s="5" customFormat="1" ht="78.75" hidden="1" customHeight="1" outlineLevel="1" x14ac:dyDescent="0.25">
      <c r="A722" s="4">
        <v>663</v>
      </c>
      <c r="B722" s="6" t="s">
        <v>38</v>
      </c>
      <c r="C722" s="38" t="s">
        <v>265</v>
      </c>
      <c r="D722" s="6">
        <v>2020</v>
      </c>
      <c r="E722" s="6"/>
      <c r="F722" s="6">
        <v>60</v>
      </c>
      <c r="G722" s="6">
        <v>15</v>
      </c>
      <c r="H722" s="6">
        <v>128.53584000000001</v>
      </c>
    </row>
    <row r="723" spans="1:8" s="5" customFormat="1" ht="78.75" hidden="1" customHeight="1" outlineLevel="1" x14ac:dyDescent="0.25">
      <c r="A723" s="4">
        <v>1567</v>
      </c>
      <c r="B723" s="6" t="s">
        <v>38</v>
      </c>
      <c r="C723" s="38" t="s">
        <v>266</v>
      </c>
      <c r="D723" s="6">
        <v>2020</v>
      </c>
      <c r="E723" s="6"/>
      <c r="F723" s="6">
        <v>21</v>
      </c>
      <c r="G723" s="6">
        <v>70</v>
      </c>
      <c r="H723" s="6">
        <v>93.974109999999996</v>
      </c>
    </row>
    <row r="724" spans="1:8" s="5" customFormat="1" ht="78.75" hidden="1" customHeight="1" outlineLevel="1" x14ac:dyDescent="0.25">
      <c r="A724" s="4">
        <v>660</v>
      </c>
      <c r="B724" s="6" t="s">
        <v>38</v>
      </c>
      <c r="C724" s="38" t="s">
        <v>267</v>
      </c>
      <c r="D724" s="6">
        <v>2020</v>
      </c>
      <c r="E724" s="6"/>
      <c r="F724" s="6">
        <v>103</v>
      </c>
      <c r="G724" s="6">
        <v>15</v>
      </c>
      <c r="H724" s="6">
        <v>153.01199</v>
      </c>
    </row>
    <row r="725" spans="1:8" s="5" customFormat="1" ht="78.75" hidden="1" customHeight="1" outlineLevel="1" x14ac:dyDescent="0.25">
      <c r="A725" s="4">
        <v>677</v>
      </c>
      <c r="B725" s="6" t="s">
        <v>38</v>
      </c>
      <c r="C725" s="38" t="s">
        <v>268</v>
      </c>
      <c r="D725" s="6">
        <v>2020</v>
      </c>
      <c r="E725" s="6"/>
      <c r="F725" s="6">
        <v>81</v>
      </c>
      <c r="G725" s="6">
        <v>15</v>
      </c>
      <c r="H725" s="6">
        <v>136.33717999999999</v>
      </c>
    </row>
    <row r="726" spans="1:8" s="5" customFormat="1" ht="78.75" hidden="1" customHeight="1" outlineLevel="1" x14ac:dyDescent="0.25">
      <c r="A726" s="4">
        <v>723</v>
      </c>
      <c r="B726" s="6" t="s">
        <v>38</v>
      </c>
      <c r="C726" s="38" t="s">
        <v>269</v>
      </c>
      <c r="D726" s="6">
        <v>2020</v>
      </c>
      <c r="E726" s="6"/>
      <c r="F726" s="6">
        <v>36</v>
      </c>
      <c r="G726" s="6">
        <v>15</v>
      </c>
      <c r="H726" s="6">
        <v>149.47296</v>
      </c>
    </row>
    <row r="727" spans="1:8" s="5" customFormat="1" ht="78.75" hidden="1" customHeight="1" outlineLevel="1" x14ac:dyDescent="0.25">
      <c r="A727" s="4">
        <v>790</v>
      </c>
      <c r="B727" s="6" t="s">
        <v>38</v>
      </c>
      <c r="C727" s="38" t="s">
        <v>270</v>
      </c>
      <c r="D727" s="6">
        <v>2020</v>
      </c>
      <c r="E727" s="6"/>
      <c r="F727" s="6">
        <v>563</v>
      </c>
      <c r="G727" s="6">
        <v>15</v>
      </c>
      <c r="H727" s="6">
        <v>369.09345999999999</v>
      </c>
    </row>
    <row r="728" spans="1:8" s="5" customFormat="1" ht="78.75" hidden="1" customHeight="1" outlineLevel="1" x14ac:dyDescent="0.25">
      <c r="A728" s="4">
        <v>1515</v>
      </c>
      <c r="B728" s="6" t="s">
        <v>38</v>
      </c>
      <c r="C728" s="38" t="s">
        <v>271</v>
      </c>
      <c r="D728" s="6">
        <v>2020</v>
      </c>
      <c r="E728" s="6"/>
      <c r="F728" s="6">
        <v>29</v>
      </c>
      <c r="G728" s="6">
        <v>15</v>
      </c>
      <c r="H728" s="6">
        <v>130.78569999999999</v>
      </c>
    </row>
    <row r="729" spans="1:8" s="5" customFormat="1" ht="78.75" hidden="1" customHeight="1" outlineLevel="1" x14ac:dyDescent="0.25">
      <c r="A729" s="4">
        <v>1589</v>
      </c>
      <c r="B729" s="6" t="s">
        <v>38</v>
      </c>
      <c r="C729" s="38" t="s">
        <v>272</v>
      </c>
      <c r="D729" s="6">
        <v>2020</v>
      </c>
      <c r="E729" s="6"/>
      <c r="F729" s="6">
        <v>127</v>
      </c>
      <c r="G729" s="6">
        <v>10</v>
      </c>
      <c r="H729" s="6">
        <v>282.01094000000001</v>
      </c>
    </row>
    <row r="730" spans="1:8" s="5" customFormat="1" ht="78.75" hidden="1" customHeight="1" outlineLevel="1" x14ac:dyDescent="0.25">
      <c r="A730" s="4">
        <v>787</v>
      </c>
      <c r="B730" s="6" t="s">
        <v>38</v>
      </c>
      <c r="C730" s="38" t="s">
        <v>273</v>
      </c>
      <c r="D730" s="6">
        <v>2020</v>
      </c>
      <c r="E730" s="6"/>
      <c r="F730" s="6">
        <v>79</v>
      </c>
      <c r="G730" s="6">
        <v>10</v>
      </c>
      <c r="H730" s="6">
        <v>154.45116999999999</v>
      </c>
    </row>
    <row r="731" spans="1:8" s="5" customFormat="1" ht="78.75" hidden="1" customHeight="1" outlineLevel="1" x14ac:dyDescent="0.25">
      <c r="A731" s="4">
        <v>1470</v>
      </c>
      <c r="B731" s="6" t="s">
        <v>38</v>
      </c>
      <c r="C731" s="38" t="s">
        <v>274</v>
      </c>
      <c r="D731" s="6">
        <v>2020</v>
      </c>
      <c r="E731" s="6"/>
      <c r="F731" s="6">
        <v>218</v>
      </c>
      <c r="G731" s="6">
        <v>10</v>
      </c>
      <c r="H731" s="6">
        <v>330.90755000000001</v>
      </c>
    </row>
    <row r="732" spans="1:8" s="5" customFormat="1" ht="63" hidden="1" customHeight="1" outlineLevel="1" x14ac:dyDescent="0.25">
      <c r="A732" s="4">
        <v>1483</v>
      </c>
      <c r="B732" s="6" t="s">
        <v>38</v>
      </c>
      <c r="C732" s="38" t="s">
        <v>275</v>
      </c>
      <c r="D732" s="6">
        <v>2020</v>
      </c>
      <c r="E732" s="6"/>
      <c r="F732" s="6">
        <v>125</v>
      </c>
      <c r="G732" s="6">
        <v>10</v>
      </c>
      <c r="H732" s="6">
        <v>187.4726</v>
      </c>
    </row>
    <row r="733" spans="1:8" s="5" customFormat="1" ht="63" hidden="1" customHeight="1" outlineLevel="1" x14ac:dyDescent="0.25">
      <c r="A733" s="4">
        <v>884</v>
      </c>
      <c r="B733" s="6" t="s">
        <v>38</v>
      </c>
      <c r="C733" s="38" t="s">
        <v>276</v>
      </c>
      <c r="D733" s="6">
        <v>2020</v>
      </c>
      <c r="E733" s="6"/>
      <c r="F733" s="6">
        <v>78</v>
      </c>
      <c r="G733" s="6">
        <v>15</v>
      </c>
      <c r="H733" s="6">
        <v>111.45028000000001</v>
      </c>
    </row>
    <row r="734" spans="1:8" s="5" customFormat="1" ht="94.5" hidden="1" customHeight="1" outlineLevel="1" x14ac:dyDescent="0.25">
      <c r="A734" s="4">
        <v>1648</v>
      </c>
      <c r="B734" s="6" t="s">
        <v>38</v>
      </c>
      <c r="C734" s="38" t="s">
        <v>277</v>
      </c>
      <c r="D734" s="6">
        <v>2020</v>
      </c>
      <c r="E734" s="6"/>
      <c r="F734" s="6">
        <v>35</v>
      </c>
      <c r="G734" s="6">
        <v>100</v>
      </c>
      <c r="H734" s="6">
        <v>179.179</v>
      </c>
    </row>
    <row r="735" spans="1:8" s="5" customFormat="1" ht="110.25" hidden="1" customHeight="1" outlineLevel="1" x14ac:dyDescent="0.25">
      <c r="A735" s="4">
        <v>770</v>
      </c>
      <c r="B735" s="6" t="s">
        <v>38</v>
      </c>
      <c r="C735" s="38" t="s">
        <v>278</v>
      </c>
      <c r="D735" s="6">
        <v>2020</v>
      </c>
      <c r="E735" s="6"/>
      <c r="F735" s="6">
        <v>135</v>
      </c>
      <c r="G735" s="6">
        <v>15</v>
      </c>
      <c r="H735" s="6">
        <v>251.68199999999999</v>
      </c>
    </row>
    <row r="736" spans="1:8" s="5" customFormat="1" ht="78.75" hidden="1" customHeight="1" outlineLevel="1" x14ac:dyDescent="0.25">
      <c r="A736" s="4">
        <v>647</v>
      </c>
      <c r="B736" s="6" t="s">
        <v>38</v>
      </c>
      <c r="C736" s="38" t="s">
        <v>279</v>
      </c>
      <c r="D736" s="6">
        <v>2020</v>
      </c>
      <c r="E736" s="6"/>
      <c r="F736" s="6">
        <v>200</v>
      </c>
      <c r="G736" s="6">
        <v>10.1</v>
      </c>
      <c r="H736" s="6">
        <v>201</v>
      </c>
    </row>
    <row r="737" spans="1:8" s="5" customFormat="1" ht="126" hidden="1" customHeight="1" outlineLevel="1" x14ac:dyDescent="0.25">
      <c r="A737" s="4">
        <v>1006</v>
      </c>
      <c r="B737" s="6" t="s">
        <v>38</v>
      </c>
      <c r="C737" s="38" t="s">
        <v>280</v>
      </c>
      <c r="D737" s="6">
        <v>2020</v>
      </c>
      <c r="E737" s="6"/>
      <c r="F737" s="6">
        <v>230</v>
      </c>
      <c r="G737" s="6">
        <v>30</v>
      </c>
      <c r="H737" s="6">
        <v>327.29165</v>
      </c>
    </row>
    <row r="738" spans="1:8" s="5" customFormat="1" ht="63" hidden="1" customHeight="1" outlineLevel="1" x14ac:dyDescent="0.25">
      <c r="A738" s="4">
        <v>512</v>
      </c>
      <c r="B738" s="6" t="s">
        <v>38</v>
      </c>
      <c r="C738" s="38" t="s">
        <v>281</v>
      </c>
      <c r="D738" s="6">
        <v>2020</v>
      </c>
      <c r="E738" s="6"/>
      <c r="F738" s="6">
        <v>250</v>
      </c>
      <c r="G738" s="6">
        <v>15</v>
      </c>
      <c r="H738" s="6">
        <v>228.07739000000001</v>
      </c>
    </row>
    <row r="739" spans="1:8" s="5" customFormat="1" ht="78.75" hidden="1" customHeight="1" outlineLevel="1" x14ac:dyDescent="0.25">
      <c r="A739" s="4">
        <v>843</v>
      </c>
      <c r="B739" s="6" t="s">
        <v>38</v>
      </c>
      <c r="C739" s="38" t="s">
        <v>282</v>
      </c>
      <c r="D739" s="6">
        <v>2020</v>
      </c>
      <c r="E739" s="6"/>
      <c r="F739" s="6">
        <v>250</v>
      </c>
      <c r="G739" s="6">
        <v>10</v>
      </c>
      <c r="H739" s="6">
        <v>327.59199999999998</v>
      </c>
    </row>
    <row r="740" spans="1:8" s="5" customFormat="1" ht="78.75" hidden="1" customHeight="1" outlineLevel="1" x14ac:dyDescent="0.25">
      <c r="A740" s="4">
        <v>1084</v>
      </c>
      <c r="B740" s="6" t="s">
        <v>38</v>
      </c>
      <c r="C740" s="38" t="s">
        <v>283</v>
      </c>
      <c r="D740" s="6">
        <v>2020</v>
      </c>
      <c r="E740" s="6"/>
      <c r="F740" s="6">
        <v>315</v>
      </c>
      <c r="G740" s="6">
        <v>14.5</v>
      </c>
      <c r="H740" s="6">
        <v>263.41422999999998</v>
      </c>
    </row>
    <row r="741" spans="1:8" s="5" customFormat="1" ht="94.5" hidden="1" customHeight="1" outlineLevel="1" x14ac:dyDescent="0.25">
      <c r="A741" s="4">
        <v>798</v>
      </c>
      <c r="B741" s="6" t="s">
        <v>38</v>
      </c>
      <c r="C741" s="38" t="s">
        <v>284</v>
      </c>
      <c r="D741" s="6">
        <v>2020</v>
      </c>
      <c r="E741" s="6"/>
      <c r="F741" s="6">
        <v>10</v>
      </c>
      <c r="G741" s="6">
        <v>40</v>
      </c>
      <c r="H741" s="6">
        <v>40</v>
      </c>
    </row>
    <row r="742" spans="1:8" s="5" customFormat="1" ht="110.25" hidden="1" customHeight="1" outlineLevel="1" x14ac:dyDescent="0.25">
      <c r="A742" s="4">
        <v>1539</v>
      </c>
      <c r="B742" s="6" t="s">
        <v>38</v>
      </c>
      <c r="C742" s="38" t="s">
        <v>285</v>
      </c>
      <c r="D742" s="6">
        <v>2020</v>
      </c>
      <c r="E742" s="6"/>
      <c r="F742" s="6">
        <v>200</v>
      </c>
      <c r="G742" s="6">
        <v>50</v>
      </c>
      <c r="H742" s="6">
        <v>191.59148999999999</v>
      </c>
    </row>
    <row r="743" spans="1:8" s="5" customFormat="1" ht="94.5" hidden="1" customHeight="1" outlineLevel="1" x14ac:dyDescent="0.25">
      <c r="A743" s="4">
        <v>193</v>
      </c>
      <c r="B743" s="6" t="s">
        <v>38</v>
      </c>
      <c r="C743" s="38" t="s">
        <v>286</v>
      </c>
      <c r="D743" s="6">
        <v>2020</v>
      </c>
      <c r="E743" s="6"/>
      <c r="F743" s="6">
        <v>5</v>
      </c>
      <c r="G743" s="6">
        <v>15</v>
      </c>
      <c r="H743" s="6">
        <v>115</v>
      </c>
    </row>
    <row r="744" spans="1:8" s="5" customFormat="1" ht="94.5" hidden="1" customHeight="1" outlineLevel="1" x14ac:dyDescent="0.25">
      <c r="A744" s="4">
        <v>1603</v>
      </c>
      <c r="B744" s="6" t="s">
        <v>38</v>
      </c>
      <c r="C744" s="38" t="s">
        <v>287</v>
      </c>
      <c r="D744" s="6">
        <v>2020</v>
      </c>
      <c r="E744" s="6"/>
      <c r="F744" s="6">
        <v>50</v>
      </c>
      <c r="G744" s="6">
        <v>44</v>
      </c>
      <c r="H744" s="6">
        <v>141.99691000000001</v>
      </c>
    </row>
    <row r="745" spans="1:8" s="5" customFormat="1" ht="78.75" hidden="1" customHeight="1" outlineLevel="1" x14ac:dyDescent="0.25">
      <c r="A745" s="4">
        <v>807</v>
      </c>
      <c r="B745" s="6" t="s">
        <v>38</v>
      </c>
      <c r="C745" s="38" t="s">
        <v>288</v>
      </c>
      <c r="D745" s="6">
        <v>2020</v>
      </c>
      <c r="E745" s="6"/>
      <c r="F745" s="6">
        <v>180</v>
      </c>
      <c r="G745" s="6">
        <v>30</v>
      </c>
      <c r="H745" s="6">
        <v>306.04716999999999</v>
      </c>
    </row>
    <row r="746" spans="1:8" s="5" customFormat="1" ht="78.75" hidden="1" customHeight="1" outlineLevel="1" x14ac:dyDescent="0.25">
      <c r="A746" s="4">
        <v>793</v>
      </c>
      <c r="B746" s="6" t="s">
        <v>38</v>
      </c>
      <c r="C746" s="38" t="s">
        <v>289</v>
      </c>
      <c r="D746" s="6">
        <v>2020</v>
      </c>
      <c r="E746" s="6"/>
      <c r="F746" s="6">
        <v>410</v>
      </c>
      <c r="G746" s="6">
        <v>10</v>
      </c>
      <c r="H746" s="6">
        <v>446.16969999999998</v>
      </c>
    </row>
    <row r="747" spans="1:8" s="5" customFormat="1" ht="78.75" hidden="1" customHeight="1" outlineLevel="1" x14ac:dyDescent="0.25">
      <c r="A747" s="4">
        <v>797</v>
      </c>
      <c r="B747" s="6" t="s">
        <v>38</v>
      </c>
      <c r="C747" s="38" t="s">
        <v>290</v>
      </c>
      <c r="D747" s="6">
        <v>2020</v>
      </c>
      <c r="E747" s="6"/>
      <c r="F747" s="6">
        <v>450</v>
      </c>
      <c r="G747" s="6">
        <v>10</v>
      </c>
      <c r="H747" s="6">
        <v>394.86631</v>
      </c>
    </row>
    <row r="748" spans="1:8" s="5" customFormat="1" ht="94.5" hidden="1" customHeight="1" outlineLevel="1" x14ac:dyDescent="0.25">
      <c r="A748" s="4">
        <v>1076</v>
      </c>
      <c r="B748" s="6" t="s">
        <v>38</v>
      </c>
      <c r="C748" s="38" t="s">
        <v>291</v>
      </c>
      <c r="D748" s="6">
        <v>2020</v>
      </c>
      <c r="E748" s="6"/>
      <c r="F748" s="6">
        <v>60</v>
      </c>
      <c r="G748" s="6">
        <v>15</v>
      </c>
      <c r="H748" s="6">
        <v>61.705240000000003</v>
      </c>
    </row>
    <row r="749" spans="1:8" s="5" customFormat="1" ht="78.75" hidden="1" customHeight="1" outlineLevel="1" x14ac:dyDescent="0.25">
      <c r="A749" s="4">
        <v>567</v>
      </c>
      <c r="B749" s="6" t="s">
        <v>38</v>
      </c>
      <c r="C749" s="38" t="s">
        <v>292</v>
      </c>
      <c r="D749" s="6">
        <v>2020</v>
      </c>
      <c r="E749" s="6"/>
      <c r="F749" s="6">
        <v>300</v>
      </c>
      <c r="G749" s="6">
        <v>15</v>
      </c>
      <c r="H749" s="6">
        <v>329.17944</v>
      </c>
    </row>
    <row r="750" spans="1:8" s="5" customFormat="1" ht="94.5" hidden="1" customHeight="1" outlineLevel="1" x14ac:dyDescent="0.25">
      <c r="A750" s="4">
        <v>593</v>
      </c>
      <c r="B750" s="6" t="s">
        <v>38</v>
      </c>
      <c r="C750" s="38" t="s">
        <v>293</v>
      </c>
      <c r="D750" s="6">
        <v>2020</v>
      </c>
      <c r="E750" s="6"/>
      <c r="F750" s="6">
        <v>9</v>
      </c>
      <c r="G750" s="6">
        <v>14</v>
      </c>
      <c r="H750" s="6">
        <v>137.06223</v>
      </c>
    </row>
    <row r="751" spans="1:8" s="5" customFormat="1" ht="110.25" hidden="1" customHeight="1" outlineLevel="1" x14ac:dyDescent="0.25">
      <c r="A751" s="4">
        <v>357</v>
      </c>
      <c r="B751" s="6" t="s">
        <v>38</v>
      </c>
      <c r="C751" s="38" t="s">
        <v>294</v>
      </c>
      <c r="D751" s="6">
        <v>2020</v>
      </c>
      <c r="E751" s="6"/>
      <c r="F751" s="6">
        <v>31</v>
      </c>
      <c r="G751" s="6">
        <v>15</v>
      </c>
      <c r="H751" s="6">
        <v>299</v>
      </c>
    </row>
    <row r="752" spans="1:8" s="5" customFormat="1" ht="94.5" hidden="1" customHeight="1" outlineLevel="1" x14ac:dyDescent="0.25">
      <c r="A752" s="4">
        <v>160</v>
      </c>
      <c r="B752" s="6" t="s">
        <v>38</v>
      </c>
      <c r="C752" s="38" t="s">
        <v>295</v>
      </c>
      <c r="D752" s="6">
        <v>2020</v>
      </c>
      <c r="E752" s="6"/>
      <c r="F752" s="6">
        <v>15</v>
      </c>
      <c r="G752" s="6">
        <v>15</v>
      </c>
      <c r="H752" s="6">
        <v>102</v>
      </c>
    </row>
    <row r="753" spans="1:8" s="5" customFormat="1" ht="78.75" hidden="1" customHeight="1" outlineLevel="1" x14ac:dyDescent="0.25">
      <c r="A753" s="4">
        <v>953</v>
      </c>
      <c r="B753" s="6" t="s">
        <v>38</v>
      </c>
      <c r="C753" s="38" t="s">
        <v>296</v>
      </c>
      <c r="D753" s="6">
        <v>2020</v>
      </c>
      <c r="E753" s="6"/>
      <c r="F753" s="6">
        <v>477</v>
      </c>
      <c r="G753" s="6">
        <v>20</v>
      </c>
      <c r="H753" s="6">
        <v>666.70100000000002</v>
      </c>
    </row>
    <row r="754" spans="1:8" s="5" customFormat="1" ht="94.5" hidden="1" customHeight="1" outlineLevel="1" x14ac:dyDescent="0.25">
      <c r="A754" s="4">
        <v>391</v>
      </c>
      <c r="B754" s="6" t="s">
        <v>38</v>
      </c>
      <c r="C754" s="38" t="s">
        <v>297</v>
      </c>
      <c r="D754" s="6">
        <v>2020</v>
      </c>
      <c r="E754" s="6"/>
      <c r="F754" s="6">
        <v>52</v>
      </c>
      <c r="G754" s="6">
        <v>15</v>
      </c>
      <c r="H754" s="6">
        <v>201</v>
      </c>
    </row>
    <row r="755" spans="1:8" s="5" customFormat="1" ht="126" hidden="1" customHeight="1" outlineLevel="1" x14ac:dyDescent="0.25">
      <c r="A755" s="4">
        <v>1008</v>
      </c>
      <c r="B755" s="6" t="s">
        <v>38</v>
      </c>
      <c r="C755" s="38" t="s">
        <v>298</v>
      </c>
      <c r="D755" s="6">
        <v>2020</v>
      </c>
      <c r="E755" s="6"/>
      <c r="F755" s="6">
        <v>7</v>
      </c>
      <c r="G755" s="6">
        <v>60</v>
      </c>
      <c r="H755" s="6">
        <v>153</v>
      </c>
    </row>
    <row r="756" spans="1:8" s="5" customFormat="1" ht="126" hidden="1" customHeight="1" outlineLevel="1" x14ac:dyDescent="0.25">
      <c r="A756" s="4">
        <v>1618</v>
      </c>
      <c r="B756" s="6" t="s">
        <v>38</v>
      </c>
      <c r="C756" s="38" t="s">
        <v>299</v>
      </c>
      <c r="D756" s="6">
        <v>2020</v>
      </c>
      <c r="E756" s="6"/>
      <c r="F756" s="6">
        <v>16</v>
      </c>
      <c r="G756" s="6">
        <v>40</v>
      </c>
      <c r="H756" s="6">
        <v>183</v>
      </c>
    </row>
    <row r="757" spans="1:8" s="5" customFormat="1" ht="94.5" hidden="1" customHeight="1" outlineLevel="1" x14ac:dyDescent="0.25">
      <c r="A757" s="4">
        <v>973</v>
      </c>
      <c r="B757" s="6" t="s">
        <v>38</v>
      </c>
      <c r="C757" s="38" t="s">
        <v>300</v>
      </c>
      <c r="D757" s="6">
        <v>2020</v>
      </c>
      <c r="E757" s="6"/>
      <c r="F757" s="6">
        <v>5</v>
      </c>
      <c r="G757" s="6">
        <v>165</v>
      </c>
      <c r="H757" s="6">
        <v>83</v>
      </c>
    </row>
    <row r="758" spans="1:8" s="5" customFormat="1" ht="78.75" hidden="1" customHeight="1" outlineLevel="1" x14ac:dyDescent="0.25">
      <c r="A758" s="4">
        <v>1134</v>
      </c>
      <c r="B758" s="6" t="s">
        <v>38</v>
      </c>
      <c r="C758" s="38" t="s">
        <v>301</v>
      </c>
      <c r="D758" s="6">
        <v>2020</v>
      </c>
      <c r="E758" s="6"/>
      <c r="F758" s="6">
        <v>140</v>
      </c>
      <c r="G758" s="6">
        <v>150</v>
      </c>
      <c r="H758" s="6">
        <v>205.51644999999999</v>
      </c>
    </row>
    <row r="759" spans="1:8" s="5" customFormat="1" ht="78.75" hidden="1" customHeight="1" outlineLevel="1" x14ac:dyDescent="0.25">
      <c r="A759" s="4">
        <v>1086</v>
      </c>
      <c r="B759" s="6" t="s">
        <v>38</v>
      </c>
      <c r="C759" s="38" t="s">
        <v>302</v>
      </c>
      <c r="D759" s="6">
        <v>2020</v>
      </c>
      <c r="E759" s="6"/>
      <c r="F759" s="6">
        <v>160</v>
      </c>
      <c r="G759" s="6">
        <v>7</v>
      </c>
      <c r="H759" s="6">
        <v>155.05476999999999</v>
      </c>
    </row>
    <row r="760" spans="1:8" s="5" customFormat="1" ht="78.75" hidden="1" customHeight="1" outlineLevel="1" x14ac:dyDescent="0.25">
      <c r="A760" s="4">
        <v>1104</v>
      </c>
      <c r="B760" s="6" t="s">
        <v>38</v>
      </c>
      <c r="C760" s="38" t="s">
        <v>303</v>
      </c>
      <c r="D760" s="6">
        <v>2020</v>
      </c>
      <c r="E760" s="6"/>
      <c r="F760" s="6">
        <v>81</v>
      </c>
      <c r="G760" s="6">
        <v>8.4</v>
      </c>
      <c r="H760" s="6">
        <v>117.98775999999999</v>
      </c>
    </row>
    <row r="761" spans="1:8" s="5" customFormat="1" ht="78.75" hidden="1" customHeight="1" outlineLevel="1" x14ac:dyDescent="0.25">
      <c r="A761" s="4">
        <v>1043</v>
      </c>
      <c r="B761" s="6" t="s">
        <v>38</v>
      </c>
      <c r="C761" s="38" t="s">
        <v>304</v>
      </c>
      <c r="D761" s="6">
        <v>2020</v>
      </c>
      <c r="E761" s="6"/>
      <c r="F761" s="6">
        <v>100</v>
      </c>
      <c r="G761" s="6">
        <v>15</v>
      </c>
      <c r="H761" s="6">
        <v>151.11750000000001</v>
      </c>
    </row>
    <row r="762" spans="1:8" s="5" customFormat="1" ht="78.75" hidden="1" customHeight="1" outlineLevel="1" x14ac:dyDescent="0.25">
      <c r="A762" s="4">
        <v>552</v>
      </c>
      <c r="B762" s="6" t="s">
        <v>38</v>
      </c>
      <c r="C762" s="38" t="s">
        <v>305</v>
      </c>
      <c r="D762" s="6">
        <v>2020</v>
      </c>
      <c r="E762" s="6"/>
      <c r="F762" s="6">
        <v>512</v>
      </c>
      <c r="G762" s="6">
        <v>30</v>
      </c>
      <c r="H762" s="6">
        <v>878.12360000000001</v>
      </c>
    </row>
    <row r="763" spans="1:8" s="5" customFormat="1" ht="78.75" hidden="1" customHeight="1" outlineLevel="1" x14ac:dyDescent="0.25">
      <c r="A763" s="4">
        <v>1517</v>
      </c>
      <c r="B763" s="6" t="s">
        <v>38</v>
      </c>
      <c r="C763" s="38" t="s">
        <v>306</v>
      </c>
      <c r="D763" s="6">
        <v>2020</v>
      </c>
      <c r="E763" s="6"/>
      <c r="F763" s="6">
        <v>20</v>
      </c>
      <c r="G763" s="6">
        <v>15</v>
      </c>
      <c r="H763" s="6">
        <v>233.92252999999999</v>
      </c>
    </row>
    <row r="764" spans="1:8" s="5" customFormat="1" ht="78.75" hidden="1" customHeight="1" outlineLevel="1" x14ac:dyDescent="0.25">
      <c r="A764" s="4">
        <v>1128</v>
      </c>
      <c r="B764" s="6" t="s">
        <v>38</v>
      </c>
      <c r="C764" s="38" t="s">
        <v>307</v>
      </c>
      <c r="D764" s="6">
        <v>2020</v>
      </c>
      <c r="E764" s="6"/>
      <c r="F764" s="6">
        <v>40</v>
      </c>
      <c r="G764" s="6">
        <v>8</v>
      </c>
      <c r="H764" s="6">
        <v>62.186390000000003</v>
      </c>
    </row>
    <row r="765" spans="1:8" s="5" customFormat="1" ht="78.75" hidden="1" customHeight="1" outlineLevel="1" x14ac:dyDescent="0.25">
      <c r="A765" s="4">
        <v>976</v>
      </c>
      <c r="B765" s="6" t="s">
        <v>38</v>
      </c>
      <c r="C765" s="38" t="s">
        <v>308</v>
      </c>
      <c r="D765" s="6">
        <v>2020</v>
      </c>
      <c r="E765" s="6"/>
      <c r="F765" s="6">
        <v>255</v>
      </c>
      <c r="G765" s="6">
        <v>15</v>
      </c>
      <c r="H765" s="6">
        <v>409.58758999999998</v>
      </c>
    </row>
    <row r="766" spans="1:8" s="5" customFormat="1" ht="78.75" hidden="1" customHeight="1" outlineLevel="1" x14ac:dyDescent="0.25">
      <c r="A766" s="4">
        <v>1177</v>
      </c>
      <c r="B766" s="6" t="s">
        <v>38</v>
      </c>
      <c r="C766" s="38" t="s">
        <v>309</v>
      </c>
      <c r="D766" s="6">
        <v>2020</v>
      </c>
      <c r="E766" s="6"/>
      <c r="F766" s="6">
        <v>170</v>
      </c>
      <c r="G766" s="6">
        <v>7</v>
      </c>
      <c r="H766" s="6">
        <v>210.17975000000001</v>
      </c>
    </row>
    <row r="767" spans="1:8" s="5" customFormat="1" ht="94.5" hidden="1" customHeight="1" outlineLevel="1" x14ac:dyDescent="0.25">
      <c r="A767" s="4">
        <v>1617</v>
      </c>
      <c r="B767" s="6" t="s">
        <v>38</v>
      </c>
      <c r="C767" s="53" t="s">
        <v>310</v>
      </c>
      <c r="D767" s="6">
        <v>2020</v>
      </c>
      <c r="E767" s="6"/>
      <c r="F767" s="50">
        <v>10</v>
      </c>
      <c r="G767" s="6">
        <v>15</v>
      </c>
      <c r="H767" s="6">
        <v>119</v>
      </c>
    </row>
    <row r="768" spans="1:8" s="5" customFormat="1" ht="78.75" hidden="1" customHeight="1" outlineLevel="1" x14ac:dyDescent="0.25">
      <c r="A768" s="4">
        <v>1802</v>
      </c>
      <c r="B768" s="6" t="s">
        <v>38</v>
      </c>
      <c r="C768" s="53" t="s">
        <v>23</v>
      </c>
      <c r="D768" s="6">
        <v>2020</v>
      </c>
      <c r="E768" s="6" t="s">
        <v>21</v>
      </c>
      <c r="F768" s="50">
        <v>28</v>
      </c>
      <c r="G768" s="6">
        <v>15</v>
      </c>
      <c r="H768" s="6">
        <v>91.313559999999995</v>
      </c>
    </row>
    <row r="769" spans="1:8" s="5" customFormat="1" ht="78.75" hidden="1" customHeight="1" outlineLevel="1" x14ac:dyDescent="0.25">
      <c r="A769" s="4">
        <v>1813</v>
      </c>
      <c r="B769" s="6" t="s">
        <v>38</v>
      </c>
      <c r="C769" s="53" t="s">
        <v>24</v>
      </c>
      <c r="D769" s="6">
        <v>2020</v>
      </c>
      <c r="E769" s="6" t="s">
        <v>21</v>
      </c>
      <c r="F769" s="50">
        <v>5</v>
      </c>
      <c r="G769" s="6">
        <v>15</v>
      </c>
      <c r="H769" s="6">
        <v>30.870460000000001</v>
      </c>
    </row>
    <row r="770" spans="1:8" s="5" customFormat="1" ht="47.25" hidden="1" customHeight="1" outlineLevel="1" x14ac:dyDescent="0.25">
      <c r="A770" s="4">
        <v>361</v>
      </c>
      <c r="B770" s="6" t="s">
        <v>38</v>
      </c>
      <c r="C770" s="53" t="s">
        <v>25</v>
      </c>
      <c r="D770" s="6">
        <v>2020</v>
      </c>
      <c r="E770" s="6" t="s">
        <v>21</v>
      </c>
      <c r="F770" s="50">
        <v>80</v>
      </c>
      <c r="G770" s="6">
        <v>10</v>
      </c>
      <c r="H770" s="6">
        <v>139.30781999999999</v>
      </c>
    </row>
    <row r="771" spans="1:8" s="5" customFormat="1" ht="63" hidden="1" customHeight="1" outlineLevel="1" x14ac:dyDescent="0.25">
      <c r="A771" s="4">
        <v>1684</v>
      </c>
      <c r="B771" s="6" t="s">
        <v>38</v>
      </c>
      <c r="C771" s="53" t="s">
        <v>26</v>
      </c>
      <c r="D771" s="6">
        <v>2020</v>
      </c>
      <c r="E771" s="6" t="s">
        <v>21</v>
      </c>
      <c r="F771" s="50">
        <v>51</v>
      </c>
      <c r="G771" s="6">
        <v>15</v>
      </c>
      <c r="H771" s="6">
        <v>145.32966999999999</v>
      </c>
    </row>
    <row r="772" spans="1:8" s="5" customFormat="1" ht="63" hidden="1" customHeight="1" outlineLevel="1" x14ac:dyDescent="0.25">
      <c r="A772" s="4">
        <v>374</v>
      </c>
      <c r="B772" s="6" t="s">
        <v>38</v>
      </c>
      <c r="C772" s="53" t="s">
        <v>27</v>
      </c>
      <c r="D772" s="6">
        <v>2020</v>
      </c>
      <c r="E772" s="6" t="s">
        <v>21</v>
      </c>
      <c r="F772" s="50">
        <v>217</v>
      </c>
      <c r="G772" s="6">
        <v>10</v>
      </c>
      <c r="H772" s="6">
        <v>400.32290999999998</v>
      </c>
    </row>
    <row r="773" spans="1:8" s="5" customFormat="1" ht="63" hidden="1" customHeight="1" outlineLevel="1" x14ac:dyDescent="0.25">
      <c r="A773" s="4">
        <v>406</v>
      </c>
      <c r="B773" s="6" t="s">
        <v>38</v>
      </c>
      <c r="C773" s="53" t="s">
        <v>28</v>
      </c>
      <c r="D773" s="6">
        <v>2020</v>
      </c>
      <c r="E773" s="6" t="s">
        <v>21</v>
      </c>
      <c r="F773" s="50">
        <v>380</v>
      </c>
      <c r="G773" s="6">
        <v>9</v>
      </c>
      <c r="H773" s="6">
        <v>629.95957999999996</v>
      </c>
    </row>
    <row r="774" spans="1:8" s="5" customFormat="1" ht="63" hidden="1" customHeight="1" outlineLevel="1" x14ac:dyDescent="0.25">
      <c r="A774" s="4">
        <v>394</v>
      </c>
      <c r="B774" s="6" t="s">
        <v>38</v>
      </c>
      <c r="C774" s="53" t="s">
        <v>29</v>
      </c>
      <c r="D774" s="6">
        <v>2020</v>
      </c>
      <c r="E774" s="6" t="s">
        <v>21</v>
      </c>
      <c r="F774" s="50">
        <v>238</v>
      </c>
      <c r="G774" s="6">
        <v>15</v>
      </c>
      <c r="H774" s="6">
        <v>363.96634999999998</v>
      </c>
    </row>
    <row r="775" spans="1:8" s="5" customFormat="1" ht="63" hidden="1" customHeight="1" outlineLevel="1" x14ac:dyDescent="0.25">
      <c r="A775" s="4">
        <v>859</v>
      </c>
      <c r="B775" s="6" t="s">
        <v>38</v>
      </c>
      <c r="C775" s="53" t="s">
        <v>30</v>
      </c>
      <c r="D775" s="6">
        <v>2020</v>
      </c>
      <c r="E775" s="6" t="s">
        <v>21</v>
      </c>
      <c r="F775" s="50">
        <v>254</v>
      </c>
      <c r="G775" s="6">
        <v>4</v>
      </c>
      <c r="H775" s="6">
        <v>228.44792000000001</v>
      </c>
    </row>
    <row r="776" spans="1:8" s="5" customFormat="1" ht="63" hidden="1" customHeight="1" outlineLevel="1" x14ac:dyDescent="0.25">
      <c r="A776" s="4">
        <v>1674</v>
      </c>
      <c r="B776" s="6" t="s">
        <v>38</v>
      </c>
      <c r="C776" s="53" t="s">
        <v>31</v>
      </c>
      <c r="D776" s="6">
        <v>2020</v>
      </c>
      <c r="E776" s="6" t="s">
        <v>21</v>
      </c>
      <c r="F776" s="50">
        <v>200</v>
      </c>
      <c r="G776" s="6">
        <v>10</v>
      </c>
      <c r="H776" s="6">
        <v>174.73111</v>
      </c>
    </row>
    <row r="777" spans="1:8" s="5" customFormat="1" ht="63" hidden="1" customHeight="1" outlineLevel="1" x14ac:dyDescent="0.25">
      <c r="A777" s="4">
        <v>1133</v>
      </c>
      <c r="B777" s="6" t="s">
        <v>38</v>
      </c>
      <c r="C777" s="53" t="s">
        <v>32</v>
      </c>
      <c r="D777" s="6">
        <v>2020</v>
      </c>
      <c r="E777" s="6" t="s">
        <v>21</v>
      </c>
      <c r="F777" s="50">
        <v>140</v>
      </c>
      <c r="G777" s="6">
        <v>6</v>
      </c>
      <c r="H777" s="6">
        <v>121.72295</v>
      </c>
    </row>
    <row r="778" spans="1:8" s="5" customFormat="1" ht="29.25" hidden="1" customHeight="1" outlineLevel="1" x14ac:dyDescent="0.25">
      <c r="A778" s="4">
        <v>1155</v>
      </c>
      <c r="B778" s="6" t="s">
        <v>38</v>
      </c>
      <c r="C778" s="53" t="s">
        <v>33</v>
      </c>
      <c r="D778" s="6">
        <v>2020</v>
      </c>
      <c r="E778" s="6" t="s">
        <v>21</v>
      </c>
      <c r="F778" s="50">
        <v>215</v>
      </c>
      <c r="G778" s="6">
        <v>15</v>
      </c>
      <c r="H778" s="6">
        <v>154.81996000000001</v>
      </c>
    </row>
    <row r="779" spans="1:8" s="5" customFormat="1" ht="29.25" hidden="1" customHeight="1" outlineLevel="1" x14ac:dyDescent="0.25">
      <c r="A779" s="4">
        <v>1688</v>
      </c>
      <c r="B779" s="6" t="s">
        <v>38</v>
      </c>
      <c r="C779" s="53" t="s">
        <v>34</v>
      </c>
      <c r="D779" s="6">
        <v>2020</v>
      </c>
      <c r="E779" s="6" t="s">
        <v>21</v>
      </c>
      <c r="F779" s="50">
        <v>270</v>
      </c>
      <c r="G779" s="6">
        <v>15</v>
      </c>
      <c r="H779" s="6">
        <v>214.32626999999999</v>
      </c>
    </row>
    <row r="780" spans="1:8" s="5" customFormat="1" ht="29.25" hidden="1" customHeight="1" outlineLevel="1" x14ac:dyDescent="0.25">
      <c r="A780" s="4">
        <v>920</v>
      </c>
      <c r="B780" s="6" t="s">
        <v>38</v>
      </c>
      <c r="C780" s="53" t="s">
        <v>35</v>
      </c>
      <c r="D780" s="6">
        <v>2020</v>
      </c>
      <c r="E780" s="6" t="s">
        <v>21</v>
      </c>
      <c r="F780" s="50">
        <v>5</v>
      </c>
      <c r="G780" s="6">
        <v>15</v>
      </c>
      <c r="H780" s="6">
        <v>96.304540000000003</v>
      </c>
    </row>
    <row r="781" spans="1:8" s="5" customFormat="1" ht="29.25" hidden="1" customHeight="1" outlineLevel="1" x14ac:dyDescent="0.25">
      <c r="A781" s="4">
        <v>1677</v>
      </c>
      <c r="B781" s="6" t="s">
        <v>38</v>
      </c>
      <c r="C781" s="53" t="s">
        <v>36</v>
      </c>
      <c r="D781" s="6">
        <v>2020</v>
      </c>
      <c r="E781" s="6" t="s">
        <v>21</v>
      </c>
      <c r="F781" s="50">
        <v>152</v>
      </c>
      <c r="G781" s="6">
        <v>15</v>
      </c>
      <c r="H781" s="6">
        <v>252.16135</v>
      </c>
    </row>
    <row r="782" spans="1:8" s="5" customFormat="1" ht="29.25" hidden="1" customHeight="1" outlineLevel="1" x14ac:dyDescent="0.25">
      <c r="A782" s="42">
        <v>9522</v>
      </c>
      <c r="B782" s="6" t="s">
        <v>38</v>
      </c>
      <c r="C782" s="35" t="s">
        <v>1150</v>
      </c>
      <c r="D782" s="6">
        <v>2021</v>
      </c>
      <c r="E782" s="6"/>
      <c r="F782" s="50">
        <v>3</v>
      </c>
      <c r="G782" s="6">
        <v>15</v>
      </c>
      <c r="H782" s="6">
        <v>81.186000000000007</v>
      </c>
    </row>
    <row r="783" spans="1:8" s="5" customFormat="1" ht="29.25" hidden="1" customHeight="1" outlineLevel="1" x14ac:dyDescent="0.25">
      <c r="A783" s="43">
        <v>1290</v>
      </c>
      <c r="B783" s="6" t="s">
        <v>38</v>
      </c>
      <c r="C783" s="53" t="s">
        <v>1151</v>
      </c>
      <c r="D783" s="6">
        <v>2021</v>
      </c>
      <c r="E783" s="6"/>
      <c r="F783" s="50">
        <v>4</v>
      </c>
      <c r="G783" s="6">
        <v>15</v>
      </c>
      <c r="H783" s="6">
        <v>95.25</v>
      </c>
    </row>
    <row r="784" spans="1:8" s="5" customFormat="1" ht="29.25" hidden="1" customHeight="1" outlineLevel="1" x14ac:dyDescent="0.25">
      <c r="A784" s="43">
        <v>1289</v>
      </c>
      <c r="B784" s="6" t="s">
        <v>38</v>
      </c>
      <c r="C784" s="53" t="s">
        <v>1152</v>
      </c>
      <c r="D784" s="6">
        <v>2021</v>
      </c>
      <c r="E784" s="6"/>
      <c r="F784" s="50">
        <v>17</v>
      </c>
      <c r="G784" s="6">
        <v>10</v>
      </c>
      <c r="H784" s="6">
        <v>65.600999999999999</v>
      </c>
    </row>
    <row r="785" spans="1:8" s="5" customFormat="1" ht="29.25" hidden="1" customHeight="1" outlineLevel="1" x14ac:dyDescent="0.25">
      <c r="A785" s="43">
        <v>1284</v>
      </c>
      <c r="B785" s="6" t="s">
        <v>38</v>
      </c>
      <c r="C785" s="53" t="s">
        <v>1153</v>
      </c>
      <c r="D785" s="6">
        <v>2021</v>
      </c>
      <c r="E785" s="6"/>
      <c r="F785" s="50">
        <v>22</v>
      </c>
      <c r="G785" s="6">
        <v>15</v>
      </c>
      <c r="H785" s="6">
        <v>79.372</v>
      </c>
    </row>
    <row r="786" spans="1:8" s="5" customFormat="1" ht="29.25" hidden="1" customHeight="1" outlineLevel="1" x14ac:dyDescent="0.25">
      <c r="A786" s="43">
        <v>1283</v>
      </c>
      <c r="B786" s="6" t="s">
        <v>38</v>
      </c>
      <c r="C786" s="53" t="s">
        <v>1154</v>
      </c>
      <c r="D786" s="6">
        <v>2021</v>
      </c>
      <c r="E786" s="6"/>
      <c r="F786" s="50">
        <v>113</v>
      </c>
      <c r="G786" s="6">
        <v>3</v>
      </c>
      <c r="H786" s="6">
        <v>172.12</v>
      </c>
    </row>
    <row r="787" spans="1:8" s="5" customFormat="1" ht="29.25" hidden="1" customHeight="1" outlineLevel="1" x14ac:dyDescent="0.25">
      <c r="A787" s="42">
        <v>9733</v>
      </c>
      <c r="B787" s="6" t="s">
        <v>38</v>
      </c>
      <c r="C787" s="53" t="s">
        <v>1155</v>
      </c>
      <c r="D787" s="6">
        <v>2021</v>
      </c>
      <c r="E787" s="6"/>
      <c r="F787" s="50">
        <v>3</v>
      </c>
      <c r="G787" s="6">
        <v>15</v>
      </c>
      <c r="H787" s="6">
        <v>56.445999999999998</v>
      </c>
    </row>
    <row r="788" spans="1:8" s="5" customFormat="1" ht="29.25" hidden="1" customHeight="1" outlineLevel="1" x14ac:dyDescent="0.25">
      <c r="A788" s="42">
        <v>9680</v>
      </c>
      <c r="B788" s="6" t="s">
        <v>38</v>
      </c>
      <c r="C788" s="53" t="s">
        <v>1156</v>
      </c>
      <c r="D788" s="6">
        <v>2021</v>
      </c>
      <c r="E788" s="6"/>
      <c r="F788" s="50">
        <v>5</v>
      </c>
      <c r="G788" s="6">
        <v>15</v>
      </c>
      <c r="H788" s="6">
        <v>33.77225</v>
      </c>
    </row>
    <row r="789" spans="1:8" s="5" customFormat="1" ht="29.25" hidden="1" customHeight="1" outlineLevel="1" x14ac:dyDescent="0.25">
      <c r="A789" s="42">
        <v>9530</v>
      </c>
      <c r="B789" s="6" t="s">
        <v>38</v>
      </c>
      <c r="C789" s="53" t="s">
        <v>1157</v>
      </c>
      <c r="D789" s="6">
        <v>2021</v>
      </c>
      <c r="E789" s="6"/>
      <c r="F789" s="50">
        <v>200</v>
      </c>
      <c r="G789" s="6">
        <v>15</v>
      </c>
      <c r="H789" s="6">
        <v>179.46039999999999</v>
      </c>
    </row>
    <row r="790" spans="1:8" s="5" customFormat="1" ht="29.25" hidden="1" customHeight="1" outlineLevel="1" x14ac:dyDescent="0.25">
      <c r="A790" s="42">
        <v>9544</v>
      </c>
      <c r="B790" s="6" t="s">
        <v>38</v>
      </c>
      <c r="C790" s="53" t="s">
        <v>1158</v>
      </c>
      <c r="D790" s="6">
        <v>2021</v>
      </c>
      <c r="E790" s="6"/>
      <c r="F790" s="50">
        <v>60</v>
      </c>
      <c r="G790" s="6">
        <v>15</v>
      </c>
      <c r="H790" s="6">
        <v>152.73705000000001</v>
      </c>
    </row>
    <row r="791" spans="1:8" s="5" customFormat="1" ht="29.25" hidden="1" customHeight="1" outlineLevel="1" x14ac:dyDescent="0.25">
      <c r="A791" s="42">
        <v>9540</v>
      </c>
      <c r="B791" s="6" t="s">
        <v>38</v>
      </c>
      <c r="C791" s="53" t="s">
        <v>1159</v>
      </c>
      <c r="D791" s="6">
        <v>2021</v>
      </c>
      <c r="E791" s="6"/>
      <c r="F791" s="50">
        <v>36</v>
      </c>
      <c r="G791" s="6">
        <v>50</v>
      </c>
      <c r="H791" s="6">
        <v>81.510189999999994</v>
      </c>
    </row>
    <row r="792" spans="1:8" s="5" customFormat="1" ht="29.25" hidden="1" customHeight="1" outlineLevel="1" x14ac:dyDescent="0.25">
      <c r="A792" s="42">
        <v>9571</v>
      </c>
      <c r="B792" s="6" t="s">
        <v>38</v>
      </c>
      <c r="C792" s="53" t="s">
        <v>1160</v>
      </c>
      <c r="D792" s="6">
        <v>2021</v>
      </c>
      <c r="E792" s="6"/>
      <c r="F792" s="50">
        <v>87</v>
      </c>
      <c r="G792" s="6">
        <v>9</v>
      </c>
      <c r="H792" s="6">
        <v>135.22538</v>
      </c>
    </row>
    <row r="793" spans="1:8" s="5" customFormat="1" ht="29.25" hidden="1" customHeight="1" outlineLevel="1" x14ac:dyDescent="0.25">
      <c r="A793" s="43">
        <v>799</v>
      </c>
      <c r="B793" s="6" t="s">
        <v>38</v>
      </c>
      <c r="C793" s="53" t="s">
        <v>1161</v>
      </c>
      <c r="D793" s="6">
        <v>2021</v>
      </c>
      <c r="E793" s="6"/>
      <c r="F793" s="50">
        <v>70</v>
      </c>
      <c r="G793" s="6">
        <v>15</v>
      </c>
      <c r="H793" s="6">
        <v>97.643739999999994</v>
      </c>
    </row>
    <row r="794" spans="1:8" s="5" customFormat="1" ht="29.25" hidden="1" customHeight="1" outlineLevel="1" x14ac:dyDescent="0.25">
      <c r="A794" s="43">
        <v>599</v>
      </c>
      <c r="B794" s="6" t="s">
        <v>38</v>
      </c>
      <c r="C794" s="53" t="s">
        <v>1162</v>
      </c>
      <c r="D794" s="6">
        <v>2021</v>
      </c>
      <c r="E794" s="6"/>
      <c r="F794" s="50">
        <v>95</v>
      </c>
      <c r="G794" s="6">
        <v>6</v>
      </c>
      <c r="H794" s="6">
        <v>105.72880000000001</v>
      </c>
    </row>
    <row r="795" spans="1:8" s="5" customFormat="1" ht="29.25" hidden="1" customHeight="1" outlineLevel="1" x14ac:dyDescent="0.25">
      <c r="A795" s="42">
        <v>9535</v>
      </c>
      <c r="B795" s="6" t="s">
        <v>38</v>
      </c>
      <c r="C795" s="53" t="s">
        <v>1163</v>
      </c>
      <c r="D795" s="6">
        <v>2021</v>
      </c>
      <c r="E795" s="6"/>
      <c r="F795" s="50">
        <v>90</v>
      </c>
      <c r="G795" s="6">
        <v>10</v>
      </c>
      <c r="H795" s="6">
        <v>113.93300000000001</v>
      </c>
    </row>
    <row r="796" spans="1:8" s="5" customFormat="1" ht="29.25" hidden="1" customHeight="1" outlineLevel="1" x14ac:dyDescent="0.25">
      <c r="A796" s="42">
        <v>9534</v>
      </c>
      <c r="B796" s="6" t="s">
        <v>38</v>
      </c>
      <c r="C796" s="53" t="s">
        <v>1164</v>
      </c>
      <c r="D796" s="6">
        <v>2021</v>
      </c>
      <c r="E796" s="6"/>
      <c r="F796" s="50">
        <v>75</v>
      </c>
      <c r="G796" s="6">
        <v>10</v>
      </c>
      <c r="H796" s="6">
        <v>116.36499999999999</v>
      </c>
    </row>
    <row r="797" spans="1:8" s="5" customFormat="1" ht="29.25" hidden="1" customHeight="1" outlineLevel="1" x14ac:dyDescent="0.25">
      <c r="A797" s="42">
        <v>9542</v>
      </c>
      <c r="B797" s="6" t="s">
        <v>38</v>
      </c>
      <c r="C797" s="53" t="s">
        <v>1165</v>
      </c>
      <c r="D797" s="6">
        <v>2021</v>
      </c>
      <c r="E797" s="6"/>
      <c r="F797" s="50">
        <v>340</v>
      </c>
      <c r="G797" s="6">
        <v>15</v>
      </c>
      <c r="H797" s="6">
        <v>231.983</v>
      </c>
    </row>
    <row r="798" spans="1:8" s="5" customFormat="1" ht="29.25" hidden="1" customHeight="1" outlineLevel="1" x14ac:dyDescent="0.25">
      <c r="A798" s="42">
        <v>9536</v>
      </c>
      <c r="B798" s="6" t="s">
        <v>38</v>
      </c>
      <c r="C798" s="53" t="s">
        <v>1166</v>
      </c>
      <c r="D798" s="6">
        <v>2021</v>
      </c>
      <c r="E798" s="6"/>
      <c r="F798" s="50">
        <v>71</v>
      </c>
      <c r="G798" s="6">
        <v>6</v>
      </c>
      <c r="H798" s="6">
        <v>86.706000000000003</v>
      </c>
    </row>
    <row r="799" spans="1:8" s="5" customFormat="1" ht="29.25" hidden="1" customHeight="1" outlineLevel="1" x14ac:dyDescent="0.25">
      <c r="A799" s="43">
        <v>826</v>
      </c>
      <c r="B799" s="6" t="s">
        <v>38</v>
      </c>
      <c r="C799" s="53" t="s">
        <v>1167</v>
      </c>
      <c r="D799" s="6">
        <v>2021</v>
      </c>
      <c r="E799" s="6"/>
      <c r="F799" s="50">
        <v>80</v>
      </c>
      <c r="G799" s="6">
        <v>15</v>
      </c>
      <c r="H799" s="6">
        <v>134.578</v>
      </c>
    </row>
    <row r="800" spans="1:8" s="5" customFormat="1" ht="29.25" hidden="1" customHeight="1" outlineLevel="1" x14ac:dyDescent="0.25">
      <c r="A800" s="42">
        <v>9543</v>
      </c>
      <c r="B800" s="6" t="s">
        <v>38</v>
      </c>
      <c r="C800" s="53" t="s">
        <v>1168</v>
      </c>
      <c r="D800" s="6">
        <v>2021</v>
      </c>
      <c r="E800" s="6"/>
      <c r="F800" s="50">
        <v>229</v>
      </c>
      <c r="G800" s="6">
        <v>30</v>
      </c>
      <c r="H800" s="6">
        <v>239.59200000000001</v>
      </c>
    </row>
    <row r="801" spans="1:8" s="5" customFormat="1" ht="29.25" hidden="1" customHeight="1" outlineLevel="1" x14ac:dyDescent="0.25">
      <c r="A801" s="43">
        <v>812</v>
      </c>
      <c r="B801" s="6" t="s">
        <v>38</v>
      </c>
      <c r="C801" s="53" t="s">
        <v>1169</v>
      </c>
      <c r="D801" s="6">
        <v>2021</v>
      </c>
      <c r="E801" s="6"/>
      <c r="F801" s="50">
        <v>60</v>
      </c>
      <c r="G801" s="6">
        <v>15</v>
      </c>
      <c r="H801" s="6">
        <v>78.274000000000001</v>
      </c>
    </row>
    <row r="802" spans="1:8" s="5" customFormat="1" ht="29.25" hidden="1" customHeight="1" outlineLevel="1" x14ac:dyDescent="0.25">
      <c r="A802" s="42">
        <v>9550</v>
      </c>
      <c r="B802" s="6" t="s">
        <v>38</v>
      </c>
      <c r="C802" s="53" t="s">
        <v>1170</v>
      </c>
      <c r="D802" s="6">
        <v>2021</v>
      </c>
      <c r="E802" s="6"/>
      <c r="F802" s="50">
        <v>50</v>
      </c>
      <c r="G802" s="6">
        <v>15</v>
      </c>
      <c r="H802" s="6">
        <v>81.28</v>
      </c>
    </row>
    <row r="803" spans="1:8" s="5" customFormat="1" ht="29.25" hidden="1" customHeight="1" outlineLevel="1" x14ac:dyDescent="0.25">
      <c r="A803" s="42">
        <v>9548</v>
      </c>
      <c r="B803" s="6" t="s">
        <v>38</v>
      </c>
      <c r="C803" s="53" t="s">
        <v>1171</v>
      </c>
      <c r="D803" s="6">
        <v>2021</v>
      </c>
      <c r="E803" s="6"/>
      <c r="F803" s="50">
        <v>50</v>
      </c>
      <c r="G803" s="6">
        <v>15</v>
      </c>
      <c r="H803" s="6">
        <v>65.275999999999996</v>
      </c>
    </row>
    <row r="804" spans="1:8" s="5" customFormat="1" ht="29.25" hidden="1" customHeight="1" outlineLevel="1" x14ac:dyDescent="0.25">
      <c r="A804" s="42">
        <v>9539</v>
      </c>
      <c r="B804" s="6" t="s">
        <v>38</v>
      </c>
      <c r="C804" s="53" t="s">
        <v>1172</v>
      </c>
      <c r="D804" s="6">
        <v>2021</v>
      </c>
      <c r="E804" s="6"/>
      <c r="F804" s="50">
        <v>74</v>
      </c>
      <c r="G804" s="6">
        <v>15</v>
      </c>
      <c r="H804" s="6">
        <v>86.218999999999994</v>
      </c>
    </row>
    <row r="805" spans="1:8" s="5" customFormat="1" ht="29.25" hidden="1" customHeight="1" outlineLevel="1" x14ac:dyDescent="0.25">
      <c r="A805" s="42">
        <v>9557</v>
      </c>
      <c r="B805" s="6" t="s">
        <v>38</v>
      </c>
      <c r="C805" s="53" t="s">
        <v>1173</v>
      </c>
      <c r="D805" s="6">
        <v>2021</v>
      </c>
      <c r="E805" s="6"/>
      <c r="F805" s="50">
        <v>40</v>
      </c>
      <c r="G805" s="6">
        <v>15</v>
      </c>
      <c r="H805" s="6">
        <v>59.686</v>
      </c>
    </row>
    <row r="806" spans="1:8" s="5" customFormat="1" ht="29.25" hidden="1" customHeight="1" outlineLevel="1" x14ac:dyDescent="0.25">
      <c r="A806" s="42">
        <v>9555</v>
      </c>
      <c r="B806" s="6" t="s">
        <v>38</v>
      </c>
      <c r="C806" s="53" t="s">
        <v>1174</v>
      </c>
      <c r="D806" s="6">
        <v>2021</v>
      </c>
      <c r="E806" s="6"/>
      <c r="F806" s="50">
        <v>70</v>
      </c>
      <c r="G806" s="6">
        <v>6</v>
      </c>
      <c r="H806" s="6">
        <v>85.039000000000001</v>
      </c>
    </row>
    <row r="807" spans="1:8" s="5" customFormat="1" ht="29.25" hidden="1" customHeight="1" outlineLevel="1" x14ac:dyDescent="0.25">
      <c r="A807" s="42">
        <v>9682</v>
      </c>
      <c r="B807" s="6" t="s">
        <v>38</v>
      </c>
      <c r="C807" s="53" t="s">
        <v>1175</v>
      </c>
      <c r="D807" s="6">
        <v>2021</v>
      </c>
      <c r="E807" s="6"/>
      <c r="F807" s="50">
        <v>39</v>
      </c>
      <c r="G807" s="6">
        <v>15</v>
      </c>
      <c r="H807" s="6">
        <v>65.459000000000003</v>
      </c>
    </row>
    <row r="808" spans="1:8" s="5" customFormat="1" ht="29.25" hidden="1" customHeight="1" outlineLevel="1" x14ac:dyDescent="0.25">
      <c r="A808" s="42">
        <v>9434</v>
      </c>
      <c r="B808" s="6" t="s">
        <v>38</v>
      </c>
      <c r="C808" s="53" t="s">
        <v>1176</v>
      </c>
      <c r="D808" s="6">
        <v>2021</v>
      </c>
      <c r="E808" s="6"/>
      <c r="F808" s="50">
        <v>115</v>
      </c>
      <c r="G808" s="6">
        <v>15</v>
      </c>
      <c r="H808" s="6">
        <v>118</v>
      </c>
    </row>
    <row r="809" spans="1:8" s="5" customFormat="1" ht="29.25" hidden="1" customHeight="1" outlineLevel="1" x14ac:dyDescent="0.25">
      <c r="A809" s="42">
        <v>9435</v>
      </c>
      <c r="B809" s="6" t="s">
        <v>38</v>
      </c>
      <c r="C809" s="53" t="s">
        <v>1177</v>
      </c>
      <c r="D809" s="6">
        <v>2021</v>
      </c>
      <c r="E809" s="6"/>
      <c r="F809" s="50">
        <v>130</v>
      </c>
      <c r="G809" s="6">
        <v>15</v>
      </c>
      <c r="H809" s="6">
        <v>124.22499999999999</v>
      </c>
    </row>
    <row r="810" spans="1:8" s="5" customFormat="1" ht="29.25" hidden="1" customHeight="1" outlineLevel="1" x14ac:dyDescent="0.25">
      <c r="A810" s="43">
        <v>700</v>
      </c>
      <c r="B810" s="6" t="s">
        <v>38</v>
      </c>
      <c r="C810" s="53" t="s">
        <v>1178</v>
      </c>
      <c r="D810" s="6">
        <v>2021</v>
      </c>
      <c r="E810" s="6"/>
      <c r="F810" s="50">
        <v>36</v>
      </c>
      <c r="G810" s="56">
        <v>20</v>
      </c>
      <c r="H810" s="6">
        <v>111</v>
      </c>
    </row>
    <row r="811" spans="1:8" s="5" customFormat="1" ht="29.25" hidden="1" customHeight="1" outlineLevel="1" x14ac:dyDescent="0.25">
      <c r="A811" s="43">
        <v>3824</v>
      </c>
      <c r="B811" s="6" t="s">
        <v>38</v>
      </c>
      <c r="C811" s="53" t="s">
        <v>1179</v>
      </c>
      <c r="D811" s="6">
        <v>2021</v>
      </c>
      <c r="E811" s="6"/>
      <c r="F811" s="50">
        <v>233</v>
      </c>
      <c r="G811" s="56">
        <v>15</v>
      </c>
      <c r="H811" s="6">
        <v>387</v>
      </c>
    </row>
    <row r="812" spans="1:8" s="5" customFormat="1" ht="29.25" hidden="1" customHeight="1" outlineLevel="1" x14ac:dyDescent="0.25">
      <c r="A812" s="42">
        <v>9508</v>
      </c>
      <c r="B812" s="6" t="s">
        <v>38</v>
      </c>
      <c r="C812" s="53" t="s">
        <v>1181</v>
      </c>
      <c r="D812" s="6">
        <v>2021</v>
      </c>
      <c r="E812" s="6"/>
      <c r="F812" s="50">
        <v>327</v>
      </c>
      <c r="G812" s="56">
        <v>150</v>
      </c>
      <c r="H812" s="6">
        <v>437</v>
      </c>
    </row>
    <row r="813" spans="1:8" s="5" customFormat="1" ht="29.25" hidden="1" customHeight="1" outlineLevel="1" x14ac:dyDescent="0.25">
      <c r="A813" s="42">
        <v>9728</v>
      </c>
      <c r="B813" s="6" t="s">
        <v>38</v>
      </c>
      <c r="C813" s="53" t="s">
        <v>1182</v>
      </c>
      <c r="D813" s="6">
        <v>2021</v>
      </c>
      <c r="E813" s="6"/>
      <c r="F813" s="50">
        <v>3840</v>
      </c>
      <c r="G813" s="56">
        <v>20</v>
      </c>
      <c r="H813" s="6">
        <v>3937</v>
      </c>
    </row>
    <row r="814" spans="1:8" s="5" customFormat="1" ht="29.25" hidden="1" customHeight="1" outlineLevel="1" x14ac:dyDescent="0.25">
      <c r="A814" s="43">
        <v>3832</v>
      </c>
      <c r="B814" s="6" t="s">
        <v>38</v>
      </c>
      <c r="C814" s="53" t="s">
        <v>1183</v>
      </c>
      <c r="D814" s="6">
        <v>2021</v>
      </c>
      <c r="E814" s="6"/>
      <c r="F814" s="50">
        <v>40</v>
      </c>
      <c r="G814" s="56">
        <v>15</v>
      </c>
      <c r="H814" s="6">
        <v>204</v>
      </c>
    </row>
    <row r="815" spans="1:8" s="5" customFormat="1" ht="29.25" hidden="1" customHeight="1" outlineLevel="1" x14ac:dyDescent="0.25">
      <c r="A815" s="42">
        <v>9727</v>
      </c>
      <c r="B815" s="6" t="s">
        <v>38</v>
      </c>
      <c r="C815" s="53" t="s">
        <v>1184</v>
      </c>
      <c r="D815" s="6">
        <v>2021</v>
      </c>
      <c r="E815" s="6"/>
      <c r="F815" s="50">
        <v>266</v>
      </c>
      <c r="G815" s="6">
        <v>45</v>
      </c>
      <c r="H815" s="6">
        <v>586</v>
      </c>
    </row>
    <row r="816" spans="1:8" s="5" customFormat="1" ht="29.25" hidden="1" customHeight="1" outlineLevel="1" x14ac:dyDescent="0.25">
      <c r="A816" s="42">
        <v>9729</v>
      </c>
      <c r="B816" s="6" t="s">
        <v>38</v>
      </c>
      <c r="C816" s="53" t="s">
        <v>1186</v>
      </c>
      <c r="D816" s="6">
        <v>2021</v>
      </c>
      <c r="E816" s="6"/>
      <c r="F816" s="50">
        <v>690</v>
      </c>
      <c r="G816" s="56">
        <v>40</v>
      </c>
      <c r="H816" s="6">
        <v>1045</v>
      </c>
    </row>
    <row r="817" spans="1:8" s="5" customFormat="1" ht="29.25" hidden="1" customHeight="1" outlineLevel="1" x14ac:dyDescent="0.25">
      <c r="A817" s="43">
        <v>3825</v>
      </c>
      <c r="B817" s="6" t="s">
        <v>38</v>
      </c>
      <c r="C817" s="53" t="s">
        <v>1187</v>
      </c>
      <c r="D817" s="6">
        <v>2021</v>
      </c>
      <c r="E817" s="6"/>
      <c r="F817" s="50">
        <v>10</v>
      </c>
      <c r="G817" s="56">
        <v>50</v>
      </c>
      <c r="H817" s="6">
        <v>22</v>
      </c>
    </row>
    <row r="818" spans="1:8" s="5" customFormat="1" ht="29.25" hidden="1" customHeight="1" outlineLevel="1" x14ac:dyDescent="0.25">
      <c r="A818" s="42">
        <v>9739</v>
      </c>
      <c r="B818" s="6" t="s">
        <v>38</v>
      </c>
      <c r="C818" s="57" t="s">
        <v>1188</v>
      </c>
      <c r="D818" s="6">
        <v>2021</v>
      </c>
      <c r="E818" s="6"/>
      <c r="F818" s="50">
        <v>40</v>
      </c>
      <c r="G818" s="56">
        <v>15</v>
      </c>
      <c r="H818" s="6">
        <v>179</v>
      </c>
    </row>
    <row r="819" spans="1:8" s="5" customFormat="1" ht="29.25" hidden="1" customHeight="1" outlineLevel="1" x14ac:dyDescent="0.25">
      <c r="A819" s="43">
        <v>1261</v>
      </c>
      <c r="B819" s="6" t="s">
        <v>38</v>
      </c>
      <c r="C819" s="53" t="s">
        <v>1189</v>
      </c>
      <c r="D819" s="6">
        <v>2021</v>
      </c>
      <c r="E819" s="6"/>
      <c r="F819" s="50">
        <v>25</v>
      </c>
      <c r="G819" s="56">
        <v>15</v>
      </c>
      <c r="H819" s="6">
        <v>101</v>
      </c>
    </row>
    <row r="820" spans="1:8" s="5" customFormat="1" ht="29.25" hidden="1" customHeight="1" outlineLevel="1" x14ac:dyDescent="0.25">
      <c r="A820" s="42">
        <v>9722</v>
      </c>
      <c r="B820" s="6" t="s">
        <v>38</v>
      </c>
      <c r="C820" s="53" t="s">
        <v>1195</v>
      </c>
      <c r="D820" s="6">
        <v>2021</v>
      </c>
      <c r="E820" s="6"/>
      <c r="F820" s="50">
        <v>75</v>
      </c>
      <c r="G820" s="6" t="s">
        <v>1196</v>
      </c>
      <c r="H820" s="6">
        <v>287</v>
      </c>
    </row>
    <row r="821" spans="1:8" s="5" customFormat="1" ht="29.25" hidden="1" customHeight="1" outlineLevel="1" x14ac:dyDescent="0.25">
      <c r="A821" s="42">
        <v>9094</v>
      </c>
      <c r="B821" s="6" t="s">
        <v>38</v>
      </c>
      <c r="C821" s="53" t="s">
        <v>1197</v>
      </c>
      <c r="D821" s="6">
        <v>2021</v>
      </c>
      <c r="E821" s="6"/>
      <c r="F821" s="50">
        <v>973</v>
      </c>
      <c r="G821" s="6" t="s">
        <v>1198</v>
      </c>
      <c r="H821" s="6">
        <v>1232</v>
      </c>
    </row>
    <row r="822" spans="1:8" s="5" customFormat="1" ht="29.25" hidden="1" customHeight="1" outlineLevel="1" x14ac:dyDescent="0.25">
      <c r="A822" s="42">
        <v>9449</v>
      </c>
      <c r="B822" s="6" t="s">
        <v>38</v>
      </c>
      <c r="C822" s="53" t="s">
        <v>1199</v>
      </c>
      <c r="D822" s="6">
        <v>2021</v>
      </c>
      <c r="E822" s="6"/>
      <c r="F822" s="50">
        <v>7</v>
      </c>
      <c r="G822" s="6">
        <v>40</v>
      </c>
      <c r="H822" s="6">
        <v>102.60199</v>
      </c>
    </row>
    <row r="823" spans="1:8" s="5" customFormat="1" ht="29.25" hidden="1" customHeight="1" outlineLevel="1" x14ac:dyDescent="0.25">
      <c r="A823" s="42">
        <v>9384</v>
      </c>
      <c r="B823" s="6" t="s">
        <v>38</v>
      </c>
      <c r="C823" s="53" t="s">
        <v>1200</v>
      </c>
      <c r="D823" s="6">
        <v>2021</v>
      </c>
      <c r="E823" s="6"/>
      <c r="F823" s="50">
        <v>105</v>
      </c>
      <c r="G823" s="6">
        <v>15</v>
      </c>
      <c r="H823" s="6">
        <v>244.96835999999999</v>
      </c>
    </row>
    <row r="824" spans="1:8" s="5" customFormat="1" ht="29.25" hidden="1" customHeight="1" outlineLevel="1" x14ac:dyDescent="0.25">
      <c r="A824" s="42">
        <v>9383</v>
      </c>
      <c r="B824" s="6" t="s">
        <v>38</v>
      </c>
      <c r="C824" s="53" t="s">
        <v>1201</v>
      </c>
      <c r="D824" s="6">
        <v>2021</v>
      </c>
      <c r="E824" s="6"/>
      <c r="F824" s="50">
        <v>120</v>
      </c>
      <c r="G824" s="6">
        <v>100</v>
      </c>
      <c r="H824" s="6">
        <v>316.09401000000003</v>
      </c>
    </row>
    <row r="825" spans="1:8" s="5" customFormat="1" ht="29.25" hidden="1" customHeight="1" outlineLevel="1" x14ac:dyDescent="0.25">
      <c r="A825" s="42">
        <v>9345</v>
      </c>
      <c r="B825" s="6" t="s">
        <v>38</v>
      </c>
      <c r="C825" s="53" t="s">
        <v>1202</v>
      </c>
      <c r="D825" s="6">
        <v>2021</v>
      </c>
      <c r="E825" s="6"/>
      <c r="F825" s="50">
        <v>80</v>
      </c>
      <c r="G825" s="6">
        <v>15</v>
      </c>
      <c r="H825" s="6">
        <v>186.73113000000001</v>
      </c>
    </row>
    <row r="826" spans="1:8" s="5" customFormat="1" ht="29.25" hidden="1" customHeight="1" outlineLevel="1" x14ac:dyDescent="0.25">
      <c r="A826" s="42">
        <v>9533</v>
      </c>
      <c r="B826" s="6" t="s">
        <v>38</v>
      </c>
      <c r="C826" s="53" t="s">
        <v>1203</v>
      </c>
      <c r="D826" s="6">
        <v>2021</v>
      </c>
      <c r="E826" s="6"/>
      <c r="F826" s="50">
        <v>25</v>
      </c>
      <c r="G826" s="6">
        <v>15</v>
      </c>
      <c r="H826" s="6">
        <v>115.95699999999999</v>
      </c>
    </row>
    <row r="827" spans="1:8" s="5" customFormat="1" ht="29.25" hidden="1" customHeight="1" outlineLevel="1" x14ac:dyDescent="0.25">
      <c r="A827" s="42">
        <v>9347</v>
      </c>
      <c r="B827" s="6" t="s">
        <v>38</v>
      </c>
      <c r="C827" s="53" t="s">
        <v>1204</v>
      </c>
      <c r="D827" s="6">
        <v>2021</v>
      </c>
      <c r="E827" s="6"/>
      <c r="F827" s="50">
        <v>80</v>
      </c>
      <c r="G827" s="6">
        <v>30</v>
      </c>
      <c r="H827" s="6">
        <v>217.15375</v>
      </c>
    </row>
    <row r="828" spans="1:8" s="5" customFormat="1" ht="29.25" hidden="1" customHeight="1" outlineLevel="1" x14ac:dyDescent="0.25">
      <c r="A828" s="42">
        <v>9077</v>
      </c>
      <c r="B828" s="6" t="s">
        <v>38</v>
      </c>
      <c r="C828" s="53" t="s">
        <v>1205</v>
      </c>
      <c r="D828" s="6">
        <v>2021</v>
      </c>
      <c r="E828" s="6"/>
      <c r="F828" s="50">
        <v>342</v>
      </c>
      <c r="G828" s="6">
        <v>15</v>
      </c>
      <c r="H828" s="6">
        <v>574.87371999999993</v>
      </c>
    </row>
    <row r="829" spans="1:8" s="5" customFormat="1" ht="29.25" hidden="1" customHeight="1" outlineLevel="1" x14ac:dyDescent="0.25">
      <c r="A829" s="42">
        <v>9450</v>
      </c>
      <c r="B829" s="6" t="s">
        <v>38</v>
      </c>
      <c r="C829" s="53" t="s">
        <v>1206</v>
      </c>
      <c r="D829" s="6">
        <v>2021</v>
      </c>
      <c r="E829" s="6"/>
      <c r="F829" s="50">
        <v>10</v>
      </c>
      <c r="G829" s="6">
        <v>7</v>
      </c>
      <c r="H829" s="6">
        <v>104</v>
      </c>
    </row>
    <row r="830" spans="1:8" s="5" customFormat="1" ht="45" hidden="1" customHeight="1" outlineLevel="1" x14ac:dyDescent="0.25">
      <c r="A830" s="43">
        <v>451</v>
      </c>
      <c r="B830" s="6" t="s">
        <v>38</v>
      </c>
      <c r="C830" s="53" t="s">
        <v>1207</v>
      </c>
      <c r="D830" s="6">
        <v>2021</v>
      </c>
      <c r="E830" s="6"/>
      <c r="F830" s="50">
        <v>100</v>
      </c>
      <c r="G830" s="6">
        <v>14</v>
      </c>
      <c r="H830" s="6">
        <v>238.93912</v>
      </c>
    </row>
    <row r="831" spans="1:8" s="5" customFormat="1" ht="29.25" hidden="1" customHeight="1" outlineLevel="1" x14ac:dyDescent="0.25">
      <c r="A831" s="42">
        <v>9349</v>
      </c>
      <c r="B831" s="6" t="s">
        <v>38</v>
      </c>
      <c r="C831" s="53" t="s">
        <v>1208</v>
      </c>
      <c r="D831" s="6">
        <v>2021</v>
      </c>
      <c r="E831" s="6"/>
      <c r="F831" s="50">
        <v>406</v>
      </c>
      <c r="G831" s="6">
        <v>15</v>
      </c>
      <c r="H831" s="6">
        <v>622.26958999999999</v>
      </c>
    </row>
    <row r="832" spans="1:8" s="5" customFormat="1" ht="29.25" hidden="1" customHeight="1" outlineLevel="1" x14ac:dyDescent="0.25">
      <c r="A832" s="42">
        <v>9531</v>
      </c>
      <c r="B832" s="6" t="s">
        <v>38</v>
      </c>
      <c r="C832" s="53" t="s">
        <v>1209</v>
      </c>
      <c r="D832" s="6">
        <v>2021</v>
      </c>
      <c r="E832" s="6"/>
      <c r="F832" s="50">
        <v>465</v>
      </c>
      <c r="G832" s="6">
        <v>13</v>
      </c>
      <c r="H832" s="6">
        <v>655.88535999999999</v>
      </c>
    </row>
    <row r="833" spans="1:8" s="5" customFormat="1" ht="29.25" hidden="1" customHeight="1" outlineLevel="1" x14ac:dyDescent="0.25">
      <c r="A833" s="42">
        <v>9641</v>
      </c>
      <c r="B833" s="6" t="s">
        <v>38</v>
      </c>
      <c r="C833" s="53" t="s">
        <v>1210</v>
      </c>
      <c r="D833" s="6">
        <v>2021</v>
      </c>
      <c r="E833" s="6"/>
      <c r="F833" s="50">
        <v>100</v>
      </c>
      <c r="G833" s="6">
        <v>30</v>
      </c>
      <c r="H833" s="6">
        <v>183.30607000000001</v>
      </c>
    </row>
    <row r="834" spans="1:8" s="5" customFormat="1" ht="29.25" hidden="1" customHeight="1" outlineLevel="1" x14ac:dyDescent="0.25">
      <c r="A834" s="43">
        <v>462</v>
      </c>
      <c r="B834" s="6" t="s">
        <v>38</v>
      </c>
      <c r="C834" s="53" t="s">
        <v>1211</v>
      </c>
      <c r="D834" s="6">
        <v>2021</v>
      </c>
      <c r="E834" s="6"/>
      <c r="F834" s="50">
        <v>12</v>
      </c>
      <c r="G834" s="6">
        <v>10.5</v>
      </c>
      <c r="H834" s="6">
        <v>122.646</v>
      </c>
    </row>
    <row r="835" spans="1:8" s="5" customFormat="1" ht="29.25" hidden="1" customHeight="1" outlineLevel="1" x14ac:dyDescent="0.25">
      <c r="A835" s="42">
        <v>9458</v>
      </c>
      <c r="B835" s="6" t="s">
        <v>38</v>
      </c>
      <c r="C835" s="53" t="s">
        <v>1212</v>
      </c>
      <c r="D835" s="6">
        <v>2021</v>
      </c>
      <c r="E835" s="6"/>
      <c r="F835" s="50">
        <v>130</v>
      </c>
      <c r="G835" s="6">
        <v>15</v>
      </c>
      <c r="H835" s="6">
        <v>225.54898</v>
      </c>
    </row>
    <row r="836" spans="1:8" s="5" customFormat="1" ht="29.25" hidden="1" customHeight="1" outlineLevel="1" x14ac:dyDescent="0.25">
      <c r="A836" s="42">
        <v>9389</v>
      </c>
      <c r="B836" s="6" t="s">
        <v>38</v>
      </c>
      <c r="C836" s="53" t="s">
        <v>1213</v>
      </c>
      <c r="D836" s="6">
        <v>2021</v>
      </c>
      <c r="E836" s="6"/>
      <c r="F836" s="50">
        <v>40</v>
      </c>
      <c r="G836" s="6">
        <v>15</v>
      </c>
      <c r="H836" s="6">
        <v>153.202</v>
      </c>
    </row>
    <row r="837" spans="1:8" s="5" customFormat="1" ht="29.25" hidden="1" customHeight="1" outlineLevel="1" x14ac:dyDescent="0.25">
      <c r="A837" s="42">
        <v>9387</v>
      </c>
      <c r="B837" s="6" t="s">
        <v>38</v>
      </c>
      <c r="C837" s="53" t="s">
        <v>1214</v>
      </c>
      <c r="D837" s="6">
        <v>2021</v>
      </c>
      <c r="E837" s="6"/>
      <c r="F837" s="50">
        <v>60</v>
      </c>
      <c r="G837" s="6">
        <v>15</v>
      </c>
      <c r="H837" s="6">
        <v>152.33464000000001</v>
      </c>
    </row>
    <row r="838" spans="1:8" s="5" customFormat="1" ht="29.25" hidden="1" customHeight="1" outlineLevel="1" x14ac:dyDescent="0.25">
      <c r="A838" s="42">
        <v>9382</v>
      </c>
      <c r="B838" s="6" t="s">
        <v>38</v>
      </c>
      <c r="C838" s="53" t="s">
        <v>1215</v>
      </c>
      <c r="D838" s="6">
        <v>2021</v>
      </c>
      <c r="E838" s="6"/>
      <c r="F838" s="50">
        <v>60</v>
      </c>
      <c r="G838" s="6">
        <v>15</v>
      </c>
      <c r="H838" s="6">
        <v>87.823800000000006</v>
      </c>
    </row>
    <row r="839" spans="1:8" s="5" customFormat="1" ht="29.25" hidden="1" customHeight="1" outlineLevel="1" x14ac:dyDescent="0.25">
      <c r="A839" s="42">
        <v>9377</v>
      </c>
      <c r="B839" s="6" t="s">
        <v>38</v>
      </c>
      <c r="C839" s="53" t="s">
        <v>1216</v>
      </c>
      <c r="D839" s="6">
        <v>2021</v>
      </c>
      <c r="E839" s="6"/>
      <c r="F839" s="50">
        <v>50</v>
      </c>
      <c r="G839" s="6">
        <v>15</v>
      </c>
      <c r="H839" s="6">
        <v>106.06389999999999</v>
      </c>
    </row>
    <row r="840" spans="1:8" s="5" customFormat="1" ht="29.25" hidden="1" customHeight="1" outlineLevel="1" x14ac:dyDescent="0.25">
      <c r="A840" s="42">
        <v>9385</v>
      </c>
      <c r="B840" s="6" t="s">
        <v>38</v>
      </c>
      <c r="C840" s="53" t="s">
        <v>1217</v>
      </c>
      <c r="D840" s="6">
        <v>2021</v>
      </c>
      <c r="E840" s="6"/>
      <c r="F840" s="50">
        <v>170</v>
      </c>
      <c r="G840" s="6">
        <v>15</v>
      </c>
      <c r="H840" s="6">
        <v>180.54583</v>
      </c>
    </row>
    <row r="841" spans="1:8" s="5" customFormat="1" ht="29.25" hidden="1" customHeight="1" outlineLevel="1" x14ac:dyDescent="0.25">
      <c r="A841" s="42">
        <v>9376</v>
      </c>
      <c r="B841" s="6" t="s">
        <v>38</v>
      </c>
      <c r="C841" s="53" t="s">
        <v>1218</v>
      </c>
      <c r="D841" s="6">
        <v>2021</v>
      </c>
      <c r="E841" s="6"/>
      <c r="F841" s="50">
        <v>75</v>
      </c>
      <c r="G841" s="6">
        <v>15</v>
      </c>
      <c r="H841" s="6">
        <v>138.06152</v>
      </c>
    </row>
    <row r="842" spans="1:8" s="5" customFormat="1" ht="29.25" hidden="1" customHeight="1" outlineLevel="1" x14ac:dyDescent="0.25">
      <c r="A842" s="42">
        <v>9351</v>
      </c>
      <c r="B842" s="6" t="s">
        <v>38</v>
      </c>
      <c r="C842" s="53" t="s">
        <v>1219</v>
      </c>
      <c r="D842" s="6">
        <v>2021</v>
      </c>
      <c r="E842" s="6"/>
      <c r="F842" s="50">
        <v>473</v>
      </c>
      <c r="G842" s="6">
        <v>15</v>
      </c>
      <c r="H842" s="6">
        <v>620.25209999999993</v>
      </c>
    </row>
    <row r="843" spans="1:8" s="5" customFormat="1" ht="29.25" hidden="1" customHeight="1" outlineLevel="1" x14ac:dyDescent="0.25">
      <c r="A843" s="42">
        <v>9388</v>
      </c>
      <c r="B843" s="6" t="s">
        <v>38</v>
      </c>
      <c r="C843" s="53" t="s">
        <v>1220</v>
      </c>
      <c r="D843" s="6">
        <v>2021</v>
      </c>
      <c r="E843" s="6"/>
      <c r="F843" s="50">
        <v>45</v>
      </c>
      <c r="G843" s="6">
        <v>7</v>
      </c>
      <c r="H843" s="6">
        <v>101</v>
      </c>
    </row>
    <row r="844" spans="1:8" s="5" customFormat="1" ht="29.25" hidden="1" customHeight="1" outlineLevel="1" x14ac:dyDescent="0.25">
      <c r="A844" s="43">
        <v>1325</v>
      </c>
      <c r="B844" s="6" t="s">
        <v>38</v>
      </c>
      <c r="C844" s="53" t="s">
        <v>1221</v>
      </c>
      <c r="D844" s="6">
        <v>2021</v>
      </c>
      <c r="E844" s="6"/>
      <c r="F844" s="50">
        <v>35</v>
      </c>
      <c r="G844" s="6">
        <v>8.5</v>
      </c>
      <c r="H844" s="6">
        <v>46</v>
      </c>
    </row>
    <row r="845" spans="1:8" s="5" customFormat="1" ht="29.25" hidden="1" customHeight="1" outlineLevel="1" x14ac:dyDescent="0.25">
      <c r="A845" s="42">
        <v>9452</v>
      </c>
      <c r="B845" s="6" t="s">
        <v>38</v>
      </c>
      <c r="C845" s="53" t="s">
        <v>1222</v>
      </c>
      <c r="D845" s="6">
        <v>2021</v>
      </c>
      <c r="E845" s="6"/>
      <c r="F845" s="50">
        <v>5</v>
      </c>
      <c r="G845" s="6">
        <v>15</v>
      </c>
      <c r="H845" s="6">
        <v>139</v>
      </c>
    </row>
    <row r="846" spans="1:8" s="5" customFormat="1" ht="29.25" hidden="1" customHeight="1" outlineLevel="1" x14ac:dyDescent="0.25">
      <c r="A846" s="43">
        <v>673</v>
      </c>
      <c r="B846" s="6" t="s">
        <v>38</v>
      </c>
      <c r="C846" s="53" t="s">
        <v>1223</v>
      </c>
      <c r="D846" s="6">
        <v>2021</v>
      </c>
      <c r="E846" s="6"/>
      <c r="F846" s="50">
        <v>10</v>
      </c>
      <c r="G846" s="6">
        <v>30</v>
      </c>
      <c r="H846" s="6">
        <v>133</v>
      </c>
    </row>
    <row r="847" spans="1:8" s="5" customFormat="1" ht="29.25" hidden="1" customHeight="1" outlineLevel="1" x14ac:dyDescent="0.25">
      <c r="A847" s="42">
        <v>9308</v>
      </c>
      <c r="B847" s="6" t="s">
        <v>38</v>
      </c>
      <c r="C847" s="53" t="s">
        <v>1224</v>
      </c>
      <c r="D847" s="6">
        <v>2021</v>
      </c>
      <c r="E847" s="6"/>
      <c r="F847" s="50">
        <v>371</v>
      </c>
      <c r="G847" s="6">
        <v>75</v>
      </c>
      <c r="H847" s="6">
        <v>571.55200000000002</v>
      </c>
    </row>
    <row r="848" spans="1:8" s="5" customFormat="1" ht="29.25" hidden="1" customHeight="1" outlineLevel="1" x14ac:dyDescent="0.25">
      <c r="A848" s="43">
        <v>338</v>
      </c>
      <c r="B848" s="6" t="s">
        <v>38</v>
      </c>
      <c r="C848" s="53" t="s">
        <v>1225</v>
      </c>
      <c r="D848" s="6">
        <v>2021</v>
      </c>
      <c r="E848" s="6"/>
      <c r="F848" s="50">
        <v>71</v>
      </c>
      <c r="G848" s="6">
        <v>15</v>
      </c>
      <c r="H848" s="6">
        <v>266.29899999999998</v>
      </c>
    </row>
    <row r="849" spans="1:8" s="5" customFormat="1" ht="29.25" hidden="1" customHeight="1" outlineLevel="1" x14ac:dyDescent="0.25">
      <c r="A849" s="43">
        <v>337</v>
      </c>
      <c r="B849" s="6" t="s">
        <v>38</v>
      </c>
      <c r="C849" s="35" t="s">
        <v>1226</v>
      </c>
      <c r="D849" s="6">
        <v>2021</v>
      </c>
      <c r="E849" s="6"/>
      <c r="F849" s="50">
        <v>56</v>
      </c>
      <c r="G849" s="6">
        <v>15</v>
      </c>
      <c r="H849" s="6">
        <v>266.13600000000002</v>
      </c>
    </row>
    <row r="850" spans="1:8" s="5" customFormat="1" ht="29.25" hidden="1" customHeight="1" outlineLevel="1" x14ac:dyDescent="0.25">
      <c r="A850" s="42">
        <v>9390</v>
      </c>
      <c r="B850" s="6" t="s">
        <v>38</v>
      </c>
      <c r="C850" s="53" t="s">
        <v>1227</v>
      </c>
      <c r="D850" s="6">
        <v>2021</v>
      </c>
      <c r="E850" s="6"/>
      <c r="F850" s="50">
        <v>139</v>
      </c>
      <c r="G850" s="6">
        <v>20</v>
      </c>
      <c r="H850" s="6">
        <v>327.18400000000003</v>
      </c>
    </row>
    <row r="851" spans="1:8" s="5" customFormat="1" ht="29.25" hidden="1" customHeight="1" outlineLevel="1" x14ac:dyDescent="0.25">
      <c r="A851" s="43">
        <v>433</v>
      </c>
      <c r="B851" s="6" t="s">
        <v>38</v>
      </c>
      <c r="C851" s="53" t="s">
        <v>1228</v>
      </c>
      <c r="D851" s="6">
        <v>2021</v>
      </c>
      <c r="E851" s="6"/>
      <c r="F851" s="50">
        <v>115</v>
      </c>
      <c r="G851" s="6">
        <v>45</v>
      </c>
      <c r="H851" s="6">
        <v>245.49700000000001</v>
      </c>
    </row>
    <row r="852" spans="1:8" s="5" customFormat="1" ht="29.25" hidden="1" customHeight="1" outlineLevel="1" x14ac:dyDescent="0.25">
      <c r="A852" s="43">
        <v>345</v>
      </c>
      <c r="B852" s="6" t="s">
        <v>38</v>
      </c>
      <c r="C852" s="53" t="s">
        <v>1229</v>
      </c>
      <c r="D852" s="6">
        <v>2021</v>
      </c>
      <c r="E852" s="6"/>
      <c r="F852" s="50">
        <v>118</v>
      </c>
      <c r="G852" s="6">
        <v>15</v>
      </c>
      <c r="H852" s="6">
        <v>254.904</v>
      </c>
    </row>
    <row r="853" spans="1:8" s="5" customFormat="1" ht="29.25" hidden="1" customHeight="1" outlineLevel="1" x14ac:dyDescent="0.25">
      <c r="A853" s="43">
        <v>349</v>
      </c>
      <c r="B853" s="6" t="s">
        <v>38</v>
      </c>
      <c r="C853" s="53" t="s">
        <v>1230</v>
      </c>
      <c r="D853" s="6">
        <v>2021</v>
      </c>
      <c r="E853" s="6"/>
      <c r="F853" s="50">
        <v>293</v>
      </c>
      <c r="G853" s="6">
        <v>10</v>
      </c>
      <c r="H853" s="6">
        <v>448.28</v>
      </c>
    </row>
    <row r="854" spans="1:8" s="5" customFormat="1" ht="29.25" hidden="1" customHeight="1" outlineLevel="1" x14ac:dyDescent="0.25">
      <c r="A854" s="43">
        <v>378</v>
      </c>
      <c r="B854" s="6" t="s">
        <v>38</v>
      </c>
      <c r="C854" s="53" t="s">
        <v>1231</v>
      </c>
      <c r="D854" s="6">
        <v>2021</v>
      </c>
      <c r="E854" s="6"/>
      <c r="F854" s="50">
        <v>214</v>
      </c>
      <c r="G854" s="6">
        <v>30</v>
      </c>
      <c r="H854" s="6">
        <v>379.76400000000001</v>
      </c>
    </row>
    <row r="855" spans="1:8" s="5" customFormat="1" ht="29.25" hidden="1" customHeight="1" outlineLevel="1" x14ac:dyDescent="0.25">
      <c r="A855" s="4">
        <v>343</v>
      </c>
      <c r="B855" s="6" t="s">
        <v>38</v>
      </c>
      <c r="C855" s="53" t="s">
        <v>3182</v>
      </c>
      <c r="D855" s="6">
        <v>2021</v>
      </c>
      <c r="E855" s="6"/>
      <c r="F855" s="50">
        <v>255</v>
      </c>
      <c r="G855" s="6">
        <v>10</v>
      </c>
      <c r="H855" s="6">
        <v>264.80099999999999</v>
      </c>
    </row>
    <row r="856" spans="1:8" s="5" customFormat="1" ht="29.25" hidden="1" customHeight="1" outlineLevel="1" x14ac:dyDescent="0.25">
      <c r="A856" s="42">
        <v>9421</v>
      </c>
      <c r="B856" s="6" t="s">
        <v>38</v>
      </c>
      <c r="C856" s="53" t="s">
        <v>1232</v>
      </c>
      <c r="D856" s="6">
        <v>2021</v>
      </c>
      <c r="E856" s="6"/>
      <c r="F856" s="50">
        <v>7</v>
      </c>
      <c r="G856" s="6">
        <v>15</v>
      </c>
      <c r="H856" s="6">
        <v>89.671000000000006</v>
      </c>
    </row>
    <row r="857" spans="1:8" s="5" customFormat="1" ht="29.25" hidden="1" customHeight="1" outlineLevel="1" x14ac:dyDescent="0.25">
      <c r="A857" s="42">
        <v>9275</v>
      </c>
      <c r="B857" s="6" t="s">
        <v>38</v>
      </c>
      <c r="C857" s="53" t="s">
        <v>1233</v>
      </c>
      <c r="D857" s="6">
        <v>2021</v>
      </c>
      <c r="E857" s="6"/>
      <c r="F857" s="50">
        <v>283</v>
      </c>
      <c r="G857" s="6">
        <v>15</v>
      </c>
      <c r="H857" s="6">
        <v>472.178</v>
      </c>
    </row>
    <row r="858" spans="1:8" s="5" customFormat="1" ht="29.25" hidden="1" customHeight="1" outlineLevel="1" x14ac:dyDescent="0.25">
      <c r="A858" s="42">
        <v>9346</v>
      </c>
      <c r="B858" s="6" t="s">
        <v>38</v>
      </c>
      <c r="C858" s="53" t="s">
        <v>1234</v>
      </c>
      <c r="D858" s="6">
        <v>2021</v>
      </c>
      <c r="E858" s="6"/>
      <c r="F858" s="50">
        <v>181</v>
      </c>
      <c r="G858" s="6">
        <v>80</v>
      </c>
      <c r="H858" s="6">
        <v>186.94900000000001</v>
      </c>
    </row>
    <row r="859" spans="1:8" s="5" customFormat="1" ht="29.25" hidden="1" customHeight="1" outlineLevel="1" x14ac:dyDescent="0.25">
      <c r="A859" s="42">
        <v>9360</v>
      </c>
      <c r="B859" s="6" t="s">
        <v>38</v>
      </c>
      <c r="C859" s="53" t="s">
        <v>1235</v>
      </c>
      <c r="D859" s="6">
        <v>2021</v>
      </c>
      <c r="E859" s="6"/>
      <c r="F859" s="50">
        <v>16</v>
      </c>
      <c r="G859" s="6">
        <v>15</v>
      </c>
      <c r="H859" s="6">
        <v>32.438000000000002</v>
      </c>
    </row>
    <row r="860" spans="1:8" s="5" customFormat="1" ht="29.25" hidden="1" customHeight="1" outlineLevel="1" x14ac:dyDescent="0.25">
      <c r="A860" s="42">
        <v>9082</v>
      </c>
      <c r="B860" s="6" t="s">
        <v>38</v>
      </c>
      <c r="C860" s="53" t="s">
        <v>1236</v>
      </c>
      <c r="D860" s="6">
        <v>2021</v>
      </c>
      <c r="E860" s="6"/>
      <c r="F860" s="50">
        <v>96</v>
      </c>
      <c r="G860" s="6">
        <v>42</v>
      </c>
      <c r="H860" s="6">
        <v>227.803</v>
      </c>
    </row>
    <row r="861" spans="1:8" s="5" customFormat="1" ht="29.25" hidden="1" customHeight="1" outlineLevel="1" x14ac:dyDescent="0.25">
      <c r="A861" s="42">
        <v>9078</v>
      </c>
      <c r="B861" s="6" t="s">
        <v>38</v>
      </c>
      <c r="C861" s="53" t="s">
        <v>1237</v>
      </c>
      <c r="D861" s="6">
        <v>2021</v>
      </c>
      <c r="E861" s="6"/>
      <c r="F861" s="50">
        <v>99</v>
      </c>
      <c r="G861" s="6">
        <v>15</v>
      </c>
      <c r="H861" s="6">
        <v>157.273</v>
      </c>
    </row>
    <row r="862" spans="1:8" s="5" customFormat="1" ht="29.25" hidden="1" customHeight="1" outlineLevel="1" x14ac:dyDescent="0.25">
      <c r="A862" s="42">
        <v>9341</v>
      </c>
      <c r="B862" s="6" t="s">
        <v>38</v>
      </c>
      <c r="C862" s="53" t="s">
        <v>1238</v>
      </c>
      <c r="D862" s="6">
        <v>2021</v>
      </c>
      <c r="E862" s="6"/>
      <c r="F862" s="50">
        <v>173</v>
      </c>
      <c r="G862" s="6">
        <v>15</v>
      </c>
      <c r="H862" s="6">
        <v>318.53800000000001</v>
      </c>
    </row>
    <row r="863" spans="1:8" s="5" customFormat="1" ht="29.25" hidden="1" customHeight="1" outlineLevel="1" x14ac:dyDescent="0.25">
      <c r="A863" s="42">
        <v>9309</v>
      </c>
      <c r="B863" s="6" t="s">
        <v>38</v>
      </c>
      <c r="C863" s="53" t="s">
        <v>1239</v>
      </c>
      <c r="D863" s="6">
        <v>2021</v>
      </c>
      <c r="E863" s="6"/>
      <c r="F863" s="50">
        <v>166</v>
      </c>
      <c r="G863" s="6">
        <v>15</v>
      </c>
      <c r="H863" s="6">
        <v>308.24400000000003</v>
      </c>
    </row>
    <row r="864" spans="1:8" s="5" customFormat="1" ht="29.25" hidden="1" customHeight="1" outlineLevel="1" x14ac:dyDescent="0.25">
      <c r="A864" s="42">
        <v>9391</v>
      </c>
      <c r="B864" s="6" t="s">
        <v>38</v>
      </c>
      <c r="C864" s="53" t="s">
        <v>1240</v>
      </c>
      <c r="D864" s="6">
        <v>2021</v>
      </c>
      <c r="E864" s="6"/>
      <c r="F864" s="50">
        <v>193</v>
      </c>
      <c r="G864" s="6">
        <v>15</v>
      </c>
      <c r="H864" s="6">
        <v>316.42200000000003</v>
      </c>
    </row>
    <row r="865" spans="1:8" s="5" customFormat="1" ht="29.25" hidden="1" customHeight="1" outlineLevel="1" x14ac:dyDescent="0.25">
      <c r="A865" s="43">
        <v>444</v>
      </c>
      <c r="B865" s="6" t="s">
        <v>38</v>
      </c>
      <c r="C865" s="53" t="s">
        <v>1241</v>
      </c>
      <c r="D865" s="6">
        <v>2021</v>
      </c>
      <c r="E865" s="6"/>
      <c r="F865" s="50">
        <v>4</v>
      </c>
      <c r="G865" s="6">
        <v>70</v>
      </c>
      <c r="H865" s="6">
        <v>91.153000000000006</v>
      </c>
    </row>
    <row r="866" spans="1:8" s="5" customFormat="1" ht="29.25" hidden="1" customHeight="1" outlineLevel="1" x14ac:dyDescent="0.25">
      <c r="A866" s="42">
        <v>9074</v>
      </c>
      <c r="B866" s="6" t="s">
        <v>38</v>
      </c>
      <c r="C866" s="53" t="s">
        <v>1242</v>
      </c>
      <c r="D866" s="6">
        <v>2021</v>
      </c>
      <c r="E866" s="6"/>
      <c r="F866" s="50">
        <v>119</v>
      </c>
      <c r="G866" s="6">
        <v>2.5299999999999998</v>
      </c>
      <c r="H866" s="6">
        <v>159.958</v>
      </c>
    </row>
    <row r="867" spans="1:8" s="5" customFormat="1" ht="29.25" hidden="1" customHeight="1" outlineLevel="1" x14ac:dyDescent="0.25">
      <c r="A867" s="42">
        <v>9431</v>
      </c>
      <c r="B867" s="6" t="s">
        <v>38</v>
      </c>
      <c r="C867" s="35" t="s">
        <v>1243</v>
      </c>
      <c r="D867" s="6">
        <v>2021</v>
      </c>
      <c r="E867" s="6"/>
      <c r="F867" s="50">
        <v>64</v>
      </c>
      <c r="G867" s="6">
        <v>15</v>
      </c>
      <c r="H867" s="6">
        <v>120.861</v>
      </c>
    </row>
    <row r="868" spans="1:8" s="5" customFormat="1" ht="29.25" hidden="1" customHeight="1" outlineLevel="1" x14ac:dyDescent="0.25">
      <c r="A868" s="43">
        <v>365</v>
      </c>
      <c r="B868" s="6" t="s">
        <v>38</v>
      </c>
      <c r="C868" s="53" t="s">
        <v>1244</v>
      </c>
      <c r="D868" s="6">
        <v>2021</v>
      </c>
      <c r="E868" s="6"/>
      <c r="F868" s="50">
        <v>99</v>
      </c>
      <c r="G868" s="6">
        <v>30</v>
      </c>
      <c r="H868" s="6">
        <v>136.37200000000001</v>
      </c>
    </row>
    <row r="869" spans="1:8" s="5" customFormat="1" ht="29.25" hidden="1" customHeight="1" outlineLevel="1" x14ac:dyDescent="0.25">
      <c r="A869" s="43">
        <v>477</v>
      </c>
      <c r="B869" s="6" t="s">
        <v>38</v>
      </c>
      <c r="C869" s="53" t="s">
        <v>1245</v>
      </c>
      <c r="D869" s="6">
        <v>2021</v>
      </c>
      <c r="E869" s="6"/>
      <c r="F869" s="50">
        <v>51</v>
      </c>
      <c r="G869" s="6">
        <v>15</v>
      </c>
      <c r="H869" s="6">
        <v>80.477000000000004</v>
      </c>
    </row>
    <row r="870" spans="1:8" s="5" customFormat="1" ht="29.25" hidden="1" customHeight="1" outlineLevel="1" x14ac:dyDescent="0.25">
      <c r="A870" s="43">
        <v>494</v>
      </c>
      <c r="B870" s="6" t="s">
        <v>38</v>
      </c>
      <c r="C870" s="53" t="s">
        <v>1246</v>
      </c>
      <c r="D870" s="6">
        <v>2021</v>
      </c>
      <c r="E870" s="6"/>
      <c r="F870" s="50">
        <v>88</v>
      </c>
      <c r="G870" s="6">
        <v>15</v>
      </c>
      <c r="H870" s="6">
        <v>121.044</v>
      </c>
    </row>
    <row r="871" spans="1:8" s="5" customFormat="1" ht="29.25" hidden="1" customHeight="1" outlineLevel="1" x14ac:dyDescent="0.25">
      <c r="A871" s="43">
        <v>482</v>
      </c>
      <c r="B871" s="6" t="s">
        <v>38</v>
      </c>
      <c r="C871" s="53" t="s">
        <v>1247</v>
      </c>
      <c r="D871" s="6">
        <v>2021</v>
      </c>
      <c r="E871" s="6"/>
      <c r="F871" s="50">
        <v>11</v>
      </c>
      <c r="G871" s="6">
        <v>15</v>
      </c>
      <c r="H871" s="6">
        <v>60.375999999999998</v>
      </c>
    </row>
    <row r="872" spans="1:8" s="5" customFormat="1" ht="29.25" hidden="1" customHeight="1" outlineLevel="1" x14ac:dyDescent="0.25">
      <c r="A872" s="43">
        <v>492</v>
      </c>
      <c r="B872" s="6" t="s">
        <v>38</v>
      </c>
      <c r="C872" s="53" t="s">
        <v>1248</v>
      </c>
      <c r="D872" s="6">
        <v>2021</v>
      </c>
      <c r="E872" s="6"/>
      <c r="F872" s="50">
        <v>44</v>
      </c>
      <c r="G872" s="6">
        <v>15</v>
      </c>
      <c r="H872" s="6">
        <v>89.540999999999997</v>
      </c>
    </row>
    <row r="873" spans="1:8" s="5" customFormat="1" ht="29.25" hidden="1" customHeight="1" outlineLevel="1" x14ac:dyDescent="0.25">
      <c r="A873" s="43">
        <v>347</v>
      </c>
      <c r="B873" s="6" t="s">
        <v>38</v>
      </c>
      <c r="C873" s="53" t="s">
        <v>1249</v>
      </c>
      <c r="D873" s="6">
        <v>2021</v>
      </c>
      <c r="E873" s="6"/>
      <c r="F873" s="50">
        <v>183</v>
      </c>
      <c r="G873" s="6">
        <v>15</v>
      </c>
      <c r="H873" s="6">
        <v>104.50700000000001</v>
      </c>
    </row>
    <row r="874" spans="1:8" s="5" customFormat="1" ht="29.25" hidden="1" customHeight="1" outlineLevel="1" x14ac:dyDescent="0.25">
      <c r="A874" s="42">
        <v>9350</v>
      </c>
      <c r="B874" s="6" t="s">
        <v>38</v>
      </c>
      <c r="C874" s="53" t="s">
        <v>1250</v>
      </c>
      <c r="D874" s="6">
        <v>2021</v>
      </c>
      <c r="E874" s="6"/>
      <c r="F874" s="50">
        <v>182</v>
      </c>
      <c r="G874" s="6">
        <v>15</v>
      </c>
      <c r="H874" s="6">
        <v>191.91900000000001</v>
      </c>
    </row>
    <row r="875" spans="1:8" s="5" customFormat="1" ht="29.25" hidden="1" customHeight="1" outlineLevel="1" x14ac:dyDescent="0.25">
      <c r="A875" s="42">
        <v>9688</v>
      </c>
      <c r="B875" s="6" t="s">
        <v>38</v>
      </c>
      <c r="C875" s="53" t="s">
        <v>1251</v>
      </c>
      <c r="D875" s="6">
        <v>2021</v>
      </c>
      <c r="E875" s="6"/>
      <c r="F875" s="50">
        <v>356</v>
      </c>
      <c r="G875" s="6">
        <v>10</v>
      </c>
      <c r="H875" s="6">
        <v>294.04399999999998</v>
      </c>
    </row>
    <row r="876" spans="1:8" s="5" customFormat="1" ht="29.25" hidden="1" customHeight="1" outlineLevel="1" x14ac:dyDescent="0.25">
      <c r="A876" s="42">
        <v>9348</v>
      </c>
      <c r="B876" s="6" t="s">
        <v>38</v>
      </c>
      <c r="C876" s="53" t="s">
        <v>1252</v>
      </c>
      <c r="D876" s="6">
        <v>2021</v>
      </c>
      <c r="E876" s="6"/>
      <c r="F876" s="50">
        <v>139</v>
      </c>
      <c r="G876" s="6">
        <v>15</v>
      </c>
      <c r="H876" s="6">
        <v>277.93099999999998</v>
      </c>
    </row>
    <row r="877" spans="1:8" s="5" customFormat="1" ht="29.25" hidden="1" customHeight="1" outlineLevel="1" x14ac:dyDescent="0.25">
      <c r="A877" s="42">
        <v>9276</v>
      </c>
      <c r="B877" s="6" t="s">
        <v>38</v>
      </c>
      <c r="C877" s="53" t="s">
        <v>1253</v>
      </c>
      <c r="D877" s="6">
        <v>2021</v>
      </c>
      <c r="E877" s="6"/>
      <c r="F877" s="50">
        <v>112</v>
      </c>
      <c r="G877" s="6">
        <v>15</v>
      </c>
      <c r="H877" s="6">
        <v>143.858</v>
      </c>
    </row>
    <row r="878" spans="1:8" s="5" customFormat="1" ht="29.25" hidden="1" customHeight="1" outlineLevel="1" x14ac:dyDescent="0.25">
      <c r="A878" s="42">
        <v>9277</v>
      </c>
      <c r="B878" s="6" t="s">
        <v>38</v>
      </c>
      <c r="C878" s="53" t="s">
        <v>1254</v>
      </c>
      <c r="D878" s="6">
        <v>2021</v>
      </c>
      <c r="E878" s="6"/>
      <c r="F878" s="50">
        <v>90</v>
      </c>
      <c r="G878" s="6">
        <v>15</v>
      </c>
      <c r="H878" s="6">
        <v>234.233</v>
      </c>
    </row>
    <row r="879" spans="1:8" s="5" customFormat="1" ht="29.25" hidden="1" customHeight="1" outlineLevel="1" x14ac:dyDescent="0.25">
      <c r="A879" s="42">
        <v>9367</v>
      </c>
      <c r="B879" s="6" t="s">
        <v>38</v>
      </c>
      <c r="C879" s="53" t="s">
        <v>1255</v>
      </c>
      <c r="D879" s="6">
        <v>2021</v>
      </c>
      <c r="E879" s="6"/>
      <c r="F879" s="50">
        <v>19</v>
      </c>
      <c r="G879" s="6">
        <v>15</v>
      </c>
      <c r="H879" s="6">
        <v>125.212</v>
      </c>
    </row>
    <row r="880" spans="1:8" s="5" customFormat="1" ht="29.25" hidden="1" customHeight="1" outlineLevel="1" x14ac:dyDescent="0.25">
      <c r="A880" s="42">
        <v>9357</v>
      </c>
      <c r="B880" s="6" t="s">
        <v>38</v>
      </c>
      <c r="C880" s="53" t="s">
        <v>1256</v>
      </c>
      <c r="D880" s="6">
        <v>2021</v>
      </c>
      <c r="E880" s="6"/>
      <c r="F880" s="50">
        <v>560</v>
      </c>
      <c r="G880" s="6">
        <v>20</v>
      </c>
      <c r="H880" s="6">
        <v>778.39499999999998</v>
      </c>
    </row>
    <row r="881" spans="1:8" s="5" customFormat="1" ht="29.25" hidden="1" customHeight="1" outlineLevel="1" x14ac:dyDescent="0.25">
      <c r="A881" s="42">
        <v>9373</v>
      </c>
      <c r="B881" s="6" t="s">
        <v>38</v>
      </c>
      <c r="C881" s="53" t="s">
        <v>1257</v>
      </c>
      <c r="D881" s="6">
        <v>2021</v>
      </c>
      <c r="E881" s="6"/>
      <c r="F881" s="50">
        <v>5</v>
      </c>
      <c r="G881" s="6">
        <v>25</v>
      </c>
      <c r="H881" s="6">
        <v>149.042</v>
      </c>
    </row>
    <row r="882" spans="1:8" s="5" customFormat="1" ht="29.25" hidden="1" customHeight="1" outlineLevel="1" x14ac:dyDescent="0.25">
      <c r="A882" s="42">
        <v>9366</v>
      </c>
      <c r="B882" s="6" t="s">
        <v>38</v>
      </c>
      <c r="C882" s="53" t="s">
        <v>1258</v>
      </c>
      <c r="D882" s="6">
        <v>2021</v>
      </c>
      <c r="E882" s="6"/>
      <c r="F882" s="50">
        <v>287</v>
      </c>
      <c r="G882" s="6">
        <v>10</v>
      </c>
      <c r="H882" s="6">
        <v>423.55</v>
      </c>
    </row>
    <row r="883" spans="1:8" s="5" customFormat="1" ht="29.25" hidden="1" customHeight="1" outlineLevel="1" x14ac:dyDescent="0.25">
      <c r="A883" s="42">
        <v>9313</v>
      </c>
      <c r="B883" s="6" t="s">
        <v>38</v>
      </c>
      <c r="C883" s="53" t="s">
        <v>1259</v>
      </c>
      <c r="D883" s="6">
        <v>2021</v>
      </c>
      <c r="E883" s="6"/>
      <c r="F883" s="50">
        <v>376</v>
      </c>
      <c r="G883" s="6">
        <v>15</v>
      </c>
      <c r="H883" s="6">
        <v>526.32600000000002</v>
      </c>
    </row>
    <row r="884" spans="1:8" s="5" customFormat="1" ht="29.25" hidden="1" customHeight="1" outlineLevel="1" x14ac:dyDescent="0.25">
      <c r="A884" s="43">
        <v>3708</v>
      </c>
      <c r="B884" s="6" t="s">
        <v>38</v>
      </c>
      <c r="C884" s="53" t="s">
        <v>1260</v>
      </c>
      <c r="D884" s="6">
        <v>2021</v>
      </c>
      <c r="E884" s="6"/>
      <c r="F884" s="50">
        <v>444</v>
      </c>
      <c r="G884" s="6">
        <v>15</v>
      </c>
      <c r="H884" s="6">
        <v>521.96500000000003</v>
      </c>
    </row>
    <row r="885" spans="1:8" s="5" customFormat="1" ht="29.25" hidden="1" customHeight="1" outlineLevel="1" x14ac:dyDescent="0.25">
      <c r="A885" s="42">
        <v>9359</v>
      </c>
      <c r="B885" s="6" t="s">
        <v>38</v>
      </c>
      <c r="C885" s="53" t="s">
        <v>1261</v>
      </c>
      <c r="D885" s="6">
        <v>2021</v>
      </c>
      <c r="E885" s="6"/>
      <c r="F885" s="50">
        <v>114</v>
      </c>
      <c r="G885" s="6">
        <v>60</v>
      </c>
      <c r="H885" s="6">
        <v>285.185</v>
      </c>
    </row>
    <row r="886" spans="1:8" s="5" customFormat="1" ht="29.25" hidden="1" customHeight="1" outlineLevel="1" x14ac:dyDescent="0.25">
      <c r="A886" s="42">
        <v>9355</v>
      </c>
      <c r="B886" s="6" t="s">
        <v>38</v>
      </c>
      <c r="C886" s="53" t="s">
        <v>1262</v>
      </c>
      <c r="D886" s="6">
        <v>2021</v>
      </c>
      <c r="E886" s="6"/>
      <c r="F886" s="50">
        <v>5</v>
      </c>
      <c r="G886" s="6">
        <v>50</v>
      </c>
      <c r="H886" s="6">
        <v>157.61799999999999</v>
      </c>
    </row>
    <row r="887" spans="1:8" s="5" customFormat="1" ht="29.25" hidden="1" customHeight="1" outlineLevel="1" x14ac:dyDescent="0.25">
      <c r="A887" s="43">
        <v>428</v>
      </c>
      <c r="B887" s="6" t="s">
        <v>38</v>
      </c>
      <c r="C887" s="53" t="s">
        <v>1263</v>
      </c>
      <c r="D887" s="6">
        <v>2021</v>
      </c>
      <c r="E887" s="6"/>
      <c r="F887" s="50">
        <v>68</v>
      </c>
      <c r="G887" s="6">
        <v>200</v>
      </c>
      <c r="H887" s="6">
        <v>373.404</v>
      </c>
    </row>
    <row r="888" spans="1:8" s="5" customFormat="1" ht="29.25" hidden="1" customHeight="1" outlineLevel="1" x14ac:dyDescent="0.25">
      <c r="A888" s="43">
        <v>478</v>
      </c>
      <c r="B888" s="6" t="s">
        <v>38</v>
      </c>
      <c r="C888" s="53" t="s">
        <v>1264</v>
      </c>
      <c r="D888" s="6">
        <v>2021</v>
      </c>
      <c r="E888" s="6"/>
      <c r="F888" s="50">
        <v>43</v>
      </c>
      <c r="G888" s="6">
        <v>30</v>
      </c>
      <c r="H888" s="6">
        <v>84.234999999999999</v>
      </c>
    </row>
    <row r="889" spans="1:8" s="5" customFormat="1" ht="29.25" hidden="1" customHeight="1" outlineLevel="1" x14ac:dyDescent="0.25">
      <c r="A889" s="43">
        <v>565</v>
      </c>
      <c r="B889" s="6" t="s">
        <v>38</v>
      </c>
      <c r="C889" s="53" t="s">
        <v>1265</v>
      </c>
      <c r="D889" s="6">
        <v>2021</v>
      </c>
      <c r="E889" s="6"/>
      <c r="F889" s="50">
        <v>2</v>
      </c>
      <c r="G889" s="6">
        <v>135</v>
      </c>
      <c r="H889" s="6">
        <v>32.963999999999999</v>
      </c>
    </row>
    <row r="890" spans="1:8" s="5" customFormat="1" ht="29.25" hidden="1" customHeight="1" outlineLevel="1" x14ac:dyDescent="0.25">
      <c r="A890" s="43">
        <v>3709</v>
      </c>
      <c r="B890" s="6" t="s">
        <v>38</v>
      </c>
      <c r="C890" s="53" t="s">
        <v>1266</v>
      </c>
      <c r="D890" s="6">
        <v>2021</v>
      </c>
      <c r="E890" s="6"/>
      <c r="F890" s="50">
        <v>510</v>
      </c>
      <c r="G890" s="6">
        <v>15</v>
      </c>
      <c r="H890" s="6">
        <v>716.14</v>
      </c>
    </row>
    <row r="891" spans="1:8" s="5" customFormat="1" ht="29.25" hidden="1" customHeight="1" outlineLevel="1" x14ac:dyDescent="0.25">
      <c r="A891" s="43">
        <v>354</v>
      </c>
      <c r="B891" s="6" t="s">
        <v>38</v>
      </c>
      <c r="C891" s="53" t="s">
        <v>1267</v>
      </c>
      <c r="D891" s="6">
        <v>2021</v>
      </c>
      <c r="E891" s="6"/>
      <c r="F891" s="50">
        <v>120</v>
      </c>
      <c r="G891" s="6">
        <v>15</v>
      </c>
      <c r="H891" s="6">
        <v>173.40600000000001</v>
      </c>
    </row>
    <row r="892" spans="1:8" s="5" customFormat="1" ht="29.25" hidden="1" customHeight="1" outlineLevel="1" x14ac:dyDescent="0.25">
      <c r="A892" s="42">
        <v>9289</v>
      </c>
      <c r="B892" s="6" t="s">
        <v>38</v>
      </c>
      <c r="C892" s="53" t="s">
        <v>1268</v>
      </c>
      <c r="D892" s="6">
        <v>2021</v>
      </c>
      <c r="E892" s="6"/>
      <c r="F892" s="50">
        <v>136</v>
      </c>
      <c r="G892" s="6">
        <v>10</v>
      </c>
      <c r="H892" s="6">
        <v>220.941</v>
      </c>
    </row>
    <row r="893" spans="1:8" s="5" customFormat="1" ht="29.25" hidden="1" customHeight="1" outlineLevel="1" x14ac:dyDescent="0.25">
      <c r="A893" s="42">
        <v>9314</v>
      </c>
      <c r="B893" s="6" t="s">
        <v>38</v>
      </c>
      <c r="C893" s="53" t="s">
        <v>1269</v>
      </c>
      <c r="D893" s="6">
        <v>2021</v>
      </c>
      <c r="E893" s="6"/>
      <c r="F893" s="50">
        <v>243</v>
      </c>
      <c r="G893" s="6">
        <v>15</v>
      </c>
      <c r="H893" s="6">
        <v>341.58100000000002</v>
      </c>
    </row>
    <row r="894" spans="1:8" s="5" customFormat="1" ht="29.25" hidden="1" customHeight="1" outlineLevel="1" x14ac:dyDescent="0.25">
      <c r="A894" s="42">
        <v>9572</v>
      </c>
      <c r="B894" s="6" t="s">
        <v>38</v>
      </c>
      <c r="C894" s="53" t="s">
        <v>1270</v>
      </c>
      <c r="D894" s="6">
        <v>2021</v>
      </c>
      <c r="E894" s="6"/>
      <c r="F894" s="50">
        <v>8</v>
      </c>
      <c r="G894" s="6">
        <v>60</v>
      </c>
      <c r="H894" s="6">
        <v>158.624</v>
      </c>
    </row>
    <row r="895" spans="1:8" s="5" customFormat="1" ht="29.25" hidden="1" customHeight="1" outlineLevel="1" x14ac:dyDescent="0.25">
      <c r="A895" s="42">
        <v>9356</v>
      </c>
      <c r="B895" s="6" t="s">
        <v>38</v>
      </c>
      <c r="C895" s="53" t="s">
        <v>1271</v>
      </c>
      <c r="D895" s="6">
        <v>2021</v>
      </c>
      <c r="E895" s="6"/>
      <c r="F895" s="50">
        <v>66</v>
      </c>
      <c r="G895" s="6">
        <v>75</v>
      </c>
      <c r="H895" s="6">
        <v>165.352</v>
      </c>
    </row>
    <row r="896" spans="1:8" s="5" customFormat="1" ht="29.25" hidden="1" customHeight="1" outlineLevel="1" x14ac:dyDescent="0.25">
      <c r="A896" s="42">
        <v>9337</v>
      </c>
      <c r="B896" s="6" t="s">
        <v>38</v>
      </c>
      <c r="C896" s="53" t="s">
        <v>1272</v>
      </c>
      <c r="D896" s="6">
        <v>2021</v>
      </c>
      <c r="E896" s="6"/>
      <c r="F896" s="50">
        <v>163</v>
      </c>
      <c r="G896" s="6">
        <v>30</v>
      </c>
      <c r="H896" s="6">
        <v>376.274</v>
      </c>
    </row>
    <row r="897" spans="1:33" s="5" customFormat="1" ht="29.25" hidden="1" customHeight="1" outlineLevel="1" x14ac:dyDescent="0.25">
      <c r="A897" s="42">
        <v>9279</v>
      </c>
      <c r="B897" s="6" t="s">
        <v>38</v>
      </c>
      <c r="C897" s="53" t="s">
        <v>1273</v>
      </c>
      <c r="D897" s="6">
        <v>2021</v>
      </c>
      <c r="E897" s="6"/>
      <c r="F897" s="50">
        <v>231</v>
      </c>
      <c r="G897" s="6">
        <v>15</v>
      </c>
      <c r="H897" s="6">
        <v>387.02699999999999</v>
      </c>
    </row>
    <row r="898" spans="1:33" s="5" customFormat="1" ht="29.25" hidden="1" customHeight="1" outlineLevel="1" x14ac:dyDescent="0.25">
      <c r="A898" s="42">
        <v>9274</v>
      </c>
      <c r="B898" s="6" t="s">
        <v>38</v>
      </c>
      <c r="C898" s="53" t="s">
        <v>1274</v>
      </c>
      <c r="D898" s="6">
        <v>2021</v>
      </c>
      <c r="E898" s="6"/>
      <c r="F898" s="50">
        <v>219</v>
      </c>
      <c r="G898" s="6">
        <v>15</v>
      </c>
      <c r="H898" s="6">
        <v>350.54899999999998</v>
      </c>
    </row>
    <row r="899" spans="1:33" s="5" customFormat="1" ht="29.25" hidden="1" customHeight="1" outlineLevel="1" x14ac:dyDescent="0.25">
      <c r="A899" s="42">
        <v>9280</v>
      </c>
      <c r="B899" s="6" t="s">
        <v>38</v>
      </c>
      <c r="C899" s="53" t="s">
        <v>1275</v>
      </c>
      <c r="D899" s="6">
        <v>2021</v>
      </c>
      <c r="E899" s="6"/>
      <c r="F899" s="50">
        <v>209</v>
      </c>
      <c r="G899" s="6">
        <v>30</v>
      </c>
      <c r="H899" s="6">
        <v>366.56</v>
      </c>
    </row>
    <row r="900" spans="1:33" s="5" customFormat="1" ht="29.25" hidden="1" customHeight="1" outlineLevel="1" x14ac:dyDescent="0.25">
      <c r="A900" s="42">
        <v>9422</v>
      </c>
      <c r="B900" s="6" t="s">
        <v>38</v>
      </c>
      <c r="C900" s="53" t="s">
        <v>1276</v>
      </c>
      <c r="D900" s="6">
        <v>2021</v>
      </c>
      <c r="E900" s="6"/>
      <c r="F900" s="50">
        <v>251</v>
      </c>
      <c r="G900" s="6">
        <v>75</v>
      </c>
      <c r="H900" s="6">
        <v>406.38799999999998</v>
      </c>
    </row>
    <row r="901" spans="1:33" s="5" customFormat="1" ht="29.25" hidden="1" customHeight="1" outlineLevel="1" x14ac:dyDescent="0.25">
      <c r="A901" s="42">
        <v>9371</v>
      </c>
      <c r="B901" s="6" t="s">
        <v>38</v>
      </c>
      <c r="C901" s="53" t="s">
        <v>1277</v>
      </c>
      <c r="D901" s="6">
        <v>2021</v>
      </c>
      <c r="E901" s="6"/>
      <c r="F901" s="50">
        <v>5</v>
      </c>
      <c r="G901" s="6">
        <v>30</v>
      </c>
      <c r="H901" s="6">
        <v>106.77500000000001</v>
      </c>
    </row>
    <row r="902" spans="1:33" s="5" customFormat="1" ht="29.25" hidden="1" customHeight="1" outlineLevel="1" x14ac:dyDescent="0.25">
      <c r="A902" s="43">
        <v>369</v>
      </c>
      <c r="B902" s="6" t="s">
        <v>38</v>
      </c>
      <c r="C902" s="53" t="s">
        <v>1278</v>
      </c>
      <c r="D902" s="6">
        <v>2021</v>
      </c>
      <c r="E902" s="6"/>
      <c r="F902" s="50">
        <v>245</v>
      </c>
      <c r="G902" s="6">
        <v>15</v>
      </c>
      <c r="H902" s="6">
        <v>312.16000000000003</v>
      </c>
    </row>
    <row r="903" spans="1:33" s="5" customFormat="1" ht="29.25" hidden="1" customHeight="1" outlineLevel="1" x14ac:dyDescent="0.25">
      <c r="A903" s="42">
        <v>9437</v>
      </c>
      <c r="B903" s="6" t="s">
        <v>38</v>
      </c>
      <c r="C903" s="53" t="s">
        <v>1279</v>
      </c>
      <c r="D903" s="6">
        <v>2021</v>
      </c>
      <c r="E903" s="6"/>
      <c r="F903" s="50">
        <v>182</v>
      </c>
      <c r="G903" s="6">
        <v>70</v>
      </c>
      <c r="H903" s="6">
        <v>151.541</v>
      </c>
    </row>
    <row r="904" spans="1:33" s="5" customFormat="1" ht="29.25" hidden="1" customHeight="1" outlineLevel="1" x14ac:dyDescent="0.25">
      <c r="A904" s="43">
        <v>398</v>
      </c>
      <c r="B904" s="6" t="s">
        <v>38</v>
      </c>
      <c r="C904" s="53" t="s">
        <v>1280</v>
      </c>
      <c r="D904" s="6">
        <v>2021</v>
      </c>
      <c r="E904" s="6"/>
      <c r="F904" s="50">
        <v>144</v>
      </c>
      <c r="G904" s="6">
        <v>15</v>
      </c>
      <c r="H904" s="6">
        <v>121.041</v>
      </c>
    </row>
    <row r="905" spans="1:33" s="5" customFormat="1" ht="29.25" hidden="1" customHeight="1" outlineLevel="1" x14ac:dyDescent="0.25">
      <c r="A905" s="43">
        <v>404</v>
      </c>
      <c r="B905" s="6" t="s">
        <v>38</v>
      </c>
      <c r="C905" s="53" t="s">
        <v>1281</v>
      </c>
      <c r="D905" s="6">
        <v>2021</v>
      </c>
      <c r="E905" s="6"/>
      <c r="F905" s="50">
        <v>180</v>
      </c>
      <c r="G905" s="6">
        <v>15</v>
      </c>
      <c r="H905" s="6">
        <v>229.845</v>
      </c>
    </row>
    <row r="906" spans="1:33" s="5" customFormat="1" ht="17.25" customHeight="1" collapsed="1" x14ac:dyDescent="0.25">
      <c r="A906" s="208"/>
      <c r="B906" s="178" t="s">
        <v>38</v>
      </c>
      <c r="C906" s="185" t="s">
        <v>3186</v>
      </c>
      <c r="D906" s="185"/>
      <c r="E906" s="178" t="s">
        <v>22</v>
      </c>
      <c r="F906" s="178"/>
      <c r="G906" s="178"/>
      <c r="H906" s="178"/>
    </row>
    <row r="907" spans="1:33" s="5" customFormat="1" ht="4.5" customHeight="1" x14ac:dyDescent="0.25">
      <c r="A907" s="210"/>
      <c r="B907" s="187"/>
      <c r="C907" s="192"/>
      <c r="D907" s="192"/>
      <c r="E907" s="187"/>
      <c r="F907" s="187"/>
      <c r="G907" s="187"/>
      <c r="H907" s="187"/>
    </row>
    <row r="908" spans="1:33" s="5" customFormat="1" ht="12.75" customHeight="1" x14ac:dyDescent="0.25">
      <c r="A908" s="210"/>
      <c r="B908" s="187"/>
      <c r="C908" s="192"/>
      <c r="D908" s="192"/>
      <c r="E908" s="187" t="s">
        <v>22</v>
      </c>
      <c r="F908" s="187"/>
      <c r="G908" s="187"/>
      <c r="H908" s="187"/>
    </row>
    <row r="909" spans="1:33" s="5" customFormat="1" ht="9" customHeight="1" x14ac:dyDescent="0.25">
      <c r="A909" s="209"/>
      <c r="B909" s="179"/>
      <c r="C909" s="193"/>
      <c r="D909" s="193"/>
      <c r="E909" s="179"/>
      <c r="F909" s="179"/>
      <c r="G909" s="179"/>
      <c r="H909" s="179"/>
    </row>
    <row r="910" spans="1:33" s="5" customFormat="1" ht="17.25" customHeight="1" x14ac:dyDescent="0.25">
      <c r="A910" s="4"/>
      <c r="B910" s="7" t="s">
        <v>38</v>
      </c>
      <c r="C910" s="8" t="s">
        <v>1102</v>
      </c>
      <c r="D910" s="7">
        <v>2020</v>
      </c>
      <c r="E910" s="7" t="s">
        <v>22</v>
      </c>
      <c r="F910" s="7">
        <f>SUMIF($D$913:$D$1096,$D$910,$F$913:$F$1096)</f>
        <v>9359</v>
      </c>
      <c r="G910" s="10">
        <f>SUMIF($D$913:$D$1096,$D$910,$G$913:$G$1096)</f>
        <v>495</v>
      </c>
      <c r="H910" s="10">
        <f>SUMIF($D$913:$D$1096,$D$910,$H$913:$H$1096)</f>
        <v>12910.790580000001</v>
      </c>
    </row>
    <row r="911" spans="1:33" s="25" customFormat="1" ht="17.25" customHeight="1" x14ac:dyDescent="0.25">
      <c r="A911" s="4"/>
      <c r="B911" s="7" t="s">
        <v>38</v>
      </c>
      <c r="C911" s="8" t="s">
        <v>1102</v>
      </c>
      <c r="D911" s="7">
        <v>2021</v>
      </c>
      <c r="E911" s="7" t="s">
        <v>22</v>
      </c>
      <c r="F911" s="7">
        <f>SUMIF($D$913:$D$1096,$D$911,$F$913:$F$1096)</f>
        <v>10250</v>
      </c>
      <c r="G911" s="10">
        <f>SUMIF($D$913:$D$1096,$D$911,$G$913:$G$1096)</f>
        <v>4518.2</v>
      </c>
      <c r="H911" s="10">
        <f>SUMIF($D$913:$D$1096,$D$911,$H$913:$H$1096)</f>
        <v>19224.279999999988</v>
      </c>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row>
    <row r="912" spans="1:33" s="25" customFormat="1" ht="15.75" x14ac:dyDescent="0.25">
      <c r="A912" s="4"/>
      <c r="B912" s="7" t="s">
        <v>38</v>
      </c>
      <c r="C912" s="8" t="s">
        <v>3929</v>
      </c>
      <c r="D912" s="7">
        <v>2022</v>
      </c>
      <c r="E912" s="7" t="s">
        <v>22</v>
      </c>
      <c r="F912" s="7">
        <f>SUMIF($D$913:$D$1096,$D$912,$F$913:$F$1096)</f>
        <v>71460</v>
      </c>
      <c r="G912" s="10">
        <f>SUMIF($D$913:$D$1096,$D$912,$G$913:$G$1096)</f>
        <v>11953.980000000001</v>
      </c>
      <c r="H912" s="10">
        <f>SUMIF($D$913:$D$1096,$D$912,$H$913:$H$1096)</f>
        <v>133618.87857999999</v>
      </c>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row>
    <row r="913" spans="1:8" s="5" customFormat="1" ht="110.25" hidden="1" outlineLevel="1" x14ac:dyDescent="0.25">
      <c r="A913" s="4">
        <v>2926</v>
      </c>
      <c r="B913" s="6" t="s">
        <v>38</v>
      </c>
      <c r="C913" s="38" t="s">
        <v>3240</v>
      </c>
      <c r="D913" s="6">
        <v>2022</v>
      </c>
      <c r="E913" s="6" t="s">
        <v>22</v>
      </c>
      <c r="F913" s="6">
        <v>3</v>
      </c>
      <c r="G913" s="6">
        <v>15</v>
      </c>
      <c r="H913" s="6">
        <v>79</v>
      </c>
    </row>
    <row r="914" spans="1:8" s="5" customFormat="1" ht="110.25" hidden="1" outlineLevel="1" x14ac:dyDescent="0.25">
      <c r="A914" s="4">
        <v>2985</v>
      </c>
      <c r="B914" s="6" t="s">
        <v>38</v>
      </c>
      <c r="C914" s="38" t="s">
        <v>3930</v>
      </c>
      <c r="D914" s="6">
        <v>2022</v>
      </c>
      <c r="E914" s="6" t="s">
        <v>22</v>
      </c>
      <c r="F914" s="6">
        <v>21</v>
      </c>
      <c r="G914" s="6">
        <v>150</v>
      </c>
      <c r="H914" s="6">
        <f>0.154137*(1000)</f>
        <v>154.137</v>
      </c>
    </row>
    <row r="915" spans="1:8" s="5" customFormat="1" ht="94.5" hidden="1" outlineLevel="1" x14ac:dyDescent="0.25">
      <c r="A915" s="4">
        <v>2839</v>
      </c>
      <c r="B915" s="6" t="s">
        <v>38</v>
      </c>
      <c r="C915" s="38" t="s">
        <v>3931</v>
      </c>
      <c r="D915" s="6">
        <v>2022</v>
      </c>
      <c r="E915" s="6" t="s">
        <v>22</v>
      </c>
      <c r="F915" s="6">
        <v>655</v>
      </c>
      <c r="G915" s="6">
        <v>55</v>
      </c>
      <c r="H915" s="6">
        <f>1.768936*(1000)</f>
        <v>1768.9360000000001</v>
      </c>
    </row>
    <row r="916" spans="1:8" s="5" customFormat="1" ht="110.25" hidden="1" outlineLevel="1" x14ac:dyDescent="0.25">
      <c r="A916" s="4">
        <v>2927</v>
      </c>
      <c r="B916" s="6" t="s">
        <v>38</v>
      </c>
      <c r="C916" s="38" t="s">
        <v>3244</v>
      </c>
      <c r="D916" s="6">
        <v>2022</v>
      </c>
      <c r="E916" s="6" t="s">
        <v>22</v>
      </c>
      <c r="F916" s="6">
        <v>220</v>
      </c>
      <c r="G916" s="6">
        <v>10</v>
      </c>
      <c r="H916" s="6">
        <f>0.435561*(1000)</f>
        <v>435.56099999999998</v>
      </c>
    </row>
    <row r="917" spans="1:8" s="5" customFormat="1" ht="94.5" hidden="1" outlineLevel="1" x14ac:dyDescent="0.25">
      <c r="A917" s="4">
        <v>2710</v>
      </c>
      <c r="B917" s="6" t="s">
        <v>38</v>
      </c>
      <c r="C917" s="38" t="s">
        <v>3932</v>
      </c>
      <c r="D917" s="6">
        <v>2022</v>
      </c>
      <c r="E917" s="6" t="s">
        <v>22</v>
      </c>
      <c r="F917" s="6">
        <v>10</v>
      </c>
      <c r="G917" s="6">
        <v>208.3</v>
      </c>
      <c r="H917" s="6">
        <f>0.061875*(1000)</f>
        <v>61.875</v>
      </c>
    </row>
    <row r="918" spans="1:8" s="5" customFormat="1" ht="141.75" hidden="1" outlineLevel="1" x14ac:dyDescent="0.25">
      <c r="A918" s="4">
        <v>2713</v>
      </c>
      <c r="B918" s="6" t="s">
        <v>38</v>
      </c>
      <c r="C918" s="38" t="s">
        <v>3933</v>
      </c>
      <c r="D918" s="6">
        <v>2022</v>
      </c>
      <c r="E918" s="6" t="s">
        <v>22</v>
      </c>
      <c r="F918" s="6">
        <v>750</v>
      </c>
      <c r="G918" s="6">
        <v>177</v>
      </c>
      <c r="H918" s="6">
        <f>1.762611*(1000)</f>
        <v>1762.6109999999999</v>
      </c>
    </row>
    <row r="919" spans="1:8" s="5" customFormat="1" ht="94.5" hidden="1" outlineLevel="1" x14ac:dyDescent="0.25">
      <c r="A919" s="4">
        <v>2718</v>
      </c>
      <c r="B919" s="6" t="s">
        <v>38</v>
      </c>
      <c r="C919" s="38" t="s">
        <v>3245</v>
      </c>
      <c r="D919" s="6">
        <v>2022</v>
      </c>
      <c r="E919" s="6" t="s">
        <v>22</v>
      </c>
      <c r="F919" s="6">
        <v>14</v>
      </c>
      <c r="G919" s="6">
        <v>25</v>
      </c>
      <c r="H919" s="6">
        <f>0.07864*(1000)</f>
        <v>78.64</v>
      </c>
    </row>
    <row r="920" spans="1:8" s="5" customFormat="1" ht="94.5" hidden="1" outlineLevel="1" x14ac:dyDescent="0.25">
      <c r="A920" s="4">
        <v>2722</v>
      </c>
      <c r="B920" s="6" t="s">
        <v>38</v>
      </c>
      <c r="C920" s="38" t="s">
        <v>3934</v>
      </c>
      <c r="D920" s="6">
        <v>2022</v>
      </c>
      <c r="E920" s="6" t="s">
        <v>22</v>
      </c>
      <c r="F920" s="6">
        <v>40</v>
      </c>
      <c r="G920" s="6">
        <v>28</v>
      </c>
      <c r="H920" s="6">
        <f>0.188313*(1000)</f>
        <v>188.31300000000002</v>
      </c>
    </row>
    <row r="921" spans="1:8" s="5" customFormat="1" ht="94.5" hidden="1" outlineLevel="1" x14ac:dyDescent="0.25">
      <c r="A921" s="4">
        <v>2770</v>
      </c>
      <c r="B921" s="6" t="s">
        <v>38</v>
      </c>
      <c r="C921" s="38" t="s">
        <v>3251</v>
      </c>
      <c r="D921" s="6">
        <v>2022</v>
      </c>
      <c r="E921" s="6" t="s">
        <v>22</v>
      </c>
      <c r="F921" s="6">
        <v>5</v>
      </c>
      <c r="G921" s="6">
        <v>100</v>
      </c>
      <c r="H921" s="6">
        <f>0.087834*(1000)</f>
        <v>87.833999999999989</v>
      </c>
    </row>
    <row r="922" spans="1:8" s="5" customFormat="1" ht="94.5" hidden="1" outlineLevel="1" x14ac:dyDescent="0.25">
      <c r="A922" s="4">
        <v>2771</v>
      </c>
      <c r="B922" s="6" t="s">
        <v>38</v>
      </c>
      <c r="C922" s="38" t="s">
        <v>3252</v>
      </c>
      <c r="D922" s="6">
        <v>2022</v>
      </c>
      <c r="E922" s="6" t="s">
        <v>22</v>
      </c>
      <c r="F922" s="6">
        <v>4</v>
      </c>
      <c r="G922" s="6">
        <v>15</v>
      </c>
      <c r="H922" s="6">
        <f>0.057818*(1000)</f>
        <v>57.817999999999998</v>
      </c>
    </row>
    <row r="923" spans="1:8" s="5" customFormat="1" ht="94.5" hidden="1" outlineLevel="1" x14ac:dyDescent="0.25">
      <c r="A923" s="4">
        <v>2779</v>
      </c>
      <c r="B923" s="6" t="s">
        <v>38</v>
      </c>
      <c r="C923" s="38" t="s">
        <v>3256</v>
      </c>
      <c r="D923" s="6">
        <v>2022</v>
      </c>
      <c r="E923" s="6" t="s">
        <v>22</v>
      </c>
      <c r="F923" s="6">
        <v>407</v>
      </c>
      <c r="G923" s="6">
        <v>150</v>
      </c>
      <c r="H923" s="6">
        <f>0.589715*(1000)</f>
        <v>589.71500000000003</v>
      </c>
    </row>
    <row r="924" spans="1:8" s="5" customFormat="1" ht="94.5" hidden="1" outlineLevel="1" x14ac:dyDescent="0.25">
      <c r="A924" s="4">
        <v>2795</v>
      </c>
      <c r="B924" s="6" t="s">
        <v>38</v>
      </c>
      <c r="C924" s="38" t="s">
        <v>3260</v>
      </c>
      <c r="D924" s="6">
        <v>2022</v>
      </c>
      <c r="E924" s="6" t="s">
        <v>22</v>
      </c>
      <c r="F924" s="6">
        <v>5</v>
      </c>
      <c r="G924" s="6">
        <v>15</v>
      </c>
      <c r="H924" s="6">
        <f>0.0493*(1000)</f>
        <v>49.3</v>
      </c>
    </row>
    <row r="925" spans="1:8" s="5" customFormat="1" ht="94.5" hidden="1" outlineLevel="1" x14ac:dyDescent="0.25">
      <c r="A925" s="4">
        <v>2796</v>
      </c>
      <c r="B925" s="6" t="s">
        <v>38</v>
      </c>
      <c r="C925" s="38" t="s">
        <v>3261</v>
      </c>
      <c r="D925" s="6">
        <v>2022</v>
      </c>
      <c r="E925" s="6" t="s">
        <v>22</v>
      </c>
      <c r="F925" s="6">
        <v>15</v>
      </c>
      <c r="G925" s="6">
        <v>100</v>
      </c>
      <c r="H925" s="6">
        <f>0.049551*(1000)</f>
        <v>49.550999999999995</v>
      </c>
    </row>
    <row r="926" spans="1:8" s="5" customFormat="1" ht="110.25" hidden="1" outlineLevel="1" x14ac:dyDescent="0.25">
      <c r="A926" s="4">
        <v>2814</v>
      </c>
      <c r="B926" s="6" t="s">
        <v>38</v>
      </c>
      <c r="C926" s="38" t="s">
        <v>3266</v>
      </c>
      <c r="D926" s="6">
        <v>2022</v>
      </c>
      <c r="E926" s="6" t="s">
        <v>22</v>
      </c>
      <c r="F926" s="6">
        <v>95</v>
      </c>
      <c r="G926" s="6">
        <v>60</v>
      </c>
      <c r="H926" s="6">
        <f>0.210298*(1000)</f>
        <v>210.298</v>
      </c>
    </row>
    <row r="927" spans="1:8" s="5" customFormat="1" ht="94.5" hidden="1" outlineLevel="1" x14ac:dyDescent="0.25">
      <c r="A927" s="4">
        <v>2840</v>
      </c>
      <c r="B927" s="6" t="s">
        <v>38</v>
      </c>
      <c r="C927" s="38" t="s">
        <v>3935</v>
      </c>
      <c r="D927" s="6">
        <v>2022</v>
      </c>
      <c r="E927" s="6" t="s">
        <v>22</v>
      </c>
      <c r="F927" s="6">
        <v>3</v>
      </c>
      <c r="G927" s="6">
        <v>150</v>
      </c>
      <c r="H927" s="6">
        <f>0.068396*(1000)</f>
        <v>68.396000000000001</v>
      </c>
    </row>
    <row r="928" spans="1:8" s="5" customFormat="1" ht="110.25" hidden="1" outlineLevel="1" x14ac:dyDescent="0.25">
      <c r="A928" s="4">
        <v>2863</v>
      </c>
      <c r="B928" s="6" t="s">
        <v>38</v>
      </c>
      <c r="C928" s="38" t="s">
        <v>3270</v>
      </c>
      <c r="D928" s="6">
        <v>2022</v>
      </c>
      <c r="E928" s="6" t="s">
        <v>22</v>
      </c>
      <c r="F928" s="6">
        <v>35</v>
      </c>
      <c r="G928" s="6">
        <v>45</v>
      </c>
      <c r="H928" s="6">
        <f>0.105702*(1000)</f>
        <v>105.702</v>
      </c>
    </row>
    <row r="929" spans="1:8" s="5" customFormat="1" ht="110.25" hidden="1" outlineLevel="1" x14ac:dyDescent="0.25">
      <c r="A929" s="4">
        <v>2886</v>
      </c>
      <c r="B929" s="6" t="s">
        <v>38</v>
      </c>
      <c r="C929" s="38" t="s">
        <v>3936</v>
      </c>
      <c r="D929" s="6">
        <v>2022</v>
      </c>
      <c r="E929" s="6" t="s">
        <v>22</v>
      </c>
      <c r="F929" s="6">
        <v>6</v>
      </c>
      <c r="G929" s="6">
        <v>150</v>
      </c>
      <c r="H929" s="6">
        <f>0.047076*(1000)</f>
        <v>47.076000000000001</v>
      </c>
    </row>
    <row r="930" spans="1:8" s="5" customFormat="1" ht="94.5" hidden="1" outlineLevel="1" x14ac:dyDescent="0.25">
      <c r="A930" s="4">
        <v>2733</v>
      </c>
      <c r="B930" s="6" t="s">
        <v>38</v>
      </c>
      <c r="C930" s="38" t="s">
        <v>3937</v>
      </c>
      <c r="D930" s="6">
        <v>2022</v>
      </c>
      <c r="E930" s="6" t="s">
        <v>22</v>
      </c>
      <c r="F930" s="6">
        <v>14</v>
      </c>
      <c r="G930" s="6">
        <v>150</v>
      </c>
      <c r="H930" s="6">
        <f>0.120967*(1000)</f>
        <v>120.967</v>
      </c>
    </row>
    <row r="931" spans="1:8" s="5" customFormat="1" ht="94.5" hidden="1" outlineLevel="1" x14ac:dyDescent="0.25">
      <c r="A931" s="4">
        <v>2804</v>
      </c>
      <c r="B931" s="6" t="s">
        <v>38</v>
      </c>
      <c r="C931" s="38" t="s">
        <v>3938</v>
      </c>
      <c r="D931" s="6">
        <v>2022</v>
      </c>
      <c r="E931" s="6" t="s">
        <v>22</v>
      </c>
      <c r="F931" s="6">
        <v>78</v>
      </c>
      <c r="G931" s="6">
        <v>435</v>
      </c>
      <c r="H931" s="6">
        <f>0.345481*(1000)</f>
        <v>345.48099999999999</v>
      </c>
    </row>
    <row r="932" spans="1:8" s="5" customFormat="1" ht="110.25" hidden="1" outlineLevel="1" x14ac:dyDescent="0.25">
      <c r="A932" s="4">
        <v>2914</v>
      </c>
      <c r="B932" s="6" t="s">
        <v>38</v>
      </c>
      <c r="C932" s="38" t="s">
        <v>3284</v>
      </c>
      <c r="D932" s="6">
        <v>2022</v>
      </c>
      <c r="E932" s="6" t="s">
        <v>22</v>
      </c>
      <c r="F932" s="6">
        <v>309</v>
      </c>
      <c r="G932" s="6">
        <v>120</v>
      </c>
      <c r="H932" s="6">
        <f>0.706491*(1000)</f>
        <v>706.49099999999999</v>
      </c>
    </row>
    <row r="933" spans="1:8" s="5" customFormat="1" ht="94.5" hidden="1" outlineLevel="1" x14ac:dyDescent="0.25">
      <c r="A933" s="4">
        <v>2916</v>
      </c>
      <c r="B933" s="6" t="s">
        <v>38</v>
      </c>
      <c r="C933" s="38" t="s">
        <v>3285</v>
      </c>
      <c r="D933" s="6">
        <v>2022</v>
      </c>
      <c r="E933" s="6" t="s">
        <v>22</v>
      </c>
      <c r="F933" s="6">
        <v>27</v>
      </c>
      <c r="G933" s="6">
        <v>100</v>
      </c>
      <c r="H933" s="6">
        <f>0.073582*(1000)</f>
        <v>73.581999999999994</v>
      </c>
    </row>
    <row r="934" spans="1:8" s="5" customFormat="1" ht="94.5" hidden="1" outlineLevel="1" x14ac:dyDescent="0.25">
      <c r="A934" s="4">
        <v>2858</v>
      </c>
      <c r="B934" s="6" t="s">
        <v>38</v>
      </c>
      <c r="C934" s="38" t="s">
        <v>3286</v>
      </c>
      <c r="D934" s="6">
        <v>2022</v>
      </c>
      <c r="E934" s="6" t="s">
        <v>22</v>
      </c>
      <c r="F934" s="6">
        <v>2</v>
      </c>
      <c r="G934" s="6">
        <v>150</v>
      </c>
      <c r="H934" s="6">
        <f>0.025932*(1000)</f>
        <v>25.931999999999999</v>
      </c>
    </row>
    <row r="935" spans="1:8" s="5" customFormat="1" ht="94.5" hidden="1" outlineLevel="1" x14ac:dyDescent="0.25">
      <c r="A935" s="4">
        <v>2919</v>
      </c>
      <c r="B935" s="6" t="s">
        <v>38</v>
      </c>
      <c r="C935" s="38" t="s">
        <v>3939</v>
      </c>
      <c r="D935" s="6">
        <v>2022</v>
      </c>
      <c r="E935" s="6" t="s">
        <v>22</v>
      </c>
      <c r="F935" s="6">
        <v>23</v>
      </c>
      <c r="G935" s="6">
        <v>30</v>
      </c>
      <c r="H935" s="6">
        <f>0.19801*(1000)</f>
        <v>198.01</v>
      </c>
    </row>
    <row r="936" spans="1:8" s="5" customFormat="1" ht="94.5" hidden="1" outlineLevel="1" x14ac:dyDescent="0.25">
      <c r="A936" s="4">
        <v>2920</v>
      </c>
      <c r="B936" s="6" t="s">
        <v>38</v>
      </c>
      <c r="C936" s="38" t="s">
        <v>3940</v>
      </c>
      <c r="D936" s="6">
        <v>2022</v>
      </c>
      <c r="E936" s="6" t="s">
        <v>22</v>
      </c>
      <c r="F936" s="6">
        <v>456</v>
      </c>
      <c r="G936" s="6">
        <v>15</v>
      </c>
      <c r="H936" s="6">
        <f>0.963047*(1000)</f>
        <v>963.04700000000003</v>
      </c>
    </row>
    <row r="937" spans="1:8" s="5" customFormat="1" ht="110.25" hidden="1" outlineLevel="1" x14ac:dyDescent="0.25">
      <c r="A937" s="4">
        <v>2731</v>
      </c>
      <c r="B937" s="6" t="s">
        <v>38</v>
      </c>
      <c r="C937" s="38" t="s">
        <v>3941</v>
      </c>
      <c r="D937" s="6">
        <v>2022</v>
      </c>
      <c r="E937" s="6" t="s">
        <v>22</v>
      </c>
      <c r="F937" s="6">
        <v>844</v>
      </c>
      <c r="G937" s="6">
        <v>215</v>
      </c>
      <c r="H937" s="6">
        <f>1.4839521*(1000)</f>
        <v>1483.9521</v>
      </c>
    </row>
    <row r="938" spans="1:8" s="5" customFormat="1" ht="110.25" hidden="1" outlineLevel="1" x14ac:dyDescent="0.25">
      <c r="A938" s="4">
        <v>4112</v>
      </c>
      <c r="B938" s="6" t="s">
        <v>38</v>
      </c>
      <c r="C938" s="38" t="s">
        <v>3291</v>
      </c>
      <c r="D938" s="6">
        <v>2022</v>
      </c>
      <c r="E938" s="6" t="s">
        <v>22</v>
      </c>
      <c r="F938" s="6">
        <v>3</v>
      </c>
      <c r="G938" s="6">
        <v>45</v>
      </c>
      <c r="H938" s="6">
        <f>0.117584*(1000)</f>
        <v>117.58399999999999</v>
      </c>
    </row>
    <row r="939" spans="1:8" s="5" customFormat="1" ht="141.75" hidden="1" outlineLevel="1" x14ac:dyDescent="0.25">
      <c r="A939" s="4">
        <v>4113</v>
      </c>
      <c r="B939" s="6" t="s">
        <v>38</v>
      </c>
      <c r="C939" s="38" t="s">
        <v>3942</v>
      </c>
      <c r="D939" s="6">
        <v>2022</v>
      </c>
      <c r="E939" s="6" t="s">
        <v>22</v>
      </c>
      <c r="F939" s="6">
        <v>1213</v>
      </c>
      <c r="G939" s="6">
        <v>138</v>
      </c>
      <c r="H939" s="6">
        <f>3.142281*(1000)</f>
        <v>3142.2809999999999</v>
      </c>
    </row>
    <row r="940" spans="1:8" s="5" customFormat="1" ht="94.5" hidden="1" outlineLevel="1" x14ac:dyDescent="0.25">
      <c r="A940" s="4">
        <v>4114</v>
      </c>
      <c r="B940" s="6" t="s">
        <v>38</v>
      </c>
      <c r="C940" s="38" t="s">
        <v>3292</v>
      </c>
      <c r="D940" s="6">
        <v>2022</v>
      </c>
      <c r="E940" s="6" t="s">
        <v>22</v>
      </c>
      <c r="F940" s="6">
        <v>2036</v>
      </c>
      <c r="G940" s="6">
        <v>15</v>
      </c>
      <c r="H940" s="6">
        <f>3.77360388*(1000)</f>
        <v>3773.6038800000001</v>
      </c>
    </row>
    <row r="941" spans="1:8" s="5" customFormat="1" ht="110.25" hidden="1" outlineLevel="1" x14ac:dyDescent="0.25">
      <c r="A941" s="4">
        <v>2717</v>
      </c>
      <c r="B941" s="6" t="s">
        <v>38</v>
      </c>
      <c r="C941" s="38" t="s">
        <v>3293</v>
      </c>
      <c r="D941" s="6">
        <v>2022</v>
      </c>
      <c r="E941" s="6" t="s">
        <v>22</v>
      </c>
      <c r="F941" s="6">
        <v>42</v>
      </c>
      <c r="G941" s="6">
        <v>15</v>
      </c>
      <c r="H941" s="6">
        <f>0.10614813*(1000)</f>
        <v>106.14812999999999</v>
      </c>
    </row>
    <row r="942" spans="1:8" s="5" customFormat="1" ht="94.5" hidden="1" outlineLevel="1" x14ac:dyDescent="0.25">
      <c r="A942" s="4">
        <v>2780</v>
      </c>
      <c r="B942" s="6" t="s">
        <v>38</v>
      </c>
      <c r="C942" s="38" t="s">
        <v>3294</v>
      </c>
      <c r="D942" s="6">
        <v>2022</v>
      </c>
      <c r="E942" s="6" t="s">
        <v>22</v>
      </c>
      <c r="F942" s="6">
        <v>5</v>
      </c>
      <c r="G942" s="6">
        <v>15</v>
      </c>
      <c r="H942" s="6">
        <f>0.08731996*(1000)</f>
        <v>87.319960000000009</v>
      </c>
    </row>
    <row r="943" spans="1:8" s="5" customFormat="1" ht="78.75" hidden="1" outlineLevel="1" x14ac:dyDescent="0.25">
      <c r="A943" s="4">
        <v>2803</v>
      </c>
      <c r="B943" s="6" t="s">
        <v>38</v>
      </c>
      <c r="C943" s="38" t="s">
        <v>3943</v>
      </c>
      <c r="D943" s="6">
        <v>2022</v>
      </c>
      <c r="E943" s="6" t="s">
        <v>22</v>
      </c>
      <c r="F943" s="6">
        <v>15</v>
      </c>
      <c r="G943" s="6">
        <v>130</v>
      </c>
      <c r="H943" s="6">
        <f>0.10555266*(1000)</f>
        <v>105.55266</v>
      </c>
    </row>
    <row r="944" spans="1:8" s="5" customFormat="1" ht="94.5" hidden="1" outlineLevel="1" x14ac:dyDescent="0.25">
      <c r="A944" s="4">
        <v>2859</v>
      </c>
      <c r="B944" s="6" t="s">
        <v>38</v>
      </c>
      <c r="C944" s="38" t="s">
        <v>3297</v>
      </c>
      <c r="D944" s="6">
        <v>2022</v>
      </c>
      <c r="E944" s="6" t="s">
        <v>22</v>
      </c>
      <c r="F944" s="6">
        <v>12</v>
      </c>
      <c r="G944" s="6">
        <v>100</v>
      </c>
      <c r="H944" s="6">
        <f>0.06139903*(1000)</f>
        <v>61.399030000000003</v>
      </c>
    </row>
    <row r="945" spans="1:8" s="5" customFormat="1" ht="94.5" hidden="1" outlineLevel="1" x14ac:dyDescent="0.25">
      <c r="A945" s="4">
        <v>2862</v>
      </c>
      <c r="B945" s="6" t="s">
        <v>38</v>
      </c>
      <c r="C945" s="38" t="s">
        <v>3299</v>
      </c>
      <c r="D945" s="6">
        <v>2022</v>
      </c>
      <c r="E945" s="6" t="s">
        <v>22</v>
      </c>
      <c r="F945" s="6">
        <v>23</v>
      </c>
      <c r="G945" s="6">
        <v>50</v>
      </c>
      <c r="H945" s="6">
        <f>0.07180048*(1000)</f>
        <v>71.800479999999993</v>
      </c>
    </row>
    <row r="946" spans="1:8" s="5" customFormat="1" ht="94.5" hidden="1" outlineLevel="1" x14ac:dyDescent="0.25">
      <c r="A946" s="4">
        <v>2867</v>
      </c>
      <c r="B946" s="6" t="s">
        <v>38</v>
      </c>
      <c r="C946" s="38" t="s">
        <v>3300</v>
      </c>
      <c r="D946" s="6">
        <v>2022</v>
      </c>
      <c r="E946" s="6" t="s">
        <v>22</v>
      </c>
      <c r="F946" s="6">
        <v>31</v>
      </c>
      <c r="G946" s="6">
        <v>100</v>
      </c>
      <c r="H946" s="6">
        <f>0.11927671*(1000)</f>
        <v>119.27670999999999</v>
      </c>
    </row>
    <row r="947" spans="1:8" s="5" customFormat="1" ht="110.25" hidden="1" outlineLevel="1" x14ac:dyDescent="0.25">
      <c r="A947" s="4">
        <v>2915</v>
      </c>
      <c r="B947" s="6" t="s">
        <v>38</v>
      </c>
      <c r="C947" s="38" t="s">
        <v>3302</v>
      </c>
      <c r="D947" s="6">
        <v>2022</v>
      </c>
      <c r="E947" s="6" t="s">
        <v>22</v>
      </c>
      <c r="F947" s="6">
        <v>4</v>
      </c>
      <c r="G947" s="6">
        <v>80</v>
      </c>
      <c r="H947" s="6">
        <f>0.06795173*(1000)</f>
        <v>67.951729999999998</v>
      </c>
    </row>
    <row r="948" spans="1:8" s="5" customFormat="1" ht="126" hidden="1" outlineLevel="1" x14ac:dyDescent="0.25">
      <c r="A948" s="4">
        <v>4124</v>
      </c>
      <c r="B948" s="6" t="s">
        <v>38</v>
      </c>
      <c r="C948" s="38" t="s">
        <v>3309</v>
      </c>
      <c r="D948" s="6">
        <v>2022</v>
      </c>
      <c r="E948" s="6" t="s">
        <v>22</v>
      </c>
      <c r="F948" s="6">
        <v>1710</v>
      </c>
      <c r="G948" s="6">
        <v>108.67</v>
      </c>
      <c r="H948" s="6">
        <f>2.37412129*(1000)</f>
        <v>2374.12129</v>
      </c>
    </row>
    <row r="949" spans="1:8" s="5" customFormat="1" ht="94.5" hidden="1" outlineLevel="1" x14ac:dyDescent="0.25">
      <c r="A949" s="4">
        <v>4126</v>
      </c>
      <c r="B949" s="6" t="s">
        <v>38</v>
      </c>
      <c r="C949" s="38" t="s">
        <v>3310</v>
      </c>
      <c r="D949" s="6">
        <v>2022</v>
      </c>
      <c r="E949" s="6" t="s">
        <v>22</v>
      </c>
      <c r="F949" s="6">
        <v>180</v>
      </c>
      <c r="G949" s="6">
        <v>80</v>
      </c>
      <c r="H949" s="6">
        <f>0.545065*(1000)</f>
        <v>545.06500000000005</v>
      </c>
    </row>
    <row r="950" spans="1:8" s="5" customFormat="1" ht="78.75" hidden="1" outlineLevel="1" x14ac:dyDescent="0.25">
      <c r="A950" s="4">
        <v>2728</v>
      </c>
      <c r="B950" s="6" t="s">
        <v>38</v>
      </c>
      <c r="C950" s="38" t="s">
        <v>3944</v>
      </c>
      <c r="D950" s="6">
        <v>2022</v>
      </c>
      <c r="E950" s="6" t="s">
        <v>22</v>
      </c>
      <c r="F950" s="6">
        <v>426</v>
      </c>
      <c r="G950" s="6">
        <v>80</v>
      </c>
      <c r="H950" s="6">
        <f>0.12919619*(1000)</f>
        <v>129.19619</v>
      </c>
    </row>
    <row r="951" spans="1:8" s="5" customFormat="1" ht="94.5" hidden="1" outlineLevel="1" x14ac:dyDescent="0.25">
      <c r="A951" s="4">
        <v>4223</v>
      </c>
      <c r="B951" s="6" t="s">
        <v>38</v>
      </c>
      <c r="C951" s="38" t="s">
        <v>3350</v>
      </c>
      <c r="D951" s="6">
        <v>2022</v>
      </c>
      <c r="E951" s="6" t="s">
        <v>22</v>
      </c>
      <c r="F951" s="6">
        <v>4</v>
      </c>
      <c r="G951" s="6">
        <v>90</v>
      </c>
      <c r="H951" s="6">
        <f>0.15548567*(1000)</f>
        <v>155.48567</v>
      </c>
    </row>
    <row r="952" spans="1:8" s="5" customFormat="1" ht="78.75" hidden="1" outlineLevel="1" x14ac:dyDescent="0.25">
      <c r="A952" s="4">
        <v>4228</v>
      </c>
      <c r="B952" s="6" t="s">
        <v>38</v>
      </c>
      <c r="C952" s="38" t="s">
        <v>3945</v>
      </c>
      <c r="D952" s="6">
        <v>2022</v>
      </c>
      <c r="E952" s="6" t="s">
        <v>22</v>
      </c>
      <c r="F952" s="6">
        <v>43</v>
      </c>
      <c r="G952" s="6">
        <v>175</v>
      </c>
      <c r="H952" s="6">
        <f>0.64643469*(1000)</f>
        <v>646.43468999999993</v>
      </c>
    </row>
    <row r="953" spans="1:8" s="5" customFormat="1" ht="110.25" hidden="1" outlineLevel="1" x14ac:dyDescent="0.25">
      <c r="A953" s="4">
        <v>2712</v>
      </c>
      <c r="B953" s="6" t="s">
        <v>38</v>
      </c>
      <c r="C953" s="38" t="s">
        <v>3946</v>
      </c>
      <c r="D953" s="6">
        <v>2022</v>
      </c>
      <c r="E953" s="6" t="s">
        <v>22</v>
      </c>
      <c r="F953" s="6">
        <v>3</v>
      </c>
      <c r="G953" s="6">
        <v>300</v>
      </c>
      <c r="H953" s="6">
        <f>0.087634*(1000)</f>
        <v>87.634</v>
      </c>
    </row>
    <row r="954" spans="1:8" s="5" customFormat="1" ht="94.5" hidden="1" outlineLevel="1" x14ac:dyDescent="0.25">
      <c r="A954" s="4">
        <v>2887</v>
      </c>
      <c r="B954" s="6" t="s">
        <v>38</v>
      </c>
      <c r="C954" s="38" t="s">
        <v>3357</v>
      </c>
      <c r="D954" s="6">
        <v>2022</v>
      </c>
      <c r="E954" s="6" t="s">
        <v>22</v>
      </c>
      <c r="F954" s="6">
        <v>5</v>
      </c>
      <c r="G954" s="6">
        <v>100</v>
      </c>
      <c r="H954" s="6">
        <f>0.06175*(1000)</f>
        <v>61.75</v>
      </c>
    </row>
    <row r="955" spans="1:8" s="5" customFormat="1" ht="110.25" hidden="1" outlineLevel="1" x14ac:dyDescent="0.25">
      <c r="A955" s="4">
        <v>3003</v>
      </c>
      <c r="B955" s="6" t="s">
        <v>38</v>
      </c>
      <c r="C955" s="38" t="s">
        <v>3947</v>
      </c>
      <c r="D955" s="6">
        <v>2022</v>
      </c>
      <c r="E955" s="6" t="s">
        <v>22</v>
      </c>
      <c r="F955" s="6">
        <v>405</v>
      </c>
      <c r="G955" s="6">
        <v>185</v>
      </c>
      <c r="H955" s="6">
        <f>1.251919*(1000)</f>
        <v>1251.9190000000001</v>
      </c>
    </row>
    <row r="956" spans="1:8" s="5" customFormat="1" ht="78.75" hidden="1" outlineLevel="1" x14ac:dyDescent="0.25">
      <c r="A956" s="4">
        <v>2711</v>
      </c>
      <c r="B956" s="6" t="s">
        <v>38</v>
      </c>
      <c r="C956" s="38" t="s">
        <v>3948</v>
      </c>
      <c r="D956" s="6">
        <v>2022</v>
      </c>
      <c r="E956" s="6" t="s">
        <v>22</v>
      </c>
      <c r="F956" s="6">
        <v>2243</v>
      </c>
      <c r="G956" s="6">
        <v>194.71</v>
      </c>
      <c r="H956" s="6">
        <f>8.01486997*(1000)</f>
        <v>8014.8699699999997</v>
      </c>
    </row>
    <row r="957" spans="1:8" s="5" customFormat="1" ht="110.25" hidden="1" outlineLevel="1" x14ac:dyDescent="0.25">
      <c r="A957" s="4">
        <v>1433</v>
      </c>
      <c r="B957" s="6" t="s">
        <v>38</v>
      </c>
      <c r="C957" s="38" t="s">
        <v>3949</v>
      </c>
      <c r="D957" s="6">
        <v>2022</v>
      </c>
      <c r="E957" s="6" t="s">
        <v>22</v>
      </c>
      <c r="F957" s="6">
        <v>8</v>
      </c>
      <c r="G957" s="6">
        <v>180</v>
      </c>
      <c r="H957" s="6">
        <v>116.52524</v>
      </c>
    </row>
    <row r="958" spans="1:8" s="5" customFormat="1" ht="173.25" hidden="1" outlineLevel="1" x14ac:dyDescent="0.25">
      <c r="A958" s="4">
        <v>1079</v>
      </c>
      <c r="B958" s="6" t="s">
        <v>38</v>
      </c>
      <c r="C958" s="38" t="s">
        <v>3364</v>
      </c>
      <c r="D958" s="6">
        <v>2022</v>
      </c>
      <c r="E958" s="6" t="s">
        <v>22</v>
      </c>
      <c r="F958" s="6">
        <v>17</v>
      </c>
      <c r="G958" s="6">
        <v>35</v>
      </c>
      <c r="H958" s="6">
        <v>158.17561000000001</v>
      </c>
    </row>
    <row r="959" spans="1:8" s="5" customFormat="1" ht="141.75" hidden="1" outlineLevel="1" x14ac:dyDescent="0.25">
      <c r="A959" s="4">
        <v>1487</v>
      </c>
      <c r="B959" s="6" t="s">
        <v>38</v>
      </c>
      <c r="C959" s="38" t="s">
        <v>3950</v>
      </c>
      <c r="D959" s="6">
        <v>2022</v>
      </c>
      <c r="E959" s="6" t="s">
        <v>22</v>
      </c>
      <c r="F959" s="6">
        <v>2291</v>
      </c>
      <c r="G959" s="6">
        <v>150</v>
      </c>
      <c r="H959" s="6">
        <v>3524.8365800000001</v>
      </c>
    </row>
    <row r="960" spans="1:8" s="5" customFormat="1" ht="173.25" hidden="1" outlineLevel="1" x14ac:dyDescent="0.25">
      <c r="A960" s="4">
        <v>1547</v>
      </c>
      <c r="B960" s="6" t="s">
        <v>38</v>
      </c>
      <c r="C960" s="38" t="s">
        <v>3367</v>
      </c>
      <c r="D960" s="6">
        <v>2022</v>
      </c>
      <c r="E960" s="6" t="s">
        <v>22</v>
      </c>
      <c r="F960" s="6">
        <v>224</v>
      </c>
      <c r="G960" s="6">
        <v>52</v>
      </c>
      <c r="H960" s="6">
        <v>469.59073000000001</v>
      </c>
    </row>
    <row r="961" spans="1:8" s="5" customFormat="1" ht="126" hidden="1" outlineLevel="1" x14ac:dyDescent="0.25">
      <c r="A961" s="4">
        <v>1206</v>
      </c>
      <c r="B961" s="6" t="s">
        <v>38</v>
      </c>
      <c r="C961" s="38" t="s">
        <v>3951</v>
      </c>
      <c r="D961" s="6">
        <v>2022</v>
      </c>
      <c r="E961" s="6" t="s">
        <v>22</v>
      </c>
      <c r="F961" s="6">
        <v>93</v>
      </c>
      <c r="G961" s="6">
        <v>150</v>
      </c>
      <c r="H961" s="6">
        <v>246.15306000000001</v>
      </c>
    </row>
    <row r="962" spans="1:8" s="5" customFormat="1" ht="141.75" hidden="1" outlineLevel="1" x14ac:dyDescent="0.25">
      <c r="A962" s="4">
        <v>1162</v>
      </c>
      <c r="B962" s="6" t="s">
        <v>38</v>
      </c>
      <c r="C962" s="38" t="s">
        <v>3389</v>
      </c>
      <c r="D962" s="6">
        <v>2022</v>
      </c>
      <c r="E962" s="6" t="s">
        <v>22</v>
      </c>
      <c r="F962" s="6">
        <v>10</v>
      </c>
      <c r="G962" s="6">
        <v>15</v>
      </c>
      <c r="H962" s="6">
        <v>102.87581</v>
      </c>
    </row>
    <row r="963" spans="1:8" s="5" customFormat="1" ht="126" hidden="1" outlineLevel="1" x14ac:dyDescent="0.25">
      <c r="A963" s="4">
        <v>1545</v>
      </c>
      <c r="B963" s="6" t="s">
        <v>38</v>
      </c>
      <c r="C963" s="38" t="s">
        <v>3435</v>
      </c>
      <c r="D963" s="6">
        <v>2022</v>
      </c>
      <c r="E963" s="6" t="s">
        <v>22</v>
      </c>
      <c r="F963" s="6">
        <v>89</v>
      </c>
      <c r="G963" s="6">
        <v>13</v>
      </c>
      <c r="H963" s="6">
        <v>281.72449999999998</v>
      </c>
    </row>
    <row r="964" spans="1:8" s="5" customFormat="1" ht="141.75" hidden="1" outlineLevel="1" x14ac:dyDescent="0.25">
      <c r="A964" s="4">
        <v>1174</v>
      </c>
      <c r="B964" s="6" t="s">
        <v>38</v>
      </c>
      <c r="C964" s="38" t="s">
        <v>3457</v>
      </c>
      <c r="D964" s="6">
        <v>2022</v>
      </c>
      <c r="E964" s="6" t="s">
        <v>22</v>
      </c>
      <c r="F964" s="6">
        <v>180</v>
      </c>
      <c r="G964" s="6">
        <v>15</v>
      </c>
      <c r="H964" s="6">
        <v>298.32862</v>
      </c>
    </row>
    <row r="965" spans="1:8" s="5" customFormat="1" ht="94.5" hidden="1" outlineLevel="1" x14ac:dyDescent="0.25">
      <c r="A965" s="4">
        <v>1037</v>
      </c>
      <c r="B965" s="6" t="s">
        <v>38</v>
      </c>
      <c r="C965" s="38" t="s">
        <v>3467</v>
      </c>
      <c r="D965" s="6">
        <v>2022</v>
      </c>
      <c r="E965" s="6" t="s">
        <v>22</v>
      </c>
      <c r="F965" s="6">
        <v>7</v>
      </c>
      <c r="G965" s="6">
        <v>130</v>
      </c>
      <c r="H965" s="6">
        <v>163.56548000000001</v>
      </c>
    </row>
    <row r="966" spans="1:8" s="5" customFormat="1" ht="141.75" hidden="1" outlineLevel="1" x14ac:dyDescent="0.25">
      <c r="A966" s="4">
        <v>1199</v>
      </c>
      <c r="B966" s="6" t="s">
        <v>38</v>
      </c>
      <c r="C966" s="38" t="s">
        <v>3477</v>
      </c>
      <c r="D966" s="6">
        <v>2022</v>
      </c>
      <c r="E966" s="6" t="s">
        <v>22</v>
      </c>
      <c r="F966" s="6">
        <v>35</v>
      </c>
      <c r="G966" s="6">
        <v>15</v>
      </c>
      <c r="H966" s="6">
        <v>142.46872999999999</v>
      </c>
    </row>
    <row r="967" spans="1:8" s="5" customFormat="1" ht="94.5" hidden="1" outlineLevel="1" x14ac:dyDescent="0.25">
      <c r="A967" s="4">
        <v>448</v>
      </c>
      <c r="B967" s="6" t="s">
        <v>38</v>
      </c>
      <c r="C967" s="38" t="s">
        <v>3501</v>
      </c>
      <c r="D967" s="6">
        <v>2022</v>
      </c>
      <c r="E967" s="6" t="s">
        <v>22</v>
      </c>
      <c r="F967" s="6">
        <v>500</v>
      </c>
      <c r="G967" s="6">
        <v>150</v>
      </c>
      <c r="H967" s="6">
        <v>455.29192</v>
      </c>
    </row>
    <row r="968" spans="1:8" s="5" customFormat="1" ht="78.75" hidden="1" outlineLevel="1" x14ac:dyDescent="0.25">
      <c r="A968" s="4">
        <v>528</v>
      </c>
      <c r="B968" s="6" t="s">
        <v>38</v>
      </c>
      <c r="C968" s="38" t="s">
        <v>3504</v>
      </c>
      <c r="D968" s="6">
        <v>2022</v>
      </c>
      <c r="E968" s="6" t="s">
        <v>22</v>
      </c>
      <c r="F968" s="6">
        <v>469</v>
      </c>
      <c r="G968" s="6">
        <v>25</v>
      </c>
      <c r="H968" s="6">
        <v>1147.32951</v>
      </c>
    </row>
    <row r="969" spans="1:8" s="5" customFormat="1" ht="78.75" hidden="1" outlineLevel="1" x14ac:dyDescent="0.25">
      <c r="A969" s="4">
        <v>538</v>
      </c>
      <c r="B969" s="6" t="s">
        <v>38</v>
      </c>
      <c r="C969" s="38" t="s">
        <v>3952</v>
      </c>
      <c r="D969" s="6">
        <v>2022</v>
      </c>
      <c r="E969" s="6" t="s">
        <v>22</v>
      </c>
      <c r="F969" s="6">
        <v>232</v>
      </c>
      <c r="G969" s="6">
        <v>15</v>
      </c>
      <c r="H969" s="6">
        <v>363.16356000000002</v>
      </c>
    </row>
    <row r="970" spans="1:8" s="5" customFormat="1" ht="78.75" hidden="1" outlineLevel="1" x14ac:dyDescent="0.25">
      <c r="A970" s="4">
        <v>449</v>
      </c>
      <c r="B970" s="6" t="s">
        <v>38</v>
      </c>
      <c r="C970" s="38" t="s">
        <v>3953</v>
      </c>
      <c r="D970" s="6">
        <v>2022</v>
      </c>
      <c r="E970" s="6" t="s">
        <v>22</v>
      </c>
      <c r="F970" s="6">
        <v>5</v>
      </c>
      <c r="G970" s="6">
        <v>149</v>
      </c>
      <c r="H970" s="6">
        <v>61.800530000000002</v>
      </c>
    </row>
    <row r="971" spans="1:8" s="5" customFormat="1" ht="94.5" hidden="1" outlineLevel="1" x14ac:dyDescent="0.25">
      <c r="A971" s="4">
        <v>451</v>
      </c>
      <c r="B971" s="6" t="s">
        <v>38</v>
      </c>
      <c r="C971" s="38" t="s">
        <v>3954</v>
      </c>
      <c r="D971" s="6">
        <v>2022</v>
      </c>
      <c r="E971" s="6" t="s">
        <v>22</v>
      </c>
      <c r="F971" s="6">
        <v>1213</v>
      </c>
      <c r="G971" s="6">
        <v>150</v>
      </c>
      <c r="H971" s="6">
        <v>1976.8956700000001</v>
      </c>
    </row>
    <row r="972" spans="1:8" s="5" customFormat="1" ht="63" hidden="1" outlineLevel="1" x14ac:dyDescent="0.25">
      <c r="A972" s="4">
        <v>492</v>
      </c>
      <c r="B972" s="6" t="s">
        <v>38</v>
      </c>
      <c r="C972" s="38" t="s">
        <v>3955</v>
      </c>
      <c r="D972" s="6">
        <v>2022</v>
      </c>
      <c r="E972" s="6" t="s">
        <v>22</v>
      </c>
      <c r="F972" s="6">
        <v>50</v>
      </c>
      <c r="G972" s="6">
        <v>15</v>
      </c>
      <c r="H972" s="6">
        <v>60.856670000000001</v>
      </c>
    </row>
    <row r="973" spans="1:8" s="5" customFormat="1" ht="94.5" hidden="1" outlineLevel="1" x14ac:dyDescent="0.25">
      <c r="A973" s="4">
        <v>453</v>
      </c>
      <c r="B973" s="6" t="s">
        <v>38</v>
      </c>
      <c r="C973" s="38" t="s">
        <v>3956</v>
      </c>
      <c r="D973" s="6">
        <v>2022</v>
      </c>
      <c r="E973" s="6" t="s">
        <v>22</v>
      </c>
      <c r="F973" s="6">
        <v>70</v>
      </c>
      <c r="G973" s="6">
        <v>15</v>
      </c>
      <c r="H973" s="6">
        <v>246.81887</v>
      </c>
    </row>
    <row r="974" spans="1:8" s="5" customFormat="1" ht="94.5" hidden="1" outlineLevel="1" x14ac:dyDescent="0.25">
      <c r="A974" s="4">
        <v>458</v>
      </c>
      <c r="B974" s="6" t="s">
        <v>38</v>
      </c>
      <c r="C974" s="38" t="s">
        <v>3552</v>
      </c>
      <c r="D974" s="6">
        <v>2022</v>
      </c>
      <c r="E974" s="6" t="s">
        <v>22</v>
      </c>
      <c r="F974" s="6">
        <v>555</v>
      </c>
      <c r="G974" s="6">
        <v>10</v>
      </c>
      <c r="H974" s="6">
        <v>1042.5386599999999</v>
      </c>
    </row>
    <row r="975" spans="1:8" s="5" customFormat="1" ht="78.75" hidden="1" outlineLevel="1" x14ac:dyDescent="0.25">
      <c r="A975" s="4">
        <v>459</v>
      </c>
      <c r="B975" s="6" t="s">
        <v>38</v>
      </c>
      <c r="C975" s="38" t="s">
        <v>3553</v>
      </c>
      <c r="D975" s="6">
        <v>2022</v>
      </c>
      <c r="E975" s="6" t="s">
        <v>22</v>
      </c>
      <c r="F975" s="6">
        <v>33</v>
      </c>
      <c r="G975" s="6">
        <v>150</v>
      </c>
      <c r="H975" s="6">
        <v>306.90688</v>
      </c>
    </row>
    <row r="976" spans="1:8" s="5" customFormat="1" ht="110.25" hidden="1" outlineLevel="1" x14ac:dyDescent="0.25">
      <c r="A976" s="4">
        <v>461</v>
      </c>
      <c r="B976" s="6" t="s">
        <v>38</v>
      </c>
      <c r="C976" s="38" t="s">
        <v>3957</v>
      </c>
      <c r="D976" s="6">
        <v>2022</v>
      </c>
      <c r="E976" s="6" t="s">
        <v>22</v>
      </c>
      <c r="F976" s="6">
        <v>222</v>
      </c>
      <c r="G976" s="6">
        <v>87</v>
      </c>
      <c r="H976" s="6">
        <v>744.47676999999999</v>
      </c>
    </row>
    <row r="977" spans="1:8" s="5" customFormat="1" ht="94.5" hidden="1" outlineLevel="1" x14ac:dyDescent="0.25">
      <c r="A977" s="4">
        <v>465</v>
      </c>
      <c r="B977" s="6" t="s">
        <v>38</v>
      </c>
      <c r="C977" s="38" t="s">
        <v>3568</v>
      </c>
      <c r="D977" s="6">
        <v>2022</v>
      </c>
      <c r="E977" s="6" t="s">
        <v>22</v>
      </c>
      <c r="F977" s="6">
        <v>320</v>
      </c>
      <c r="G977" s="6">
        <v>15</v>
      </c>
      <c r="H977" s="6">
        <v>909.81694000000005</v>
      </c>
    </row>
    <row r="978" spans="1:8" s="5" customFormat="1" ht="78.75" hidden="1" outlineLevel="1" x14ac:dyDescent="0.25">
      <c r="A978" s="4">
        <v>467</v>
      </c>
      <c r="B978" s="6" t="s">
        <v>38</v>
      </c>
      <c r="C978" s="38" t="s">
        <v>3569</v>
      </c>
      <c r="D978" s="6">
        <v>2022</v>
      </c>
      <c r="E978" s="6" t="s">
        <v>22</v>
      </c>
      <c r="F978" s="6">
        <v>2822</v>
      </c>
      <c r="G978" s="6">
        <v>15</v>
      </c>
      <c r="H978" s="6">
        <v>6290.5868300000002</v>
      </c>
    </row>
    <row r="979" spans="1:8" s="5" customFormat="1" ht="94.5" hidden="1" outlineLevel="1" x14ac:dyDescent="0.25">
      <c r="A979" s="4">
        <v>474</v>
      </c>
      <c r="B979" s="6" t="s">
        <v>38</v>
      </c>
      <c r="C979" s="38" t="s">
        <v>3958</v>
      </c>
      <c r="D979" s="6">
        <v>2022</v>
      </c>
      <c r="E979" s="6" t="s">
        <v>22</v>
      </c>
      <c r="F979" s="6">
        <v>1106</v>
      </c>
      <c r="G979" s="6">
        <v>15</v>
      </c>
      <c r="H979" s="6">
        <v>1875.69381</v>
      </c>
    </row>
    <row r="980" spans="1:8" s="5" customFormat="1" ht="110.25" hidden="1" outlineLevel="1" x14ac:dyDescent="0.25">
      <c r="A980" s="4">
        <v>475</v>
      </c>
      <c r="B980" s="6" t="s">
        <v>38</v>
      </c>
      <c r="C980" s="38" t="s">
        <v>3959</v>
      </c>
      <c r="D980" s="6">
        <v>2022</v>
      </c>
      <c r="E980" s="6" t="s">
        <v>22</v>
      </c>
      <c r="F980" s="6">
        <v>1779</v>
      </c>
      <c r="G980" s="6">
        <v>150</v>
      </c>
      <c r="H980" s="6">
        <v>1809.44011</v>
      </c>
    </row>
    <row r="981" spans="1:8" s="5" customFormat="1" ht="110.25" hidden="1" outlineLevel="1" x14ac:dyDescent="0.25">
      <c r="A981" s="4">
        <v>4792</v>
      </c>
      <c r="B981" s="6" t="s">
        <v>38</v>
      </c>
      <c r="C981" s="38" t="s">
        <v>3960</v>
      </c>
      <c r="D981" s="6">
        <v>2022</v>
      </c>
      <c r="E981" s="6" t="s">
        <v>22</v>
      </c>
      <c r="F981" s="6">
        <v>8</v>
      </c>
      <c r="G981" s="6" t="s">
        <v>3961</v>
      </c>
      <c r="H981" s="6">
        <v>144</v>
      </c>
    </row>
    <row r="982" spans="1:8" s="5" customFormat="1" ht="94.5" hidden="1" outlineLevel="1" x14ac:dyDescent="0.25">
      <c r="A982" s="4">
        <v>4791</v>
      </c>
      <c r="B982" s="6" t="s">
        <v>38</v>
      </c>
      <c r="C982" s="38" t="s">
        <v>3962</v>
      </c>
      <c r="D982" s="6">
        <v>2022</v>
      </c>
      <c r="E982" s="6" t="s">
        <v>22</v>
      </c>
      <c r="F982" s="6">
        <v>7</v>
      </c>
      <c r="G982" s="6" t="s">
        <v>1447</v>
      </c>
      <c r="H982" s="6">
        <v>139</v>
      </c>
    </row>
    <row r="983" spans="1:8" s="5" customFormat="1" ht="126" hidden="1" outlineLevel="1" x14ac:dyDescent="0.25">
      <c r="A983" s="4" t="s">
        <v>3963</v>
      </c>
      <c r="B983" s="6" t="s">
        <v>38</v>
      </c>
      <c r="C983" s="38" t="s">
        <v>3964</v>
      </c>
      <c r="D983" s="6">
        <v>2022</v>
      </c>
      <c r="E983" s="6" t="s">
        <v>22</v>
      </c>
      <c r="F983" s="6">
        <v>20</v>
      </c>
      <c r="G983" s="6" t="s">
        <v>3965</v>
      </c>
      <c r="H983" s="6">
        <v>102</v>
      </c>
    </row>
    <row r="984" spans="1:8" s="5" customFormat="1" ht="110.25" hidden="1" outlineLevel="1" x14ac:dyDescent="0.25">
      <c r="A984" s="4" t="s">
        <v>3966</v>
      </c>
      <c r="B984" s="6" t="s">
        <v>38</v>
      </c>
      <c r="C984" s="38" t="s">
        <v>3967</v>
      </c>
      <c r="D984" s="6">
        <v>2022</v>
      </c>
      <c r="E984" s="6" t="s">
        <v>22</v>
      </c>
      <c r="F984" s="6">
        <v>195</v>
      </c>
      <c r="G984" s="6" t="s">
        <v>3968</v>
      </c>
      <c r="H984" s="6">
        <v>262</v>
      </c>
    </row>
    <row r="985" spans="1:8" s="5" customFormat="1" ht="110.25" hidden="1" outlineLevel="1" x14ac:dyDescent="0.25">
      <c r="A985" s="4">
        <v>4877</v>
      </c>
      <c r="B985" s="6" t="s">
        <v>38</v>
      </c>
      <c r="C985" s="38" t="s">
        <v>3969</v>
      </c>
      <c r="D985" s="6">
        <v>2022</v>
      </c>
      <c r="E985" s="6" t="s">
        <v>22</v>
      </c>
      <c r="F985" s="6">
        <v>331</v>
      </c>
      <c r="G985" s="6" t="s">
        <v>1196</v>
      </c>
      <c r="H985" s="6">
        <v>890</v>
      </c>
    </row>
    <row r="986" spans="1:8" s="5" customFormat="1" ht="94.5" hidden="1" outlineLevel="1" x14ac:dyDescent="0.25">
      <c r="A986" s="4">
        <v>4878</v>
      </c>
      <c r="B986" s="6" t="s">
        <v>38</v>
      </c>
      <c r="C986" s="38" t="s">
        <v>3970</v>
      </c>
      <c r="D986" s="6">
        <v>2022</v>
      </c>
      <c r="E986" s="6" t="s">
        <v>22</v>
      </c>
      <c r="F986" s="6">
        <v>6</v>
      </c>
      <c r="G986" s="6" t="s">
        <v>3971</v>
      </c>
      <c r="H986" s="6">
        <v>151</v>
      </c>
    </row>
    <row r="987" spans="1:8" s="5" customFormat="1" ht="94.5" hidden="1" outlineLevel="1" x14ac:dyDescent="0.25">
      <c r="A987" s="4">
        <v>4745</v>
      </c>
      <c r="B987" s="6" t="s">
        <v>38</v>
      </c>
      <c r="C987" s="38" t="s">
        <v>3972</v>
      </c>
      <c r="D987" s="6">
        <v>2022</v>
      </c>
      <c r="E987" s="6" t="s">
        <v>22</v>
      </c>
      <c r="F987" s="6">
        <v>1881</v>
      </c>
      <c r="G987" s="6" t="s">
        <v>1896</v>
      </c>
      <c r="H987" s="6">
        <v>3231</v>
      </c>
    </row>
    <row r="988" spans="1:8" s="5" customFormat="1" ht="141.75" hidden="1" outlineLevel="1" x14ac:dyDescent="0.25">
      <c r="A988" s="4">
        <v>4899</v>
      </c>
      <c r="B988" s="6" t="s">
        <v>38</v>
      </c>
      <c r="C988" s="38" t="s">
        <v>3973</v>
      </c>
      <c r="D988" s="6">
        <v>2022</v>
      </c>
      <c r="E988" s="6" t="s">
        <v>22</v>
      </c>
      <c r="F988" s="6">
        <v>202</v>
      </c>
      <c r="G988" s="6">
        <v>47</v>
      </c>
      <c r="H988" s="6">
        <v>395</v>
      </c>
    </row>
    <row r="989" spans="1:8" s="5" customFormat="1" ht="141.75" hidden="1" outlineLevel="1" x14ac:dyDescent="0.25">
      <c r="A989" s="4">
        <v>4616</v>
      </c>
      <c r="B989" s="6" t="s">
        <v>38</v>
      </c>
      <c r="C989" s="38" t="s">
        <v>3974</v>
      </c>
      <c r="D989" s="6">
        <v>2022</v>
      </c>
      <c r="E989" s="6" t="s">
        <v>22</v>
      </c>
      <c r="F989" s="6">
        <v>40</v>
      </c>
      <c r="G989" s="6" t="s">
        <v>3975</v>
      </c>
      <c r="H989" s="6">
        <v>101.227</v>
      </c>
    </row>
    <row r="990" spans="1:8" s="5" customFormat="1" ht="110.25" hidden="1" outlineLevel="1" x14ac:dyDescent="0.25">
      <c r="A990" s="4">
        <v>5048</v>
      </c>
      <c r="B990" s="6" t="s">
        <v>38</v>
      </c>
      <c r="C990" s="38" t="s">
        <v>3976</v>
      </c>
      <c r="D990" s="6">
        <v>2022</v>
      </c>
      <c r="E990" s="6" t="s">
        <v>22</v>
      </c>
      <c r="F990" s="6">
        <v>423</v>
      </c>
      <c r="G990" s="6" t="s">
        <v>1896</v>
      </c>
      <c r="H990" s="6">
        <v>1344.5620000000001</v>
      </c>
    </row>
    <row r="991" spans="1:8" s="5" customFormat="1" ht="220.5" hidden="1" outlineLevel="1" x14ac:dyDescent="0.25">
      <c r="A991" s="4">
        <v>5417</v>
      </c>
      <c r="B991" s="6" t="s">
        <v>38</v>
      </c>
      <c r="C991" s="38" t="s">
        <v>3977</v>
      </c>
      <c r="D991" s="6">
        <v>2022</v>
      </c>
      <c r="E991" s="6" t="s">
        <v>22</v>
      </c>
      <c r="F991" s="6">
        <v>1669</v>
      </c>
      <c r="G991" s="6">
        <v>159.69999999999999</v>
      </c>
      <c r="H991" s="6">
        <v>2539.59</v>
      </c>
    </row>
    <row r="992" spans="1:8" s="5" customFormat="1" ht="126" hidden="1" outlineLevel="1" x14ac:dyDescent="0.25">
      <c r="A992" s="4">
        <v>5835</v>
      </c>
      <c r="B992" s="6" t="s">
        <v>38</v>
      </c>
      <c r="C992" s="38" t="s">
        <v>3645</v>
      </c>
      <c r="D992" s="6">
        <v>2022</v>
      </c>
      <c r="E992" s="6" t="s">
        <v>22</v>
      </c>
      <c r="F992" s="6">
        <v>5</v>
      </c>
      <c r="G992" s="6">
        <v>15</v>
      </c>
      <c r="H992" s="6">
        <v>410.81400000000002</v>
      </c>
    </row>
    <row r="993" spans="1:8" s="5" customFormat="1" ht="126" hidden="1" outlineLevel="1" x14ac:dyDescent="0.25">
      <c r="A993" s="4">
        <v>5885</v>
      </c>
      <c r="B993" s="6" t="s">
        <v>38</v>
      </c>
      <c r="C993" s="38" t="s">
        <v>3669</v>
      </c>
      <c r="D993" s="6">
        <v>2022</v>
      </c>
      <c r="E993" s="6" t="s">
        <v>22</v>
      </c>
      <c r="F993" s="6">
        <v>1389</v>
      </c>
      <c r="G993" s="6">
        <v>30</v>
      </c>
      <c r="H993" s="6">
        <v>2249.7020000000002</v>
      </c>
    </row>
    <row r="994" spans="1:8" s="5" customFormat="1" ht="157.5" hidden="1" outlineLevel="1" x14ac:dyDescent="0.25">
      <c r="A994" s="4">
        <v>5861</v>
      </c>
      <c r="B994" s="6" t="s">
        <v>38</v>
      </c>
      <c r="C994" s="38" t="s">
        <v>3978</v>
      </c>
      <c r="D994" s="6">
        <v>2022</v>
      </c>
      <c r="E994" s="6" t="s">
        <v>22</v>
      </c>
      <c r="F994" s="6">
        <v>10</v>
      </c>
      <c r="G994" s="6">
        <v>150</v>
      </c>
      <c r="H994" s="6">
        <v>135.50399999999999</v>
      </c>
    </row>
    <row r="995" spans="1:8" s="5" customFormat="1" ht="47.25" hidden="1" outlineLevel="1" x14ac:dyDescent="0.25">
      <c r="A995" s="4">
        <v>179</v>
      </c>
      <c r="B995" s="6" t="s">
        <v>38</v>
      </c>
      <c r="C995" s="38" t="s">
        <v>3686</v>
      </c>
      <c r="D995" s="6">
        <v>2022</v>
      </c>
      <c r="E995" s="6" t="s">
        <v>22</v>
      </c>
      <c r="F995" s="6">
        <v>10</v>
      </c>
      <c r="G995" s="6">
        <v>100</v>
      </c>
      <c r="H995" s="6">
        <v>49</v>
      </c>
    </row>
    <row r="996" spans="1:8" s="5" customFormat="1" ht="47.25" hidden="1" outlineLevel="1" x14ac:dyDescent="0.25">
      <c r="A996" s="4">
        <v>118</v>
      </c>
      <c r="B996" s="6" t="s">
        <v>38</v>
      </c>
      <c r="C996" s="38" t="s">
        <v>3687</v>
      </c>
      <c r="D996" s="6">
        <v>2022</v>
      </c>
      <c r="E996" s="6" t="s">
        <v>22</v>
      </c>
      <c r="F996" s="6">
        <v>50</v>
      </c>
      <c r="G996" s="6">
        <v>100</v>
      </c>
      <c r="H996" s="6">
        <v>92</v>
      </c>
    </row>
    <row r="997" spans="1:8" s="5" customFormat="1" ht="63" hidden="1" outlineLevel="1" x14ac:dyDescent="0.25">
      <c r="A997" s="4">
        <v>121</v>
      </c>
      <c r="B997" s="6" t="s">
        <v>38</v>
      </c>
      <c r="C997" s="38" t="s">
        <v>3690</v>
      </c>
      <c r="D997" s="6">
        <v>2022</v>
      </c>
      <c r="E997" s="6" t="s">
        <v>22</v>
      </c>
      <c r="F997" s="6">
        <v>15</v>
      </c>
      <c r="G997" s="6">
        <v>15</v>
      </c>
      <c r="H997" s="6">
        <v>81</v>
      </c>
    </row>
    <row r="998" spans="1:8" s="5" customFormat="1" ht="63" hidden="1" outlineLevel="1" x14ac:dyDescent="0.25">
      <c r="A998" s="4">
        <v>181</v>
      </c>
      <c r="B998" s="6" t="s">
        <v>38</v>
      </c>
      <c r="C998" s="38" t="s">
        <v>3694</v>
      </c>
      <c r="D998" s="6">
        <v>2022</v>
      </c>
      <c r="E998" s="6" t="s">
        <v>22</v>
      </c>
      <c r="F998" s="6">
        <v>796</v>
      </c>
      <c r="G998" s="6">
        <v>15</v>
      </c>
      <c r="H998" s="6">
        <v>1238</v>
      </c>
    </row>
    <row r="999" spans="1:8" s="5" customFormat="1" ht="63" hidden="1" outlineLevel="1" x14ac:dyDescent="0.25">
      <c r="A999" s="4">
        <v>116</v>
      </c>
      <c r="B999" s="6" t="s">
        <v>38</v>
      </c>
      <c r="C999" s="38" t="s">
        <v>3695</v>
      </c>
      <c r="D999" s="6">
        <v>2022</v>
      </c>
      <c r="E999" s="6" t="s">
        <v>22</v>
      </c>
      <c r="F999" s="6">
        <v>30</v>
      </c>
      <c r="G999" s="6">
        <v>150</v>
      </c>
      <c r="H999" s="6">
        <v>64</v>
      </c>
    </row>
    <row r="1000" spans="1:8" s="5" customFormat="1" ht="63" hidden="1" outlineLevel="1" x14ac:dyDescent="0.25">
      <c r="A1000" s="4">
        <v>117</v>
      </c>
      <c r="B1000" s="6" t="s">
        <v>38</v>
      </c>
      <c r="C1000" s="38" t="s">
        <v>3698</v>
      </c>
      <c r="D1000" s="6">
        <v>2022</v>
      </c>
      <c r="E1000" s="6" t="s">
        <v>22</v>
      </c>
      <c r="F1000" s="6">
        <v>60</v>
      </c>
      <c r="G1000" s="6">
        <v>15</v>
      </c>
      <c r="H1000" s="6">
        <v>75</v>
      </c>
    </row>
    <row r="1001" spans="1:8" s="5" customFormat="1" ht="63" hidden="1" outlineLevel="1" x14ac:dyDescent="0.25">
      <c r="A1001" s="4">
        <v>152</v>
      </c>
      <c r="B1001" s="6" t="s">
        <v>38</v>
      </c>
      <c r="C1001" s="38" t="s">
        <v>3700</v>
      </c>
      <c r="D1001" s="6">
        <v>2022</v>
      </c>
      <c r="E1001" s="6" t="s">
        <v>22</v>
      </c>
      <c r="F1001" s="6">
        <v>30</v>
      </c>
      <c r="G1001" s="6">
        <v>150</v>
      </c>
      <c r="H1001" s="6">
        <v>68</v>
      </c>
    </row>
    <row r="1002" spans="1:8" s="5" customFormat="1" ht="63" hidden="1" outlineLevel="1" x14ac:dyDescent="0.25">
      <c r="A1002" s="4">
        <v>251</v>
      </c>
      <c r="B1002" s="6" t="s">
        <v>38</v>
      </c>
      <c r="C1002" s="38" t="s">
        <v>3711</v>
      </c>
      <c r="D1002" s="6">
        <v>2022</v>
      </c>
      <c r="E1002" s="6" t="s">
        <v>22</v>
      </c>
      <c r="F1002" s="6">
        <v>415</v>
      </c>
      <c r="G1002" s="6">
        <v>45</v>
      </c>
      <c r="H1002" s="6">
        <v>863</v>
      </c>
    </row>
    <row r="1003" spans="1:8" s="5" customFormat="1" ht="47.25" hidden="1" outlineLevel="1" x14ac:dyDescent="0.25">
      <c r="A1003" s="4">
        <v>203</v>
      </c>
      <c r="B1003" s="6" t="s">
        <v>38</v>
      </c>
      <c r="C1003" s="38" t="s">
        <v>3712</v>
      </c>
      <c r="D1003" s="6">
        <v>2022</v>
      </c>
      <c r="E1003" s="6" t="s">
        <v>22</v>
      </c>
      <c r="F1003" s="6">
        <v>5</v>
      </c>
      <c r="G1003" s="6">
        <v>30</v>
      </c>
      <c r="H1003" s="6">
        <v>51</v>
      </c>
    </row>
    <row r="1004" spans="1:8" s="5" customFormat="1" ht="78.75" hidden="1" outlineLevel="1" x14ac:dyDescent="0.25">
      <c r="A1004" s="4">
        <v>201</v>
      </c>
      <c r="B1004" s="6" t="s">
        <v>38</v>
      </c>
      <c r="C1004" s="38" t="s">
        <v>3713</v>
      </c>
      <c r="D1004" s="6">
        <v>2022</v>
      </c>
      <c r="E1004" s="6" t="s">
        <v>22</v>
      </c>
      <c r="F1004" s="6">
        <v>2447</v>
      </c>
      <c r="G1004" s="6">
        <v>15</v>
      </c>
      <c r="H1004" s="6">
        <v>3430</v>
      </c>
    </row>
    <row r="1005" spans="1:8" s="5" customFormat="1" ht="63" hidden="1" outlineLevel="1" x14ac:dyDescent="0.25">
      <c r="A1005" s="4">
        <v>154</v>
      </c>
      <c r="B1005" s="6" t="s">
        <v>38</v>
      </c>
      <c r="C1005" s="38" t="s">
        <v>3715</v>
      </c>
      <c r="D1005" s="6">
        <v>2022</v>
      </c>
      <c r="E1005" s="6" t="s">
        <v>22</v>
      </c>
      <c r="F1005" s="6">
        <v>50</v>
      </c>
      <c r="G1005" s="6">
        <v>10</v>
      </c>
      <c r="H1005" s="6">
        <v>84</v>
      </c>
    </row>
    <row r="1006" spans="1:8" s="5" customFormat="1" ht="47.25" hidden="1" outlineLevel="1" x14ac:dyDescent="0.25">
      <c r="A1006" s="4">
        <v>155</v>
      </c>
      <c r="B1006" s="6" t="s">
        <v>38</v>
      </c>
      <c r="C1006" s="38" t="s">
        <v>3716</v>
      </c>
      <c r="D1006" s="6">
        <v>2022</v>
      </c>
      <c r="E1006" s="6" t="s">
        <v>22</v>
      </c>
      <c r="F1006" s="6">
        <v>30</v>
      </c>
      <c r="G1006" s="6">
        <v>15</v>
      </c>
      <c r="H1006" s="6">
        <v>42</v>
      </c>
    </row>
    <row r="1007" spans="1:8" s="5" customFormat="1" ht="47.25" hidden="1" outlineLevel="1" x14ac:dyDescent="0.25">
      <c r="A1007" s="4">
        <v>18</v>
      </c>
      <c r="B1007" s="6" t="s">
        <v>38</v>
      </c>
      <c r="C1007" s="38" t="s">
        <v>3743</v>
      </c>
      <c r="D1007" s="6">
        <v>2022</v>
      </c>
      <c r="E1007" s="6" t="s">
        <v>22</v>
      </c>
      <c r="F1007" s="6">
        <v>30</v>
      </c>
      <c r="G1007" s="6">
        <v>150</v>
      </c>
      <c r="H1007" s="6">
        <v>69</v>
      </c>
    </row>
    <row r="1008" spans="1:8" s="5" customFormat="1" ht="47.25" hidden="1" outlineLevel="1" x14ac:dyDescent="0.25">
      <c r="A1008" s="4">
        <v>47</v>
      </c>
      <c r="B1008" s="6" t="s">
        <v>38</v>
      </c>
      <c r="C1008" s="38" t="s">
        <v>3752</v>
      </c>
      <c r="D1008" s="6">
        <v>2022</v>
      </c>
      <c r="E1008" s="6" t="s">
        <v>22</v>
      </c>
      <c r="F1008" s="6">
        <v>60</v>
      </c>
      <c r="G1008" s="6">
        <v>40</v>
      </c>
      <c r="H1008" s="6">
        <v>88</v>
      </c>
    </row>
    <row r="1009" spans="1:8" s="5" customFormat="1" ht="47.25" hidden="1" outlineLevel="1" x14ac:dyDescent="0.25">
      <c r="A1009" s="4">
        <v>43</v>
      </c>
      <c r="B1009" s="6" t="s">
        <v>38</v>
      </c>
      <c r="C1009" s="38" t="s">
        <v>3754</v>
      </c>
      <c r="D1009" s="6">
        <v>2022</v>
      </c>
      <c r="E1009" s="6" t="s">
        <v>22</v>
      </c>
      <c r="F1009" s="6">
        <v>80</v>
      </c>
      <c r="G1009" s="6">
        <v>15</v>
      </c>
      <c r="H1009" s="6">
        <v>84</v>
      </c>
    </row>
    <row r="1010" spans="1:8" s="5" customFormat="1" ht="63" hidden="1" outlineLevel="1" x14ac:dyDescent="0.25">
      <c r="A1010" s="4">
        <v>46</v>
      </c>
      <c r="B1010" s="6" t="s">
        <v>38</v>
      </c>
      <c r="C1010" s="38" t="s">
        <v>3768</v>
      </c>
      <c r="D1010" s="6">
        <v>2022</v>
      </c>
      <c r="E1010" s="6" t="s">
        <v>22</v>
      </c>
      <c r="F1010" s="6">
        <v>30</v>
      </c>
      <c r="G1010" s="6">
        <v>50</v>
      </c>
      <c r="H1010" s="6">
        <v>81</v>
      </c>
    </row>
    <row r="1011" spans="1:8" s="5" customFormat="1" ht="47.25" hidden="1" outlineLevel="1" x14ac:dyDescent="0.25">
      <c r="A1011" s="4">
        <v>44</v>
      </c>
      <c r="B1011" s="6" t="s">
        <v>38</v>
      </c>
      <c r="C1011" s="38" t="s">
        <v>3769</v>
      </c>
      <c r="D1011" s="6">
        <v>2022</v>
      </c>
      <c r="E1011" s="6" t="s">
        <v>22</v>
      </c>
      <c r="F1011" s="6">
        <v>880</v>
      </c>
      <c r="G1011" s="6">
        <v>30</v>
      </c>
      <c r="H1011" s="6">
        <v>972</v>
      </c>
    </row>
    <row r="1012" spans="1:8" s="5" customFormat="1" ht="63" hidden="1" outlineLevel="1" x14ac:dyDescent="0.25">
      <c r="A1012" s="4">
        <v>120</v>
      </c>
      <c r="B1012" s="6" t="s">
        <v>38</v>
      </c>
      <c r="C1012" s="38" t="s">
        <v>3775</v>
      </c>
      <c r="D1012" s="6">
        <v>2022</v>
      </c>
      <c r="E1012" s="6" t="s">
        <v>22</v>
      </c>
      <c r="F1012" s="6">
        <v>3</v>
      </c>
      <c r="G1012" s="6">
        <v>150</v>
      </c>
      <c r="H1012" s="6">
        <v>84</v>
      </c>
    </row>
    <row r="1013" spans="1:8" s="5" customFormat="1" ht="47.25" hidden="1" outlineLevel="1" x14ac:dyDescent="0.25">
      <c r="A1013" s="4">
        <v>130</v>
      </c>
      <c r="B1013" s="6" t="s">
        <v>38</v>
      </c>
      <c r="C1013" s="38" t="s">
        <v>3979</v>
      </c>
      <c r="D1013" s="6">
        <v>2022</v>
      </c>
      <c r="E1013" s="6" t="s">
        <v>22</v>
      </c>
      <c r="F1013" s="6">
        <v>374</v>
      </c>
      <c r="G1013" s="6">
        <v>30</v>
      </c>
      <c r="H1013" s="6">
        <v>1103</v>
      </c>
    </row>
    <row r="1014" spans="1:8" s="5" customFormat="1" ht="94.5" hidden="1" outlineLevel="1" x14ac:dyDescent="0.25">
      <c r="A1014" s="4">
        <v>153</v>
      </c>
      <c r="B1014" s="6" t="s">
        <v>38</v>
      </c>
      <c r="C1014" s="38" t="s">
        <v>3980</v>
      </c>
      <c r="D1014" s="6">
        <v>2022</v>
      </c>
      <c r="E1014" s="6" t="s">
        <v>22</v>
      </c>
      <c r="F1014" s="6">
        <v>1523</v>
      </c>
      <c r="G1014" s="6">
        <v>150</v>
      </c>
      <c r="H1014" s="6">
        <v>2581</v>
      </c>
    </row>
    <row r="1015" spans="1:8" s="5" customFormat="1" ht="47.25" hidden="1" outlineLevel="1" x14ac:dyDescent="0.25">
      <c r="A1015" s="4">
        <v>282</v>
      </c>
      <c r="B1015" s="6" t="s">
        <v>38</v>
      </c>
      <c r="C1015" s="38" t="s">
        <v>3981</v>
      </c>
      <c r="D1015" s="6">
        <v>2022</v>
      </c>
      <c r="E1015" s="6" t="s">
        <v>22</v>
      </c>
      <c r="F1015" s="6">
        <v>18</v>
      </c>
      <c r="G1015" s="6">
        <v>160</v>
      </c>
      <c r="H1015" s="6">
        <v>131</v>
      </c>
    </row>
    <row r="1016" spans="1:8" s="5" customFormat="1" ht="78.75" hidden="1" outlineLevel="1" x14ac:dyDescent="0.25">
      <c r="A1016" s="4">
        <v>224</v>
      </c>
      <c r="B1016" s="6" t="s">
        <v>38</v>
      </c>
      <c r="C1016" s="38" t="s">
        <v>3982</v>
      </c>
      <c r="D1016" s="6">
        <v>2022</v>
      </c>
      <c r="E1016" s="6" t="s">
        <v>22</v>
      </c>
      <c r="F1016" s="6">
        <v>2303</v>
      </c>
      <c r="G1016" s="6">
        <v>15</v>
      </c>
      <c r="H1016" s="6">
        <v>4163</v>
      </c>
    </row>
    <row r="1017" spans="1:8" s="5" customFormat="1" ht="63" hidden="1" outlineLevel="1" x14ac:dyDescent="0.25">
      <c r="A1017" s="4">
        <v>2</v>
      </c>
      <c r="B1017" s="6" t="s">
        <v>38</v>
      </c>
      <c r="C1017" s="38" t="s">
        <v>3983</v>
      </c>
      <c r="D1017" s="6">
        <v>2022</v>
      </c>
      <c r="E1017" s="6" t="s">
        <v>22</v>
      </c>
      <c r="F1017" s="6">
        <v>20</v>
      </c>
      <c r="G1017" s="6">
        <v>630</v>
      </c>
      <c r="H1017" s="6">
        <v>46</v>
      </c>
    </row>
    <row r="1018" spans="1:8" s="5" customFormat="1" ht="126" hidden="1" outlineLevel="1" x14ac:dyDescent="0.25">
      <c r="A1018" s="4">
        <v>353</v>
      </c>
      <c r="B1018" s="6" t="s">
        <v>38</v>
      </c>
      <c r="C1018" s="38" t="s">
        <v>3797</v>
      </c>
      <c r="D1018" s="6">
        <v>2022</v>
      </c>
      <c r="E1018" s="6" t="s">
        <v>22</v>
      </c>
      <c r="F1018" s="6">
        <v>282</v>
      </c>
      <c r="G1018" s="6">
        <v>135</v>
      </c>
      <c r="H1018" s="6">
        <v>808</v>
      </c>
    </row>
    <row r="1019" spans="1:8" s="5" customFormat="1" ht="63" hidden="1" outlineLevel="1" x14ac:dyDescent="0.25">
      <c r="A1019" s="4">
        <v>186</v>
      </c>
      <c r="B1019" s="6" t="s">
        <v>38</v>
      </c>
      <c r="C1019" s="38" t="s">
        <v>3801</v>
      </c>
      <c r="D1019" s="6">
        <v>2022</v>
      </c>
      <c r="E1019" s="6" t="s">
        <v>22</v>
      </c>
      <c r="F1019" s="6">
        <v>450</v>
      </c>
      <c r="G1019" s="6">
        <v>150</v>
      </c>
      <c r="H1019" s="6">
        <v>436</v>
      </c>
    </row>
    <row r="1020" spans="1:8" s="5" customFormat="1" ht="63" hidden="1" outlineLevel="1" x14ac:dyDescent="0.25">
      <c r="A1020" s="4">
        <v>302</v>
      </c>
      <c r="B1020" s="6" t="s">
        <v>38</v>
      </c>
      <c r="C1020" s="38" t="s">
        <v>3984</v>
      </c>
      <c r="D1020" s="6">
        <v>2022</v>
      </c>
      <c r="E1020" s="6" t="s">
        <v>22</v>
      </c>
      <c r="F1020" s="6">
        <v>30</v>
      </c>
      <c r="G1020" s="6">
        <v>150</v>
      </c>
      <c r="H1020" s="6">
        <v>48</v>
      </c>
    </row>
    <row r="1021" spans="1:8" s="5" customFormat="1" ht="63" hidden="1" outlineLevel="1" x14ac:dyDescent="0.25">
      <c r="A1021" s="4">
        <v>358</v>
      </c>
      <c r="B1021" s="6" t="s">
        <v>38</v>
      </c>
      <c r="C1021" s="38" t="s">
        <v>3985</v>
      </c>
      <c r="D1021" s="6">
        <v>2022</v>
      </c>
      <c r="E1021" s="6" t="s">
        <v>22</v>
      </c>
      <c r="F1021" s="6">
        <v>388</v>
      </c>
      <c r="G1021" s="6">
        <v>30</v>
      </c>
      <c r="H1021" s="6">
        <v>829</v>
      </c>
    </row>
    <row r="1022" spans="1:8" s="5" customFormat="1" ht="47.25" hidden="1" outlineLevel="1" x14ac:dyDescent="0.25">
      <c r="A1022" s="4">
        <v>355</v>
      </c>
      <c r="B1022" s="6" t="s">
        <v>38</v>
      </c>
      <c r="C1022" s="38" t="s">
        <v>3827</v>
      </c>
      <c r="D1022" s="6">
        <v>2022</v>
      </c>
      <c r="E1022" s="6" t="s">
        <v>22</v>
      </c>
      <c r="F1022" s="6">
        <v>29</v>
      </c>
      <c r="G1022" s="6">
        <v>60</v>
      </c>
      <c r="H1022" s="6">
        <v>307</v>
      </c>
    </row>
    <row r="1023" spans="1:8" s="5" customFormat="1" ht="63" hidden="1" outlineLevel="1" x14ac:dyDescent="0.25">
      <c r="A1023" s="4">
        <v>396</v>
      </c>
      <c r="B1023" s="6" t="s">
        <v>38</v>
      </c>
      <c r="C1023" s="38" t="s">
        <v>3828</v>
      </c>
      <c r="D1023" s="6">
        <v>2022</v>
      </c>
      <c r="E1023" s="6" t="s">
        <v>22</v>
      </c>
      <c r="F1023" s="6">
        <v>34</v>
      </c>
      <c r="G1023" s="6">
        <v>21</v>
      </c>
      <c r="H1023" s="6">
        <v>239</v>
      </c>
    </row>
    <row r="1024" spans="1:8" s="5" customFormat="1" ht="63" hidden="1" outlineLevel="1" x14ac:dyDescent="0.25">
      <c r="A1024" s="4">
        <v>400</v>
      </c>
      <c r="B1024" s="6" t="s">
        <v>38</v>
      </c>
      <c r="C1024" s="38" t="s">
        <v>3986</v>
      </c>
      <c r="D1024" s="6">
        <v>2022</v>
      </c>
      <c r="E1024" s="6" t="s">
        <v>22</v>
      </c>
      <c r="F1024" s="6">
        <v>938</v>
      </c>
      <c r="G1024" s="6">
        <v>300</v>
      </c>
      <c r="H1024" s="6">
        <v>1920</v>
      </c>
    </row>
    <row r="1025" spans="1:8" s="5" customFormat="1" ht="63" hidden="1" outlineLevel="1" x14ac:dyDescent="0.25">
      <c r="A1025" s="4">
        <v>402</v>
      </c>
      <c r="B1025" s="6" t="s">
        <v>38</v>
      </c>
      <c r="C1025" s="38" t="s">
        <v>3987</v>
      </c>
      <c r="D1025" s="6">
        <v>2022</v>
      </c>
      <c r="E1025" s="6" t="s">
        <v>22</v>
      </c>
      <c r="F1025" s="6">
        <v>436</v>
      </c>
      <c r="G1025" s="6">
        <v>447</v>
      </c>
      <c r="H1025" s="6">
        <v>1385</v>
      </c>
    </row>
    <row r="1026" spans="1:8" s="5" customFormat="1" ht="63" hidden="1" outlineLevel="1" x14ac:dyDescent="0.25">
      <c r="A1026" s="4">
        <v>398</v>
      </c>
      <c r="B1026" s="6" t="s">
        <v>38</v>
      </c>
      <c r="C1026" s="38" t="s">
        <v>3829</v>
      </c>
      <c r="D1026" s="6">
        <v>2022</v>
      </c>
      <c r="E1026" s="6" t="s">
        <v>22</v>
      </c>
      <c r="F1026" s="6">
        <v>5</v>
      </c>
      <c r="G1026" s="6">
        <v>30</v>
      </c>
      <c r="H1026" s="6">
        <v>182</v>
      </c>
    </row>
    <row r="1027" spans="1:8" s="5" customFormat="1" ht="63" hidden="1" outlineLevel="1" x14ac:dyDescent="0.25">
      <c r="A1027" s="4">
        <v>351</v>
      </c>
      <c r="B1027" s="6" t="s">
        <v>38</v>
      </c>
      <c r="C1027" s="38" t="s">
        <v>3830</v>
      </c>
      <c r="D1027" s="6">
        <v>2022</v>
      </c>
      <c r="E1027" s="6" t="s">
        <v>22</v>
      </c>
      <c r="F1027" s="6">
        <v>1035</v>
      </c>
      <c r="G1027" s="6">
        <v>40</v>
      </c>
      <c r="H1027" s="6">
        <v>2310</v>
      </c>
    </row>
    <row r="1028" spans="1:8" s="5" customFormat="1" ht="78.75" hidden="1" outlineLevel="1" x14ac:dyDescent="0.25">
      <c r="A1028" s="4">
        <v>357</v>
      </c>
      <c r="B1028" s="6" t="s">
        <v>38</v>
      </c>
      <c r="C1028" s="38" t="s">
        <v>3831</v>
      </c>
      <c r="D1028" s="6">
        <v>2022</v>
      </c>
      <c r="E1028" s="6" t="s">
        <v>22</v>
      </c>
      <c r="F1028" s="6">
        <v>750</v>
      </c>
      <c r="G1028" s="6">
        <v>15</v>
      </c>
      <c r="H1028" s="6">
        <v>992</v>
      </c>
    </row>
    <row r="1029" spans="1:8" s="5" customFormat="1" ht="63" hidden="1" outlineLevel="1" x14ac:dyDescent="0.25">
      <c r="A1029" s="4">
        <v>350</v>
      </c>
      <c r="B1029" s="6" t="s">
        <v>38</v>
      </c>
      <c r="C1029" s="38" t="s">
        <v>3832</v>
      </c>
      <c r="D1029" s="6">
        <v>2022</v>
      </c>
      <c r="E1029" s="6" t="s">
        <v>22</v>
      </c>
      <c r="F1029" s="6">
        <v>871</v>
      </c>
      <c r="G1029" s="6">
        <v>150</v>
      </c>
      <c r="H1029" s="6">
        <v>1534</v>
      </c>
    </row>
    <row r="1030" spans="1:8" s="5" customFormat="1" ht="47.25" hidden="1" outlineLevel="1" x14ac:dyDescent="0.25">
      <c r="A1030" s="4">
        <v>431</v>
      </c>
      <c r="B1030" s="6" t="s">
        <v>38</v>
      </c>
      <c r="C1030" s="38" t="s">
        <v>3988</v>
      </c>
      <c r="D1030" s="6">
        <v>2022</v>
      </c>
      <c r="E1030" s="6" t="s">
        <v>22</v>
      </c>
      <c r="F1030" s="6">
        <v>234</v>
      </c>
      <c r="G1030" s="6">
        <v>405</v>
      </c>
      <c r="H1030" s="6">
        <v>1099</v>
      </c>
    </row>
    <row r="1031" spans="1:8" s="5" customFormat="1" ht="63" hidden="1" outlineLevel="1" x14ac:dyDescent="0.25">
      <c r="A1031" s="4">
        <v>427</v>
      </c>
      <c r="B1031" s="6" t="s">
        <v>38</v>
      </c>
      <c r="C1031" s="38" t="s">
        <v>3835</v>
      </c>
      <c r="D1031" s="6">
        <v>2022</v>
      </c>
      <c r="E1031" s="6" t="s">
        <v>22</v>
      </c>
      <c r="F1031" s="6">
        <v>20</v>
      </c>
      <c r="G1031" s="6">
        <v>15</v>
      </c>
      <c r="H1031" s="6">
        <v>149</v>
      </c>
    </row>
    <row r="1032" spans="1:8" s="5" customFormat="1" ht="47.25" hidden="1" outlineLevel="1" x14ac:dyDescent="0.25">
      <c r="A1032" s="4">
        <v>423</v>
      </c>
      <c r="B1032" s="6" t="s">
        <v>38</v>
      </c>
      <c r="C1032" s="38" t="s">
        <v>3989</v>
      </c>
      <c r="D1032" s="6">
        <v>2022</v>
      </c>
      <c r="E1032" s="6" t="s">
        <v>22</v>
      </c>
      <c r="F1032" s="6">
        <v>136</v>
      </c>
      <c r="G1032" s="6">
        <v>45</v>
      </c>
      <c r="H1032" s="6">
        <v>374</v>
      </c>
    </row>
    <row r="1033" spans="1:8" s="5" customFormat="1" ht="63" hidden="1" outlineLevel="1" x14ac:dyDescent="0.25">
      <c r="A1033" s="4">
        <v>424</v>
      </c>
      <c r="B1033" s="6" t="s">
        <v>38</v>
      </c>
      <c r="C1033" s="38" t="s">
        <v>3990</v>
      </c>
      <c r="D1033" s="6">
        <v>2022</v>
      </c>
      <c r="E1033" s="6" t="s">
        <v>22</v>
      </c>
      <c r="F1033" s="6">
        <v>354</v>
      </c>
      <c r="G1033" s="6">
        <v>15</v>
      </c>
      <c r="H1033" s="6">
        <v>788</v>
      </c>
    </row>
    <row r="1034" spans="1:8" s="5" customFormat="1" ht="63" hidden="1" outlineLevel="1" x14ac:dyDescent="0.25">
      <c r="A1034" s="4">
        <v>425</v>
      </c>
      <c r="B1034" s="6" t="s">
        <v>38</v>
      </c>
      <c r="C1034" s="38" t="s">
        <v>3837</v>
      </c>
      <c r="D1034" s="6">
        <v>2022</v>
      </c>
      <c r="E1034" s="6" t="s">
        <v>22</v>
      </c>
      <c r="F1034" s="6">
        <v>506</v>
      </c>
      <c r="G1034" s="6">
        <v>120</v>
      </c>
      <c r="H1034" s="6">
        <v>991</v>
      </c>
    </row>
    <row r="1035" spans="1:8" s="5" customFormat="1" ht="47.25" hidden="1" outlineLevel="1" x14ac:dyDescent="0.25">
      <c r="A1035" s="4">
        <v>397</v>
      </c>
      <c r="B1035" s="6" t="s">
        <v>38</v>
      </c>
      <c r="C1035" s="38" t="s">
        <v>3838</v>
      </c>
      <c r="D1035" s="6">
        <v>2022</v>
      </c>
      <c r="E1035" s="6" t="s">
        <v>22</v>
      </c>
      <c r="F1035" s="6">
        <v>286</v>
      </c>
      <c r="G1035" s="6">
        <v>15</v>
      </c>
      <c r="H1035" s="6">
        <v>787</v>
      </c>
    </row>
    <row r="1036" spans="1:8" s="5" customFormat="1" ht="63" hidden="1" outlineLevel="1" x14ac:dyDescent="0.25">
      <c r="A1036" s="4">
        <v>382</v>
      </c>
      <c r="B1036" s="6" t="s">
        <v>38</v>
      </c>
      <c r="C1036" s="38" t="s">
        <v>3850</v>
      </c>
      <c r="D1036" s="6">
        <v>2022</v>
      </c>
      <c r="E1036" s="6" t="s">
        <v>22</v>
      </c>
      <c r="F1036" s="6">
        <v>30</v>
      </c>
      <c r="G1036" s="6">
        <v>15</v>
      </c>
      <c r="H1036" s="6">
        <v>59</v>
      </c>
    </row>
    <row r="1037" spans="1:8" s="5" customFormat="1" ht="78.75" hidden="1" outlineLevel="1" x14ac:dyDescent="0.25">
      <c r="A1037" s="4">
        <v>363</v>
      </c>
      <c r="B1037" s="6" t="s">
        <v>38</v>
      </c>
      <c r="C1037" s="38" t="s">
        <v>3991</v>
      </c>
      <c r="D1037" s="6">
        <v>2022</v>
      </c>
      <c r="E1037" s="6" t="s">
        <v>22</v>
      </c>
      <c r="F1037" s="6">
        <v>46</v>
      </c>
      <c r="G1037" s="6">
        <v>100</v>
      </c>
      <c r="H1037" s="6">
        <v>163</v>
      </c>
    </row>
    <row r="1038" spans="1:8" s="5" customFormat="1" ht="63" hidden="1" outlineLevel="1" x14ac:dyDescent="0.25">
      <c r="A1038" s="4">
        <v>432</v>
      </c>
      <c r="B1038" s="6" t="s">
        <v>38</v>
      </c>
      <c r="C1038" s="38" t="s">
        <v>3992</v>
      </c>
      <c r="D1038" s="6">
        <v>2022</v>
      </c>
      <c r="E1038" s="6" t="s">
        <v>22</v>
      </c>
      <c r="F1038" s="6">
        <v>188</v>
      </c>
      <c r="G1038" s="6">
        <v>15</v>
      </c>
      <c r="H1038" s="6">
        <v>657</v>
      </c>
    </row>
    <row r="1039" spans="1:8" s="5" customFormat="1" ht="78.75" hidden="1" outlineLevel="1" x14ac:dyDescent="0.25">
      <c r="A1039" s="4">
        <v>426</v>
      </c>
      <c r="B1039" s="6" t="s">
        <v>38</v>
      </c>
      <c r="C1039" s="38" t="s">
        <v>3868</v>
      </c>
      <c r="D1039" s="6">
        <v>2022</v>
      </c>
      <c r="E1039" s="6" t="s">
        <v>22</v>
      </c>
      <c r="F1039" s="6">
        <v>336</v>
      </c>
      <c r="G1039" s="6">
        <v>104.4</v>
      </c>
      <c r="H1039" s="6">
        <v>797</v>
      </c>
    </row>
    <row r="1040" spans="1:8" s="5" customFormat="1" ht="110.25" hidden="1" outlineLevel="1" x14ac:dyDescent="0.25">
      <c r="A1040" s="4">
        <v>5056</v>
      </c>
      <c r="B1040" s="6" t="s">
        <v>38</v>
      </c>
      <c r="C1040" s="38" t="s">
        <v>3890</v>
      </c>
      <c r="D1040" s="6">
        <v>2022</v>
      </c>
      <c r="E1040" s="6" t="s">
        <v>22</v>
      </c>
      <c r="F1040" s="6">
        <v>15158</v>
      </c>
      <c r="G1040" s="6">
        <v>269.2</v>
      </c>
      <c r="H1040" s="6">
        <v>24382</v>
      </c>
    </row>
    <row r="1041" spans="1:8" s="5" customFormat="1" ht="94.5" hidden="1" outlineLevel="1" x14ac:dyDescent="0.25">
      <c r="A1041" s="4">
        <v>5396</v>
      </c>
      <c r="B1041" s="6" t="s">
        <v>38</v>
      </c>
      <c r="C1041" s="38" t="s">
        <v>3892</v>
      </c>
      <c r="D1041" s="6">
        <v>2022</v>
      </c>
      <c r="E1041" s="6" t="s">
        <v>22</v>
      </c>
      <c r="F1041" s="6">
        <v>251</v>
      </c>
      <c r="G1041" s="6">
        <v>15</v>
      </c>
      <c r="H1041" s="6">
        <v>497</v>
      </c>
    </row>
    <row r="1042" spans="1:8" s="5" customFormat="1" ht="110.25" hidden="1" outlineLevel="1" x14ac:dyDescent="0.25">
      <c r="A1042" s="4">
        <v>5397</v>
      </c>
      <c r="B1042" s="6" t="s">
        <v>38</v>
      </c>
      <c r="C1042" s="38" t="s">
        <v>3893</v>
      </c>
      <c r="D1042" s="6">
        <v>2022</v>
      </c>
      <c r="E1042" s="6" t="s">
        <v>22</v>
      </c>
      <c r="F1042" s="6">
        <v>150</v>
      </c>
      <c r="G1042" s="6">
        <v>15</v>
      </c>
      <c r="H1042" s="6">
        <v>133</v>
      </c>
    </row>
    <row r="1043" spans="1:8" s="5" customFormat="1" ht="94.5" hidden="1" outlineLevel="1" x14ac:dyDescent="0.25">
      <c r="A1043" s="4">
        <v>5398</v>
      </c>
      <c r="B1043" s="6" t="s">
        <v>38</v>
      </c>
      <c r="C1043" s="38" t="s">
        <v>3894</v>
      </c>
      <c r="D1043" s="6">
        <v>2022</v>
      </c>
      <c r="E1043" s="6" t="s">
        <v>22</v>
      </c>
      <c r="F1043" s="6">
        <v>10</v>
      </c>
      <c r="G1043" s="6">
        <v>150</v>
      </c>
      <c r="H1043" s="6">
        <v>201</v>
      </c>
    </row>
    <row r="1044" spans="1:8" s="5" customFormat="1" ht="110.25" hidden="1" outlineLevel="1" x14ac:dyDescent="0.25">
      <c r="A1044" s="4">
        <v>5077</v>
      </c>
      <c r="B1044" s="6" t="s">
        <v>38</v>
      </c>
      <c r="C1044" s="38" t="s">
        <v>3899</v>
      </c>
      <c r="D1044" s="6">
        <v>2022</v>
      </c>
      <c r="E1044" s="6" t="s">
        <v>22</v>
      </c>
      <c r="F1044" s="6">
        <v>60</v>
      </c>
      <c r="G1044" s="6">
        <v>15</v>
      </c>
      <c r="H1044" s="6">
        <v>240</v>
      </c>
    </row>
    <row r="1045" spans="1:8" s="5" customFormat="1" ht="157.5" hidden="1" outlineLevel="1" x14ac:dyDescent="0.25">
      <c r="A1045" s="4">
        <v>5059</v>
      </c>
      <c r="B1045" s="6" t="s">
        <v>38</v>
      </c>
      <c r="C1045" s="38" t="s">
        <v>3910</v>
      </c>
      <c r="D1045" s="6">
        <v>2022</v>
      </c>
      <c r="E1045" s="6" t="s">
        <v>22</v>
      </c>
      <c r="F1045" s="6">
        <v>50</v>
      </c>
      <c r="G1045" s="6">
        <v>30</v>
      </c>
      <c r="H1045" s="6">
        <v>108</v>
      </c>
    </row>
    <row r="1046" spans="1:8" s="5" customFormat="1" ht="94.5" hidden="1" outlineLevel="1" x14ac:dyDescent="0.25">
      <c r="A1046" s="4">
        <v>5301</v>
      </c>
      <c r="B1046" s="6" t="s">
        <v>38</v>
      </c>
      <c r="C1046" s="38" t="s">
        <v>3915</v>
      </c>
      <c r="D1046" s="6">
        <v>2022</v>
      </c>
      <c r="E1046" s="6" t="s">
        <v>22</v>
      </c>
      <c r="F1046" s="6">
        <v>4145</v>
      </c>
      <c r="G1046" s="6">
        <v>15</v>
      </c>
      <c r="H1046" s="6">
        <v>4353</v>
      </c>
    </row>
    <row r="1047" spans="1:8" s="5" customFormat="1" ht="126" hidden="1" outlineLevel="1" x14ac:dyDescent="0.25">
      <c r="A1047" s="4">
        <v>5302</v>
      </c>
      <c r="B1047" s="6" t="s">
        <v>38</v>
      </c>
      <c r="C1047" s="38" t="s">
        <v>3916</v>
      </c>
      <c r="D1047" s="6">
        <v>2022</v>
      </c>
      <c r="E1047" s="6" t="s">
        <v>22</v>
      </c>
      <c r="F1047" s="6">
        <v>2812</v>
      </c>
      <c r="G1047" s="6">
        <v>25</v>
      </c>
      <c r="H1047" s="6">
        <v>3527</v>
      </c>
    </row>
    <row r="1048" spans="1:8" s="5" customFormat="1" ht="94.5" hidden="1" outlineLevel="1" x14ac:dyDescent="0.25">
      <c r="A1048" s="4">
        <v>5098</v>
      </c>
      <c r="B1048" s="6" t="s">
        <v>38</v>
      </c>
      <c r="C1048" s="38" t="s">
        <v>3921</v>
      </c>
      <c r="D1048" s="6">
        <v>2022</v>
      </c>
      <c r="E1048" s="6" t="s">
        <v>22</v>
      </c>
      <c r="F1048" s="6">
        <v>35</v>
      </c>
      <c r="G1048" s="6">
        <v>150</v>
      </c>
      <c r="H1048" s="6">
        <v>120</v>
      </c>
    </row>
    <row r="1049" spans="1:8" s="5" customFormat="1" ht="94.5" hidden="1" outlineLevel="1" x14ac:dyDescent="0.25">
      <c r="A1049" s="4">
        <v>5099</v>
      </c>
      <c r="B1049" s="6" t="s">
        <v>38</v>
      </c>
      <c r="C1049" s="38" t="s">
        <v>3922</v>
      </c>
      <c r="D1049" s="6">
        <v>2022</v>
      </c>
      <c r="E1049" s="6" t="s">
        <v>22</v>
      </c>
      <c r="F1049" s="6">
        <v>260</v>
      </c>
      <c r="G1049" s="6">
        <v>15</v>
      </c>
      <c r="H1049" s="6">
        <v>692</v>
      </c>
    </row>
    <row r="1050" spans="1:8" s="5" customFormat="1" ht="110.25" hidden="1" outlineLevel="1" x14ac:dyDescent="0.25">
      <c r="A1050" s="4">
        <v>5100</v>
      </c>
      <c r="B1050" s="6" t="s">
        <v>38</v>
      </c>
      <c r="C1050" s="38" t="s">
        <v>3923</v>
      </c>
      <c r="D1050" s="6">
        <v>2022</v>
      </c>
      <c r="E1050" s="6" t="s">
        <v>22</v>
      </c>
      <c r="F1050" s="6">
        <v>926</v>
      </c>
      <c r="G1050" s="6">
        <v>10</v>
      </c>
      <c r="H1050" s="6">
        <v>1450</v>
      </c>
    </row>
    <row r="1051" spans="1:8" s="5" customFormat="1" ht="37.5" hidden="1" customHeight="1" outlineLevel="1" x14ac:dyDescent="0.25">
      <c r="A1051" s="4">
        <v>1753</v>
      </c>
      <c r="B1051" s="6" t="s">
        <v>38</v>
      </c>
      <c r="C1051" s="38" t="s">
        <v>311</v>
      </c>
      <c r="D1051" s="6">
        <v>2020</v>
      </c>
      <c r="E1051" s="6"/>
      <c r="F1051" s="6">
        <v>9</v>
      </c>
      <c r="G1051" s="6">
        <v>15</v>
      </c>
      <c r="H1051" s="6">
        <v>48.911580000000001</v>
      </c>
    </row>
    <row r="1052" spans="1:8" s="5" customFormat="1" ht="37.5" hidden="1" customHeight="1" outlineLevel="1" x14ac:dyDescent="0.25">
      <c r="A1052" s="4">
        <v>1648</v>
      </c>
      <c r="B1052" s="6" t="s">
        <v>38</v>
      </c>
      <c r="C1052" s="38" t="s">
        <v>277</v>
      </c>
      <c r="D1052" s="6">
        <v>2020</v>
      </c>
      <c r="E1052" s="6"/>
      <c r="F1052" s="6">
        <v>10</v>
      </c>
      <c r="G1052" s="6">
        <v>100</v>
      </c>
      <c r="H1052" s="6">
        <v>105.879</v>
      </c>
    </row>
    <row r="1053" spans="1:8" s="5" customFormat="1" ht="37.5" hidden="1" customHeight="1" outlineLevel="1" x14ac:dyDescent="0.25">
      <c r="A1053" s="4">
        <v>798</v>
      </c>
      <c r="B1053" s="6" t="s">
        <v>38</v>
      </c>
      <c r="C1053" s="38" t="s">
        <v>312</v>
      </c>
      <c r="D1053" s="6">
        <v>2020</v>
      </c>
      <c r="E1053" s="6"/>
      <c r="F1053" s="6">
        <v>545</v>
      </c>
      <c r="G1053" s="6">
        <v>40</v>
      </c>
      <c r="H1053" s="6">
        <v>300</v>
      </c>
    </row>
    <row r="1054" spans="1:8" s="5" customFormat="1" ht="37.5" hidden="1" customHeight="1" outlineLevel="1" x14ac:dyDescent="0.25">
      <c r="A1054" s="4">
        <v>193</v>
      </c>
      <c r="B1054" s="6" t="s">
        <v>38</v>
      </c>
      <c r="C1054" s="38" t="s">
        <v>286</v>
      </c>
      <c r="D1054" s="6">
        <v>2020</v>
      </c>
      <c r="E1054" s="6"/>
      <c r="F1054" s="6">
        <v>2843</v>
      </c>
      <c r="G1054" s="6">
        <v>15</v>
      </c>
      <c r="H1054" s="6">
        <v>4027</v>
      </c>
    </row>
    <row r="1055" spans="1:8" s="5" customFormat="1" ht="37.5" hidden="1" customHeight="1" outlineLevel="1" x14ac:dyDescent="0.25">
      <c r="A1055" s="4">
        <v>357</v>
      </c>
      <c r="B1055" s="6" t="s">
        <v>38</v>
      </c>
      <c r="C1055" s="38" t="s">
        <v>294</v>
      </c>
      <c r="D1055" s="6">
        <v>2020</v>
      </c>
      <c r="E1055" s="6"/>
      <c r="F1055" s="6">
        <v>412</v>
      </c>
      <c r="G1055" s="6">
        <v>15</v>
      </c>
      <c r="H1055" s="6">
        <v>437</v>
      </c>
    </row>
    <row r="1056" spans="1:8" s="5" customFormat="1" ht="37.5" hidden="1" customHeight="1" outlineLevel="1" x14ac:dyDescent="0.25">
      <c r="A1056" s="4">
        <v>160</v>
      </c>
      <c r="B1056" s="6" t="s">
        <v>38</v>
      </c>
      <c r="C1056" s="38" t="s">
        <v>295</v>
      </c>
      <c r="D1056" s="6">
        <v>2020</v>
      </c>
      <c r="E1056" s="6"/>
      <c r="F1056" s="6">
        <v>3032</v>
      </c>
      <c r="G1056" s="6">
        <v>15</v>
      </c>
      <c r="H1056" s="6">
        <v>4336</v>
      </c>
    </row>
    <row r="1057" spans="1:8" s="5" customFormat="1" ht="37.5" hidden="1" customHeight="1" outlineLevel="1" x14ac:dyDescent="0.25">
      <c r="A1057" s="4">
        <v>391</v>
      </c>
      <c r="B1057" s="6" t="s">
        <v>38</v>
      </c>
      <c r="C1057" s="38" t="s">
        <v>297</v>
      </c>
      <c r="D1057" s="6">
        <v>2020</v>
      </c>
      <c r="E1057" s="6"/>
      <c r="F1057" s="6">
        <v>1135</v>
      </c>
      <c r="G1057" s="6">
        <v>15</v>
      </c>
      <c r="H1057" s="6">
        <v>1311</v>
      </c>
    </row>
    <row r="1058" spans="1:8" s="5" customFormat="1" ht="37.5" hidden="1" customHeight="1" outlineLevel="1" x14ac:dyDescent="0.25">
      <c r="A1058" s="4">
        <v>1008</v>
      </c>
      <c r="B1058" s="6" t="s">
        <v>38</v>
      </c>
      <c r="C1058" s="38" t="s">
        <v>298</v>
      </c>
      <c r="D1058" s="6">
        <v>2020</v>
      </c>
      <c r="E1058" s="6"/>
      <c r="F1058" s="6">
        <v>577</v>
      </c>
      <c r="G1058" s="6">
        <v>60</v>
      </c>
      <c r="H1058" s="6">
        <v>883</v>
      </c>
    </row>
    <row r="1059" spans="1:8" s="5" customFormat="1" ht="37.5" hidden="1" customHeight="1" outlineLevel="1" x14ac:dyDescent="0.25">
      <c r="A1059" s="4">
        <v>1618</v>
      </c>
      <c r="B1059" s="6" t="s">
        <v>38</v>
      </c>
      <c r="C1059" s="38" t="s">
        <v>299</v>
      </c>
      <c r="D1059" s="6">
        <v>2020</v>
      </c>
      <c r="E1059" s="6"/>
      <c r="F1059" s="6">
        <v>642</v>
      </c>
      <c r="G1059" s="6">
        <v>40</v>
      </c>
      <c r="H1059" s="6">
        <v>1009</v>
      </c>
    </row>
    <row r="1060" spans="1:8" s="5" customFormat="1" ht="37.5" hidden="1" customHeight="1" outlineLevel="1" x14ac:dyDescent="0.25">
      <c r="A1060" s="4">
        <v>973</v>
      </c>
      <c r="B1060" s="6" t="s">
        <v>38</v>
      </c>
      <c r="C1060" s="38" t="s">
        <v>300</v>
      </c>
      <c r="D1060" s="6">
        <v>2020</v>
      </c>
      <c r="E1060" s="6"/>
      <c r="F1060" s="6">
        <v>114</v>
      </c>
      <c r="G1060" s="6">
        <v>165</v>
      </c>
      <c r="H1060" s="6">
        <v>301</v>
      </c>
    </row>
    <row r="1061" spans="1:8" s="5" customFormat="1" ht="37.5" hidden="1" customHeight="1" outlineLevel="1" x14ac:dyDescent="0.25">
      <c r="A1061" s="4">
        <v>1617</v>
      </c>
      <c r="B1061" s="6" t="s">
        <v>38</v>
      </c>
      <c r="C1061" s="38" t="s">
        <v>310</v>
      </c>
      <c r="D1061" s="6">
        <v>2020</v>
      </c>
      <c r="E1061" s="6"/>
      <c r="F1061" s="6">
        <v>40</v>
      </c>
      <c r="G1061" s="6">
        <v>15</v>
      </c>
      <c r="H1061" s="6">
        <v>152</v>
      </c>
    </row>
    <row r="1062" spans="1:8" s="5" customFormat="1" ht="30.75" hidden="1" customHeight="1" outlineLevel="1" x14ac:dyDescent="0.25">
      <c r="A1062" s="42">
        <v>9449</v>
      </c>
      <c r="B1062" s="6" t="s">
        <v>38</v>
      </c>
      <c r="C1062" s="38" t="s">
        <v>1199</v>
      </c>
      <c r="D1062" s="6">
        <v>2021</v>
      </c>
      <c r="E1062" s="6"/>
      <c r="F1062" s="6">
        <v>15</v>
      </c>
      <c r="G1062" s="6">
        <v>40</v>
      </c>
      <c r="H1062" s="6">
        <v>169</v>
      </c>
    </row>
    <row r="1063" spans="1:8" s="5" customFormat="1" ht="30.75" hidden="1" customHeight="1" outlineLevel="1" x14ac:dyDescent="0.25">
      <c r="A1063" s="42">
        <v>9450</v>
      </c>
      <c r="B1063" s="6" t="s">
        <v>38</v>
      </c>
      <c r="C1063" s="38" t="s">
        <v>1206</v>
      </c>
      <c r="D1063" s="6">
        <v>2021</v>
      </c>
      <c r="E1063" s="6"/>
      <c r="F1063" s="6">
        <v>40</v>
      </c>
      <c r="G1063" s="6">
        <v>7</v>
      </c>
      <c r="H1063" s="6">
        <v>131</v>
      </c>
    </row>
    <row r="1064" spans="1:8" s="5" customFormat="1" ht="30.75" hidden="1" customHeight="1" outlineLevel="1" x14ac:dyDescent="0.25">
      <c r="A1064" s="42">
        <v>9452</v>
      </c>
      <c r="B1064" s="6" t="s">
        <v>38</v>
      </c>
      <c r="C1064" s="38" t="s">
        <v>1222</v>
      </c>
      <c r="D1064" s="6">
        <v>2021</v>
      </c>
      <c r="E1064" s="6"/>
      <c r="F1064" s="6">
        <v>3684</v>
      </c>
      <c r="G1064" s="6">
        <v>15</v>
      </c>
      <c r="H1064" s="6">
        <v>2777</v>
      </c>
    </row>
    <row r="1065" spans="1:8" s="5" customFormat="1" ht="30.75" hidden="1" customHeight="1" outlineLevel="1" x14ac:dyDescent="0.25">
      <c r="A1065" s="42">
        <v>673</v>
      </c>
      <c r="B1065" s="6" t="s">
        <v>38</v>
      </c>
      <c r="C1065" s="38" t="s">
        <v>1223</v>
      </c>
      <c r="D1065" s="6">
        <v>2021</v>
      </c>
      <c r="E1065" s="6"/>
      <c r="F1065" s="6">
        <v>10</v>
      </c>
      <c r="G1065" s="6">
        <v>30</v>
      </c>
      <c r="H1065" s="6">
        <v>147</v>
      </c>
    </row>
    <row r="1066" spans="1:8" s="5" customFormat="1" ht="30.75" hidden="1" customHeight="1" outlineLevel="1" x14ac:dyDescent="0.25">
      <c r="A1066" s="42">
        <v>9574</v>
      </c>
      <c r="B1066" s="6" t="s">
        <v>38</v>
      </c>
      <c r="C1066" s="38" t="s">
        <v>1282</v>
      </c>
      <c r="D1066" s="6">
        <v>2021</v>
      </c>
      <c r="E1066" s="6"/>
      <c r="F1066" s="6">
        <v>3395</v>
      </c>
      <c r="G1066" s="6">
        <v>2002</v>
      </c>
      <c r="H1066" s="6">
        <v>7307</v>
      </c>
    </row>
    <row r="1067" spans="1:8" s="5" customFormat="1" ht="30.75" hidden="1" customHeight="1" outlineLevel="1" x14ac:dyDescent="0.25">
      <c r="A1067" s="42">
        <v>9363</v>
      </c>
      <c r="B1067" s="6" t="s">
        <v>38</v>
      </c>
      <c r="C1067" s="38" t="s">
        <v>1283</v>
      </c>
      <c r="D1067" s="6">
        <v>2021</v>
      </c>
      <c r="E1067" s="6"/>
      <c r="F1067" s="6">
        <v>160</v>
      </c>
      <c r="G1067" s="6">
        <v>65</v>
      </c>
      <c r="H1067" s="6">
        <v>353.91300000000001</v>
      </c>
    </row>
    <row r="1068" spans="1:8" s="5" customFormat="1" ht="30.75" hidden="1" customHeight="1" outlineLevel="1" x14ac:dyDescent="0.25">
      <c r="A1068" s="42">
        <v>425</v>
      </c>
      <c r="B1068" s="6" t="s">
        <v>38</v>
      </c>
      <c r="C1068" s="38" t="s">
        <v>1284</v>
      </c>
      <c r="D1068" s="6">
        <v>2021</v>
      </c>
      <c r="E1068" s="6"/>
      <c r="F1068" s="6">
        <v>12</v>
      </c>
      <c r="G1068" s="6">
        <v>300</v>
      </c>
      <c r="H1068" s="6">
        <v>143.05000000000001</v>
      </c>
    </row>
    <row r="1069" spans="1:8" s="5" customFormat="1" ht="30.75" hidden="1" customHeight="1" outlineLevel="1" x14ac:dyDescent="0.25">
      <c r="A1069" s="42">
        <v>422</v>
      </c>
      <c r="B1069" s="6" t="s">
        <v>38</v>
      </c>
      <c r="C1069" s="38" t="s">
        <v>1285</v>
      </c>
      <c r="D1069" s="6">
        <v>2021</v>
      </c>
      <c r="E1069" s="6"/>
      <c r="F1069" s="6">
        <v>41</v>
      </c>
      <c r="G1069" s="6">
        <v>150</v>
      </c>
      <c r="H1069" s="6">
        <v>178.499</v>
      </c>
    </row>
    <row r="1070" spans="1:8" s="5" customFormat="1" ht="30.75" hidden="1" customHeight="1" outlineLevel="1" x14ac:dyDescent="0.25">
      <c r="A1070" s="42">
        <v>433</v>
      </c>
      <c r="B1070" s="6" t="s">
        <v>38</v>
      </c>
      <c r="C1070" s="38" t="s">
        <v>1228</v>
      </c>
      <c r="D1070" s="6">
        <v>2021</v>
      </c>
      <c r="E1070" s="6"/>
      <c r="F1070" s="6">
        <v>24</v>
      </c>
      <c r="G1070" s="6">
        <v>45</v>
      </c>
      <c r="H1070" s="6">
        <v>200.982</v>
      </c>
    </row>
    <row r="1071" spans="1:8" s="5" customFormat="1" ht="30.75" hidden="1" customHeight="1" outlineLevel="1" x14ac:dyDescent="0.25">
      <c r="A1071" s="42">
        <v>9369</v>
      </c>
      <c r="B1071" s="6" t="s">
        <v>38</v>
      </c>
      <c r="C1071" s="38" t="s">
        <v>1286</v>
      </c>
      <c r="D1071" s="6">
        <v>2021</v>
      </c>
      <c r="E1071" s="6"/>
      <c r="F1071" s="6">
        <v>5</v>
      </c>
      <c r="G1071" s="6">
        <v>75</v>
      </c>
      <c r="H1071" s="6">
        <v>95.066999999999993</v>
      </c>
    </row>
    <row r="1072" spans="1:8" s="5" customFormat="1" ht="30.75" hidden="1" customHeight="1" outlineLevel="1" x14ac:dyDescent="0.25">
      <c r="A1072" s="42">
        <v>9358</v>
      </c>
      <c r="B1072" s="6" t="s">
        <v>38</v>
      </c>
      <c r="C1072" s="38" t="s">
        <v>1287</v>
      </c>
      <c r="D1072" s="6">
        <v>2021</v>
      </c>
      <c r="E1072" s="6"/>
      <c r="F1072" s="6">
        <v>364</v>
      </c>
      <c r="G1072" s="6">
        <v>45</v>
      </c>
      <c r="H1072" s="6">
        <v>585.76700000000005</v>
      </c>
    </row>
    <row r="1073" spans="1:8" s="5" customFormat="1" ht="30.75" hidden="1" customHeight="1" outlineLevel="1" x14ac:dyDescent="0.25">
      <c r="A1073" s="42">
        <v>9365</v>
      </c>
      <c r="B1073" s="6" t="s">
        <v>38</v>
      </c>
      <c r="C1073" s="38" t="s">
        <v>1288</v>
      </c>
      <c r="D1073" s="6">
        <v>2021</v>
      </c>
      <c r="E1073" s="6"/>
      <c r="F1073" s="6">
        <v>158</v>
      </c>
      <c r="G1073" s="6">
        <v>119.2</v>
      </c>
      <c r="H1073" s="6">
        <v>407.173</v>
      </c>
    </row>
    <row r="1074" spans="1:8" s="5" customFormat="1" ht="30.75" hidden="1" customHeight="1" outlineLevel="1" x14ac:dyDescent="0.25">
      <c r="A1074" s="42">
        <v>9360</v>
      </c>
      <c r="B1074" s="6" t="s">
        <v>38</v>
      </c>
      <c r="C1074" s="38" t="s">
        <v>1235</v>
      </c>
      <c r="D1074" s="6">
        <v>2021</v>
      </c>
      <c r="E1074" s="6"/>
      <c r="F1074" s="6">
        <v>8</v>
      </c>
      <c r="G1074" s="6">
        <v>15</v>
      </c>
      <c r="H1074" s="6">
        <v>44.889000000000003</v>
      </c>
    </row>
    <row r="1075" spans="1:8" s="5" customFormat="1" ht="30.75" hidden="1" customHeight="1" outlineLevel="1" x14ac:dyDescent="0.25">
      <c r="A1075" s="42">
        <v>9078</v>
      </c>
      <c r="B1075" s="6" t="s">
        <v>38</v>
      </c>
      <c r="C1075" s="38" t="s">
        <v>1237</v>
      </c>
      <c r="D1075" s="6">
        <v>2021</v>
      </c>
      <c r="E1075" s="6"/>
      <c r="F1075" s="6">
        <v>4</v>
      </c>
      <c r="G1075" s="6">
        <v>15</v>
      </c>
      <c r="H1075" s="6">
        <v>45.110999999999997</v>
      </c>
    </row>
    <row r="1076" spans="1:8" s="5" customFormat="1" ht="30.75" hidden="1" customHeight="1" outlineLevel="1" x14ac:dyDescent="0.25">
      <c r="A1076" s="42">
        <v>9364</v>
      </c>
      <c r="B1076" s="6" t="s">
        <v>38</v>
      </c>
      <c r="C1076" s="38" t="s">
        <v>1289</v>
      </c>
      <c r="D1076" s="6">
        <v>2021</v>
      </c>
      <c r="E1076" s="6"/>
      <c r="F1076" s="6">
        <v>26</v>
      </c>
      <c r="G1076" s="6">
        <v>150</v>
      </c>
      <c r="H1076" s="6">
        <v>220.01400000000001</v>
      </c>
    </row>
    <row r="1077" spans="1:8" s="5" customFormat="1" ht="30.75" hidden="1" customHeight="1" outlineLevel="1" x14ac:dyDescent="0.25">
      <c r="A1077" s="42">
        <v>444</v>
      </c>
      <c r="B1077" s="6" t="s">
        <v>38</v>
      </c>
      <c r="C1077" s="38" t="s">
        <v>1241</v>
      </c>
      <c r="D1077" s="6">
        <v>2021</v>
      </c>
      <c r="E1077" s="6"/>
      <c r="F1077" s="6">
        <v>21</v>
      </c>
      <c r="G1077" s="6">
        <v>70</v>
      </c>
      <c r="H1077" s="6">
        <v>96.963999999999999</v>
      </c>
    </row>
    <row r="1078" spans="1:8" s="5" customFormat="1" ht="30.75" hidden="1" customHeight="1" outlineLevel="1" x14ac:dyDescent="0.25">
      <c r="A1078" s="42">
        <v>3712</v>
      </c>
      <c r="B1078" s="6" t="s">
        <v>38</v>
      </c>
      <c r="C1078" s="38" t="s">
        <v>1290</v>
      </c>
      <c r="D1078" s="6">
        <v>2021</v>
      </c>
      <c r="E1078" s="6"/>
      <c r="F1078" s="6">
        <v>109</v>
      </c>
      <c r="G1078" s="6">
        <v>80</v>
      </c>
      <c r="H1078" s="6">
        <v>326.87299999999999</v>
      </c>
    </row>
    <row r="1079" spans="1:8" s="5" customFormat="1" ht="30.75" hidden="1" customHeight="1" outlineLevel="1" x14ac:dyDescent="0.25">
      <c r="A1079" s="42">
        <v>3713</v>
      </c>
      <c r="B1079" s="6" t="s">
        <v>38</v>
      </c>
      <c r="C1079" s="38" t="s">
        <v>1291</v>
      </c>
      <c r="D1079" s="6">
        <v>2021</v>
      </c>
      <c r="E1079" s="6"/>
      <c r="F1079" s="6">
        <v>3</v>
      </c>
      <c r="G1079" s="6">
        <v>15</v>
      </c>
      <c r="H1079" s="6">
        <v>146.518</v>
      </c>
    </row>
    <row r="1080" spans="1:8" s="5" customFormat="1" ht="30.75" hidden="1" customHeight="1" outlineLevel="1" x14ac:dyDescent="0.25">
      <c r="A1080" s="42">
        <v>9367</v>
      </c>
      <c r="B1080" s="6" t="s">
        <v>38</v>
      </c>
      <c r="C1080" s="38" t="s">
        <v>1255</v>
      </c>
      <c r="D1080" s="6">
        <v>2021</v>
      </c>
      <c r="E1080" s="6"/>
      <c r="F1080" s="6">
        <v>19</v>
      </c>
      <c r="G1080" s="6">
        <v>15</v>
      </c>
      <c r="H1080" s="6">
        <v>100.79300000000001</v>
      </c>
    </row>
    <row r="1081" spans="1:8" s="5" customFormat="1" ht="30.75" hidden="1" customHeight="1" outlineLevel="1" x14ac:dyDescent="0.25">
      <c r="A1081" s="42">
        <v>9366</v>
      </c>
      <c r="B1081" s="6" t="s">
        <v>38</v>
      </c>
      <c r="C1081" s="38" t="s">
        <v>1258</v>
      </c>
      <c r="D1081" s="6">
        <v>2021</v>
      </c>
      <c r="E1081" s="6"/>
      <c r="F1081" s="6">
        <v>10</v>
      </c>
      <c r="G1081" s="6">
        <v>10</v>
      </c>
      <c r="H1081" s="6">
        <v>112.499</v>
      </c>
    </row>
    <row r="1082" spans="1:8" s="55" customFormat="1" ht="44.25" hidden="1" customHeight="1" outlineLevel="1" x14ac:dyDescent="0.25">
      <c r="A1082" s="52">
        <v>1250</v>
      </c>
      <c r="B1082" s="6" t="s">
        <v>38</v>
      </c>
      <c r="C1082" s="53" t="s">
        <v>1180</v>
      </c>
      <c r="D1082" s="50">
        <v>2021</v>
      </c>
      <c r="E1082" s="50"/>
      <c r="F1082" s="50">
        <v>21</v>
      </c>
      <c r="G1082" s="54">
        <v>15</v>
      </c>
      <c r="H1082" s="50">
        <v>262</v>
      </c>
    </row>
    <row r="1083" spans="1:8" s="5" customFormat="1" ht="29.25" hidden="1" customHeight="1" outlineLevel="1" x14ac:dyDescent="0.25">
      <c r="A1083" s="43">
        <v>1281</v>
      </c>
      <c r="B1083" s="6" t="s">
        <v>38</v>
      </c>
      <c r="C1083" s="53" t="s">
        <v>1185</v>
      </c>
      <c r="D1083" s="6">
        <v>2021</v>
      </c>
      <c r="E1083" s="6"/>
      <c r="F1083" s="50">
        <v>7</v>
      </c>
      <c r="G1083" s="56">
        <v>70</v>
      </c>
      <c r="H1083" s="6">
        <v>61</v>
      </c>
    </row>
    <row r="1084" spans="1:8" s="5" customFormat="1" ht="29.25" hidden="1" customHeight="1" outlineLevel="1" x14ac:dyDescent="0.25">
      <c r="A1084" s="43">
        <v>1251</v>
      </c>
      <c r="B1084" s="6" t="s">
        <v>38</v>
      </c>
      <c r="C1084" s="53" t="s">
        <v>1190</v>
      </c>
      <c r="D1084" s="6">
        <v>2021</v>
      </c>
      <c r="E1084" s="6"/>
      <c r="F1084" s="50">
        <v>24</v>
      </c>
      <c r="G1084" s="56">
        <v>15</v>
      </c>
      <c r="H1084" s="6">
        <v>211</v>
      </c>
    </row>
    <row r="1085" spans="1:8" s="5" customFormat="1" ht="29.25" hidden="1" customHeight="1" outlineLevel="1" x14ac:dyDescent="0.25">
      <c r="A1085" s="43">
        <v>3829</v>
      </c>
      <c r="B1085" s="6" t="s">
        <v>38</v>
      </c>
      <c r="C1085" s="53" t="s">
        <v>1191</v>
      </c>
      <c r="D1085" s="6">
        <v>2021</v>
      </c>
      <c r="E1085" s="6"/>
      <c r="F1085" s="50">
        <v>15</v>
      </c>
      <c r="G1085" s="6">
        <v>40</v>
      </c>
      <c r="H1085" s="6">
        <v>130</v>
      </c>
    </row>
    <row r="1086" spans="1:8" s="5" customFormat="1" ht="29.25" hidden="1" customHeight="1" outlineLevel="1" x14ac:dyDescent="0.25">
      <c r="A1086" s="42">
        <v>9723</v>
      </c>
      <c r="B1086" s="6" t="s">
        <v>38</v>
      </c>
      <c r="C1086" s="53" t="s">
        <v>1192</v>
      </c>
      <c r="D1086" s="6">
        <v>2021</v>
      </c>
      <c r="E1086" s="6"/>
      <c r="F1086" s="50">
        <v>11</v>
      </c>
      <c r="G1086" s="56">
        <v>150</v>
      </c>
      <c r="H1086" s="6">
        <v>145</v>
      </c>
    </row>
    <row r="1087" spans="1:8" s="5" customFormat="1" ht="29.25" hidden="1" customHeight="1" outlineLevel="1" x14ac:dyDescent="0.25">
      <c r="A1087" s="42">
        <v>9724</v>
      </c>
      <c r="B1087" s="6" t="s">
        <v>38</v>
      </c>
      <c r="C1087" s="53" t="s">
        <v>1193</v>
      </c>
      <c r="D1087" s="6">
        <v>2021</v>
      </c>
      <c r="E1087" s="6"/>
      <c r="F1087" s="50">
        <v>10</v>
      </c>
      <c r="G1087" s="56">
        <v>150</v>
      </c>
      <c r="H1087" s="6">
        <v>147</v>
      </c>
    </row>
    <row r="1088" spans="1:8" s="5" customFormat="1" ht="29.25" hidden="1" customHeight="1" outlineLevel="1" x14ac:dyDescent="0.25">
      <c r="A1088" s="42">
        <v>9725</v>
      </c>
      <c r="B1088" s="6" t="s">
        <v>38</v>
      </c>
      <c r="C1088" s="53" t="s">
        <v>1194</v>
      </c>
      <c r="D1088" s="6">
        <v>2021</v>
      </c>
      <c r="E1088" s="6"/>
      <c r="F1088" s="50">
        <v>13</v>
      </c>
      <c r="G1088" s="6">
        <v>15</v>
      </c>
      <c r="H1088" s="6">
        <v>133</v>
      </c>
    </row>
    <row r="1089" spans="1:33" s="5" customFormat="1" ht="30.75" hidden="1" customHeight="1" outlineLevel="1" x14ac:dyDescent="0.25">
      <c r="A1089" s="42">
        <v>9355</v>
      </c>
      <c r="B1089" s="6" t="s">
        <v>38</v>
      </c>
      <c r="C1089" s="38" t="s">
        <v>1262</v>
      </c>
      <c r="D1089" s="6">
        <v>2021</v>
      </c>
      <c r="E1089" s="6"/>
      <c r="F1089" s="6">
        <v>1047</v>
      </c>
      <c r="G1089" s="6">
        <v>50</v>
      </c>
      <c r="H1089" s="6">
        <v>2143.3850000000002</v>
      </c>
    </row>
    <row r="1090" spans="1:33" s="5" customFormat="1" ht="30.75" hidden="1" customHeight="1" outlineLevel="1" x14ac:dyDescent="0.25">
      <c r="A1090" s="43">
        <v>428</v>
      </c>
      <c r="B1090" s="6" t="s">
        <v>38</v>
      </c>
      <c r="C1090" s="38" t="s">
        <v>1263</v>
      </c>
      <c r="D1090" s="6">
        <v>2021</v>
      </c>
      <c r="E1090" s="6"/>
      <c r="F1090" s="6">
        <v>740</v>
      </c>
      <c r="G1090" s="6">
        <v>200</v>
      </c>
      <c r="H1090" s="6">
        <v>1258.03</v>
      </c>
    </row>
    <row r="1091" spans="1:33" s="5" customFormat="1" ht="30.75" hidden="1" customHeight="1" outlineLevel="1" x14ac:dyDescent="0.25">
      <c r="A1091" s="43">
        <v>565</v>
      </c>
      <c r="B1091" s="6" t="s">
        <v>38</v>
      </c>
      <c r="C1091" s="38" t="s">
        <v>1265</v>
      </c>
      <c r="D1091" s="6">
        <v>2021</v>
      </c>
      <c r="E1091" s="6"/>
      <c r="F1091" s="6">
        <v>6</v>
      </c>
      <c r="G1091" s="6">
        <v>135</v>
      </c>
      <c r="H1091" s="6">
        <v>28.724</v>
      </c>
    </row>
    <row r="1092" spans="1:33" s="5" customFormat="1" ht="30.75" hidden="1" customHeight="1" outlineLevel="1" x14ac:dyDescent="0.25">
      <c r="A1092" s="43">
        <v>3800</v>
      </c>
      <c r="B1092" s="6" t="s">
        <v>38</v>
      </c>
      <c r="C1092" s="38" t="s">
        <v>1292</v>
      </c>
      <c r="D1092" s="6">
        <v>2021</v>
      </c>
      <c r="E1092" s="6"/>
      <c r="F1092" s="6">
        <v>11</v>
      </c>
      <c r="G1092" s="6">
        <v>30</v>
      </c>
      <c r="H1092" s="6">
        <v>96.647999999999996</v>
      </c>
    </row>
    <row r="1093" spans="1:33" s="5" customFormat="1" ht="30.75" hidden="1" customHeight="1" outlineLevel="1" x14ac:dyDescent="0.25">
      <c r="A1093" s="43">
        <v>9442</v>
      </c>
      <c r="B1093" s="6" t="s">
        <v>38</v>
      </c>
      <c r="C1093" s="38" t="s">
        <v>1293</v>
      </c>
      <c r="D1093" s="6">
        <v>2021</v>
      </c>
      <c r="E1093" s="6"/>
      <c r="F1093" s="6">
        <v>98</v>
      </c>
      <c r="G1093" s="6">
        <v>70</v>
      </c>
      <c r="H1093" s="6">
        <v>219.25899999999999</v>
      </c>
    </row>
    <row r="1094" spans="1:33" s="5" customFormat="1" ht="30.75" hidden="1" customHeight="1" outlineLevel="1" x14ac:dyDescent="0.25">
      <c r="A1094" s="43">
        <v>9372</v>
      </c>
      <c r="B1094" s="6" t="s">
        <v>38</v>
      </c>
      <c r="C1094" s="38" t="s">
        <v>1294</v>
      </c>
      <c r="D1094" s="6">
        <v>2021</v>
      </c>
      <c r="E1094" s="6"/>
      <c r="F1094" s="6">
        <v>5</v>
      </c>
      <c r="G1094" s="6">
        <v>210</v>
      </c>
      <c r="H1094" s="6">
        <v>332.62</v>
      </c>
    </row>
    <row r="1095" spans="1:33" s="5" customFormat="1" ht="30.75" hidden="1" customHeight="1" outlineLevel="1" x14ac:dyDescent="0.25">
      <c r="A1095" s="42">
        <v>9422</v>
      </c>
      <c r="B1095" s="6" t="s">
        <v>38</v>
      </c>
      <c r="C1095" s="38" t="s">
        <v>1276</v>
      </c>
      <c r="D1095" s="6">
        <v>2021</v>
      </c>
      <c r="E1095" s="6"/>
      <c r="F1095" s="6">
        <v>96</v>
      </c>
      <c r="G1095" s="6">
        <v>75</v>
      </c>
      <c r="H1095" s="6">
        <v>277.38400000000001</v>
      </c>
    </row>
    <row r="1096" spans="1:33" s="5" customFormat="1" ht="30.75" hidden="1" customHeight="1" outlineLevel="1" x14ac:dyDescent="0.25">
      <c r="A1096" s="42">
        <v>9371</v>
      </c>
      <c r="B1096" s="6" t="s">
        <v>38</v>
      </c>
      <c r="C1096" s="38" t="s">
        <v>1277</v>
      </c>
      <c r="D1096" s="6">
        <v>2021</v>
      </c>
      <c r="E1096" s="6"/>
      <c r="F1096" s="6">
        <v>38</v>
      </c>
      <c r="G1096" s="6">
        <v>30</v>
      </c>
      <c r="H1096" s="6">
        <v>190.11799999999999</v>
      </c>
    </row>
    <row r="1097" spans="1:33" s="5" customFormat="1" ht="18" customHeight="1" collapsed="1" x14ac:dyDescent="0.25">
      <c r="A1097" s="208"/>
      <c r="B1097" s="189" t="s">
        <v>39</v>
      </c>
      <c r="C1097" s="189" t="s">
        <v>3187</v>
      </c>
      <c r="D1097" s="189"/>
      <c r="E1097" s="174" t="s">
        <v>21</v>
      </c>
      <c r="F1097" s="174"/>
      <c r="G1097" s="174"/>
      <c r="H1097" s="174"/>
    </row>
    <row r="1098" spans="1:33" s="5" customFormat="1" ht="4.5" hidden="1" customHeight="1" x14ac:dyDescent="0.25">
      <c r="A1098" s="210"/>
      <c r="B1098" s="190"/>
      <c r="C1098" s="190"/>
      <c r="D1098" s="190"/>
      <c r="E1098" s="188"/>
      <c r="F1098" s="188"/>
      <c r="G1098" s="188"/>
      <c r="H1098" s="188"/>
    </row>
    <row r="1099" spans="1:33" s="13" customFormat="1" ht="25.5" customHeight="1" x14ac:dyDescent="0.25">
      <c r="A1099" s="209"/>
      <c r="B1099" s="191"/>
      <c r="C1099" s="191"/>
      <c r="D1099" s="191"/>
      <c r="E1099" s="175"/>
      <c r="F1099" s="175"/>
      <c r="G1099" s="175"/>
      <c r="H1099" s="175"/>
      <c r="I1099" s="5"/>
      <c r="J1099" s="5"/>
      <c r="K1099" s="5"/>
      <c r="L1099" s="5"/>
      <c r="M1099" s="5"/>
      <c r="N1099" s="5"/>
      <c r="O1099" s="5"/>
      <c r="P1099" s="5"/>
      <c r="Q1099" s="5"/>
      <c r="R1099" s="5"/>
      <c r="S1099" s="5"/>
      <c r="T1099" s="5"/>
      <c r="U1099" s="5"/>
      <c r="V1099" s="5"/>
      <c r="W1099" s="5"/>
      <c r="X1099" s="5"/>
      <c r="Y1099" s="5"/>
      <c r="Z1099" s="5"/>
      <c r="AA1099" s="5"/>
      <c r="AB1099" s="5"/>
      <c r="AC1099" s="5"/>
      <c r="AD1099" s="5"/>
      <c r="AE1099" s="5"/>
      <c r="AF1099" s="5"/>
      <c r="AG1099" s="5"/>
    </row>
    <row r="1100" spans="1:33" s="5" customFormat="1" ht="17.25" customHeight="1" x14ac:dyDescent="0.25">
      <c r="A1100" s="4"/>
      <c r="B1100" s="11" t="s">
        <v>39</v>
      </c>
      <c r="C1100" s="12" t="s">
        <v>1102</v>
      </c>
      <c r="D1100" s="11">
        <v>2020</v>
      </c>
      <c r="E1100" s="11" t="s">
        <v>21</v>
      </c>
      <c r="F1100" s="11">
        <f>SUMIF($D$1103:$D$1521,$D$1100,$F$1103:$F$1521)</f>
        <v>32241</v>
      </c>
      <c r="G1100" s="14">
        <f>SUMIF($D$1103:$D$1521,$D$1100,$G$1103:$G$1521)</f>
        <v>10033.6</v>
      </c>
      <c r="H1100" s="14">
        <f>SUMIF($D$1103:$D$1521,$D$1100,$H$1103:$H$1521)</f>
        <v>44460.89131000005</v>
      </c>
    </row>
    <row r="1101" spans="1:33" s="25" customFormat="1" ht="17.25" customHeight="1" x14ac:dyDescent="0.25">
      <c r="A1101" s="4"/>
      <c r="B1101" s="11" t="s">
        <v>39</v>
      </c>
      <c r="C1101" s="12" t="s">
        <v>1102</v>
      </c>
      <c r="D1101" s="11">
        <v>2021</v>
      </c>
      <c r="E1101" s="11" t="s">
        <v>21</v>
      </c>
      <c r="F1101" s="11">
        <f>SUMIF($D$1103:$D$1521,$D$1101,$F$1103:$F$1521)</f>
        <v>15580.4</v>
      </c>
      <c r="G1101" s="14">
        <f>SUMIF($D$1103:$D$1521,$D$1101,$G$1103:$G$1521)</f>
        <v>5403.2</v>
      </c>
      <c r="H1101" s="14">
        <f>SUMIF($D$1103:$D$1521,$D$1101,$H$1103:$H$1521)</f>
        <v>26584.632020000001</v>
      </c>
      <c r="I1101" s="5"/>
      <c r="J1101" s="5"/>
      <c r="K1101" s="5"/>
      <c r="L1101" s="5"/>
      <c r="M1101" s="5"/>
      <c r="N1101" s="5"/>
      <c r="O1101" s="5"/>
      <c r="P1101" s="5"/>
      <c r="Q1101" s="5"/>
      <c r="R1101" s="5"/>
      <c r="S1101" s="5"/>
      <c r="T1101" s="5"/>
      <c r="U1101" s="5"/>
      <c r="V1101" s="5"/>
      <c r="W1101" s="5"/>
      <c r="X1101" s="5"/>
      <c r="Y1101" s="5"/>
      <c r="Z1101" s="5"/>
      <c r="AA1101" s="5"/>
      <c r="AB1101" s="5"/>
      <c r="AC1101" s="5"/>
      <c r="AD1101" s="5"/>
      <c r="AE1101" s="5"/>
      <c r="AF1101" s="5"/>
      <c r="AG1101" s="5"/>
    </row>
    <row r="1102" spans="1:33" s="25" customFormat="1" ht="15.75" x14ac:dyDescent="0.25">
      <c r="A1102" s="4"/>
      <c r="B1102" s="11" t="s">
        <v>39</v>
      </c>
      <c r="C1102" s="12" t="s">
        <v>1102</v>
      </c>
      <c r="D1102" s="11">
        <v>2022</v>
      </c>
      <c r="E1102" s="11" t="s">
        <v>21</v>
      </c>
      <c r="F1102" s="11">
        <f>SUMIF($D$1103:$D$1521,$D$1102,$F$1103:$F$1521)</f>
        <v>24805</v>
      </c>
      <c r="G1102" s="14">
        <f>SUMIF($D$1103:$D$1521,$D$1102,$G$1103:$G$1521)</f>
        <v>9315.7000000000007</v>
      </c>
      <c r="H1102" s="14">
        <f>SUMIF($D$1103:$D$1521,$D$1102,$H$1103:$H$1521)</f>
        <v>48063.872039999987</v>
      </c>
      <c r="I1102" s="5"/>
      <c r="J1102" s="5"/>
      <c r="K1102" s="5"/>
      <c r="L1102" s="5"/>
      <c r="M1102" s="5"/>
      <c r="N1102" s="5"/>
      <c r="O1102" s="5"/>
      <c r="P1102" s="5"/>
      <c r="Q1102" s="5"/>
      <c r="R1102" s="5"/>
      <c r="S1102" s="5"/>
      <c r="T1102" s="5"/>
      <c r="U1102" s="5"/>
      <c r="V1102" s="5"/>
      <c r="W1102" s="5"/>
      <c r="X1102" s="5"/>
      <c r="Y1102" s="5"/>
      <c r="Z1102" s="5"/>
      <c r="AA1102" s="5"/>
      <c r="AB1102" s="5"/>
      <c r="AC1102" s="5"/>
      <c r="AD1102" s="5"/>
      <c r="AE1102" s="5"/>
      <c r="AF1102" s="5"/>
      <c r="AG1102" s="5"/>
    </row>
    <row r="1103" spans="1:33" s="5" customFormat="1" ht="42" hidden="1" customHeight="1" outlineLevel="1" x14ac:dyDescent="0.25">
      <c r="A1103" s="4">
        <v>2983</v>
      </c>
      <c r="B1103" s="4" t="s">
        <v>39</v>
      </c>
      <c r="C1103" s="38" t="s">
        <v>3993</v>
      </c>
      <c r="D1103" s="4">
        <v>2022</v>
      </c>
      <c r="E1103" s="4" t="s">
        <v>21</v>
      </c>
      <c r="F1103" s="4">
        <v>124</v>
      </c>
      <c r="G1103" s="4">
        <v>10</v>
      </c>
      <c r="H1103" s="4">
        <v>149.155</v>
      </c>
    </row>
    <row r="1104" spans="1:33" s="5" customFormat="1" ht="60" hidden="1" customHeight="1" outlineLevel="1" x14ac:dyDescent="0.25">
      <c r="A1104" s="4">
        <v>2985</v>
      </c>
      <c r="B1104" s="4" t="s">
        <v>39</v>
      </c>
      <c r="C1104" s="38" t="s">
        <v>3930</v>
      </c>
      <c r="D1104" s="4">
        <v>2022</v>
      </c>
      <c r="E1104" s="4" t="s">
        <v>21</v>
      </c>
      <c r="F1104" s="4">
        <v>4</v>
      </c>
      <c r="G1104" s="4">
        <v>150</v>
      </c>
      <c r="H1104" s="4">
        <f>0.107896*(1000)</f>
        <v>107.896</v>
      </c>
    </row>
    <row r="1105" spans="1:8" s="5" customFormat="1" ht="60" hidden="1" customHeight="1" outlineLevel="1" x14ac:dyDescent="0.25">
      <c r="A1105" s="4">
        <v>2815</v>
      </c>
      <c r="B1105" s="4" t="s">
        <v>39</v>
      </c>
      <c r="C1105" s="38" t="s">
        <v>3994</v>
      </c>
      <c r="D1105" s="4">
        <v>2022</v>
      </c>
      <c r="E1105" s="4" t="s">
        <v>21</v>
      </c>
      <c r="F1105" s="4">
        <v>281</v>
      </c>
      <c r="G1105" s="4">
        <v>15</v>
      </c>
      <c r="H1105" s="4">
        <f>0.55991*(1000)</f>
        <v>559.91</v>
      </c>
    </row>
    <row r="1106" spans="1:8" s="5" customFormat="1" ht="60" hidden="1" customHeight="1" outlineLevel="1" x14ac:dyDescent="0.25">
      <c r="A1106" s="4">
        <v>2839</v>
      </c>
      <c r="B1106" s="4" t="s">
        <v>39</v>
      </c>
      <c r="C1106" s="38" t="s">
        <v>3931</v>
      </c>
      <c r="D1106" s="4">
        <v>2022</v>
      </c>
      <c r="E1106" s="4" t="s">
        <v>21</v>
      </c>
      <c r="F1106" s="4">
        <v>693</v>
      </c>
      <c r="G1106" s="4">
        <v>55</v>
      </c>
      <c r="H1106" s="4">
        <f>1.48097*(1000)</f>
        <v>1480.9699999999998</v>
      </c>
    </row>
    <row r="1107" spans="1:8" s="5" customFormat="1" ht="60" hidden="1" customHeight="1" outlineLevel="1" x14ac:dyDescent="0.25">
      <c r="A1107" s="4">
        <v>2922</v>
      </c>
      <c r="B1107" s="4" t="s">
        <v>39</v>
      </c>
      <c r="C1107" s="38" t="s">
        <v>3995</v>
      </c>
      <c r="D1107" s="4">
        <v>2022</v>
      </c>
      <c r="E1107" s="4" t="s">
        <v>21</v>
      </c>
      <c r="F1107" s="4">
        <v>241</v>
      </c>
      <c r="G1107" s="4">
        <v>15</v>
      </c>
      <c r="H1107" s="4">
        <f>0.571178*(1000)</f>
        <v>571.178</v>
      </c>
    </row>
    <row r="1108" spans="1:8" s="5" customFormat="1" ht="60" hidden="1" customHeight="1" outlineLevel="1" x14ac:dyDescent="0.25">
      <c r="A1108" s="4">
        <v>2923</v>
      </c>
      <c r="B1108" s="4" t="s">
        <v>39</v>
      </c>
      <c r="C1108" s="38" t="s">
        <v>3996</v>
      </c>
      <c r="D1108" s="4">
        <v>2022</v>
      </c>
      <c r="E1108" s="4" t="s">
        <v>21</v>
      </c>
      <c r="F1108" s="4">
        <v>492</v>
      </c>
      <c r="G1108" s="4">
        <v>185</v>
      </c>
      <c r="H1108" s="4">
        <f>0.846673*(1000)</f>
        <v>846.673</v>
      </c>
    </row>
    <row r="1109" spans="1:8" s="5" customFormat="1" ht="60" hidden="1" customHeight="1" outlineLevel="1" x14ac:dyDescent="0.25">
      <c r="A1109" s="4">
        <v>2925</v>
      </c>
      <c r="B1109" s="4" t="s">
        <v>39</v>
      </c>
      <c r="C1109" s="38" t="s">
        <v>3997</v>
      </c>
      <c r="D1109" s="4">
        <v>2022</v>
      </c>
      <c r="E1109" s="4" t="s">
        <v>21</v>
      </c>
      <c r="F1109" s="4">
        <v>212</v>
      </c>
      <c r="G1109" s="4">
        <v>10</v>
      </c>
      <c r="H1109" s="4">
        <f>0.383587*(1000)</f>
        <v>383.58699999999999</v>
      </c>
    </row>
    <row r="1110" spans="1:8" s="5" customFormat="1" ht="60" hidden="1" customHeight="1" outlineLevel="1" x14ac:dyDescent="0.25">
      <c r="A1110" s="4">
        <v>2710</v>
      </c>
      <c r="B1110" s="4" t="s">
        <v>39</v>
      </c>
      <c r="C1110" s="38" t="s">
        <v>3932</v>
      </c>
      <c r="D1110" s="4">
        <v>2022</v>
      </c>
      <c r="E1110" s="4" t="s">
        <v>21</v>
      </c>
      <c r="F1110" s="4">
        <v>10</v>
      </c>
      <c r="G1110" s="4">
        <v>208.3</v>
      </c>
      <c r="H1110" s="4">
        <f>0.070715*(1000)</f>
        <v>70.715000000000003</v>
      </c>
    </row>
    <row r="1111" spans="1:8" s="5" customFormat="1" ht="60" hidden="1" customHeight="1" outlineLevel="1" x14ac:dyDescent="0.25">
      <c r="A1111" s="4">
        <v>2722</v>
      </c>
      <c r="B1111" s="4" t="s">
        <v>39</v>
      </c>
      <c r="C1111" s="38" t="s">
        <v>3934</v>
      </c>
      <c r="D1111" s="4">
        <v>2022</v>
      </c>
      <c r="E1111" s="4" t="s">
        <v>21</v>
      </c>
      <c r="F1111" s="4">
        <v>360</v>
      </c>
      <c r="G1111" s="4">
        <v>28</v>
      </c>
      <c r="H1111" s="4">
        <f>0.32012*(1000)</f>
        <v>320.12</v>
      </c>
    </row>
    <row r="1112" spans="1:8" s="5" customFormat="1" ht="60" hidden="1" customHeight="1" outlineLevel="1" x14ac:dyDescent="0.25">
      <c r="A1112" s="4">
        <v>2785</v>
      </c>
      <c r="B1112" s="4" t="s">
        <v>39</v>
      </c>
      <c r="C1112" s="38" t="s">
        <v>3998</v>
      </c>
      <c r="D1112" s="4">
        <v>2022</v>
      </c>
      <c r="E1112" s="4" t="s">
        <v>21</v>
      </c>
      <c r="F1112" s="4">
        <v>293</v>
      </c>
      <c r="G1112" s="4">
        <v>150</v>
      </c>
      <c r="H1112" s="4">
        <f>0.300512*(1000)</f>
        <v>300.512</v>
      </c>
    </row>
    <row r="1113" spans="1:8" s="5" customFormat="1" ht="60" hidden="1" customHeight="1" outlineLevel="1" x14ac:dyDescent="0.25">
      <c r="A1113" s="4">
        <v>2802</v>
      </c>
      <c r="B1113" s="4" t="s">
        <v>39</v>
      </c>
      <c r="C1113" s="38" t="s">
        <v>3999</v>
      </c>
      <c r="D1113" s="4">
        <v>2022</v>
      </c>
      <c r="E1113" s="4" t="s">
        <v>21</v>
      </c>
      <c r="F1113" s="4">
        <v>90</v>
      </c>
      <c r="G1113" s="4">
        <v>300</v>
      </c>
      <c r="H1113" s="4">
        <f>0.415138*(1000)</f>
        <v>415.13800000000003</v>
      </c>
    </row>
    <row r="1114" spans="1:8" s="5" customFormat="1" ht="60" hidden="1" customHeight="1" outlineLevel="1" x14ac:dyDescent="0.25">
      <c r="A1114" s="4">
        <v>2840</v>
      </c>
      <c r="B1114" s="4" t="s">
        <v>39</v>
      </c>
      <c r="C1114" s="38" t="s">
        <v>3935</v>
      </c>
      <c r="D1114" s="4">
        <v>2022</v>
      </c>
      <c r="E1114" s="4" t="s">
        <v>21</v>
      </c>
      <c r="F1114" s="4">
        <v>101</v>
      </c>
      <c r="G1114" s="4">
        <v>150</v>
      </c>
      <c r="H1114" s="4">
        <f>0.149757*(1000)</f>
        <v>149.75700000000001</v>
      </c>
    </row>
    <row r="1115" spans="1:8" s="5" customFormat="1" ht="60" hidden="1" customHeight="1" outlineLevel="1" x14ac:dyDescent="0.25">
      <c r="A1115" s="4">
        <v>2886</v>
      </c>
      <c r="B1115" s="4" t="s">
        <v>39</v>
      </c>
      <c r="C1115" s="38" t="s">
        <v>3936</v>
      </c>
      <c r="D1115" s="4">
        <v>2022</v>
      </c>
      <c r="E1115" s="4" t="s">
        <v>21</v>
      </c>
      <c r="F1115" s="4">
        <v>2</v>
      </c>
      <c r="G1115" s="4">
        <v>150</v>
      </c>
      <c r="H1115" s="4">
        <f>0.052974*(1000)</f>
        <v>52.974000000000004</v>
      </c>
    </row>
    <row r="1116" spans="1:8" s="5" customFormat="1" ht="60" hidden="1" customHeight="1" outlineLevel="1" x14ac:dyDescent="0.25">
      <c r="A1116" s="4">
        <v>2993</v>
      </c>
      <c r="B1116" s="4" t="s">
        <v>39</v>
      </c>
      <c r="C1116" s="38" t="s">
        <v>4000</v>
      </c>
      <c r="D1116" s="4">
        <v>2022</v>
      </c>
      <c r="E1116" s="4" t="s">
        <v>21</v>
      </c>
      <c r="F1116" s="4">
        <v>488</v>
      </c>
      <c r="G1116" s="4">
        <v>15</v>
      </c>
      <c r="H1116" s="4">
        <f>0.960191*(1000)</f>
        <v>960.19100000000003</v>
      </c>
    </row>
    <row r="1117" spans="1:8" s="5" customFormat="1" ht="60" hidden="1" customHeight="1" outlineLevel="1" x14ac:dyDescent="0.25">
      <c r="A1117" s="4">
        <v>3004</v>
      </c>
      <c r="B1117" s="4" t="s">
        <v>39</v>
      </c>
      <c r="C1117" s="38" t="s">
        <v>4001</v>
      </c>
      <c r="D1117" s="4">
        <v>2022</v>
      </c>
      <c r="E1117" s="4" t="s">
        <v>21</v>
      </c>
      <c r="F1117" s="4">
        <v>221</v>
      </c>
      <c r="G1117" s="4">
        <v>15</v>
      </c>
      <c r="H1117" s="4">
        <f>0.589733*(1000)</f>
        <v>589.73299999999995</v>
      </c>
    </row>
    <row r="1118" spans="1:8" s="5" customFormat="1" ht="60" hidden="1" customHeight="1" outlineLevel="1" x14ac:dyDescent="0.25">
      <c r="A1118" s="4">
        <v>3005</v>
      </c>
      <c r="B1118" s="4" t="s">
        <v>39</v>
      </c>
      <c r="C1118" s="38" t="s">
        <v>4002</v>
      </c>
      <c r="D1118" s="4">
        <v>2022</v>
      </c>
      <c r="E1118" s="4" t="s">
        <v>21</v>
      </c>
      <c r="F1118" s="4">
        <v>456</v>
      </c>
      <c r="G1118" s="4">
        <v>30</v>
      </c>
      <c r="H1118" s="4">
        <f>0.997065*(1000)</f>
        <v>997.06499999999994</v>
      </c>
    </row>
    <row r="1119" spans="1:8" s="5" customFormat="1" ht="60" hidden="1" customHeight="1" outlineLevel="1" x14ac:dyDescent="0.25">
      <c r="A1119" s="4">
        <v>2733</v>
      </c>
      <c r="B1119" s="4" t="s">
        <v>39</v>
      </c>
      <c r="C1119" s="38" t="s">
        <v>3937</v>
      </c>
      <c r="D1119" s="4">
        <v>2022</v>
      </c>
      <c r="E1119" s="4" t="s">
        <v>21</v>
      </c>
      <c r="F1119" s="4">
        <v>10</v>
      </c>
      <c r="G1119" s="4">
        <v>150</v>
      </c>
      <c r="H1119" s="4">
        <f>0.082817*(1000)</f>
        <v>82.817000000000007</v>
      </c>
    </row>
    <row r="1120" spans="1:8" s="5" customFormat="1" ht="60" hidden="1" customHeight="1" outlineLevel="1" x14ac:dyDescent="0.25">
      <c r="A1120" s="4">
        <v>2768</v>
      </c>
      <c r="B1120" s="4" t="s">
        <v>39</v>
      </c>
      <c r="C1120" s="38" t="s">
        <v>4003</v>
      </c>
      <c r="D1120" s="4">
        <v>2022</v>
      </c>
      <c r="E1120" s="4" t="s">
        <v>21</v>
      </c>
      <c r="F1120" s="4">
        <v>946</v>
      </c>
      <c r="G1120" s="4">
        <v>78</v>
      </c>
      <c r="H1120" s="4">
        <f>1.526081*(1000)</f>
        <v>1526.0810000000001</v>
      </c>
    </row>
    <row r="1121" spans="1:8" s="5" customFormat="1" ht="60" hidden="1" customHeight="1" outlineLevel="1" x14ac:dyDescent="0.25">
      <c r="A1121" s="4">
        <v>2769</v>
      </c>
      <c r="B1121" s="4" t="s">
        <v>39</v>
      </c>
      <c r="C1121" s="38" t="s">
        <v>4004</v>
      </c>
      <c r="D1121" s="4">
        <v>2022</v>
      </c>
      <c r="E1121" s="4" t="s">
        <v>21</v>
      </c>
      <c r="F1121" s="4">
        <v>550</v>
      </c>
      <c r="G1121" s="4">
        <v>60</v>
      </c>
      <c r="H1121" s="4">
        <f>0.819945*(1000)</f>
        <v>819.94500000000005</v>
      </c>
    </row>
    <row r="1122" spans="1:8" s="5" customFormat="1" ht="60" hidden="1" customHeight="1" outlineLevel="1" x14ac:dyDescent="0.25">
      <c r="A1122" s="4">
        <v>2811</v>
      </c>
      <c r="B1122" s="4" t="s">
        <v>39</v>
      </c>
      <c r="C1122" s="38" t="s">
        <v>4005</v>
      </c>
      <c r="D1122" s="4">
        <v>2022</v>
      </c>
      <c r="E1122" s="4" t="s">
        <v>21</v>
      </c>
      <c r="F1122" s="4">
        <v>287</v>
      </c>
      <c r="G1122" s="4">
        <v>45</v>
      </c>
      <c r="H1122" s="4">
        <f>0.450629*(1000)</f>
        <v>450.62900000000002</v>
      </c>
    </row>
    <row r="1123" spans="1:8" s="5" customFormat="1" ht="60" hidden="1" customHeight="1" outlineLevel="1" x14ac:dyDescent="0.25">
      <c r="A1123" s="4">
        <v>2919</v>
      </c>
      <c r="B1123" s="4" t="s">
        <v>39</v>
      </c>
      <c r="C1123" s="38" t="s">
        <v>3939</v>
      </c>
      <c r="D1123" s="4">
        <v>2022</v>
      </c>
      <c r="E1123" s="4" t="s">
        <v>21</v>
      </c>
      <c r="F1123" s="4">
        <v>134</v>
      </c>
      <c r="G1123" s="4">
        <v>30</v>
      </c>
      <c r="H1123" s="4">
        <f>0.337714*(1000)</f>
        <v>337.714</v>
      </c>
    </row>
    <row r="1124" spans="1:8" s="5" customFormat="1" ht="60" hidden="1" customHeight="1" outlineLevel="1" x14ac:dyDescent="0.25">
      <c r="A1124" s="4">
        <v>2920</v>
      </c>
      <c r="B1124" s="4" t="s">
        <v>39</v>
      </c>
      <c r="C1124" s="38" t="s">
        <v>3940</v>
      </c>
      <c r="D1124" s="4">
        <v>2022</v>
      </c>
      <c r="E1124" s="4" t="s">
        <v>21</v>
      </c>
      <c r="F1124" s="4">
        <v>79</v>
      </c>
      <c r="G1124" s="4">
        <v>15</v>
      </c>
      <c r="H1124" s="4">
        <f>0.227158*(1000)</f>
        <v>227.15799999999999</v>
      </c>
    </row>
    <row r="1125" spans="1:8" s="5" customFormat="1" ht="60" hidden="1" customHeight="1" outlineLevel="1" x14ac:dyDescent="0.25">
      <c r="A1125" s="4">
        <v>2731</v>
      </c>
      <c r="B1125" s="4" t="s">
        <v>39</v>
      </c>
      <c r="C1125" s="38" t="s">
        <v>3941</v>
      </c>
      <c r="D1125" s="4">
        <v>2022</v>
      </c>
      <c r="E1125" s="4" t="s">
        <v>21</v>
      </c>
      <c r="F1125" s="4">
        <v>420</v>
      </c>
      <c r="G1125" s="4">
        <v>215</v>
      </c>
      <c r="H1125" s="4">
        <f>0.8557861*(1000)</f>
        <v>855.78610000000003</v>
      </c>
    </row>
    <row r="1126" spans="1:8" s="5" customFormat="1" ht="60" hidden="1" customHeight="1" outlineLevel="1" x14ac:dyDescent="0.25">
      <c r="A1126" s="4">
        <v>4113</v>
      </c>
      <c r="B1126" s="4" t="s">
        <v>39</v>
      </c>
      <c r="C1126" s="38" t="s">
        <v>3942</v>
      </c>
      <c r="D1126" s="4">
        <v>2022</v>
      </c>
      <c r="E1126" s="4" t="s">
        <v>21</v>
      </c>
      <c r="F1126" s="4">
        <v>93</v>
      </c>
      <c r="G1126" s="4">
        <v>138</v>
      </c>
      <c r="H1126" s="4">
        <f>0.4588638*(1000)</f>
        <v>458.86379999999997</v>
      </c>
    </row>
    <row r="1127" spans="1:8" s="5" customFormat="1" ht="60" hidden="1" customHeight="1" outlineLevel="1" x14ac:dyDescent="0.25">
      <c r="A1127" s="4">
        <v>4117</v>
      </c>
      <c r="B1127" s="4" t="s">
        <v>39</v>
      </c>
      <c r="C1127" s="38" t="s">
        <v>4006</v>
      </c>
      <c r="D1127" s="4">
        <v>2022</v>
      </c>
      <c r="E1127" s="4" t="s">
        <v>21</v>
      </c>
      <c r="F1127" s="4">
        <v>864</v>
      </c>
      <c r="G1127" s="4">
        <v>300</v>
      </c>
      <c r="H1127" s="4">
        <f>1.45908565*(1000)</f>
        <v>1459.08565</v>
      </c>
    </row>
    <row r="1128" spans="1:8" s="5" customFormat="1" ht="60" hidden="1" customHeight="1" outlineLevel="1" x14ac:dyDescent="0.25">
      <c r="A1128" s="4">
        <v>2991</v>
      </c>
      <c r="B1128" s="4" t="s">
        <v>39</v>
      </c>
      <c r="C1128" s="38" t="s">
        <v>4007</v>
      </c>
      <c r="D1128" s="4">
        <v>2022</v>
      </c>
      <c r="E1128" s="4" t="s">
        <v>21</v>
      </c>
      <c r="F1128" s="4">
        <v>4</v>
      </c>
      <c r="G1128" s="4">
        <v>80</v>
      </c>
      <c r="H1128" s="4">
        <f>0.07980699*(1000)</f>
        <v>79.806989999999999</v>
      </c>
    </row>
    <row r="1129" spans="1:8" s="5" customFormat="1" ht="60" hidden="1" customHeight="1" outlineLevel="1" x14ac:dyDescent="0.25">
      <c r="A1129" s="4">
        <v>4125</v>
      </c>
      <c r="B1129" s="4" t="s">
        <v>39</v>
      </c>
      <c r="C1129" s="38" t="s">
        <v>4008</v>
      </c>
      <c r="D1129" s="4">
        <v>2022</v>
      </c>
      <c r="E1129" s="4" t="s">
        <v>21</v>
      </c>
      <c r="F1129" s="4">
        <v>183</v>
      </c>
      <c r="G1129" s="4">
        <v>90</v>
      </c>
      <c r="H1129" s="4">
        <f>0.2427585*(1000)</f>
        <v>242.7585</v>
      </c>
    </row>
    <row r="1130" spans="1:8" s="5" customFormat="1" ht="60" hidden="1" customHeight="1" outlineLevel="1" x14ac:dyDescent="0.25">
      <c r="A1130" s="4">
        <v>2719</v>
      </c>
      <c r="B1130" s="4" t="s">
        <v>39</v>
      </c>
      <c r="C1130" s="38" t="s">
        <v>4009</v>
      </c>
      <c r="D1130" s="4">
        <v>2022</v>
      </c>
      <c r="E1130" s="4" t="s">
        <v>21</v>
      </c>
      <c r="F1130" s="4">
        <v>143</v>
      </c>
      <c r="G1130" s="4">
        <v>15</v>
      </c>
      <c r="H1130" s="4">
        <f>0.20096355*(1000)</f>
        <v>200.96355</v>
      </c>
    </row>
    <row r="1131" spans="1:8" s="5" customFormat="1" ht="60" hidden="1" customHeight="1" outlineLevel="1" x14ac:dyDescent="0.25">
      <c r="A1131" s="4">
        <v>2727</v>
      </c>
      <c r="B1131" s="4" t="s">
        <v>39</v>
      </c>
      <c r="C1131" s="38" t="s">
        <v>4010</v>
      </c>
      <c r="D1131" s="4">
        <v>2022</v>
      </c>
      <c r="E1131" s="4" t="s">
        <v>21</v>
      </c>
      <c r="F1131" s="4">
        <v>60</v>
      </c>
      <c r="G1131" s="4">
        <v>58</v>
      </c>
      <c r="H1131" s="4">
        <f>0.13020589*(1000)</f>
        <v>130.20588999999998</v>
      </c>
    </row>
    <row r="1132" spans="1:8" s="5" customFormat="1" ht="60" hidden="1" customHeight="1" outlineLevel="1" x14ac:dyDescent="0.25">
      <c r="A1132" s="4">
        <v>2866</v>
      </c>
      <c r="B1132" s="4" t="s">
        <v>39</v>
      </c>
      <c r="C1132" s="38" t="s">
        <v>4011</v>
      </c>
      <c r="D1132" s="4">
        <v>2022</v>
      </c>
      <c r="E1132" s="4" t="s">
        <v>21</v>
      </c>
      <c r="F1132" s="4">
        <v>51</v>
      </c>
      <c r="G1132" s="4">
        <v>15</v>
      </c>
      <c r="H1132" s="4">
        <f>0.08350566*(1000)</f>
        <v>83.505659999999992</v>
      </c>
    </row>
    <row r="1133" spans="1:8" s="5" customFormat="1" ht="60" hidden="1" customHeight="1" outlineLevel="1" x14ac:dyDescent="0.25">
      <c r="A1133" s="4">
        <v>4224</v>
      </c>
      <c r="B1133" s="4" t="s">
        <v>39</v>
      </c>
      <c r="C1133" s="38" t="s">
        <v>4012</v>
      </c>
      <c r="D1133" s="4">
        <v>2022</v>
      </c>
      <c r="E1133" s="4" t="s">
        <v>21</v>
      </c>
      <c r="F1133" s="4">
        <v>437</v>
      </c>
      <c r="G1133" s="4">
        <v>104</v>
      </c>
      <c r="H1133" s="4">
        <f>0.72903087*(1000)</f>
        <v>729.03087000000005</v>
      </c>
    </row>
    <row r="1134" spans="1:8" s="5" customFormat="1" ht="60" hidden="1" customHeight="1" outlineLevel="1" x14ac:dyDescent="0.25">
      <c r="A1134" s="4">
        <v>4228</v>
      </c>
      <c r="B1134" s="4" t="s">
        <v>39</v>
      </c>
      <c r="C1134" s="38" t="s">
        <v>3945</v>
      </c>
      <c r="D1134" s="4">
        <v>2022</v>
      </c>
      <c r="E1134" s="4" t="s">
        <v>21</v>
      </c>
      <c r="F1134" s="4">
        <v>343</v>
      </c>
      <c r="G1134" s="4">
        <v>175</v>
      </c>
      <c r="H1134" s="4">
        <f>0.63464896*(1000)</f>
        <v>634.64895999999999</v>
      </c>
    </row>
    <row r="1135" spans="1:8" s="5" customFormat="1" ht="60" hidden="1" customHeight="1" outlineLevel="1" x14ac:dyDescent="0.25">
      <c r="A1135" s="4">
        <v>4547</v>
      </c>
      <c r="B1135" s="4" t="s">
        <v>39</v>
      </c>
      <c r="C1135" s="38" t="s">
        <v>4013</v>
      </c>
      <c r="D1135" s="4">
        <v>2022</v>
      </c>
      <c r="E1135" s="4" t="s">
        <v>21</v>
      </c>
      <c r="F1135" s="4">
        <v>102</v>
      </c>
      <c r="G1135" s="4">
        <v>140</v>
      </c>
      <c r="H1135" s="4">
        <f>0.21612972*(1000)</f>
        <v>216.12971999999999</v>
      </c>
    </row>
    <row r="1136" spans="1:8" s="5" customFormat="1" ht="60" hidden="1" customHeight="1" outlineLevel="1" x14ac:dyDescent="0.25">
      <c r="A1136" s="4">
        <v>4548</v>
      </c>
      <c r="B1136" s="4" t="s">
        <v>39</v>
      </c>
      <c r="C1136" s="38" t="s">
        <v>4014</v>
      </c>
      <c r="D1136" s="4">
        <v>2022</v>
      </c>
      <c r="E1136" s="4" t="s">
        <v>21</v>
      </c>
      <c r="F1136" s="4">
        <v>156</v>
      </c>
      <c r="G1136" s="4">
        <v>149</v>
      </c>
      <c r="H1136" s="4">
        <f>0.46560881*(1000)</f>
        <v>465.60881000000001</v>
      </c>
    </row>
    <row r="1137" spans="1:8" s="5" customFormat="1" ht="60" hidden="1" customHeight="1" outlineLevel="1" x14ac:dyDescent="0.25">
      <c r="A1137" s="4">
        <v>2712</v>
      </c>
      <c r="B1137" s="4" t="s">
        <v>39</v>
      </c>
      <c r="C1137" s="38" t="s">
        <v>3946</v>
      </c>
      <c r="D1137" s="4">
        <v>2022</v>
      </c>
      <c r="E1137" s="4" t="s">
        <v>21</v>
      </c>
      <c r="F1137" s="4">
        <v>6</v>
      </c>
      <c r="G1137" s="4">
        <v>300</v>
      </c>
      <c r="H1137" s="4">
        <f>0.098595*(1000)</f>
        <v>98.594999999999999</v>
      </c>
    </row>
    <row r="1138" spans="1:8" s="5" customFormat="1" ht="60" hidden="1" customHeight="1" outlineLevel="1" x14ac:dyDescent="0.25">
      <c r="A1138" s="4">
        <v>2881</v>
      </c>
      <c r="B1138" s="4" t="s">
        <v>39</v>
      </c>
      <c r="C1138" s="38" t="s">
        <v>4015</v>
      </c>
      <c r="D1138" s="4">
        <v>2022</v>
      </c>
      <c r="E1138" s="4" t="s">
        <v>21</v>
      </c>
      <c r="F1138" s="4">
        <v>16</v>
      </c>
      <c r="G1138" s="4">
        <v>130</v>
      </c>
      <c r="H1138" s="4">
        <f>0.107297*(1000)</f>
        <v>107.297</v>
      </c>
    </row>
    <row r="1139" spans="1:8" s="5" customFormat="1" ht="102" hidden="1" customHeight="1" outlineLevel="1" x14ac:dyDescent="0.25">
      <c r="A1139" s="4">
        <v>1433</v>
      </c>
      <c r="B1139" s="4" t="s">
        <v>39</v>
      </c>
      <c r="C1139" s="38" t="s">
        <v>3949</v>
      </c>
      <c r="D1139" s="4">
        <v>2022</v>
      </c>
      <c r="E1139" s="4" t="s">
        <v>21</v>
      </c>
      <c r="F1139" s="4">
        <v>536</v>
      </c>
      <c r="G1139" s="4">
        <v>180</v>
      </c>
      <c r="H1139" s="4">
        <v>1105.5056500000001</v>
      </c>
    </row>
    <row r="1140" spans="1:8" s="5" customFormat="1" ht="83.25" hidden="1" customHeight="1" outlineLevel="1" x14ac:dyDescent="0.25">
      <c r="A1140" s="4">
        <v>1487</v>
      </c>
      <c r="B1140" s="4" t="s">
        <v>39</v>
      </c>
      <c r="C1140" s="38" t="s">
        <v>3950</v>
      </c>
      <c r="D1140" s="4">
        <v>2022</v>
      </c>
      <c r="E1140" s="4" t="s">
        <v>21</v>
      </c>
      <c r="F1140" s="4">
        <v>13</v>
      </c>
      <c r="G1140" s="4">
        <v>150</v>
      </c>
      <c r="H1140" s="4">
        <v>57.103389999999997</v>
      </c>
    </row>
    <row r="1141" spans="1:8" s="5" customFormat="1" ht="83.25" hidden="1" customHeight="1" outlineLevel="1" x14ac:dyDescent="0.25">
      <c r="A1141" s="4">
        <v>1486</v>
      </c>
      <c r="B1141" s="4" t="s">
        <v>39</v>
      </c>
      <c r="C1141" s="38" t="s">
        <v>4016</v>
      </c>
      <c r="D1141" s="4">
        <v>2022</v>
      </c>
      <c r="E1141" s="4" t="s">
        <v>21</v>
      </c>
      <c r="F1141" s="4">
        <v>25</v>
      </c>
      <c r="G1141" s="4">
        <v>40</v>
      </c>
      <c r="H1141" s="4">
        <v>91.676680000000005</v>
      </c>
    </row>
    <row r="1142" spans="1:8" s="5" customFormat="1" ht="81.75" hidden="1" customHeight="1" outlineLevel="1" x14ac:dyDescent="0.25">
      <c r="A1142" s="4">
        <v>1206</v>
      </c>
      <c r="B1142" s="4" t="s">
        <v>39</v>
      </c>
      <c r="C1142" s="38" t="s">
        <v>3951</v>
      </c>
      <c r="D1142" s="4">
        <v>2022</v>
      </c>
      <c r="E1142" s="4" t="s">
        <v>21</v>
      </c>
      <c r="F1142" s="4">
        <v>43</v>
      </c>
      <c r="G1142" s="4">
        <v>150</v>
      </c>
      <c r="H1142" s="4">
        <v>201.99943999999999</v>
      </c>
    </row>
    <row r="1143" spans="1:8" s="5" customFormat="1" ht="78.75" hidden="1" customHeight="1" outlineLevel="1" x14ac:dyDescent="0.25">
      <c r="A1143" s="4">
        <v>1344</v>
      </c>
      <c r="B1143" s="4" t="s">
        <v>39</v>
      </c>
      <c r="C1143" s="38" t="s">
        <v>4017</v>
      </c>
      <c r="D1143" s="4">
        <v>2022</v>
      </c>
      <c r="E1143" s="4" t="s">
        <v>21</v>
      </c>
      <c r="F1143" s="4">
        <v>521</v>
      </c>
      <c r="G1143" s="4">
        <v>35</v>
      </c>
      <c r="H1143" s="4">
        <v>905.91094999999996</v>
      </c>
    </row>
    <row r="1144" spans="1:8" s="5" customFormat="1" ht="79.5" hidden="1" customHeight="1" outlineLevel="1" x14ac:dyDescent="0.25">
      <c r="A1144" s="4">
        <v>1464</v>
      </c>
      <c r="B1144" s="4" t="s">
        <v>39</v>
      </c>
      <c r="C1144" s="38" t="s">
        <v>4018</v>
      </c>
      <c r="D1144" s="4">
        <v>2022</v>
      </c>
      <c r="E1144" s="4" t="s">
        <v>21</v>
      </c>
      <c r="F1144" s="4">
        <v>1405</v>
      </c>
      <c r="G1144" s="4">
        <v>15</v>
      </c>
      <c r="H1144" s="4">
        <v>2626.9262800000001</v>
      </c>
    </row>
    <row r="1145" spans="1:8" s="5" customFormat="1" ht="72" hidden="1" customHeight="1" outlineLevel="1" x14ac:dyDescent="0.25">
      <c r="A1145" s="4">
        <v>1041</v>
      </c>
      <c r="B1145" s="4" t="s">
        <v>39</v>
      </c>
      <c r="C1145" s="38" t="s">
        <v>4019</v>
      </c>
      <c r="D1145" s="4">
        <v>2022</v>
      </c>
      <c r="E1145" s="4" t="s">
        <v>21</v>
      </c>
      <c r="F1145" s="4">
        <v>22</v>
      </c>
      <c r="G1145" s="4">
        <v>15</v>
      </c>
      <c r="H1145" s="4">
        <v>95.551180000000002</v>
      </c>
    </row>
    <row r="1146" spans="1:8" s="5" customFormat="1" ht="72" hidden="1" customHeight="1" outlineLevel="1" x14ac:dyDescent="0.25">
      <c r="A1146" s="4">
        <v>1720</v>
      </c>
      <c r="B1146" s="4" t="s">
        <v>39</v>
      </c>
      <c r="C1146" s="38" t="s">
        <v>4020</v>
      </c>
      <c r="D1146" s="4">
        <v>2022</v>
      </c>
      <c r="E1146" s="4" t="s">
        <v>21</v>
      </c>
      <c r="F1146" s="4">
        <v>985</v>
      </c>
      <c r="G1146" s="4">
        <v>15</v>
      </c>
      <c r="H1146" s="4">
        <v>1571.93254</v>
      </c>
    </row>
    <row r="1147" spans="1:8" s="5" customFormat="1" ht="68.25" hidden="1" customHeight="1" outlineLevel="1" x14ac:dyDescent="0.25">
      <c r="A1147" s="4">
        <v>1663</v>
      </c>
      <c r="B1147" s="4" t="s">
        <v>39</v>
      </c>
      <c r="C1147" s="38" t="s">
        <v>4021</v>
      </c>
      <c r="D1147" s="4">
        <v>2022</v>
      </c>
      <c r="E1147" s="4" t="s">
        <v>21</v>
      </c>
      <c r="F1147" s="4">
        <v>5</v>
      </c>
      <c r="G1147" s="4">
        <v>15</v>
      </c>
      <c r="H1147" s="4">
        <v>37.34102</v>
      </c>
    </row>
    <row r="1148" spans="1:8" s="5" customFormat="1" ht="17.25" hidden="1" customHeight="1" outlineLevel="1" x14ac:dyDescent="0.25">
      <c r="A1148" s="4">
        <v>451</v>
      </c>
      <c r="B1148" s="4" t="s">
        <v>39</v>
      </c>
      <c r="C1148" s="38" t="s">
        <v>3954</v>
      </c>
      <c r="D1148" s="4">
        <v>2022</v>
      </c>
      <c r="E1148" s="4" t="s">
        <v>21</v>
      </c>
      <c r="F1148" s="4">
        <v>5</v>
      </c>
      <c r="G1148" s="4">
        <v>150</v>
      </c>
      <c r="H1148" s="4">
        <v>47.984319999999997</v>
      </c>
    </row>
    <row r="1149" spans="1:8" s="5" customFormat="1" ht="17.25" hidden="1" customHeight="1" outlineLevel="1" x14ac:dyDescent="0.25">
      <c r="A1149" s="4">
        <v>533</v>
      </c>
      <c r="B1149" s="4" t="s">
        <v>39</v>
      </c>
      <c r="C1149" s="38" t="s">
        <v>4022</v>
      </c>
      <c r="D1149" s="4">
        <v>2022</v>
      </c>
      <c r="E1149" s="4" t="s">
        <v>21</v>
      </c>
      <c r="F1149" s="4">
        <v>756</v>
      </c>
      <c r="G1149" s="4">
        <v>15</v>
      </c>
      <c r="H1149" s="4">
        <v>1179.8443299999999</v>
      </c>
    </row>
    <row r="1150" spans="1:8" s="5" customFormat="1" ht="17.25" hidden="1" customHeight="1" outlineLevel="1" x14ac:dyDescent="0.25">
      <c r="A1150" s="4">
        <v>454</v>
      </c>
      <c r="B1150" s="4" t="s">
        <v>39</v>
      </c>
      <c r="C1150" s="38" t="s">
        <v>4023</v>
      </c>
      <c r="D1150" s="4">
        <v>2022</v>
      </c>
      <c r="E1150" s="4" t="s">
        <v>21</v>
      </c>
      <c r="F1150" s="4">
        <v>5</v>
      </c>
      <c r="G1150" s="4">
        <v>150</v>
      </c>
      <c r="H1150" s="4">
        <v>62.345739999999999</v>
      </c>
    </row>
    <row r="1151" spans="1:8" s="5" customFormat="1" ht="17.25" hidden="1" customHeight="1" outlineLevel="1" x14ac:dyDescent="0.25">
      <c r="A1151" s="4">
        <v>452</v>
      </c>
      <c r="B1151" s="4" t="s">
        <v>39</v>
      </c>
      <c r="C1151" s="38" t="s">
        <v>4024</v>
      </c>
      <c r="D1151" s="4">
        <v>2022</v>
      </c>
      <c r="E1151" s="4" t="s">
        <v>21</v>
      </c>
      <c r="F1151" s="4">
        <v>5</v>
      </c>
      <c r="G1151" s="4">
        <v>150</v>
      </c>
      <c r="H1151" s="4">
        <v>98.051509999999993</v>
      </c>
    </row>
    <row r="1152" spans="1:8" s="5" customFormat="1" ht="17.25" hidden="1" customHeight="1" outlineLevel="1" x14ac:dyDescent="0.25">
      <c r="A1152" s="4">
        <v>450</v>
      </c>
      <c r="B1152" s="4" t="s">
        <v>39</v>
      </c>
      <c r="C1152" s="38" t="s">
        <v>4025</v>
      </c>
      <c r="D1152" s="4">
        <v>2022</v>
      </c>
      <c r="E1152" s="4" t="s">
        <v>21</v>
      </c>
      <c r="F1152" s="4">
        <v>5</v>
      </c>
      <c r="G1152" s="4">
        <v>150</v>
      </c>
      <c r="H1152" s="4">
        <v>50.135429999999999</v>
      </c>
    </row>
    <row r="1153" spans="1:8" s="5" customFormat="1" ht="17.25" hidden="1" customHeight="1" outlineLevel="1" x14ac:dyDescent="0.25">
      <c r="A1153" s="4">
        <v>449</v>
      </c>
      <c r="B1153" s="4" t="s">
        <v>39</v>
      </c>
      <c r="C1153" s="38" t="s">
        <v>3953</v>
      </c>
      <c r="D1153" s="4">
        <v>2022</v>
      </c>
      <c r="E1153" s="4" t="s">
        <v>21</v>
      </c>
      <c r="F1153" s="4">
        <v>5</v>
      </c>
      <c r="G1153" s="4">
        <v>149</v>
      </c>
      <c r="H1153" s="4">
        <v>71.815870000000004</v>
      </c>
    </row>
    <row r="1154" spans="1:8" s="5" customFormat="1" ht="17.25" hidden="1" customHeight="1" outlineLevel="1" x14ac:dyDescent="0.25">
      <c r="A1154" s="4">
        <v>455</v>
      </c>
      <c r="B1154" s="4" t="s">
        <v>39</v>
      </c>
      <c r="C1154" s="38" t="s">
        <v>4026</v>
      </c>
      <c r="D1154" s="4">
        <v>2022</v>
      </c>
      <c r="E1154" s="4" t="s">
        <v>21</v>
      </c>
      <c r="F1154" s="4">
        <v>3</v>
      </c>
      <c r="G1154" s="4">
        <v>100</v>
      </c>
      <c r="H1154" s="4">
        <v>65.233199999999997</v>
      </c>
    </row>
    <row r="1155" spans="1:8" s="5" customFormat="1" ht="17.25" hidden="1" customHeight="1" outlineLevel="1" x14ac:dyDescent="0.25">
      <c r="A1155" s="4">
        <v>456</v>
      </c>
      <c r="B1155" s="4" t="s">
        <v>39</v>
      </c>
      <c r="C1155" s="38" t="s">
        <v>4027</v>
      </c>
      <c r="D1155" s="4">
        <v>2022</v>
      </c>
      <c r="E1155" s="4" t="s">
        <v>21</v>
      </c>
      <c r="F1155" s="4">
        <v>8</v>
      </c>
      <c r="G1155" s="4">
        <v>15</v>
      </c>
      <c r="H1155" s="4">
        <v>109.3719</v>
      </c>
    </row>
    <row r="1156" spans="1:8" s="5" customFormat="1" ht="17.25" hidden="1" customHeight="1" outlineLevel="1" x14ac:dyDescent="0.25">
      <c r="A1156" s="4">
        <v>479</v>
      </c>
      <c r="B1156" s="4" t="s">
        <v>39</v>
      </c>
      <c r="C1156" s="38" t="s">
        <v>4028</v>
      </c>
      <c r="D1156" s="4">
        <v>2022</v>
      </c>
      <c r="E1156" s="4" t="s">
        <v>21</v>
      </c>
      <c r="F1156" s="4">
        <v>70</v>
      </c>
      <c r="G1156" s="4">
        <v>10</v>
      </c>
      <c r="H1156" s="4">
        <v>105.50449999999999</v>
      </c>
    </row>
    <row r="1157" spans="1:8" s="5" customFormat="1" ht="17.25" hidden="1" customHeight="1" outlineLevel="1" x14ac:dyDescent="0.25">
      <c r="A1157" s="4">
        <v>561</v>
      </c>
      <c r="B1157" s="4" t="s">
        <v>39</v>
      </c>
      <c r="C1157" s="38" t="s">
        <v>4029</v>
      </c>
      <c r="D1157" s="4">
        <v>2022</v>
      </c>
      <c r="E1157" s="4" t="s">
        <v>21</v>
      </c>
      <c r="F1157" s="4">
        <v>307</v>
      </c>
      <c r="G1157" s="4">
        <v>15</v>
      </c>
      <c r="H1157" s="4">
        <v>483.40895999999998</v>
      </c>
    </row>
    <row r="1158" spans="1:8" s="5" customFormat="1" ht="17.25" hidden="1" customHeight="1" outlineLevel="1" x14ac:dyDescent="0.25">
      <c r="A1158" s="4">
        <v>562</v>
      </c>
      <c r="B1158" s="4" t="s">
        <v>39</v>
      </c>
      <c r="C1158" s="38" t="s">
        <v>4030</v>
      </c>
      <c r="D1158" s="4">
        <v>2022</v>
      </c>
      <c r="E1158" s="4" t="s">
        <v>21</v>
      </c>
      <c r="F1158" s="4">
        <v>783</v>
      </c>
      <c r="G1158" s="4">
        <v>15</v>
      </c>
      <c r="H1158" s="4">
        <v>1359.11429</v>
      </c>
    </row>
    <row r="1159" spans="1:8" s="5" customFormat="1" ht="17.25" hidden="1" customHeight="1" outlineLevel="1" x14ac:dyDescent="0.25">
      <c r="A1159" s="4">
        <v>461</v>
      </c>
      <c r="B1159" s="4" t="s">
        <v>39</v>
      </c>
      <c r="C1159" s="38" t="s">
        <v>3957</v>
      </c>
      <c r="D1159" s="4">
        <v>2022</v>
      </c>
      <c r="E1159" s="4" t="s">
        <v>21</v>
      </c>
      <c r="F1159" s="4">
        <v>481</v>
      </c>
      <c r="G1159" s="4">
        <v>87</v>
      </c>
      <c r="H1159" s="4">
        <v>1104.7075400000001</v>
      </c>
    </row>
    <row r="1160" spans="1:8" s="5" customFormat="1" ht="17.25" hidden="1" customHeight="1" outlineLevel="1" x14ac:dyDescent="0.25">
      <c r="A1160" s="4">
        <v>564</v>
      </c>
      <c r="B1160" s="4" t="s">
        <v>39</v>
      </c>
      <c r="C1160" s="38" t="s">
        <v>4031</v>
      </c>
      <c r="D1160" s="4">
        <v>2022</v>
      </c>
      <c r="E1160" s="4" t="s">
        <v>21</v>
      </c>
      <c r="F1160" s="4">
        <v>368</v>
      </c>
      <c r="G1160" s="4">
        <v>15</v>
      </c>
      <c r="H1160" s="4">
        <v>910.81111999999996</v>
      </c>
    </row>
    <row r="1161" spans="1:8" s="5" customFormat="1" ht="17.25" hidden="1" customHeight="1" outlineLevel="1" x14ac:dyDescent="0.25">
      <c r="A1161" s="4">
        <v>464</v>
      </c>
      <c r="B1161" s="4" t="s">
        <v>39</v>
      </c>
      <c r="C1161" s="38" t="s">
        <v>4032</v>
      </c>
      <c r="D1161" s="4">
        <v>2022</v>
      </c>
      <c r="E1161" s="4" t="s">
        <v>21</v>
      </c>
      <c r="F1161" s="4">
        <v>18</v>
      </c>
      <c r="G1161" s="4">
        <v>150</v>
      </c>
      <c r="H1161" s="4">
        <v>162.90213</v>
      </c>
    </row>
    <row r="1162" spans="1:8" s="5" customFormat="1" ht="17.25" hidden="1" customHeight="1" outlineLevel="1" x14ac:dyDescent="0.25">
      <c r="A1162" s="4">
        <v>471</v>
      </c>
      <c r="B1162" s="4" t="s">
        <v>39</v>
      </c>
      <c r="C1162" s="38" t="s">
        <v>4033</v>
      </c>
      <c r="D1162" s="4">
        <v>2022</v>
      </c>
      <c r="E1162" s="4" t="s">
        <v>21</v>
      </c>
      <c r="F1162" s="4">
        <v>3</v>
      </c>
      <c r="G1162" s="4">
        <v>150</v>
      </c>
      <c r="H1162" s="4">
        <v>63.11383</v>
      </c>
    </row>
    <row r="1163" spans="1:8" s="5" customFormat="1" ht="17.25" hidden="1" customHeight="1" outlineLevel="1" x14ac:dyDescent="0.25">
      <c r="A1163" s="4">
        <v>472</v>
      </c>
      <c r="B1163" s="4" t="s">
        <v>39</v>
      </c>
      <c r="C1163" s="38" t="s">
        <v>4034</v>
      </c>
      <c r="D1163" s="4">
        <v>2022</v>
      </c>
      <c r="E1163" s="4" t="s">
        <v>21</v>
      </c>
      <c r="F1163" s="4">
        <v>344</v>
      </c>
      <c r="G1163" s="4">
        <v>100</v>
      </c>
      <c r="H1163" s="4">
        <v>835.93847000000005</v>
      </c>
    </row>
    <row r="1164" spans="1:8" s="5" customFormat="1" ht="17.25" hidden="1" customHeight="1" outlineLevel="1" x14ac:dyDescent="0.25">
      <c r="A1164" s="4">
        <v>579</v>
      </c>
      <c r="B1164" s="4" t="s">
        <v>39</v>
      </c>
      <c r="C1164" s="38" t="s">
        <v>4035</v>
      </c>
      <c r="D1164" s="4">
        <v>2022</v>
      </c>
      <c r="E1164" s="4" t="s">
        <v>21</v>
      </c>
      <c r="F1164" s="4">
        <v>523</v>
      </c>
      <c r="G1164" s="4">
        <v>15</v>
      </c>
      <c r="H1164" s="4">
        <v>1223.0452700000001</v>
      </c>
    </row>
    <row r="1165" spans="1:8" s="5" customFormat="1" ht="17.25" hidden="1" customHeight="1" outlineLevel="1" x14ac:dyDescent="0.25">
      <c r="A1165" s="4">
        <v>5421</v>
      </c>
      <c r="B1165" s="4" t="s">
        <v>39</v>
      </c>
      <c r="C1165" s="38" t="s">
        <v>4036</v>
      </c>
      <c r="D1165" s="4">
        <v>2022</v>
      </c>
      <c r="E1165" s="4" t="s">
        <v>21</v>
      </c>
      <c r="F1165" s="4">
        <v>5</v>
      </c>
      <c r="G1165" s="4">
        <v>130</v>
      </c>
      <c r="H1165" s="4">
        <v>108.735</v>
      </c>
    </row>
    <row r="1166" spans="1:8" s="5" customFormat="1" ht="17.25" hidden="1" customHeight="1" outlineLevel="1" x14ac:dyDescent="0.25">
      <c r="A1166" s="4">
        <v>5417</v>
      </c>
      <c r="B1166" s="4" t="s">
        <v>39</v>
      </c>
      <c r="C1166" s="38" t="s">
        <v>3977</v>
      </c>
      <c r="D1166" s="4">
        <v>2022</v>
      </c>
      <c r="E1166" s="4" t="s">
        <v>21</v>
      </c>
      <c r="F1166" s="4">
        <v>53</v>
      </c>
      <c r="G1166" s="4">
        <v>159.69999999999999</v>
      </c>
      <c r="H1166" s="4">
        <v>467.64600000000002</v>
      </c>
    </row>
    <row r="1167" spans="1:8" s="5" customFormat="1" ht="17.25" hidden="1" customHeight="1" outlineLevel="1" x14ac:dyDescent="0.25">
      <c r="A1167" s="4">
        <v>5861</v>
      </c>
      <c r="B1167" s="4" t="s">
        <v>39</v>
      </c>
      <c r="C1167" s="38" t="s">
        <v>3978</v>
      </c>
      <c r="D1167" s="4">
        <v>2022</v>
      </c>
      <c r="E1167" s="4" t="s">
        <v>21</v>
      </c>
      <c r="F1167" s="4">
        <v>5</v>
      </c>
      <c r="G1167" s="4">
        <v>150</v>
      </c>
      <c r="H1167" s="4">
        <v>81.314999999999998</v>
      </c>
    </row>
    <row r="1168" spans="1:8" s="5" customFormat="1" ht="17.25" hidden="1" customHeight="1" outlineLevel="1" x14ac:dyDescent="0.25">
      <c r="A1168" s="4">
        <v>5421</v>
      </c>
      <c r="B1168" s="4" t="s">
        <v>39</v>
      </c>
      <c r="C1168" s="38" t="s">
        <v>4036</v>
      </c>
      <c r="D1168" s="4">
        <v>2022</v>
      </c>
      <c r="E1168" s="4" t="s">
        <v>21</v>
      </c>
      <c r="F1168" s="4">
        <v>5</v>
      </c>
      <c r="G1168" s="4">
        <v>130</v>
      </c>
      <c r="H1168" s="4">
        <v>108.735</v>
      </c>
    </row>
    <row r="1169" spans="1:8" s="5" customFormat="1" ht="17.25" hidden="1" customHeight="1" outlineLevel="1" x14ac:dyDescent="0.25">
      <c r="A1169" s="4">
        <v>5417</v>
      </c>
      <c r="B1169" s="4" t="s">
        <v>39</v>
      </c>
      <c r="C1169" s="38" t="s">
        <v>3977</v>
      </c>
      <c r="D1169" s="4">
        <v>2022</v>
      </c>
      <c r="E1169" s="4" t="s">
        <v>21</v>
      </c>
      <c r="F1169" s="4">
        <v>53</v>
      </c>
      <c r="G1169" s="4">
        <v>159.69999999999999</v>
      </c>
      <c r="H1169" s="4">
        <v>467.64600000000002</v>
      </c>
    </row>
    <row r="1170" spans="1:8" s="5" customFormat="1" ht="17.25" hidden="1" customHeight="1" outlineLevel="1" x14ac:dyDescent="0.25">
      <c r="A1170" s="4">
        <v>5861</v>
      </c>
      <c r="B1170" s="4" t="s">
        <v>39</v>
      </c>
      <c r="C1170" s="38" t="s">
        <v>3978</v>
      </c>
      <c r="D1170" s="4">
        <v>2022</v>
      </c>
      <c r="E1170" s="4" t="s">
        <v>21</v>
      </c>
      <c r="F1170" s="4">
        <v>5</v>
      </c>
      <c r="G1170" s="4">
        <v>150</v>
      </c>
      <c r="H1170" s="4">
        <v>81.314999999999998</v>
      </c>
    </row>
    <row r="1171" spans="1:8" s="5" customFormat="1" ht="17.25" hidden="1" customHeight="1" outlineLevel="1" x14ac:dyDescent="0.25">
      <c r="A1171" s="4">
        <v>139</v>
      </c>
      <c r="B1171" s="4" t="s">
        <v>39</v>
      </c>
      <c r="C1171" s="38" t="s">
        <v>4037</v>
      </c>
      <c r="D1171" s="4">
        <v>2022</v>
      </c>
      <c r="E1171" s="4" t="s">
        <v>21</v>
      </c>
      <c r="F1171" s="4">
        <v>791</v>
      </c>
      <c r="G1171" s="4">
        <v>15</v>
      </c>
      <c r="H1171" s="4">
        <v>625</v>
      </c>
    </row>
    <row r="1172" spans="1:8" s="5" customFormat="1" ht="17.25" hidden="1" customHeight="1" outlineLevel="1" x14ac:dyDescent="0.25">
      <c r="A1172" s="4">
        <v>180</v>
      </c>
      <c r="B1172" s="4" t="s">
        <v>39</v>
      </c>
      <c r="C1172" s="38" t="s">
        <v>4038</v>
      </c>
      <c r="D1172" s="4">
        <v>2022</v>
      </c>
      <c r="E1172" s="4" t="s">
        <v>21</v>
      </c>
      <c r="F1172" s="4">
        <v>5</v>
      </c>
      <c r="G1172" s="4">
        <v>50</v>
      </c>
      <c r="H1172" s="4">
        <v>59</v>
      </c>
    </row>
    <row r="1173" spans="1:8" s="5" customFormat="1" ht="17.25" hidden="1" customHeight="1" outlineLevel="1" x14ac:dyDescent="0.25">
      <c r="A1173" s="4">
        <v>100</v>
      </c>
      <c r="B1173" s="4" t="s">
        <v>39</v>
      </c>
      <c r="C1173" s="38" t="s">
        <v>4039</v>
      </c>
      <c r="D1173" s="4">
        <v>2022</v>
      </c>
      <c r="E1173" s="4" t="s">
        <v>21</v>
      </c>
      <c r="F1173" s="4">
        <v>3</v>
      </c>
      <c r="G1173" s="4">
        <v>150</v>
      </c>
      <c r="H1173" s="4">
        <v>37</v>
      </c>
    </row>
    <row r="1174" spans="1:8" s="5" customFormat="1" ht="17.25" hidden="1" customHeight="1" outlineLevel="1" x14ac:dyDescent="0.25">
      <c r="A1174" s="4">
        <v>17</v>
      </c>
      <c r="B1174" s="4" t="s">
        <v>39</v>
      </c>
      <c r="C1174" s="38" t="s">
        <v>4040</v>
      </c>
      <c r="D1174" s="4">
        <v>2022</v>
      </c>
      <c r="E1174" s="4" t="s">
        <v>21</v>
      </c>
      <c r="F1174" s="4">
        <v>259</v>
      </c>
      <c r="G1174" s="4">
        <v>265</v>
      </c>
      <c r="H1174" s="4">
        <v>641</v>
      </c>
    </row>
    <row r="1175" spans="1:8" s="5" customFormat="1" ht="17.25" hidden="1" customHeight="1" outlineLevel="1" x14ac:dyDescent="0.25">
      <c r="A1175" s="4">
        <v>130</v>
      </c>
      <c r="B1175" s="4" t="s">
        <v>39</v>
      </c>
      <c r="C1175" s="38" t="s">
        <v>3979</v>
      </c>
      <c r="D1175" s="4">
        <v>2022</v>
      </c>
      <c r="E1175" s="4" t="s">
        <v>21</v>
      </c>
      <c r="F1175" s="4">
        <v>269</v>
      </c>
      <c r="G1175" s="4">
        <v>30</v>
      </c>
      <c r="H1175" s="4">
        <v>612</v>
      </c>
    </row>
    <row r="1176" spans="1:8" s="5" customFormat="1" ht="17.25" hidden="1" customHeight="1" outlineLevel="1" x14ac:dyDescent="0.25">
      <c r="A1176" s="4">
        <v>153</v>
      </c>
      <c r="B1176" s="4" t="s">
        <v>39</v>
      </c>
      <c r="C1176" s="38" t="s">
        <v>3980</v>
      </c>
      <c r="D1176" s="4">
        <v>2022</v>
      </c>
      <c r="E1176" s="4" t="s">
        <v>21</v>
      </c>
      <c r="F1176" s="4">
        <v>5</v>
      </c>
      <c r="G1176" s="4">
        <v>150</v>
      </c>
      <c r="H1176" s="4">
        <v>72</v>
      </c>
    </row>
    <row r="1177" spans="1:8" s="5" customFormat="1" ht="17.25" hidden="1" customHeight="1" outlineLevel="1" x14ac:dyDescent="0.25">
      <c r="A1177" s="4">
        <v>282</v>
      </c>
      <c r="B1177" s="4" t="s">
        <v>39</v>
      </c>
      <c r="C1177" s="38" t="s">
        <v>3981</v>
      </c>
      <c r="D1177" s="4">
        <v>2022</v>
      </c>
      <c r="E1177" s="4" t="s">
        <v>21</v>
      </c>
      <c r="F1177" s="4">
        <v>3569</v>
      </c>
      <c r="G1177" s="4">
        <v>160</v>
      </c>
      <c r="H1177" s="4">
        <v>5036</v>
      </c>
    </row>
    <row r="1178" spans="1:8" s="5" customFormat="1" ht="17.25" hidden="1" customHeight="1" outlineLevel="1" x14ac:dyDescent="0.25">
      <c r="A1178" s="4">
        <v>284</v>
      </c>
      <c r="B1178" s="4" t="s">
        <v>39</v>
      </c>
      <c r="C1178" s="38" t="s">
        <v>4041</v>
      </c>
      <c r="D1178" s="4">
        <v>2022</v>
      </c>
      <c r="E1178" s="4" t="s">
        <v>21</v>
      </c>
      <c r="F1178" s="4">
        <v>3</v>
      </c>
      <c r="G1178" s="4">
        <v>150</v>
      </c>
      <c r="H1178" s="4">
        <v>60</v>
      </c>
    </row>
    <row r="1179" spans="1:8" s="5" customFormat="1" ht="17.25" hidden="1" customHeight="1" outlineLevel="1" x14ac:dyDescent="0.25">
      <c r="A1179" s="4">
        <v>224</v>
      </c>
      <c r="B1179" s="4" t="s">
        <v>39</v>
      </c>
      <c r="C1179" s="38" t="s">
        <v>3982</v>
      </c>
      <c r="D1179" s="4">
        <v>2022</v>
      </c>
      <c r="E1179" s="4" t="s">
        <v>21</v>
      </c>
      <c r="F1179" s="4">
        <v>3</v>
      </c>
      <c r="G1179" s="4">
        <v>15</v>
      </c>
      <c r="H1179" s="4">
        <v>68</v>
      </c>
    </row>
    <row r="1180" spans="1:8" s="5" customFormat="1" ht="17.25" hidden="1" customHeight="1" outlineLevel="1" x14ac:dyDescent="0.25">
      <c r="A1180" s="4">
        <v>261</v>
      </c>
      <c r="B1180" s="4" t="s">
        <v>39</v>
      </c>
      <c r="C1180" s="38" t="s">
        <v>4042</v>
      </c>
      <c r="D1180" s="4">
        <v>2022</v>
      </c>
      <c r="E1180" s="4" t="s">
        <v>21</v>
      </c>
      <c r="F1180" s="4">
        <v>5</v>
      </c>
      <c r="G1180" s="4">
        <v>25</v>
      </c>
      <c r="H1180" s="4">
        <v>35</v>
      </c>
    </row>
    <row r="1181" spans="1:8" s="5" customFormat="1" ht="17.25" hidden="1" customHeight="1" outlineLevel="1" x14ac:dyDescent="0.25">
      <c r="A1181" s="4">
        <v>302</v>
      </c>
      <c r="B1181" s="4" t="s">
        <v>39</v>
      </c>
      <c r="C1181" s="38" t="s">
        <v>3984</v>
      </c>
      <c r="D1181" s="4">
        <v>2022</v>
      </c>
      <c r="E1181" s="4" t="s">
        <v>21</v>
      </c>
      <c r="F1181" s="4">
        <v>300</v>
      </c>
      <c r="G1181" s="4">
        <v>150</v>
      </c>
      <c r="H1181" s="4">
        <v>170</v>
      </c>
    </row>
    <row r="1182" spans="1:8" s="5" customFormat="1" ht="17.25" hidden="1" customHeight="1" outlineLevel="1" x14ac:dyDescent="0.25">
      <c r="A1182" s="4">
        <v>400</v>
      </c>
      <c r="B1182" s="4" t="s">
        <v>39</v>
      </c>
      <c r="C1182" s="38" t="s">
        <v>3986</v>
      </c>
      <c r="D1182" s="4">
        <v>2022</v>
      </c>
      <c r="E1182" s="4" t="s">
        <v>21</v>
      </c>
      <c r="F1182" s="4">
        <v>3</v>
      </c>
      <c r="G1182" s="4">
        <v>300</v>
      </c>
      <c r="H1182" s="4">
        <v>110</v>
      </c>
    </row>
    <row r="1183" spans="1:8" s="5" customFormat="1" ht="17.25" hidden="1" customHeight="1" outlineLevel="1" x14ac:dyDescent="0.25">
      <c r="A1183" s="4">
        <v>402</v>
      </c>
      <c r="B1183" s="4" t="s">
        <v>39</v>
      </c>
      <c r="C1183" s="38" t="s">
        <v>3987</v>
      </c>
      <c r="D1183" s="4">
        <v>2022</v>
      </c>
      <c r="E1183" s="4" t="s">
        <v>21</v>
      </c>
      <c r="F1183" s="4">
        <v>802</v>
      </c>
      <c r="G1183" s="4">
        <v>447</v>
      </c>
      <c r="H1183" s="4">
        <v>2024</v>
      </c>
    </row>
    <row r="1184" spans="1:8" s="5" customFormat="1" ht="17.25" hidden="1" customHeight="1" outlineLevel="1" x14ac:dyDescent="0.25">
      <c r="A1184" s="4">
        <v>399</v>
      </c>
      <c r="B1184" s="4" t="s">
        <v>39</v>
      </c>
      <c r="C1184" s="38" t="s">
        <v>4043</v>
      </c>
      <c r="D1184" s="4">
        <v>2022</v>
      </c>
      <c r="E1184" s="4" t="s">
        <v>21</v>
      </c>
      <c r="F1184" s="4">
        <v>6</v>
      </c>
      <c r="G1184" s="4">
        <v>150</v>
      </c>
      <c r="H1184" s="4">
        <v>100</v>
      </c>
    </row>
    <row r="1185" spans="1:8" s="5" customFormat="1" ht="17.25" hidden="1" customHeight="1" outlineLevel="1" x14ac:dyDescent="0.25">
      <c r="A1185" s="4">
        <v>431</v>
      </c>
      <c r="B1185" s="4" t="s">
        <v>39</v>
      </c>
      <c r="C1185" s="38" t="s">
        <v>3988</v>
      </c>
      <c r="D1185" s="4">
        <v>2022</v>
      </c>
      <c r="E1185" s="4" t="s">
        <v>21</v>
      </c>
      <c r="F1185" s="4">
        <v>1649</v>
      </c>
      <c r="G1185" s="4">
        <v>405</v>
      </c>
      <c r="H1185" s="4">
        <v>3878</v>
      </c>
    </row>
    <row r="1186" spans="1:8" s="5" customFormat="1" ht="17.25" hidden="1" customHeight="1" outlineLevel="1" x14ac:dyDescent="0.25">
      <c r="A1186" s="4">
        <v>423</v>
      </c>
      <c r="B1186" s="4" t="s">
        <v>39</v>
      </c>
      <c r="C1186" s="38" t="s">
        <v>3989</v>
      </c>
      <c r="D1186" s="4">
        <v>2022</v>
      </c>
      <c r="E1186" s="4" t="s">
        <v>21</v>
      </c>
      <c r="F1186" s="4">
        <v>257</v>
      </c>
      <c r="G1186" s="4">
        <v>45</v>
      </c>
      <c r="H1186" s="4">
        <v>532</v>
      </c>
    </row>
    <row r="1187" spans="1:8" s="5" customFormat="1" ht="17.25" hidden="1" customHeight="1" outlineLevel="1" x14ac:dyDescent="0.25">
      <c r="A1187" s="4">
        <v>424</v>
      </c>
      <c r="B1187" s="4" t="s">
        <v>39</v>
      </c>
      <c r="C1187" s="38" t="s">
        <v>3990</v>
      </c>
      <c r="D1187" s="4">
        <v>2022</v>
      </c>
      <c r="E1187" s="4" t="s">
        <v>21</v>
      </c>
      <c r="F1187" s="4">
        <v>32</v>
      </c>
      <c r="G1187" s="4">
        <v>15</v>
      </c>
      <c r="H1187" s="4">
        <v>139</v>
      </c>
    </row>
    <row r="1188" spans="1:8" s="5" customFormat="1" ht="17.25" hidden="1" customHeight="1" outlineLevel="1" x14ac:dyDescent="0.25">
      <c r="A1188" s="4">
        <v>297</v>
      </c>
      <c r="B1188" s="4" t="s">
        <v>39</v>
      </c>
      <c r="C1188" s="38" t="s">
        <v>4044</v>
      </c>
      <c r="D1188" s="4">
        <v>2022</v>
      </c>
      <c r="E1188" s="4" t="s">
        <v>21</v>
      </c>
      <c r="F1188" s="4">
        <v>130</v>
      </c>
      <c r="G1188" s="4">
        <v>15</v>
      </c>
      <c r="H1188" s="4">
        <v>148</v>
      </c>
    </row>
    <row r="1189" spans="1:8" s="5" customFormat="1" ht="17.25" hidden="1" customHeight="1" outlineLevel="1" x14ac:dyDescent="0.25">
      <c r="A1189" s="4">
        <v>295</v>
      </c>
      <c r="B1189" s="4" t="s">
        <v>39</v>
      </c>
      <c r="C1189" s="38" t="s">
        <v>4045</v>
      </c>
      <c r="D1189" s="4">
        <v>2022</v>
      </c>
      <c r="E1189" s="4" t="s">
        <v>21</v>
      </c>
      <c r="F1189" s="4">
        <v>60</v>
      </c>
      <c r="G1189" s="4">
        <v>15</v>
      </c>
      <c r="H1189" s="4">
        <v>75</v>
      </c>
    </row>
    <row r="1190" spans="1:8" s="5" customFormat="1" ht="17.25" hidden="1" customHeight="1" outlineLevel="1" x14ac:dyDescent="0.25">
      <c r="A1190" s="4">
        <v>303</v>
      </c>
      <c r="B1190" s="4" t="s">
        <v>39</v>
      </c>
      <c r="C1190" s="38" t="s">
        <v>4046</v>
      </c>
      <c r="D1190" s="4">
        <v>2022</v>
      </c>
      <c r="E1190" s="4" t="s">
        <v>21</v>
      </c>
      <c r="F1190" s="4">
        <v>60</v>
      </c>
      <c r="G1190" s="4">
        <v>15</v>
      </c>
      <c r="H1190" s="4">
        <v>73</v>
      </c>
    </row>
    <row r="1191" spans="1:8" s="5" customFormat="1" ht="17.25" hidden="1" customHeight="1" outlineLevel="1" x14ac:dyDescent="0.25">
      <c r="A1191" s="4">
        <v>301</v>
      </c>
      <c r="B1191" s="4" t="s">
        <v>39</v>
      </c>
      <c r="C1191" s="38" t="s">
        <v>4047</v>
      </c>
      <c r="D1191" s="4">
        <v>2022</v>
      </c>
      <c r="E1191" s="4" t="s">
        <v>21</v>
      </c>
      <c r="F1191" s="4">
        <v>50</v>
      </c>
      <c r="G1191" s="4">
        <v>15</v>
      </c>
      <c r="H1191" s="4">
        <v>72</v>
      </c>
    </row>
    <row r="1192" spans="1:8" s="5" customFormat="1" ht="17.25" hidden="1" customHeight="1" outlineLevel="1" x14ac:dyDescent="0.25">
      <c r="A1192" s="4">
        <v>304</v>
      </c>
      <c r="B1192" s="4" t="s">
        <v>39</v>
      </c>
      <c r="C1192" s="38" t="s">
        <v>4048</v>
      </c>
      <c r="D1192" s="4">
        <v>2022</v>
      </c>
      <c r="E1192" s="4" t="s">
        <v>21</v>
      </c>
      <c r="F1192" s="4">
        <v>90</v>
      </c>
      <c r="G1192" s="4">
        <v>15</v>
      </c>
      <c r="H1192" s="4">
        <v>122</v>
      </c>
    </row>
    <row r="1193" spans="1:8" s="5" customFormat="1" ht="17.25" hidden="1" customHeight="1" outlineLevel="1" x14ac:dyDescent="0.25">
      <c r="A1193" s="4">
        <v>432</v>
      </c>
      <c r="B1193" s="4" t="s">
        <v>39</v>
      </c>
      <c r="C1193" s="38" t="s">
        <v>3992</v>
      </c>
      <c r="D1193" s="4">
        <v>2022</v>
      </c>
      <c r="E1193" s="4" t="s">
        <v>21</v>
      </c>
      <c r="F1193" s="4">
        <v>132</v>
      </c>
      <c r="G1193" s="4">
        <v>15</v>
      </c>
      <c r="H1193" s="4">
        <v>271</v>
      </c>
    </row>
    <row r="1194" spans="1:8" s="5" customFormat="1" ht="17.25" hidden="1" customHeight="1" outlineLevel="1" x14ac:dyDescent="0.25">
      <c r="A1194" s="4">
        <v>574</v>
      </c>
      <c r="B1194" s="4" t="s">
        <v>39</v>
      </c>
      <c r="C1194" s="38" t="s">
        <v>235</v>
      </c>
      <c r="D1194" s="4">
        <v>2020</v>
      </c>
      <c r="E1194" s="4"/>
      <c r="F1194" s="4">
        <v>5</v>
      </c>
      <c r="G1194" s="4">
        <v>15</v>
      </c>
      <c r="H1194" s="4">
        <v>48.928370000000001</v>
      </c>
    </row>
    <row r="1195" spans="1:8" s="5" customFormat="1" ht="17.25" hidden="1" customHeight="1" outlineLevel="1" x14ac:dyDescent="0.25">
      <c r="A1195" s="4">
        <v>1695</v>
      </c>
      <c r="B1195" s="4" t="s">
        <v>39</v>
      </c>
      <c r="C1195" s="38" t="s">
        <v>313</v>
      </c>
      <c r="D1195" s="4">
        <v>2020</v>
      </c>
      <c r="E1195" s="4"/>
      <c r="F1195" s="4">
        <v>34</v>
      </c>
      <c r="G1195" s="4">
        <v>15</v>
      </c>
      <c r="H1195" s="4">
        <v>35.742690000000003</v>
      </c>
    </row>
    <row r="1196" spans="1:8" s="5" customFormat="1" ht="17.25" hidden="1" customHeight="1" outlineLevel="1" x14ac:dyDescent="0.25">
      <c r="A1196" s="4">
        <v>1560</v>
      </c>
      <c r="B1196" s="4" t="s">
        <v>39</v>
      </c>
      <c r="C1196" s="38" t="s">
        <v>314</v>
      </c>
      <c r="D1196" s="4">
        <v>2020</v>
      </c>
      <c r="E1196" s="4"/>
      <c r="F1196" s="4">
        <v>5</v>
      </c>
      <c r="G1196" s="4">
        <v>15</v>
      </c>
      <c r="H1196" s="4">
        <v>55.847799999999999</v>
      </c>
    </row>
    <row r="1197" spans="1:8" s="5" customFormat="1" ht="17.25" hidden="1" customHeight="1" outlineLevel="1" x14ac:dyDescent="0.25">
      <c r="A1197" s="4">
        <v>1443</v>
      </c>
      <c r="B1197" s="4" t="s">
        <v>39</v>
      </c>
      <c r="C1197" s="38" t="s">
        <v>315</v>
      </c>
      <c r="D1197" s="4">
        <v>2020</v>
      </c>
      <c r="E1197" s="4"/>
      <c r="F1197" s="4">
        <v>120</v>
      </c>
      <c r="G1197" s="4">
        <v>15</v>
      </c>
      <c r="H1197" s="4">
        <v>157.02315999999999</v>
      </c>
    </row>
    <row r="1198" spans="1:8" s="5" customFormat="1" ht="17.25" hidden="1" customHeight="1" outlineLevel="1" x14ac:dyDescent="0.25">
      <c r="A1198" s="4">
        <v>1300</v>
      </c>
      <c r="B1198" s="4" t="s">
        <v>39</v>
      </c>
      <c r="C1198" s="38" t="s">
        <v>316</v>
      </c>
      <c r="D1198" s="4">
        <v>2020</v>
      </c>
      <c r="E1198" s="4"/>
      <c r="F1198" s="4">
        <v>300</v>
      </c>
      <c r="G1198" s="4">
        <v>10</v>
      </c>
      <c r="H1198" s="4">
        <v>305.33855999999997</v>
      </c>
    </row>
    <row r="1199" spans="1:8" s="5" customFormat="1" ht="17.25" hidden="1" customHeight="1" outlineLevel="1" x14ac:dyDescent="0.25">
      <c r="A1199" s="4">
        <v>1698</v>
      </c>
      <c r="B1199" s="4" t="s">
        <v>39</v>
      </c>
      <c r="C1199" s="38" t="s">
        <v>317</v>
      </c>
      <c r="D1199" s="4">
        <v>2020</v>
      </c>
      <c r="E1199" s="4"/>
      <c r="F1199" s="4">
        <v>212</v>
      </c>
      <c r="G1199" s="4">
        <v>15</v>
      </c>
      <c r="H1199" s="4">
        <v>313.96206000000001</v>
      </c>
    </row>
    <row r="1200" spans="1:8" s="5" customFormat="1" ht="17.25" hidden="1" customHeight="1" outlineLevel="1" x14ac:dyDescent="0.25">
      <c r="A1200" s="4">
        <v>968</v>
      </c>
      <c r="B1200" s="4" t="s">
        <v>39</v>
      </c>
      <c r="C1200" s="38" t="s">
        <v>318</v>
      </c>
      <c r="D1200" s="4">
        <v>2020</v>
      </c>
      <c r="E1200" s="4"/>
      <c r="F1200" s="4">
        <v>657</v>
      </c>
      <c r="G1200" s="4">
        <v>320</v>
      </c>
      <c r="H1200" s="4">
        <v>910.42943000000002</v>
      </c>
    </row>
    <row r="1201" spans="1:8" s="5" customFormat="1" ht="17.25" hidden="1" customHeight="1" outlineLevel="1" x14ac:dyDescent="0.25">
      <c r="A1201" s="4">
        <v>1646</v>
      </c>
      <c r="B1201" s="4" t="s">
        <v>39</v>
      </c>
      <c r="C1201" s="38" t="s">
        <v>319</v>
      </c>
      <c r="D1201" s="4">
        <v>2020</v>
      </c>
      <c r="E1201" s="4"/>
      <c r="F1201" s="4">
        <v>155</v>
      </c>
      <c r="G1201" s="4">
        <v>15</v>
      </c>
      <c r="H1201" s="4">
        <v>136.18190999999999</v>
      </c>
    </row>
    <row r="1202" spans="1:8" s="5" customFormat="1" ht="17.25" hidden="1" customHeight="1" outlineLevel="1" x14ac:dyDescent="0.25">
      <c r="A1202" s="4" t="s">
        <v>1113</v>
      </c>
      <c r="B1202" s="4" t="s">
        <v>39</v>
      </c>
      <c r="C1202" s="38" t="s">
        <v>320</v>
      </c>
      <c r="D1202" s="4">
        <v>2020</v>
      </c>
      <c r="E1202" s="4"/>
      <c r="F1202" s="4">
        <v>228</v>
      </c>
      <c r="G1202" s="4">
        <v>14</v>
      </c>
      <c r="H1202" s="4">
        <v>296.30198999999999</v>
      </c>
    </row>
    <row r="1203" spans="1:8" s="5" customFormat="1" ht="17.25" hidden="1" customHeight="1" outlineLevel="1" x14ac:dyDescent="0.25">
      <c r="A1203" s="4">
        <v>81</v>
      </c>
      <c r="B1203" s="4" t="s">
        <v>39</v>
      </c>
      <c r="C1203" s="38" t="s">
        <v>321</v>
      </c>
      <c r="D1203" s="4">
        <v>2020</v>
      </c>
      <c r="E1203" s="4"/>
      <c r="F1203" s="4">
        <v>128</v>
      </c>
      <c r="G1203" s="4">
        <v>50</v>
      </c>
      <c r="H1203" s="4">
        <v>201.39839000000001</v>
      </c>
    </row>
    <row r="1204" spans="1:8" s="5" customFormat="1" ht="17.25" hidden="1" customHeight="1" outlineLevel="1" x14ac:dyDescent="0.25">
      <c r="A1204" s="4">
        <v>82</v>
      </c>
      <c r="B1204" s="4" t="s">
        <v>39</v>
      </c>
      <c r="C1204" s="38" t="s">
        <v>322</v>
      </c>
      <c r="D1204" s="4">
        <v>2020</v>
      </c>
      <c r="E1204" s="4"/>
      <c r="F1204" s="4">
        <v>295</v>
      </c>
      <c r="G1204" s="4">
        <v>15</v>
      </c>
      <c r="H1204" s="4">
        <v>284.99220000000003</v>
      </c>
    </row>
    <row r="1205" spans="1:8" s="5" customFormat="1" ht="17.25" hidden="1" customHeight="1" outlineLevel="1" x14ac:dyDescent="0.25">
      <c r="A1205" s="4">
        <v>1585</v>
      </c>
      <c r="B1205" s="4" t="s">
        <v>39</v>
      </c>
      <c r="C1205" s="38" t="s">
        <v>323</v>
      </c>
      <c r="D1205" s="4">
        <v>2020</v>
      </c>
      <c r="E1205" s="4"/>
      <c r="F1205" s="4">
        <v>40</v>
      </c>
      <c r="G1205" s="4">
        <v>10</v>
      </c>
      <c r="H1205" s="4">
        <v>109.12599</v>
      </c>
    </row>
    <row r="1206" spans="1:8" s="5" customFormat="1" ht="17.25" hidden="1" customHeight="1" outlineLevel="1" x14ac:dyDescent="0.25">
      <c r="A1206" s="4">
        <v>88</v>
      </c>
      <c r="B1206" s="4" t="s">
        <v>39</v>
      </c>
      <c r="C1206" s="38" t="s">
        <v>324</v>
      </c>
      <c r="D1206" s="4">
        <v>2020</v>
      </c>
      <c r="E1206" s="4"/>
      <c r="F1206" s="4">
        <v>170</v>
      </c>
      <c r="G1206" s="4">
        <v>30</v>
      </c>
      <c r="H1206" s="4">
        <v>195.87756999999999</v>
      </c>
    </row>
    <row r="1207" spans="1:8" s="5" customFormat="1" ht="17.25" hidden="1" customHeight="1" outlineLevel="1" x14ac:dyDescent="0.25">
      <c r="A1207" s="4">
        <v>1516</v>
      </c>
      <c r="B1207" s="4" t="s">
        <v>39</v>
      </c>
      <c r="C1207" s="38" t="s">
        <v>325</v>
      </c>
      <c r="D1207" s="4">
        <v>2020</v>
      </c>
      <c r="E1207" s="4"/>
      <c r="F1207" s="4">
        <v>702</v>
      </c>
      <c r="G1207" s="4">
        <v>15</v>
      </c>
      <c r="H1207" s="4">
        <v>797.85046999999997</v>
      </c>
    </row>
    <row r="1208" spans="1:8" s="5" customFormat="1" ht="17.25" hidden="1" customHeight="1" outlineLevel="1" x14ac:dyDescent="0.25">
      <c r="A1208" s="4">
        <v>97</v>
      </c>
      <c r="B1208" s="4" t="s">
        <v>39</v>
      </c>
      <c r="C1208" s="38" t="s">
        <v>326</v>
      </c>
      <c r="D1208" s="4">
        <v>2020</v>
      </c>
      <c r="E1208" s="4"/>
      <c r="F1208" s="4">
        <v>228</v>
      </c>
      <c r="G1208" s="4">
        <v>12</v>
      </c>
      <c r="H1208" s="4">
        <v>358.14747999999997</v>
      </c>
    </row>
    <row r="1209" spans="1:8" s="5" customFormat="1" ht="17.25" hidden="1" customHeight="1" outlineLevel="1" x14ac:dyDescent="0.25">
      <c r="A1209" s="4">
        <v>1613</v>
      </c>
      <c r="B1209" s="4" t="s">
        <v>39</v>
      </c>
      <c r="C1209" s="38" t="s">
        <v>327</v>
      </c>
      <c r="D1209" s="4">
        <v>2020</v>
      </c>
      <c r="E1209" s="4"/>
      <c r="F1209" s="4">
        <v>276</v>
      </c>
      <c r="G1209" s="4">
        <v>150</v>
      </c>
      <c r="H1209" s="4">
        <v>293.16669000000002</v>
      </c>
    </row>
    <row r="1210" spans="1:8" s="5" customFormat="1" ht="17.25" hidden="1" customHeight="1" outlineLevel="1" x14ac:dyDescent="0.25">
      <c r="A1210" s="4">
        <v>106</v>
      </c>
      <c r="B1210" s="4" t="s">
        <v>39</v>
      </c>
      <c r="C1210" s="38" t="s">
        <v>328</v>
      </c>
      <c r="D1210" s="4">
        <v>2020</v>
      </c>
      <c r="E1210" s="4"/>
      <c r="F1210" s="4">
        <v>5</v>
      </c>
      <c r="G1210" s="4">
        <v>80</v>
      </c>
      <c r="H1210" s="4">
        <v>49.809429999999999</v>
      </c>
    </row>
    <row r="1211" spans="1:8" s="5" customFormat="1" ht="17.25" hidden="1" customHeight="1" outlineLevel="1" x14ac:dyDescent="0.25">
      <c r="A1211" s="4" t="s">
        <v>1114</v>
      </c>
      <c r="B1211" s="4" t="s">
        <v>39</v>
      </c>
      <c r="C1211" s="38" t="s">
        <v>329</v>
      </c>
      <c r="D1211" s="4">
        <v>2020</v>
      </c>
      <c r="E1211" s="4"/>
      <c r="F1211" s="4">
        <v>254</v>
      </c>
      <c r="G1211" s="4">
        <v>15</v>
      </c>
      <c r="H1211" s="4">
        <v>245.20121</v>
      </c>
    </row>
    <row r="1212" spans="1:8" s="5" customFormat="1" ht="17.25" hidden="1" customHeight="1" outlineLevel="1" x14ac:dyDescent="0.25">
      <c r="A1212" s="4">
        <v>108</v>
      </c>
      <c r="B1212" s="4" t="s">
        <v>39</v>
      </c>
      <c r="C1212" s="38" t="s">
        <v>330</v>
      </c>
      <c r="D1212" s="4">
        <v>2020</v>
      </c>
      <c r="E1212" s="4"/>
      <c r="F1212" s="4">
        <v>83</v>
      </c>
      <c r="G1212" s="4">
        <v>12</v>
      </c>
      <c r="H1212" s="4">
        <v>165.10551000000001</v>
      </c>
    </row>
    <row r="1213" spans="1:8" s="5" customFormat="1" ht="17.25" hidden="1" customHeight="1" outlineLevel="1" x14ac:dyDescent="0.25">
      <c r="A1213" s="4">
        <v>1580</v>
      </c>
      <c r="B1213" s="4" t="s">
        <v>39</v>
      </c>
      <c r="C1213" s="38" t="s">
        <v>331</v>
      </c>
      <c r="D1213" s="4">
        <v>2020</v>
      </c>
      <c r="E1213" s="4"/>
      <c r="F1213" s="4">
        <v>219</v>
      </c>
      <c r="G1213" s="4">
        <v>15</v>
      </c>
      <c r="H1213" s="4">
        <v>238.51772</v>
      </c>
    </row>
    <row r="1214" spans="1:8" s="5" customFormat="1" ht="17.25" hidden="1" customHeight="1" outlineLevel="1" x14ac:dyDescent="0.25">
      <c r="A1214" s="4">
        <v>1581</v>
      </c>
      <c r="B1214" s="4" t="s">
        <v>39</v>
      </c>
      <c r="C1214" s="38" t="s">
        <v>332</v>
      </c>
      <c r="D1214" s="4">
        <v>2020</v>
      </c>
      <c r="E1214" s="4"/>
      <c r="F1214" s="4">
        <v>112</v>
      </c>
      <c r="G1214" s="4">
        <v>10</v>
      </c>
      <c r="H1214" s="4">
        <v>244.22693000000001</v>
      </c>
    </row>
    <row r="1215" spans="1:8" s="5" customFormat="1" ht="17.25" hidden="1" customHeight="1" outlineLevel="1" x14ac:dyDescent="0.25">
      <c r="A1215" s="4">
        <v>1579</v>
      </c>
      <c r="B1215" s="4" t="s">
        <v>39</v>
      </c>
      <c r="C1215" s="38" t="s">
        <v>333</v>
      </c>
      <c r="D1215" s="4">
        <v>2020</v>
      </c>
      <c r="E1215" s="4"/>
      <c r="F1215" s="4">
        <v>237</v>
      </c>
      <c r="G1215" s="4">
        <v>12</v>
      </c>
      <c r="H1215" s="4">
        <v>259.61502000000002</v>
      </c>
    </row>
    <row r="1216" spans="1:8" s="5" customFormat="1" ht="17.25" hidden="1" customHeight="1" outlineLevel="1" x14ac:dyDescent="0.25">
      <c r="A1216" s="4">
        <v>118</v>
      </c>
      <c r="B1216" s="4" t="s">
        <v>39</v>
      </c>
      <c r="C1216" s="38" t="s">
        <v>334</v>
      </c>
      <c r="D1216" s="4">
        <v>2020</v>
      </c>
      <c r="E1216" s="4"/>
      <c r="F1216" s="4">
        <v>205</v>
      </c>
      <c r="G1216" s="4">
        <v>14</v>
      </c>
      <c r="H1216" s="4">
        <v>252.82854</v>
      </c>
    </row>
    <row r="1217" spans="1:8" s="5" customFormat="1" ht="17.25" hidden="1" customHeight="1" outlineLevel="1" x14ac:dyDescent="0.25">
      <c r="A1217" s="4">
        <v>1489</v>
      </c>
      <c r="B1217" s="4" t="s">
        <v>39</v>
      </c>
      <c r="C1217" s="38" t="s">
        <v>335</v>
      </c>
      <c r="D1217" s="4">
        <v>2020</v>
      </c>
      <c r="E1217" s="4"/>
      <c r="F1217" s="4">
        <v>150</v>
      </c>
      <c r="G1217" s="4">
        <v>15</v>
      </c>
      <c r="H1217" s="4">
        <v>220.27188000000001</v>
      </c>
    </row>
    <row r="1218" spans="1:8" s="5" customFormat="1" ht="17.25" hidden="1" customHeight="1" outlineLevel="1" x14ac:dyDescent="0.25">
      <c r="A1218" s="4">
        <v>115</v>
      </c>
      <c r="B1218" s="4" t="s">
        <v>39</v>
      </c>
      <c r="C1218" s="38" t="s">
        <v>336</v>
      </c>
      <c r="D1218" s="4">
        <v>2020</v>
      </c>
      <c r="E1218" s="4"/>
      <c r="F1218" s="4">
        <v>62</v>
      </c>
      <c r="G1218" s="4">
        <v>10</v>
      </c>
      <c r="H1218" s="4">
        <v>142.99288999999999</v>
      </c>
    </row>
    <row r="1219" spans="1:8" s="5" customFormat="1" ht="17.25" hidden="1" customHeight="1" outlineLevel="1" x14ac:dyDescent="0.25">
      <c r="A1219" s="4">
        <v>130</v>
      </c>
      <c r="B1219" s="4" t="s">
        <v>39</v>
      </c>
      <c r="C1219" s="38" t="s">
        <v>337</v>
      </c>
      <c r="D1219" s="4">
        <v>2020</v>
      </c>
      <c r="E1219" s="4"/>
      <c r="F1219" s="4">
        <v>167</v>
      </c>
      <c r="G1219" s="4">
        <v>15</v>
      </c>
      <c r="H1219" s="4">
        <v>281.54426999999998</v>
      </c>
    </row>
    <row r="1220" spans="1:8" s="5" customFormat="1" ht="17.25" hidden="1" customHeight="1" outlineLevel="1" x14ac:dyDescent="0.25">
      <c r="A1220" s="4">
        <v>1464</v>
      </c>
      <c r="B1220" s="4" t="s">
        <v>39</v>
      </c>
      <c r="C1220" s="38" t="s">
        <v>338</v>
      </c>
      <c r="D1220" s="4">
        <v>2020</v>
      </c>
      <c r="E1220" s="4"/>
      <c r="F1220" s="4">
        <v>122</v>
      </c>
      <c r="G1220" s="4">
        <v>15</v>
      </c>
      <c r="H1220" s="4">
        <v>194.98347999999999</v>
      </c>
    </row>
    <row r="1221" spans="1:8" s="5" customFormat="1" ht="17.25" hidden="1" customHeight="1" outlineLevel="1" x14ac:dyDescent="0.25">
      <c r="A1221" s="4">
        <v>133</v>
      </c>
      <c r="B1221" s="4" t="s">
        <v>39</v>
      </c>
      <c r="C1221" s="38" t="s">
        <v>339</v>
      </c>
      <c r="D1221" s="4">
        <v>2020</v>
      </c>
      <c r="E1221" s="4"/>
      <c r="F1221" s="4">
        <v>250</v>
      </c>
      <c r="G1221" s="4">
        <v>10</v>
      </c>
      <c r="H1221" s="4">
        <v>355.26956999999999</v>
      </c>
    </row>
    <row r="1222" spans="1:8" s="5" customFormat="1" ht="17.25" hidden="1" customHeight="1" outlineLevel="1" x14ac:dyDescent="0.25">
      <c r="A1222" s="4">
        <v>122</v>
      </c>
      <c r="B1222" s="4" t="s">
        <v>39</v>
      </c>
      <c r="C1222" s="38" t="s">
        <v>340</v>
      </c>
      <c r="D1222" s="4">
        <v>2020</v>
      </c>
      <c r="E1222" s="4"/>
      <c r="F1222" s="4">
        <v>30</v>
      </c>
      <c r="G1222" s="4">
        <v>14</v>
      </c>
      <c r="H1222" s="4">
        <v>104.25218</v>
      </c>
    </row>
    <row r="1223" spans="1:8" s="5" customFormat="1" ht="17.25" hidden="1" customHeight="1" outlineLevel="1" x14ac:dyDescent="0.25">
      <c r="A1223" s="4">
        <v>132</v>
      </c>
      <c r="B1223" s="4" t="s">
        <v>39</v>
      </c>
      <c r="C1223" s="38" t="s">
        <v>341</v>
      </c>
      <c r="D1223" s="4">
        <v>2020</v>
      </c>
      <c r="E1223" s="4"/>
      <c r="F1223" s="4">
        <v>51</v>
      </c>
      <c r="G1223" s="4">
        <v>10</v>
      </c>
      <c r="H1223" s="4">
        <v>131.95724999999999</v>
      </c>
    </row>
    <row r="1224" spans="1:8" s="5" customFormat="1" ht="17.25" hidden="1" customHeight="1" outlineLevel="1" x14ac:dyDescent="0.25">
      <c r="A1224" s="4">
        <v>121</v>
      </c>
      <c r="B1224" s="4" t="s">
        <v>39</v>
      </c>
      <c r="C1224" s="38" t="s">
        <v>342</v>
      </c>
      <c r="D1224" s="4">
        <v>2020</v>
      </c>
      <c r="E1224" s="4"/>
      <c r="F1224" s="4">
        <v>7</v>
      </c>
      <c r="G1224" s="4">
        <v>150</v>
      </c>
      <c r="H1224" s="4">
        <v>27.233229999999999</v>
      </c>
    </row>
    <row r="1225" spans="1:8" s="5" customFormat="1" ht="17.25" hidden="1" customHeight="1" outlineLevel="1" x14ac:dyDescent="0.25">
      <c r="A1225" s="4">
        <v>1444</v>
      </c>
      <c r="B1225" s="4" t="s">
        <v>39</v>
      </c>
      <c r="C1225" s="38" t="s">
        <v>343</v>
      </c>
      <c r="D1225" s="4">
        <v>2020</v>
      </c>
      <c r="E1225" s="4"/>
      <c r="F1225" s="4">
        <v>193</v>
      </c>
      <c r="G1225" s="4">
        <v>28</v>
      </c>
      <c r="H1225" s="4">
        <v>247.17671999999999</v>
      </c>
    </row>
    <row r="1226" spans="1:8" s="5" customFormat="1" ht="17.25" hidden="1" customHeight="1" outlineLevel="1" x14ac:dyDescent="0.25">
      <c r="A1226" s="4" t="s">
        <v>1115</v>
      </c>
      <c r="B1226" s="4" t="s">
        <v>39</v>
      </c>
      <c r="C1226" s="38" t="s">
        <v>344</v>
      </c>
      <c r="D1226" s="4">
        <v>2020</v>
      </c>
      <c r="E1226" s="4"/>
      <c r="F1226" s="4">
        <v>78</v>
      </c>
      <c r="G1226" s="4">
        <v>15</v>
      </c>
      <c r="H1226" s="4">
        <v>216.40404000000001</v>
      </c>
    </row>
    <row r="1227" spans="1:8" s="5" customFormat="1" ht="17.25" hidden="1" customHeight="1" outlineLevel="1" x14ac:dyDescent="0.25">
      <c r="A1227" s="4">
        <v>113</v>
      </c>
      <c r="B1227" s="4" t="s">
        <v>39</v>
      </c>
      <c r="C1227" s="38" t="s">
        <v>345</v>
      </c>
      <c r="D1227" s="4">
        <v>2020</v>
      </c>
      <c r="E1227" s="4"/>
      <c r="F1227" s="4">
        <v>214</v>
      </c>
      <c r="G1227" s="4">
        <v>10</v>
      </c>
      <c r="H1227" s="4">
        <v>268.85187999999999</v>
      </c>
    </row>
    <row r="1228" spans="1:8" s="5" customFormat="1" ht="17.25" hidden="1" customHeight="1" outlineLevel="1" x14ac:dyDescent="0.25">
      <c r="A1228" s="4">
        <v>1593</v>
      </c>
      <c r="B1228" s="4" t="s">
        <v>39</v>
      </c>
      <c r="C1228" s="38" t="s">
        <v>346</v>
      </c>
      <c r="D1228" s="4">
        <v>2020</v>
      </c>
      <c r="E1228" s="4"/>
      <c r="F1228" s="4">
        <v>128</v>
      </c>
      <c r="G1228" s="4">
        <v>30</v>
      </c>
      <c r="H1228" s="4">
        <v>245.62152</v>
      </c>
    </row>
    <row r="1229" spans="1:8" s="5" customFormat="1" ht="17.25" hidden="1" customHeight="1" outlineLevel="1" x14ac:dyDescent="0.25">
      <c r="A1229" s="4" t="s">
        <v>1116</v>
      </c>
      <c r="B1229" s="4" t="s">
        <v>39</v>
      </c>
      <c r="C1229" s="38" t="s">
        <v>347</v>
      </c>
      <c r="D1229" s="4">
        <v>2020</v>
      </c>
      <c r="E1229" s="4"/>
      <c r="F1229" s="4">
        <v>228</v>
      </c>
      <c r="G1229" s="4">
        <v>15</v>
      </c>
      <c r="H1229" s="4">
        <v>114.92923999999999</v>
      </c>
    </row>
    <row r="1230" spans="1:8" s="5" customFormat="1" ht="17.25" hidden="1" customHeight="1" outlineLevel="1" x14ac:dyDescent="0.25">
      <c r="A1230" s="4">
        <v>1460</v>
      </c>
      <c r="B1230" s="4" t="s">
        <v>39</v>
      </c>
      <c r="C1230" s="38" t="s">
        <v>348</v>
      </c>
      <c r="D1230" s="4">
        <v>2020</v>
      </c>
      <c r="E1230" s="4"/>
      <c r="F1230" s="4">
        <v>59</v>
      </c>
      <c r="G1230" s="4">
        <v>24</v>
      </c>
      <c r="H1230" s="4">
        <v>117.90259</v>
      </c>
    </row>
    <row r="1231" spans="1:8" s="5" customFormat="1" ht="17.25" hidden="1" customHeight="1" outlineLevel="1" x14ac:dyDescent="0.25">
      <c r="A1231" s="4">
        <v>1488</v>
      </c>
      <c r="B1231" s="4" t="s">
        <v>39</v>
      </c>
      <c r="C1231" s="38" t="s">
        <v>349</v>
      </c>
      <c r="D1231" s="4">
        <v>2020</v>
      </c>
      <c r="E1231" s="4"/>
      <c r="F1231" s="4">
        <v>60</v>
      </c>
      <c r="G1231" s="4">
        <v>12</v>
      </c>
      <c r="H1231" s="4">
        <v>187.20939999999999</v>
      </c>
    </row>
    <row r="1232" spans="1:8" s="5" customFormat="1" ht="17.25" hidden="1" customHeight="1" outlineLevel="1" x14ac:dyDescent="0.25">
      <c r="A1232" s="4">
        <v>1616</v>
      </c>
      <c r="B1232" s="4" t="s">
        <v>39</v>
      </c>
      <c r="C1232" s="38" t="s">
        <v>350</v>
      </c>
      <c r="D1232" s="4">
        <v>2020</v>
      </c>
      <c r="E1232" s="4"/>
      <c r="F1232" s="4">
        <v>269</v>
      </c>
      <c r="G1232" s="4">
        <v>18</v>
      </c>
      <c r="H1232" s="4">
        <v>205.0848</v>
      </c>
    </row>
    <row r="1233" spans="1:8" s="5" customFormat="1" ht="17.25" hidden="1" customHeight="1" outlineLevel="1" x14ac:dyDescent="0.25">
      <c r="A1233" s="4">
        <v>145</v>
      </c>
      <c r="B1233" s="4" t="s">
        <v>39</v>
      </c>
      <c r="C1233" s="38" t="s">
        <v>351</v>
      </c>
      <c r="D1233" s="4">
        <v>2020</v>
      </c>
      <c r="E1233" s="4"/>
      <c r="F1233" s="4">
        <v>177</v>
      </c>
      <c r="G1233" s="4">
        <v>12</v>
      </c>
      <c r="H1233" s="4">
        <v>227.3235</v>
      </c>
    </row>
    <row r="1234" spans="1:8" s="5" customFormat="1" ht="17.25" hidden="1" customHeight="1" outlineLevel="1" x14ac:dyDescent="0.25">
      <c r="A1234" s="4">
        <v>1568</v>
      </c>
      <c r="B1234" s="4" t="s">
        <v>39</v>
      </c>
      <c r="C1234" s="38" t="s">
        <v>352</v>
      </c>
      <c r="D1234" s="4">
        <v>2020</v>
      </c>
      <c r="E1234" s="4"/>
      <c r="F1234" s="4">
        <v>97</v>
      </c>
      <c r="G1234" s="4">
        <v>55</v>
      </c>
      <c r="H1234" s="4">
        <v>161.96113</v>
      </c>
    </row>
    <row r="1235" spans="1:8" s="5" customFormat="1" ht="17.25" hidden="1" customHeight="1" outlineLevel="1" x14ac:dyDescent="0.25">
      <c r="A1235" s="4">
        <v>1546</v>
      </c>
      <c r="B1235" s="4" t="s">
        <v>39</v>
      </c>
      <c r="C1235" s="38" t="s">
        <v>353</v>
      </c>
      <c r="D1235" s="4">
        <v>2020</v>
      </c>
      <c r="E1235" s="4"/>
      <c r="F1235" s="4">
        <v>99</v>
      </c>
      <c r="G1235" s="4">
        <v>10</v>
      </c>
      <c r="H1235" s="4">
        <v>233.83196000000001</v>
      </c>
    </row>
    <row r="1236" spans="1:8" s="5" customFormat="1" ht="17.25" hidden="1" customHeight="1" outlineLevel="1" x14ac:dyDescent="0.25">
      <c r="A1236" s="4">
        <v>1497</v>
      </c>
      <c r="B1236" s="4" t="s">
        <v>39</v>
      </c>
      <c r="C1236" s="38" t="s">
        <v>354</v>
      </c>
      <c r="D1236" s="4">
        <v>2020</v>
      </c>
      <c r="E1236" s="4"/>
      <c r="F1236" s="4">
        <v>186</v>
      </c>
      <c r="G1236" s="4">
        <v>24</v>
      </c>
      <c r="H1236" s="4">
        <v>185.10393999999999</v>
      </c>
    </row>
    <row r="1237" spans="1:8" s="5" customFormat="1" ht="17.25" hidden="1" customHeight="1" outlineLevel="1" x14ac:dyDescent="0.25">
      <c r="A1237" s="4">
        <v>1467</v>
      </c>
      <c r="B1237" s="4" t="s">
        <v>39</v>
      </c>
      <c r="C1237" s="38" t="s">
        <v>355</v>
      </c>
      <c r="D1237" s="4">
        <v>2020</v>
      </c>
      <c r="E1237" s="4"/>
      <c r="F1237" s="4">
        <v>63</v>
      </c>
      <c r="G1237" s="4">
        <v>15</v>
      </c>
      <c r="H1237" s="4">
        <v>129.51482999999999</v>
      </c>
    </row>
    <row r="1238" spans="1:8" s="5" customFormat="1" ht="17.25" hidden="1" customHeight="1" outlineLevel="1" x14ac:dyDescent="0.25">
      <c r="A1238" s="4">
        <v>189</v>
      </c>
      <c r="B1238" s="4" t="s">
        <v>39</v>
      </c>
      <c r="C1238" s="38" t="s">
        <v>356</v>
      </c>
      <c r="D1238" s="4">
        <v>2020</v>
      </c>
      <c r="E1238" s="4"/>
      <c r="F1238" s="4">
        <v>33</v>
      </c>
      <c r="G1238" s="4">
        <v>10</v>
      </c>
      <c r="H1238" s="4">
        <v>77.162970000000001</v>
      </c>
    </row>
    <row r="1239" spans="1:8" s="5" customFormat="1" ht="17.25" hidden="1" customHeight="1" outlineLevel="1" x14ac:dyDescent="0.25">
      <c r="A1239" s="4">
        <v>1545</v>
      </c>
      <c r="B1239" s="4" t="s">
        <v>39</v>
      </c>
      <c r="C1239" s="38" t="s">
        <v>357</v>
      </c>
      <c r="D1239" s="4">
        <v>2020</v>
      </c>
      <c r="E1239" s="4"/>
      <c r="F1239" s="4">
        <v>214</v>
      </c>
      <c r="G1239" s="4">
        <v>15</v>
      </c>
      <c r="H1239" s="4">
        <v>294.73066</v>
      </c>
    </row>
    <row r="1240" spans="1:8" s="5" customFormat="1" ht="17.25" hidden="1" customHeight="1" outlineLevel="1" x14ac:dyDescent="0.25">
      <c r="A1240" s="4">
        <v>171</v>
      </c>
      <c r="B1240" s="4" t="s">
        <v>39</v>
      </c>
      <c r="C1240" s="38" t="s">
        <v>358</v>
      </c>
      <c r="D1240" s="4">
        <v>2020</v>
      </c>
      <c r="E1240" s="4"/>
      <c r="F1240" s="4">
        <v>100</v>
      </c>
      <c r="G1240" s="4">
        <v>12</v>
      </c>
      <c r="H1240" s="4">
        <v>155.97581</v>
      </c>
    </row>
    <row r="1241" spans="1:8" s="5" customFormat="1" ht="17.25" hidden="1" customHeight="1" outlineLevel="1" x14ac:dyDescent="0.25">
      <c r="A1241" s="4" t="s">
        <v>1117</v>
      </c>
      <c r="B1241" s="4" t="s">
        <v>39</v>
      </c>
      <c r="C1241" s="38" t="s">
        <v>359</v>
      </c>
      <c r="D1241" s="4">
        <v>2020</v>
      </c>
      <c r="E1241" s="4"/>
      <c r="F1241" s="4">
        <v>22</v>
      </c>
      <c r="G1241" s="4">
        <v>12</v>
      </c>
      <c r="H1241" s="4">
        <v>96.926749999999998</v>
      </c>
    </row>
    <row r="1242" spans="1:8" s="5" customFormat="1" ht="17.25" hidden="1" customHeight="1" outlineLevel="1" x14ac:dyDescent="0.25">
      <c r="A1242" s="4">
        <v>1459</v>
      </c>
      <c r="B1242" s="4" t="s">
        <v>39</v>
      </c>
      <c r="C1242" s="38" t="s">
        <v>360</v>
      </c>
      <c r="D1242" s="4">
        <v>2020</v>
      </c>
      <c r="E1242" s="4"/>
      <c r="F1242" s="4">
        <v>41</v>
      </c>
      <c r="G1242" s="4">
        <v>15</v>
      </c>
      <c r="H1242" s="4">
        <v>70.742159999999998</v>
      </c>
    </row>
    <row r="1243" spans="1:8" s="5" customFormat="1" ht="17.25" hidden="1" customHeight="1" outlineLevel="1" x14ac:dyDescent="0.25">
      <c r="A1243" s="4">
        <v>180</v>
      </c>
      <c r="B1243" s="4" t="s">
        <v>39</v>
      </c>
      <c r="C1243" s="38" t="s">
        <v>361</v>
      </c>
      <c r="D1243" s="4">
        <v>2020</v>
      </c>
      <c r="E1243" s="4"/>
      <c r="F1243" s="4">
        <v>67</v>
      </c>
      <c r="G1243" s="4">
        <v>45</v>
      </c>
      <c r="H1243" s="4">
        <v>137.75781000000001</v>
      </c>
    </row>
    <row r="1244" spans="1:8" s="5" customFormat="1" ht="17.25" hidden="1" customHeight="1" outlineLevel="1" x14ac:dyDescent="0.25">
      <c r="A1244" s="4">
        <v>1465</v>
      </c>
      <c r="B1244" s="4" t="s">
        <v>39</v>
      </c>
      <c r="C1244" s="38" t="s">
        <v>362</v>
      </c>
      <c r="D1244" s="4">
        <v>2020</v>
      </c>
      <c r="E1244" s="4"/>
      <c r="F1244" s="4">
        <v>82</v>
      </c>
      <c r="G1244" s="4">
        <v>12</v>
      </c>
      <c r="H1244" s="4">
        <v>210.55180999999999</v>
      </c>
    </row>
    <row r="1245" spans="1:8" s="5" customFormat="1" ht="17.25" hidden="1" customHeight="1" outlineLevel="1" x14ac:dyDescent="0.25">
      <c r="A1245" s="4">
        <v>1587</v>
      </c>
      <c r="B1245" s="4" t="s">
        <v>39</v>
      </c>
      <c r="C1245" s="38" t="s">
        <v>363</v>
      </c>
      <c r="D1245" s="4">
        <v>2020</v>
      </c>
      <c r="E1245" s="4"/>
      <c r="F1245" s="4">
        <v>188</v>
      </c>
      <c r="G1245" s="4">
        <v>15</v>
      </c>
      <c r="H1245" s="4">
        <v>295.11923000000002</v>
      </c>
    </row>
    <row r="1246" spans="1:8" s="5" customFormat="1" ht="17.25" hidden="1" customHeight="1" outlineLevel="1" x14ac:dyDescent="0.25">
      <c r="A1246" s="4">
        <v>1461</v>
      </c>
      <c r="B1246" s="4" t="s">
        <v>39</v>
      </c>
      <c r="C1246" s="38" t="s">
        <v>364</v>
      </c>
      <c r="D1246" s="4">
        <v>2020</v>
      </c>
      <c r="E1246" s="4"/>
      <c r="F1246" s="4">
        <v>55</v>
      </c>
      <c r="G1246" s="4">
        <v>12</v>
      </c>
      <c r="H1246" s="4">
        <v>105.87845</v>
      </c>
    </row>
    <row r="1247" spans="1:8" s="5" customFormat="1" ht="17.25" hidden="1" customHeight="1" outlineLevel="1" x14ac:dyDescent="0.25">
      <c r="A1247" s="4">
        <v>1490</v>
      </c>
      <c r="B1247" s="4" t="s">
        <v>39</v>
      </c>
      <c r="C1247" s="38" t="s">
        <v>365</v>
      </c>
      <c r="D1247" s="4">
        <v>2020</v>
      </c>
      <c r="E1247" s="4"/>
      <c r="F1247" s="4">
        <v>164</v>
      </c>
      <c r="G1247" s="4">
        <v>10</v>
      </c>
      <c r="H1247" s="4">
        <v>179.09092000000001</v>
      </c>
    </row>
    <row r="1248" spans="1:8" s="5" customFormat="1" ht="17.25" hidden="1" customHeight="1" outlineLevel="1" x14ac:dyDescent="0.25">
      <c r="A1248" s="4">
        <v>1471</v>
      </c>
      <c r="B1248" s="4" t="s">
        <v>39</v>
      </c>
      <c r="C1248" s="38" t="s">
        <v>366</v>
      </c>
      <c r="D1248" s="4">
        <v>2020</v>
      </c>
      <c r="E1248" s="4"/>
      <c r="F1248" s="4">
        <v>52</v>
      </c>
      <c r="G1248" s="4">
        <v>14</v>
      </c>
      <c r="H1248" s="4">
        <v>118.71438999999999</v>
      </c>
    </row>
    <row r="1249" spans="1:8" s="5" customFormat="1" ht="17.25" hidden="1" customHeight="1" outlineLevel="1" x14ac:dyDescent="0.25">
      <c r="A1249" s="4">
        <v>290</v>
      </c>
      <c r="B1249" s="4" t="s">
        <v>39</v>
      </c>
      <c r="C1249" s="38" t="s">
        <v>367</v>
      </c>
      <c r="D1249" s="4">
        <v>2020</v>
      </c>
      <c r="E1249" s="4"/>
      <c r="F1249" s="4">
        <v>141</v>
      </c>
      <c r="G1249" s="4">
        <v>10</v>
      </c>
      <c r="H1249" s="4">
        <v>212.74207000000001</v>
      </c>
    </row>
    <row r="1250" spans="1:8" s="5" customFormat="1" ht="17.25" hidden="1" customHeight="1" outlineLevel="1" x14ac:dyDescent="0.25">
      <c r="A1250" s="4">
        <v>1699</v>
      </c>
      <c r="B1250" s="4" t="s">
        <v>39</v>
      </c>
      <c r="C1250" s="38" t="s">
        <v>368</v>
      </c>
      <c r="D1250" s="4">
        <v>2020</v>
      </c>
      <c r="E1250" s="4"/>
      <c r="F1250" s="4">
        <v>161</v>
      </c>
      <c r="G1250" s="4">
        <v>15</v>
      </c>
      <c r="H1250" s="4">
        <v>101.90846000000001</v>
      </c>
    </row>
    <row r="1251" spans="1:8" s="5" customFormat="1" ht="17.25" hidden="1" customHeight="1" outlineLevel="1" x14ac:dyDescent="0.25">
      <c r="A1251" s="4">
        <v>214</v>
      </c>
      <c r="B1251" s="4" t="s">
        <v>39</v>
      </c>
      <c r="C1251" s="38" t="s">
        <v>369</v>
      </c>
      <c r="D1251" s="4">
        <v>2020</v>
      </c>
      <c r="E1251" s="4"/>
      <c r="F1251" s="4">
        <v>5</v>
      </c>
      <c r="G1251" s="4">
        <v>15</v>
      </c>
      <c r="H1251" s="4">
        <v>38.225009999999997</v>
      </c>
    </row>
    <row r="1252" spans="1:8" s="5" customFormat="1" ht="17.25" hidden="1" customHeight="1" outlineLevel="1" x14ac:dyDescent="0.25">
      <c r="A1252" s="4">
        <v>1468</v>
      </c>
      <c r="B1252" s="4" t="s">
        <v>39</v>
      </c>
      <c r="C1252" s="38" t="s">
        <v>370</v>
      </c>
      <c r="D1252" s="4">
        <v>2020</v>
      </c>
      <c r="E1252" s="4"/>
      <c r="F1252" s="4">
        <v>100</v>
      </c>
      <c r="G1252" s="4">
        <v>12</v>
      </c>
      <c r="H1252" s="4">
        <v>143.09685999999999</v>
      </c>
    </row>
    <row r="1253" spans="1:8" s="5" customFormat="1" ht="17.25" hidden="1" customHeight="1" outlineLevel="1" x14ac:dyDescent="0.25">
      <c r="A1253" s="4">
        <v>283</v>
      </c>
      <c r="B1253" s="4" t="s">
        <v>39</v>
      </c>
      <c r="C1253" s="38" t="s">
        <v>371</v>
      </c>
      <c r="D1253" s="4">
        <v>2020</v>
      </c>
      <c r="E1253" s="4"/>
      <c r="F1253" s="4">
        <v>31</v>
      </c>
      <c r="G1253" s="4">
        <v>30</v>
      </c>
      <c r="H1253" s="4">
        <v>146.62916999999999</v>
      </c>
    </row>
    <row r="1254" spans="1:8" s="5" customFormat="1" ht="17.25" hidden="1" customHeight="1" outlineLevel="1" x14ac:dyDescent="0.25">
      <c r="A1254" s="4">
        <v>1504</v>
      </c>
      <c r="B1254" s="4" t="s">
        <v>39</v>
      </c>
      <c r="C1254" s="38" t="s">
        <v>372</v>
      </c>
      <c r="D1254" s="4">
        <v>2020</v>
      </c>
      <c r="E1254" s="4"/>
      <c r="F1254" s="4">
        <v>151</v>
      </c>
      <c r="G1254" s="4">
        <v>15</v>
      </c>
      <c r="H1254" s="4">
        <v>108.77113</v>
      </c>
    </row>
    <row r="1255" spans="1:8" s="5" customFormat="1" ht="17.25" hidden="1" customHeight="1" outlineLevel="1" x14ac:dyDescent="0.25">
      <c r="A1255" s="4" t="s">
        <v>1118</v>
      </c>
      <c r="B1255" s="4" t="s">
        <v>39</v>
      </c>
      <c r="C1255" s="38" t="s">
        <v>373</v>
      </c>
      <c r="D1255" s="4">
        <v>2020</v>
      </c>
      <c r="E1255" s="4"/>
      <c r="F1255" s="4">
        <v>210</v>
      </c>
      <c r="G1255" s="4">
        <v>30</v>
      </c>
      <c r="H1255" s="4">
        <v>197.91183000000001</v>
      </c>
    </row>
    <row r="1256" spans="1:8" s="5" customFormat="1" ht="17.25" hidden="1" customHeight="1" outlineLevel="1" x14ac:dyDescent="0.25">
      <c r="A1256" s="4">
        <v>284</v>
      </c>
      <c r="B1256" s="4" t="s">
        <v>39</v>
      </c>
      <c r="C1256" s="38" t="s">
        <v>374</v>
      </c>
      <c r="D1256" s="4">
        <v>2020</v>
      </c>
      <c r="E1256" s="4"/>
      <c r="F1256" s="4">
        <v>217</v>
      </c>
      <c r="G1256" s="4">
        <v>40</v>
      </c>
      <c r="H1256" s="4">
        <v>318.90409</v>
      </c>
    </row>
    <row r="1257" spans="1:8" s="5" customFormat="1" ht="17.25" hidden="1" customHeight="1" outlineLevel="1" x14ac:dyDescent="0.25">
      <c r="A1257" s="4">
        <v>1466</v>
      </c>
      <c r="B1257" s="4" t="s">
        <v>39</v>
      </c>
      <c r="C1257" s="38" t="s">
        <v>375</v>
      </c>
      <c r="D1257" s="4">
        <v>2020</v>
      </c>
      <c r="E1257" s="4"/>
      <c r="F1257" s="4">
        <v>40</v>
      </c>
      <c r="G1257" s="4">
        <v>10</v>
      </c>
      <c r="H1257" s="4">
        <v>154.48821000000001</v>
      </c>
    </row>
    <row r="1258" spans="1:8" s="5" customFormat="1" ht="17.25" hidden="1" customHeight="1" outlineLevel="1" x14ac:dyDescent="0.25">
      <c r="A1258" s="4">
        <v>289</v>
      </c>
      <c r="B1258" s="4" t="s">
        <v>39</v>
      </c>
      <c r="C1258" s="38" t="s">
        <v>376</v>
      </c>
      <c r="D1258" s="4">
        <v>2020</v>
      </c>
      <c r="E1258" s="4"/>
      <c r="F1258" s="4">
        <v>3</v>
      </c>
      <c r="G1258" s="4">
        <v>150</v>
      </c>
      <c r="H1258" s="4">
        <v>12.87265</v>
      </c>
    </row>
    <row r="1259" spans="1:8" s="5" customFormat="1" ht="17.25" hidden="1" customHeight="1" outlineLevel="1" x14ac:dyDescent="0.25">
      <c r="A1259" s="4">
        <v>1561</v>
      </c>
      <c r="B1259" s="4" t="s">
        <v>39</v>
      </c>
      <c r="C1259" s="38" t="s">
        <v>377</v>
      </c>
      <c r="D1259" s="4">
        <v>2020</v>
      </c>
      <c r="E1259" s="4"/>
      <c r="F1259" s="4">
        <v>94</v>
      </c>
      <c r="G1259" s="4">
        <v>140</v>
      </c>
      <c r="H1259" s="4">
        <v>141.48321999999999</v>
      </c>
    </row>
    <row r="1260" spans="1:8" s="5" customFormat="1" ht="17.25" hidden="1" customHeight="1" outlineLevel="1" x14ac:dyDescent="0.25">
      <c r="A1260" s="4">
        <v>1510</v>
      </c>
      <c r="B1260" s="4" t="s">
        <v>39</v>
      </c>
      <c r="C1260" s="38" t="s">
        <v>378</v>
      </c>
      <c r="D1260" s="4">
        <v>2020</v>
      </c>
      <c r="E1260" s="4"/>
      <c r="F1260" s="4">
        <v>400</v>
      </c>
      <c r="G1260" s="4">
        <v>10</v>
      </c>
      <c r="H1260" s="4">
        <v>527.24293999999998</v>
      </c>
    </row>
    <row r="1261" spans="1:8" s="5" customFormat="1" ht="17.25" hidden="1" customHeight="1" outlineLevel="1" x14ac:dyDescent="0.25">
      <c r="A1261" s="4">
        <v>1472</v>
      </c>
      <c r="B1261" s="4" t="s">
        <v>39</v>
      </c>
      <c r="C1261" s="38" t="s">
        <v>379</v>
      </c>
      <c r="D1261" s="4">
        <v>2020</v>
      </c>
      <c r="E1261" s="4"/>
      <c r="F1261" s="4">
        <v>59</v>
      </c>
      <c r="G1261" s="4">
        <v>10</v>
      </c>
      <c r="H1261" s="4">
        <v>153.86832000000001</v>
      </c>
    </row>
    <row r="1262" spans="1:8" s="5" customFormat="1" ht="17.25" hidden="1" customHeight="1" outlineLevel="1" x14ac:dyDescent="0.25">
      <c r="A1262" s="4">
        <v>1505</v>
      </c>
      <c r="B1262" s="4" t="s">
        <v>39</v>
      </c>
      <c r="C1262" s="38" t="s">
        <v>380</v>
      </c>
      <c r="D1262" s="4">
        <v>2020</v>
      </c>
      <c r="E1262" s="4"/>
      <c r="F1262" s="4">
        <v>84</v>
      </c>
      <c r="G1262" s="4">
        <v>14</v>
      </c>
      <c r="H1262" s="4">
        <v>280.19227999999998</v>
      </c>
    </row>
    <row r="1263" spans="1:8" s="5" customFormat="1" ht="17.25" hidden="1" customHeight="1" outlineLevel="1" x14ac:dyDescent="0.25">
      <c r="A1263" s="4">
        <v>354</v>
      </c>
      <c r="B1263" s="4" t="s">
        <v>39</v>
      </c>
      <c r="C1263" s="38" t="s">
        <v>381</v>
      </c>
      <c r="D1263" s="4">
        <v>2020</v>
      </c>
      <c r="E1263" s="4"/>
      <c r="F1263" s="4">
        <v>9</v>
      </c>
      <c r="G1263" s="4">
        <v>30</v>
      </c>
      <c r="H1263" s="4">
        <v>52.727519999999998</v>
      </c>
    </row>
    <row r="1264" spans="1:8" s="5" customFormat="1" ht="17.25" hidden="1" customHeight="1" outlineLevel="1" x14ac:dyDescent="0.25">
      <c r="A1264" s="4">
        <v>1530</v>
      </c>
      <c r="B1264" s="4" t="s">
        <v>39</v>
      </c>
      <c r="C1264" s="38" t="s">
        <v>382</v>
      </c>
      <c r="D1264" s="4">
        <v>2020</v>
      </c>
      <c r="E1264" s="4"/>
      <c r="F1264" s="4">
        <v>393</v>
      </c>
      <c r="G1264" s="4">
        <v>40</v>
      </c>
      <c r="H1264" s="4">
        <v>623.27395999999999</v>
      </c>
    </row>
    <row r="1265" spans="1:8" s="5" customFormat="1" ht="17.25" hidden="1" customHeight="1" outlineLevel="1" x14ac:dyDescent="0.25">
      <c r="A1265" s="4">
        <v>338</v>
      </c>
      <c r="B1265" s="4" t="s">
        <v>39</v>
      </c>
      <c r="C1265" s="38" t="s">
        <v>383</v>
      </c>
      <c r="D1265" s="4">
        <v>2020</v>
      </c>
      <c r="E1265" s="4"/>
      <c r="F1265" s="4">
        <v>770</v>
      </c>
      <c r="G1265" s="4">
        <v>30</v>
      </c>
      <c r="H1265" s="4">
        <v>951.31131000000005</v>
      </c>
    </row>
    <row r="1266" spans="1:8" s="5" customFormat="1" ht="17.25" hidden="1" customHeight="1" outlineLevel="1" x14ac:dyDescent="0.25">
      <c r="A1266" s="4">
        <v>368</v>
      </c>
      <c r="B1266" s="4" t="s">
        <v>39</v>
      </c>
      <c r="C1266" s="38" t="s">
        <v>384</v>
      </c>
      <c r="D1266" s="4">
        <v>2020</v>
      </c>
      <c r="E1266" s="4"/>
      <c r="F1266" s="4">
        <v>118</v>
      </c>
      <c r="G1266" s="4">
        <v>100</v>
      </c>
      <c r="H1266" s="4">
        <v>143.99861999999999</v>
      </c>
    </row>
    <row r="1267" spans="1:8" s="5" customFormat="1" ht="17.25" hidden="1" customHeight="1" outlineLevel="1" x14ac:dyDescent="0.25">
      <c r="A1267" s="4">
        <v>1520</v>
      </c>
      <c r="B1267" s="4" t="s">
        <v>39</v>
      </c>
      <c r="C1267" s="38" t="s">
        <v>385</v>
      </c>
      <c r="D1267" s="4">
        <v>2020</v>
      </c>
      <c r="E1267" s="4"/>
      <c r="F1267" s="4">
        <v>14</v>
      </c>
      <c r="G1267" s="4">
        <v>150</v>
      </c>
      <c r="H1267" s="4">
        <v>48.543289999999999</v>
      </c>
    </row>
    <row r="1268" spans="1:8" s="5" customFormat="1" ht="17.25" hidden="1" customHeight="1" outlineLevel="1" x14ac:dyDescent="0.25">
      <c r="A1268" s="4">
        <v>385</v>
      </c>
      <c r="B1268" s="4" t="s">
        <v>39</v>
      </c>
      <c r="C1268" s="38" t="s">
        <v>386</v>
      </c>
      <c r="D1268" s="4">
        <v>2020</v>
      </c>
      <c r="E1268" s="4"/>
      <c r="F1268" s="4">
        <v>112</v>
      </c>
      <c r="G1268" s="4">
        <v>80</v>
      </c>
      <c r="H1268" s="4">
        <v>383.22611999999998</v>
      </c>
    </row>
    <row r="1269" spans="1:8" s="5" customFormat="1" ht="17.25" hidden="1" customHeight="1" outlineLevel="1" x14ac:dyDescent="0.25">
      <c r="A1269" s="4">
        <v>1442</v>
      </c>
      <c r="B1269" s="4" t="s">
        <v>39</v>
      </c>
      <c r="C1269" s="38" t="s">
        <v>387</v>
      </c>
      <c r="D1269" s="4">
        <v>2020</v>
      </c>
      <c r="E1269" s="4"/>
      <c r="F1269" s="4">
        <v>69</v>
      </c>
      <c r="G1269" s="4">
        <v>15</v>
      </c>
      <c r="H1269" s="4">
        <v>162.23552000000001</v>
      </c>
    </row>
    <row r="1270" spans="1:8" s="5" customFormat="1" ht="17.25" hidden="1" customHeight="1" outlineLevel="1" x14ac:dyDescent="0.25">
      <c r="A1270" s="4">
        <v>434</v>
      </c>
      <c r="B1270" s="4" t="s">
        <v>39</v>
      </c>
      <c r="C1270" s="38" t="s">
        <v>388</v>
      </c>
      <c r="D1270" s="4">
        <v>2020</v>
      </c>
      <c r="E1270" s="4"/>
      <c r="F1270" s="4">
        <v>102</v>
      </c>
      <c r="G1270" s="4">
        <v>30</v>
      </c>
      <c r="H1270" s="4">
        <v>184.48246</v>
      </c>
    </row>
    <row r="1271" spans="1:8" s="5" customFormat="1" ht="17.25" hidden="1" customHeight="1" outlineLevel="1" x14ac:dyDescent="0.25">
      <c r="A1271" s="4">
        <v>1570</v>
      </c>
      <c r="B1271" s="4" t="s">
        <v>39</v>
      </c>
      <c r="C1271" s="38" t="s">
        <v>389</v>
      </c>
      <c r="D1271" s="4">
        <v>2020</v>
      </c>
      <c r="E1271" s="4"/>
      <c r="F1271" s="4">
        <v>488</v>
      </c>
      <c r="G1271" s="4">
        <v>52</v>
      </c>
      <c r="H1271" s="4">
        <v>476.54543000000001</v>
      </c>
    </row>
    <row r="1272" spans="1:8" s="5" customFormat="1" ht="17.25" hidden="1" customHeight="1" outlineLevel="1" x14ac:dyDescent="0.25">
      <c r="A1272" s="4">
        <v>1521</v>
      </c>
      <c r="B1272" s="4" t="s">
        <v>39</v>
      </c>
      <c r="C1272" s="38" t="s">
        <v>238</v>
      </c>
      <c r="D1272" s="4">
        <v>2020</v>
      </c>
      <c r="E1272" s="4"/>
      <c r="F1272" s="4">
        <v>7</v>
      </c>
      <c r="G1272" s="4">
        <v>15</v>
      </c>
      <c r="H1272" s="4">
        <v>48.199039999999997</v>
      </c>
    </row>
    <row r="1273" spans="1:8" s="5" customFormat="1" ht="17.25" hidden="1" customHeight="1" outlineLevel="1" x14ac:dyDescent="0.25">
      <c r="A1273" s="4">
        <v>377</v>
      </c>
      <c r="B1273" s="4" t="s">
        <v>39</v>
      </c>
      <c r="C1273" s="38" t="s">
        <v>390</v>
      </c>
      <c r="D1273" s="4">
        <v>2020</v>
      </c>
      <c r="E1273" s="4"/>
      <c r="F1273" s="4">
        <v>4</v>
      </c>
      <c r="G1273" s="4">
        <v>95</v>
      </c>
      <c r="H1273" s="4">
        <v>38.991689999999998</v>
      </c>
    </row>
    <row r="1274" spans="1:8" s="5" customFormat="1" ht="17.25" hidden="1" customHeight="1" outlineLevel="1" x14ac:dyDescent="0.25">
      <c r="A1274" s="4">
        <v>442</v>
      </c>
      <c r="B1274" s="4" t="s">
        <v>39</v>
      </c>
      <c r="C1274" s="38" t="s">
        <v>391</v>
      </c>
      <c r="D1274" s="4">
        <v>2020</v>
      </c>
      <c r="E1274" s="4"/>
      <c r="F1274" s="4">
        <v>16</v>
      </c>
      <c r="G1274" s="4">
        <v>150</v>
      </c>
      <c r="H1274" s="4">
        <v>32.13364</v>
      </c>
    </row>
    <row r="1275" spans="1:8" s="5" customFormat="1" ht="17.25" hidden="1" customHeight="1" outlineLevel="1" x14ac:dyDescent="0.25">
      <c r="A1275" s="4">
        <v>114</v>
      </c>
      <c r="B1275" s="4" t="s">
        <v>39</v>
      </c>
      <c r="C1275" s="38" t="s">
        <v>392</v>
      </c>
      <c r="D1275" s="4">
        <v>2020</v>
      </c>
      <c r="E1275" s="4"/>
      <c r="F1275" s="4">
        <v>182</v>
      </c>
      <c r="G1275" s="4">
        <v>55</v>
      </c>
      <c r="H1275" s="4">
        <v>175.76763</v>
      </c>
    </row>
    <row r="1276" spans="1:8" s="5" customFormat="1" ht="17.25" hidden="1" customHeight="1" outlineLevel="1" x14ac:dyDescent="0.25">
      <c r="A1276" s="4">
        <v>1441</v>
      </c>
      <c r="B1276" s="4" t="s">
        <v>39</v>
      </c>
      <c r="C1276" s="38" t="s">
        <v>393</v>
      </c>
      <c r="D1276" s="4">
        <v>2020</v>
      </c>
      <c r="E1276" s="4"/>
      <c r="F1276" s="4">
        <v>98</v>
      </c>
      <c r="G1276" s="4">
        <v>10</v>
      </c>
      <c r="H1276" s="4">
        <v>130.19811999999999</v>
      </c>
    </row>
    <row r="1277" spans="1:8" s="5" customFormat="1" ht="17.25" hidden="1" customHeight="1" outlineLevel="1" x14ac:dyDescent="0.25">
      <c r="A1277" s="4">
        <v>1725</v>
      </c>
      <c r="B1277" s="4" t="s">
        <v>39</v>
      </c>
      <c r="C1277" s="38" t="s">
        <v>394</v>
      </c>
      <c r="D1277" s="4">
        <v>2020</v>
      </c>
      <c r="E1277" s="4"/>
      <c r="F1277" s="4">
        <v>270</v>
      </c>
      <c r="G1277" s="4">
        <v>50</v>
      </c>
      <c r="H1277" s="4">
        <v>136.47506000000001</v>
      </c>
    </row>
    <row r="1278" spans="1:8" s="5" customFormat="1" ht="17.25" hidden="1" customHeight="1" outlineLevel="1" x14ac:dyDescent="0.25">
      <c r="A1278" s="4">
        <v>1609</v>
      </c>
      <c r="B1278" s="4" t="s">
        <v>39</v>
      </c>
      <c r="C1278" s="38" t="s">
        <v>395</v>
      </c>
      <c r="D1278" s="4">
        <v>2020</v>
      </c>
      <c r="E1278" s="4"/>
      <c r="F1278" s="4">
        <v>217</v>
      </c>
      <c r="G1278" s="4">
        <v>50</v>
      </c>
      <c r="H1278" s="4">
        <v>142.47675000000001</v>
      </c>
    </row>
    <row r="1279" spans="1:8" s="5" customFormat="1" ht="17.25" hidden="1" customHeight="1" outlineLevel="1" x14ac:dyDescent="0.25">
      <c r="A1279" s="4">
        <v>497</v>
      </c>
      <c r="B1279" s="4" t="s">
        <v>39</v>
      </c>
      <c r="C1279" s="38" t="s">
        <v>396</v>
      </c>
      <c r="D1279" s="4">
        <v>2020</v>
      </c>
      <c r="E1279" s="4"/>
      <c r="F1279" s="4">
        <v>7</v>
      </c>
      <c r="G1279" s="4">
        <v>100</v>
      </c>
      <c r="H1279" s="4">
        <v>21.216819999999998</v>
      </c>
    </row>
    <row r="1280" spans="1:8" s="5" customFormat="1" ht="17.25" hidden="1" customHeight="1" outlineLevel="1" x14ac:dyDescent="0.25">
      <c r="A1280" s="4">
        <v>433</v>
      </c>
      <c r="B1280" s="4" t="s">
        <v>39</v>
      </c>
      <c r="C1280" s="38" t="s">
        <v>397</v>
      </c>
      <c r="D1280" s="4">
        <v>2020</v>
      </c>
      <c r="E1280" s="4"/>
      <c r="F1280" s="4">
        <v>413</v>
      </c>
      <c r="G1280" s="4">
        <v>270</v>
      </c>
      <c r="H1280" s="4">
        <v>367.19346000000002</v>
      </c>
    </row>
    <row r="1281" spans="1:8" s="5" customFormat="1" ht="17.25" hidden="1" customHeight="1" outlineLevel="1" x14ac:dyDescent="0.25">
      <c r="A1281" s="4">
        <v>556</v>
      </c>
      <c r="B1281" s="4" t="s">
        <v>39</v>
      </c>
      <c r="C1281" s="38" t="s">
        <v>398</v>
      </c>
      <c r="D1281" s="4">
        <v>2020</v>
      </c>
      <c r="E1281" s="4"/>
      <c r="F1281" s="4">
        <v>263</v>
      </c>
      <c r="G1281" s="4">
        <v>25</v>
      </c>
      <c r="H1281" s="4">
        <v>267.40992999999997</v>
      </c>
    </row>
    <row r="1282" spans="1:8" s="5" customFormat="1" ht="17.25" hidden="1" customHeight="1" outlineLevel="1" x14ac:dyDescent="0.25">
      <c r="A1282" s="4">
        <v>1484</v>
      </c>
      <c r="B1282" s="4" t="s">
        <v>39</v>
      </c>
      <c r="C1282" s="38" t="s">
        <v>399</v>
      </c>
      <c r="D1282" s="4">
        <v>2020</v>
      </c>
      <c r="E1282" s="4"/>
      <c r="F1282" s="4">
        <v>40</v>
      </c>
      <c r="G1282" s="4">
        <v>15</v>
      </c>
      <c r="H1282" s="4">
        <v>134.00545</v>
      </c>
    </row>
    <row r="1283" spans="1:8" s="5" customFormat="1" ht="17.25" hidden="1" customHeight="1" outlineLevel="1" x14ac:dyDescent="0.25">
      <c r="A1283" s="4">
        <v>1499</v>
      </c>
      <c r="B1283" s="4" t="s">
        <v>39</v>
      </c>
      <c r="C1283" s="38" t="s">
        <v>400</v>
      </c>
      <c r="D1283" s="4">
        <v>2020</v>
      </c>
      <c r="E1283" s="4"/>
      <c r="F1283" s="4">
        <v>51</v>
      </c>
      <c r="G1283" s="4">
        <v>15</v>
      </c>
      <c r="H1283" s="4">
        <v>98.975920000000002</v>
      </c>
    </row>
    <row r="1284" spans="1:8" s="5" customFormat="1" ht="17.25" hidden="1" customHeight="1" outlineLevel="1" x14ac:dyDescent="0.25">
      <c r="A1284" s="4">
        <v>1469</v>
      </c>
      <c r="B1284" s="4" t="s">
        <v>39</v>
      </c>
      <c r="C1284" s="38" t="s">
        <v>401</v>
      </c>
      <c r="D1284" s="4">
        <v>2020</v>
      </c>
      <c r="E1284" s="4"/>
      <c r="F1284" s="4">
        <v>116</v>
      </c>
      <c r="G1284" s="4">
        <v>30</v>
      </c>
      <c r="H1284" s="4">
        <v>200.97841</v>
      </c>
    </row>
    <row r="1285" spans="1:8" s="5" customFormat="1" ht="17.25" hidden="1" customHeight="1" outlineLevel="1" x14ac:dyDescent="0.25">
      <c r="A1285" s="4">
        <v>1458</v>
      </c>
      <c r="B1285" s="4" t="s">
        <v>39</v>
      </c>
      <c r="C1285" s="38" t="s">
        <v>402</v>
      </c>
      <c r="D1285" s="4">
        <v>2020</v>
      </c>
      <c r="E1285" s="4"/>
      <c r="F1285" s="4">
        <v>142</v>
      </c>
      <c r="G1285" s="4">
        <v>12</v>
      </c>
      <c r="H1285" s="4">
        <v>104.25417</v>
      </c>
    </row>
    <row r="1286" spans="1:8" s="5" customFormat="1" ht="17.25" hidden="1" customHeight="1" outlineLevel="1" x14ac:dyDescent="0.25">
      <c r="A1286" s="4">
        <v>527</v>
      </c>
      <c r="B1286" s="4" t="s">
        <v>39</v>
      </c>
      <c r="C1286" s="38" t="s">
        <v>403</v>
      </c>
      <c r="D1286" s="4">
        <v>2020</v>
      </c>
      <c r="E1286" s="4"/>
      <c r="F1286" s="4">
        <v>46</v>
      </c>
      <c r="G1286" s="4">
        <v>90</v>
      </c>
      <c r="H1286" s="4">
        <v>52.580869999999997</v>
      </c>
    </row>
    <row r="1287" spans="1:8" s="5" customFormat="1" ht="17.25" hidden="1" customHeight="1" outlineLevel="1" x14ac:dyDescent="0.25">
      <c r="A1287" s="4">
        <v>539</v>
      </c>
      <c r="B1287" s="4" t="s">
        <v>39</v>
      </c>
      <c r="C1287" s="38" t="s">
        <v>404</v>
      </c>
      <c r="D1287" s="4">
        <v>2020</v>
      </c>
      <c r="E1287" s="4"/>
      <c r="F1287" s="4">
        <v>7</v>
      </c>
      <c r="G1287" s="4">
        <v>100</v>
      </c>
      <c r="H1287" s="4">
        <v>23.118020000000001</v>
      </c>
    </row>
    <row r="1288" spans="1:8" s="5" customFormat="1" ht="17.25" hidden="1" customHeight="1" outlineLevel="1" x14ac:dyDescent="0.25">
      <c r="A1288" s="4">
        <v>1566</v>
      </c>
      <c r="B1288" s="4" t="s">
        <v>39</v>
      </c>
      <c r="C1288" s="38" t="s">
        <v>405</v>
      </c>
      <c r="D1288" s="4">
        <v>2020</v>
      </c>
      <c r="E1288" s="4"/>
      <c r="F1288" s="4">
        <v>26</v>
      </c>
      <c r="G1288" s="4">
        <v>40</v>
      </c>
      <c r="H1288" s="4">
        <v>63.60427</v>
      </c>
    </row>
    <row r="1289" spans="1:8" s="5" customFormat="1" ht="17.25" hidden="1" customHeight="1" outlineLevel="1" x14ac:dyDescent="0.25">
      <c r="A1289" s="4">
        <v>545</v>
      </c>
      <c r="B1289" s="4" t="s">
        <v>39</v>
      </c>
      <c r="C1289" s="38" t="s">
        <v>406</v>
      </c>
      <c r="D1289" s="4">
        <v>2020</v>
      </c>
      <c r="E1289" s="4"/>
      <c r="F1289" s="4">
        <v>95</v>
      </c>
      <c r="G1289" s="4">
        <v>15</v>
      </c>
      <c r="H1289" s="4">
        <v>117.22199000000001</v>
      </c>
    </row>
    <row r="1290" spans="1:8" s="5" customFormat="1" ht="17.25" hidden="1" customHeight="1" outlineLevel="1" x14ac:dyDescent="0.25">
      <c r="A1290" s="4">
        <v>597</v>
      </c>
      <c r="B1290" s="4" t="s">
        <v>39</v>
      </c>
      <c r="C1290" s="38" t="s">
        <v>407</v>
      </c>
      <c r="D1290" s="4">
        <v>2020</v>
      </c>
      <c r="E1290" s="4"/>
      <c r="F1290" s="4">
        <v>119</v>
      </c>
      <c r="G1290" s="4">
        <v>15</v>
      </c>
      <c r="H1290" s="4">
        <v>144.26743999999999</v>
      </c>
    </row>
    <row r="1291" spans="1:8" s="5" customFormat="1" ht="17.25" hidden="1" customHeight="1" outlineLevel="1" x14ac:dyDescent="0.25">
      <c r="A1291" s="4">
        <v>543</v>
      </c>
      <c r="B1291" s="4" t="s">
        <v>39</v>
      </c>
      <c r="C1291" s="38" t="s">
        <v>408</v>
      </c>
      <c r="D1291" s="4">
        <v>2020</v>
      </c>
      <c r="E1291" s="4"/>
      <c r="F1291" s="4">
        <v>35</v>
      </c>
      <c r="G1291" s="4">
        <v>15</v>
      </c>
      <c r="H1291" s="4">
        <v>155.01920999999999</v>
      </c>
    </row>
    <row r="1292" spans="1:8" s="5" customFormat="1" ht="17.25" hidden="1" customHeight="1" outlineLevel="1" x14ac:dyDescent="0.25">
      <c r="A1292" s="4">
        <v>1486</v>
      </c>
      <c r="B1292" s="4" t="s">
        <v>39</v>
      </c>
      <c r="C1292" s="38" t="s">
        <v>409</v>
      </c>
      <c r="D1292" s="4">
        <v>2020</v>
      </c>
      <c r="E1292" s="4"/>
      <c r="F1292" s="4">
        <v>50</v>
      </c>
      <c r="G1292" s="4">
        <v>15</v>
      </c>
      <c r="H1292" s="4">
        <v>93.217140000000001</v>
      </c>
    </row>
    <row r="1293" spans="1:8" s="5" customFormat="1" ht="17.25" hidden="1" customHeight="1" outlineLevel="1" x14ac:dyDescent="0.25">
      <c r="A1293" s="4">
        <v>748</v>
      </c>
      <c r="B1293" s="4" t="s">
        <v>39</v>
      </c>
      <c r="C1293" s="38" t="s">
        <v>410</v>
      </c>
      <c r="D1293" s="4">
        <v>2020</v>
      </c>
      <c r="E1293" s="4"/>
      <c r="F1293" s="4">
        <v>24</v>
      </c>
      <c r="G1293" s="4">
        <v>65</v>
      </c>
      <c r="H1293" s="4">
        <v>105.30927</v>
      </c>
    </row>
    <row r="1294" spans="1:8" s="5" customFormat="1" ht="17.25" hidden="1" customHeight="1" outlineLevel="1" x14ac:dyDescent="0.25">
      <c r="A1294" s="4">
        <v>1610</v>
      </c>
      <c r="B1294" s="4" t="s">
        <v>39</v>
      </c>
      <c r="C1294" s="38" t="s">
        <v>411</v>
      </c>
      <c r="D1294" s="4">
        <v>2020</v>
      </c>
      <c r="E1294" s="4"/>
      <c r="F1294" s="4">
        <v>169</v>
      </c>
      <c r="G1294" s="4">
        <v>26</v>
      </c>
      <c r="H1294" s="4">
        <v>204.77307999999999</v>
      </c>
    </row>
    <row r="1295" spans="1:8" s="5" customFormat="1" ht="17.25" hidden="1" customHeight="1" outlineLevel="1" x14ac:dyDescent="0.25">
      <c r="A1295" s="4">
        <v>1463</v>
      </c>
      <c r="B1295" s="4" t="s">
        <v>39</v>
      </c>
      <c r="C1295" s="38" t="s">
        <v>412</v>
      </c>
      <c r="D1295" s="4">
        <v>2020</v>
      </c>
      <c r="E1295" s="4"/>
      <c r="F1295" s="4">
        <v>68</v>
      </c>
      <c r="G1295" s="4">
        <v>15</v>
      </c>
      <c r="H1295" s="4">
        <v>156.94354999999999</v>
      </c>
    </row>
    <row r="1296" spans="1:8" s="5" customFormat="1" ht="17.25" hidden="1" customHeight="1" outlineLevel="1" x14ac:dyDescent="0.25">
      <c r="A1296" s="4">
        <v>596</v>
      </c>
      <c r="B1296" s="4" t="s">
        <v>39</v>
      </c>
      <c r="C1296" s="38" t="s">
        <v>413</v>
      </c>
      <c r="D1296" s="4">
        <v>2020</v>
      </c>
      <c r="E1296" s="4"/>
      <c r="F1296" s="4">
        <v>80</v>
      </c>
      <c r="G1296" s="4">
        <v>10</v>
      </c>
      <c r="H1296" s="4">
        <v>177.59593000000001</v>
      </c>
    </row>
    <row r="1297" spans="1:8" s="5" customFormat="1" ht="17.25" hidden="1" customHeight="1" outlineLevel="1" x14ac:dyDescent="0.25">
      <c r="A1297" s="4">
        <v>679</v>
      </c>
      <c r="B1297" s="4" t="s">
        <v>39</v>
      </c>
      <c r="C1297" s="38" t="s">
        <v>414</v>
      </c>
      <c r="D1297" s="4">
        <v>2020</v>
      </c>
      <c r="E1297" s="4"/>
      <c r="F1297" s="4">
        <v>50</v>
      </c>
      <c r="G1297" s="4">
        <v>30</v>
      </c>
      <c r="H1297" s="4">
        <v>83.410989999999998</v>
      </c>
    </row>
    <row r="1298" spans="1:8" s="5" customFormat="1" ht="17.25" hidden="1" customHeight="1" outlineLevel="1" x14ac:dyDescent="0.25">
      <c r="A1298" s="4">
        <v>668</v>
      </c>
      <c r="B1298" s="4" t="s">
        <v>39</v>
      </c>
      <c r="C1298" s="38" t="s">
        <v>415</v>
      </c>
      <c r="D1298" s="4">
        <v>2020</v>
      </c>
      <c r="E1298" s="4"/>
      <c r="F1298" s="4">
        <v>55</v>
      </c>
      <c r="G1298" s="4">
        <v>15</v>
      </c>
      <c r="H1298" s="4">
        <v>138.50962999999999</v>
      </c>
    </row>
    <row r="1299" spans="1:8" s="5" customFormat="1" ht="17.25" hidden="1" customHeight="1" outlineLevel="1" x14ac:dyDescent="0.25">
      <c r="A1299" s="4">
        <v>1450</v>
      </c>
      <c r="B1299" s="4" t="s">
        <v>39</v>
      </c>
      <c r="C1299" s="38" t="s">
        <v>416</v>
      </c>
      <c r="D1299" s="4">
        <v>2020</v>
      </c>
      <c r="E1299" s="4"/>
      <c r="F1299" s="4">
        <v>84</v>
      </c>
      <c r="G1299" s="4">
        <v>15</v>
      </c>
      <c r="H1299" s="4">
        <v>97.820809999999994</v>
      </c>
    </row>
    <row r="1300" spans="1:8" s="5" customFormat="1" ht="17.25" hidden="1" customHeight="1" outlineLevel="1" x14ac:dyDescent="0.25">
      <c r="A1300" s="4">
        <v>1678</v>
      </c>
      <c r="B1300" s="4" t="s">
        <v>39</v>
      </c>
      <c r="C1300" s="38" t="s">
        <v>417</v>
      </c>
      <c r="D1300" s="4">
        <v>2020</v>
      </c>
      <c r="E1300" s="4"/>
      <c r="F1300" s="4">
        <v>313</v>
      </c>
      <c r="G1300" s="4">
        <v>24</v>
      </c>
      <c r="H1300" s="4">
        <v>328.04235999999997</v>
      </c>
    </row>
    <row r="1301" spans="1:8" s="5" customFormat="1" ht="17.25" hidden="1" customHeight="1" outlineLevel="1" x14ac:dyDescent="0.25">
      <c r="A1301" s="4">
        <v>761</v>
      </c>
      <c r="B1301" s="4" t="s">
        <v>39</v>
      </c>
      <c r="C1301" s="38" t="s">
        <v>418</v>
      </c>
      <c r="D1301" s="4">
        <v>2020</v>
      </c>
      <c r="E1301" s="4"/>
      <c r="F1301" s="4">
        <v>60</v>
      </c>
      <c r="G1301" s="4">
        <v>19</v>
      </c>
      <c r="H1301" s="4">
        <v>158.14973000000001</v>
      </c>
    </row>
    <row r="1302" spans="1:8" s="5" customFormat="1" ht="17.25" hidden="1" customHeight="1" outlineLevel="1" x14ac:dyDescent="0.25">
      <c r="A1302" s="4">
        <v>789</v>
      </c>
      <c r="B1302" s="4" t="s">
        <v>39</v>
      </c>
      <c r="C1302" s="38" t="s">
        <v>419</v>
      </c>
      <c r="D1302" s="4">
        <v>2020</v>
      </c>
      <c r="E1302" s="4"/>
      <c r="F1302" s="4">
        <v>3</v>
      </c>
      <c r="G1302" s="4">
        <v>150</v>
      </c>
      <c r="H1302" s="4">
        <v>21.296050000000001</v>
      </c>
    </row>
    <row r="1303" spans="1:8" s="5" customFormat="1" ht="17.25" hidden="1" customHeight="1" outlineLevel="1" x14ac:dyDescent="0.25">
      <c r="A1303" s="4">
        <v>1518</v>
      </c>
      <c r="B1303" s="4" t="s">
        <v>39</v>
      </c>
      <c r="C1303" s="38" t="s">
        <v>420</v>
      </c>
      <c r="D1303" s="4">
        <v>2020</v>
      </c>
      <c r="E1303" s="4"/>
      <c r="F1303" s="4">
        <v>10</v>
      </c>
      <c r="G1303" s="4">
        <v>23.8</v>
      </c>
      <c r="H1303" s="4">
        <v>115.89006999999999</v>
      </c>
    </row>
    <row r="1304" spans="1:8" s="5" customFormat="1" ht="17.25" hidden="1" customHeight="1" outlineLevel="1" x14ac:dyDescent="0.25">
      <c r="A1304" s="4">
        <v>846</v>
      </c>
      <c r="B1304" s="4" t="s">
        <v>39</v>
      </c>
      <c r="C1304" s="38" t="s">
        <v>421</v>
      </c>
      <c r="D1304" s="4">
        <v>2020</v>
      </c>
      <c r="E1304" s="4"/>
      <c r="F1304" s="4">
        <v>58</v>
      </c>
      <c r="G1304" s="4">
        <v>15</v>
      </c>
      <c r="H1304" s="4">
        <v>81.416560000000004</v>
      </c>
    </row>
    <row r="1305" spans="1:8" s="5" customFormat="1" ht="17.25" hidden="1" customHeight="1" outlineLevel="1" x14ac:dyDescent="0.25">
      <c r="A1305" s="4">
        <v>1541</v>
      </c>
      <c r="B1305" s="4" t="s">
        <v>39</v>
      </c>
      <c r="C1305" s="38" t="s">
        <v>422</v>
      </c>
      <c r="D1305" s="4">
        <v>2020</v>
      </c>
      <c r="E1305" s="4"/>
      <c r="F1305" s="4">
        <v>64</v>
      </c>
      <c r="G1305" s="4">
        <v>10</v>
      </c>
      <c r="H1305" s="4">
        <v>175.70856000000001</v>
      </c>
    </row>
    <row r="1306" spans="1:8" s="5" customFormat="1" ht="17.25" hidden="1" customHeight="1" outlineLevel="1" x14ac:dyDescent="0.25">
      <c r="A1306" s="4">
        <v>1696</v>
      </c>
      <c r="B1306" s="4" t="s">
        <v>39</v>
      </c>
      <c r="C1306" s="38" t="s">
        <v>423</v>
      </c>
      <c r="D1306" s="4">
        <v>2020</v>
      </c>
      <c r="E1306" s="4"/>
      <c r="F1306" s="4">
        <v>53</v>
      </c>
      <c r="G1306" s="4">
        <v>114</v>
      </c>
      <c r="H1306" s="4">
        <v>116.33763999999999</v>
      </c>
    </row>
    <row r="1307" spans="1:8" s="5" customFormat="1" ht="17.25" hidden="1" customHeight="1" outlineLevel="1" x14ac:dyDescent="0.25">
      <c r="A1307" s="4">
        <v>1526</v>
      </c>
      <c r="B1307" s="4" t="s">
        <v>39</v>
      </c>
      <c r="C1307" s="38" t="s">
        <v>424</v>
      </c>
      <c r="D1307" s="4">
        <v>2020</v>
      </c>
      <c r="E1307" s="4"/>
      <c r="F1307" s="4">
        <v>7</v>
      </c>
      <c r="G1307" s="4">
        <v>15</v>
      </c>
      <c r="H1307" s="4">
        <v>144.65209999999999</v>
      </c>
    </row>
    <row r="1308" spans="1:8" s="5" customFormat="1" ht="17.25" hidden="1" customHeight="1" outlineLevel="1" x14ac:dyDescent="0.25">
      <c r="A1308" s="4">
        <v>864</v>
      </c>
      <c r="B1308" s="4" t="s">
        <v>39</v>
      </c>
      <c r="C1308" s="38" t="s">
        <v>425</v>
      </c>
      <c r="D1308" s="4">
        <v>2020</v>
      </c>
      <c r="E1308" s="4"/>
      <c r="F1308" s="4">
        <v>73</v>
      </c>
      <c r="G1308" s="4">
        <v>60</v>
      </c>
      <c r="H1308" s="4">
        <v>160.71995999999999</v>
      </c>
    </row>
    <row r="1309" spans="1:8" s="5" customFormat="1" ht="17.25" hidden="1" customHeight="1" outlineLevel="1" x14ac:dyDescent="0.25">
      <c r="A1309" s="4">
        <v>853</v>
      </c>
      <c r="B1309" s="4" t="s">
        <v>39</v>
      </c>
      <c r="C1309" s="38" t="s">
        <v>426</v>
      </c>
      <c r="D1309" s="4">
        <v>2020</v>
      </c>
      <c r="E1309" s="4"/>
      <c r="F1309" s="4">
        <v>314</v>
      </c>
      <c r="G1309" s="4">
        <v>15</v>
      </c>
      <c r="H1309" s="4">
        <v>418.73568</v>
      </c>
    </row>
    <row r="1310" spans="1:8" s="5" customFormat="1" ht="17.25" hidden="1" customHeight="1" outlineLevel="1" x14ac:dyDescent="0.25">
      <c r="A1310" s="4">
        <v>759</v>
      </c>
      <c r="B1310" s="4" t="s">
        <v>39</v>
      </c>
      <c r="C1310" s="38" t="s">
        <v>427</v>
      </c>
      <c r="D1310" s="4">
        <v>2020</v>
      </c>
      <c r="E1310" s="4"/>
      <c r="F1310" s="4">
        <v>60</v>
      </c>
      <c r="G1310" s="4">
        <v>15</v>
      </c>
      <c r="H1310" s="4">
        <v>117.00651000000001</v>
      </c>
    </row>
    <row r="1311" spans="1:8" s="5" customFormat="1" ht="17.25" hidden="1" customHeight="1" outlineLevel="1" x14ac:dyDescent="0.25">
      <c r="A1311" s="4">
        <v>876</v>
      </c>
      <c r="B1311" s="4" t="s">
        <v>39</v>
      </c>
      <c r="C1311" s="38" t="s">
        <v>428</v>
      </c>
      <c r="D1311" s="4">
        <v>2020</v>
      </c>
      <c r="E1311" s="4"/>
      <c r="F1311" s="4">
        <v>233</v>
      </c>
      <c r="G1311" s="4">
        <v>15</v>
      </c>
      <c r="H1311" s="4">
        <v>276.41726999999997</v>
      </c>
    </row>
    <row r="1312" spans="1:8" s="5" customFormat="1" ht="17.25" hidden="1" customHeight="1" outlineLevel="1" x14ac:dyDescent="0.25">
      <c r="A1312" s="4">
        <v>862</v>
      </c>
      <c r="B1312" s="4" t="s">
        <v>39</v>
      </c>
      <c r="C1312" s="38" t="s">
        <v>429</v>
      </c>
      <c r="D1312" s="4">
        <v>2020</v>
      </c>
      <c r="E1312" s="4"/>
      <c r="F1312" s="4">
        <v>197</v>
      </c>
      <c r="G1312" s="4">
        <v>15</v>
      </c>
      <c r="H1312" s="4">
        <v>205.71019000000001</v>
      </c>
    </row>
    <row r="1313" spans="1:8" s="5" customFormat="1" ht="17.25" hidden="1" customHeight="1" outlineLevel="1" x14ac:dyDescent="0.25">
      <c r="A1313" s="4">
        <v>1512</v>
      </c>
      <c r="B1313" s="4" t="s">
        <v>39</v>
      </c>
      <c r="C1313" s="38" t="s">
        <v>430</v>
      </c>
      <c r="D1313" s="4">
        <v>2020</v>
      </c>
      <c r="E1313" s="4"/>
      <c r="F1313" s="4">
        <v>159</v>
      </c>
      <c r="G1313" s="4">
        <v>30</v>
      </c>
      <c r="H1313" s="4">
        <v>193.32424</v>
      </c>
    </row>
    <row r="1314" spans="1:8" s="5" customFormat="1" ht="17.25" hidden="1" customHeight="1" outlineLevel="1" x14ac:dyDescent="0.25">
      <c r="A1314" s="4">
        <v>894</v>
      </c>
      <c r="B1314" s="4" t="s">
        <v>39</v>
      </c>
      <c r="C1314" s="38" t="s">
        <v>431</v>
      </c>
      <c r="D1314" s="4">
        <v>2020</v>
      </c>
      <c r="E1314" s="4"/>
      <c r="F1314" s="4">
        <v>90</v>
      </c>
      <c r="G1314" s="4">
        <v>15</v>
      </c>
      <c r="H1314" s="4">
        <v>180.40099000000001</v>
      </c>
    </row>
    <row r="1315" spans="1:8" s="5" customFormat="1" ht="17.25" hidden="1" customHeight="1" outlineLevel="1" x14ac:dyDescent="0.25">
      <c r="A1315" s="4">
        <v>852</v>
      </c>
      <c r="B1315" s="4" t="s">
        <v>39</v>
      </c>
      <c r="C1315" s="38" t="s">
        <v>432</v>
      </c>
      <c r="D1315" s="4">
        <v>2020</v>
      </c>
      <c r="E1315" s="4"/>
      <c r="F1315" s="4">
        <v>42</v>
      </c>
      <c r="G1315" s="4">
        <v>15</v>
      </c>
      <c r="H1315" s="4">
        <v>114.63678</v>
      </c>
    </row>
    <row r="1316" spans="1:8" s="5" customFormat="1" ht="17.25" hidden="1" customHeight="1" outlineLevel="1" x14ac:dyDescent="0.25">
      <c r="A1316" s="4">
        <v>856</v>
      </c>
      <c r="B1316" s="4" t="s">
        <v>39</v>
      </c>
      <c r="C1316" s="38" t="s">
        <v>433</v>
      </c>
      <c r="D1316" s="4">
        <v>2020</v>
      </c>
      <c r="E1316" s="4"/>
      <c r="F1316" s="4">
        <v>80</v>
      </c>
      <c r="G1316" s="4">
        <v>10</v>
      </c>
      <c r="H1316" s="4">
        <v>149.4564</v>
      </c>
    </row>
    <row r="1317" spans="1:8" s="5" customFormat="1" ht="17.25" hidden="1" customHeight="1" outlineLevel="1" x14ac:dyDescent="0.25">
      <c r="A1317" s="4">
        <v>861</v>
      </c>
      <c r="B1317" s="4" t="s">
        <v>39</v>
      </c>
      <c r="C1317" s="38" t="s">
        <v>434</v>
      </c>
      <c r="D1317" s="4">
        <v>2020</v>
      </c>
      <c r="E1317" s="4"/>
      <c r="F1317" s="4">
        <v>57</v>
      </c>
      <c r="G1317" s="4">
        <v>12</v>
      </c>
      <c r="H1317" s="4">
        <v>168.37869000000001</v>
      </c>
    </row>
    <row r="1318" spans="1:8" s="5" customFormat="1" ht="17.25" hidden="1" customHeight="1" outlineLevel="1" x14ac:dyDescent="0.25">
      <c r="A1318" s="4">
        <v>908</v>
      </c>
      <c r="B1318" s="4" t="s">
        <v>39</v>
      </c>
      <c r="C1318" s="38" t="s">
        <v>435</v>
      </c>
      <c r="D1318" s="4">
        <v>2020</v>
      </c>
      <c r="E1318" s="4"/>
      <c r="F1318" s="4">
        <v>215</v>
      </c>
      <c r="G1318" s="4">
        <v>15</v>
      </c>
      <c r="H1318" s="4">
        <v>219.05484000000001</v>
      </c>
    </row>
    <row r="1319" spans="1:8" s="5" customFormat="1" ht="17.25" hidden="1" customHeight="1" outlineLevel="1" x14ac:dyDescent="0.25">
      <c r="A1319" s="4">
        <v>1506</v>
      </c>
      <c r="B1319" s="4" t="s">
        <v>39</v>
      </c>
      <c r="C1319" s="38" t="s">
        <v>436</v>
      </c>
      <c r="D1319" s="4">
        <v>2020</v>
      </c>
      <c r="E1319" s="4"/>
      <c r="F1319" s="4">
        <v>140</v>
      </c>
      <c r="G1319" s="4">
        <v>45</v>
      </c>
      <c r="H1319" s="4">
        <v>151.90457000000001</v>
      </c>
    </row>
    <row r="1320" spans="1:8" s="5" customFormat="1" ht="17.25" hidden="1" customHeight="1" outlineLevel="1" x14ac:dyDescent="0.25">
      <c r="A1320" s="4">
        <v>817</v>
      </c>
      <c r="B1320" s="4" t="s">
        <v>39</v>
      </c>
      <c r="C1320" s="38" t="s">
        <v>437</v>
      </c>
      <c r="D1320" s="4">
        <v>2020</v>
      </c>
      <c r="E1320" s="4"/>
      <c r="F1320" s="4">
        <v>90</v>
      </c>
      <c r="G1320" s="4">
        <v>15</v>
      </c>
      <c r="H1320" s="4">
        <v>165.53757999999999</v>
      </c>
    </row>
    <row r="1321" spans="1:8" s="5" customFormat="1" ht="17.25" hidden="1" customHeight="1" outlineLevel="1" x14ac:dyDescent="0.25">
      <c r="A1321" s="4">
        <v>931</v>
      </c>
      <c r="B1321" s="4" t="s">
        <v>39</v>
      </c>
      <c r="C1321" s="38" t="s">
        <v>438</v>
      </c>
      <c r="D1321" s="4">
        <v>2020</v>
      </c>
      <c r="E1321" s="4"/>
      <c r="F1321" s="4">
        <v>364</v>
      </c>
      <c r="G1321" s="4">
        <v>15</v>
      </c>
      <c r="H1321" s="4">
        <v>266.22613999999999</v>
      </c>
    </row>
    <row r="1322" spans="1:8" s="5" customFormat="1" ht="17.25" hidden="1" customHeight="1" outlineLevel="1" x14ac:dyDescent="0.25">
      <c r="A1322" s="4">
        <v>967</v>
      </c>
      <c r="B1322" s="4" t="s">
        <v>39</v>
      </c>
      <c r="C1322" s="38" t="s">
        <v>439</v>
      </c>
      <c r="D1322" s="4">
        <v>2020</v>
      </c>
      <c r="E1322" s="4"/>
      <c r="F1322" s="4">
        <v>3</v>
      </c>
      <c r="G1322" s="4">
        <v>80</v>
      </c>
      <c r="H1322" s="4">
        <v>14.301740000000001</v>
      </c>
    </row>
    <row r="1323" spans="1:8" s="5" customFormat="1" ht="17.25" hidden="1" customHeight="1" outlineLevel="1" x14ac:dyDescent="0.25">
      <c r="A1323" s="4">
        <v>961</v>
      </c>
      <c r="B1323" s="4" t="s">
        <v>39</v>
      </c>
      <c r="C1323" s="38" t="s">
        <v>440</v>
      </c>
      <c r="D1323" s="4">
        <v>2020</v>
      </c>
      <c r="E1323" s="4"/>
      <c r="F1323" s="4">
        <v>3</v>
      </c>
      <c r="G1323" s="4">
        <v>150</v>
      </c>
      <c r="H1323" s="4">
        <v>33.329929999999997</v>
      </c>
    </row>
    <row r="1324" spans="1:8" s="5" customFormat="1" ht="17.25" hidden="1" customHeight="1" outlineLevel="1" x14ac:dyDescent="0.25">
      <c r="A1324" s="4">
        <v>1519</v>
      </c>
      <c r="B1324" s="4" t="s">
        <v>39</v>
      </c>
      <c r="C1324" s="38" t="s">
        <v>441</v>
      </c>
      <c r="D1324" s="4">
        <v>2020</v>
      </c>
      <c r="E1324" s="4"/>
      <c r="F1324" s="4">
        <v>9</v>
      </c>
      <c r="G1324" s="4">
        <v>150</v>
      </c>
      <c r="H1324" s="4">
        <v>9.6886299999999999</v>
      </c>
    </row>
    <row r="1325" spans="1:8" s="5" customFormat="1" ht="17.25" hidden="1" customHeight="1" outlineLevel="1" x14ac:dyDescent="0.25">
      <c r="A1325" s="4">
        <v>1524</v>
      </c>
      <c r="B1325" s="4" t="s">
        <v>39</v>
      </c>
      <c r="C1325" s="38" t="s">
        <v>442</v>
      </c>
      <c r="D1325" s="4">
        <v>2020</v>
      </c>
      <c r="E1325" s="4"/>
      <c r="F1325" s="4">
        <v>30</v>
      </c>
      <c r="G1325" s="4">
        <v>120</v>
      </c>
      <c r="H1325" s="4">
        <v>47.433210000000003</v>
      </c>
    </row>
    <row r="1326" spans="1:8" s="5" customFormat="1" ht="17.25" hidden="1" customHeight="1" outlineLevel="1" x14ac:dyDescent="0.25">
      <c r="A1326" s="4">
        <v>1523</v>
      </c>
      <c r="B1326" s="4" t="s">
        <v>39</v>
      </c>
      <c r="C1326" s="38" t="s">
        <v>443</v>
      </c>
      <c r="D1326" s="4">
        <v>2020</v>
      </c>
      <c r="E1326" s="4"/>
      <c r="F1326" s="4">
        <v>15</v>
      </c>
      <c r="G1326" s="4">
        <v>25</v>
      </c>
      <c r="H1326" s="4">
        <v>26.05761</v>
      </c>
    </row>
    <row r="1327" spans="1:8" s="5" customFormat="1" ht="17.25" hidden="1" customHeight="1" outlineLevel="1" x14ac:dyDescent="0.25">
      <c r="A1327" s="4">
        <v>1513</v>
      </c>
      <c r="B1327" s="4" t="s">
        <v>39</v>
      </c>
      <c r="C1327" s="38" t="s">
        <v>444</v>
      </c>
      <c r="D1327" s="4">
        <v>2020</v>
      </c>
      <c r="E1327" s="4"/>
      <c r="F1327" s="4">
        <v>83</v>
      </c>
      <c r="G1327" s="4">
        <v>15</v>
      </c>
      <c r="H1327" s="4">
        <v>122.71420999999999</v>
      </c>
    </row>
    <row r="1328" spans="1:8" s="5" customFormat="1" ht="17.25" hidden="1" customHeight="1" outlineLevel="1" x14ac:dyDescent="0.25">
      <c r="A1328" s="4">
        <v>1528</v>
      </c>
      <c r="B1328" s="4" t="s">
        <v>39</v>
      </c>
      <c r="C1328" s="38" t="s">
        <v>445</v>
      </c>
      <c r="D1328" s="4">
        <v>2020</v>
      </c>
      <c r="E1328" s="4"/>
      <c r="F1328" s="4">
        <v>71</v>
      </c>
      <c r="G1328" s="4">
        <v>140</v>
      </c>
      <c r="H1328" s="4">
        <v>87.031030000000001</v>
      </c>
    </row>
    <row r="1329" spans="1:8" s="5" customFormat="1" ht="17.25" hidden="1" customHeight="1" outlineLevel="1" x14ac:dyDescent="0.25">
      <c r="A1329" s="4">
        <v>1012</v>
      </c>
      <c r="B1329" s="4" t="s">
        <v>39</v>
      </c>
      <c r="C1329" s="38" t="s">
        <v>446</v>
      </c>
      <c r="D1329" s="4">
        <v>2020</v>
      </c>
      <c r="E1329" s="4"/>
      <c r="F1329" s="4">
        <v>3</v>
      </c>
      <c r="G1329" s="4">
        <v>95</v>
      </c>
      <c r="H1329" s="4">
        <v>17.74822</v>
      </c>
    </row>
    <row r="1330" spans="1:8" s="5" customFormat="1" ht="17.25" hidden="1" customHeight="1" outlineLevel="1" x14ac:dyDescent="0.25">
      <c r="A1330" s="4">
        <v>1514</v>
      </c>
      <c r="B1330" s="4" t="s">
        <v>39</v>
      </c>
      <c r="C1330" s="38" t="s">
        <v>447</v>
      </c>
      <c r="D1330" s="4">
        <v>2020</v>
      </c>
      <c r="E1330" s="4"/>
      <c r="F1330" s="4">
        <v>7</v>
      </c>
      <c r="G1330" s="4">
        <v>15</v>
      </c>
      <c r="H1330" s="4">
        <v>65.002700000000004</v>
      </c>
    </row>
    <row r="1331" spans="1:8" s="5" customFormat="1" ht="17.25" hidden="1" customHeight="1" outlineLevel="1" x14ac:dyDescent="0.25">
      <c r="A1331" s="4">
        <v>1440</v>
      </c>
      <c r="B1331" s="4" t="s">
        <v>39</v>
      </c>
      <c r="C1331" s="38" t="s">
        <v>448</v>
      </c>
      <c r="D1331" s="4">
        <v>2020</v>
      </c>
      <c r="E1331" s="4"/>
      <c r="F1331" s="4">
        <v>50</v>
      </c>
      <c r="G1331" s="4">
        <v>12</v>
      </c>
      <c r="H1331" s="4">
        <v>105.62035</v>
      </c>
    </row>
    <row r="1332" spans="1:8" s="5" customFormat="1" ht="17.25" hidden="1" customHeight="1" outlineLevel="1" x14ac:dyDescent="0.25">
      <c r="A1332" s="4">
        <v>1039</v>
      </c>
      <c r="B1332" s="4" t="s">
        <v>39</v>
      </c>
      <c r="C1332" s="38" t="s">
        <v>449</v>
      </c>
      <c r="D1332" s="4">
        <v>2020</v>
      </c>
      <c r="E1332" s="4"/>
      <c r="F1332" s="4">
        <v>30</v>
      </c>
      <c r="G1332" s="4">
        <v>15</v>
      </c>
      <c r="H1332" s="4">
        <v>56.251750000000001</v>
      </c>
    </row>
    <row r="1333" spans="1:8" s="5" customFormat="1" ht="17.25" hidden="1" customHeight="1" outlineLevel="1" x14ac:dyDescent="0.25">
      <c r="A1333" s="4">
        <v>1051</v>
      </c>
      <c r="B1333" s="4" t="s">
        <v>39</v>
      </c>
      <c r="C1333" s="38" t="s">
        <v>450</v>
      </c>
      <c r="D1333" s="4">
        <v>2020</v>
      </c>
      <c r="E1333" s="4"/>
      <c r="F1333" s="4">
        <v>168</v>
      </c>
      <c r="G1333" s="4">
        <v>15</v>
      </c>
      <c r="H1333" s="4">
        <v>131.50536</v>
      </c>
    </row>
    <row r="1334" spans="1:8" s="5" customFormat="1" ht="17.25" hidden="1" customHeight="1" outlineLevel="1" x14ac:dyDescent="0.25">
      <c r="A1334" s="4">
        <v>1056</v>
      </c>
      <c r="B1334" s="4" t="s">
        <v>39</v>
      </c>
      <c r="C1334" s="38" t="s">
        <v>451</v>
      </c>
      <c r="D1334" s="4">
        <v>2020</v>
      </c>
      <c r="E1334" s="4"/>
      <c r="F1334" s="4">
        <v>227</v>
      </c>
      <c r="G1334" s="4">
        <v>12</v>
      </c>
      <c r="H1334" s="4">
        <v>107.04961</v>
      </c>
    </row>
    <row r="1335" spans="1:8" s="5" customFormat="1" ht="17.25" hidden="1" customHeight="1" outlineLevel="1" x14ac:dyDescent="0.25">
      <c r="A1335" s="4">
        <v>1062</v>
      </c>
      <c r="B1335" s="4" t="s">
        <v>39</v>
      </c>
      <c r="C1335" s="38" t="s">
        <v>452</v>
      </c>
      <c r="D1335" s="4">
        <v>2020</v>
      </c>
      <c r="E1335" s="4"/>
      <c r="F1335" s="4">
        <v>174</v>
      </c>
      <c r="G1335" s="4">
        <v>15</v>
      </c>
      <c r="H1335" s="4">
        <v>144.57562999999999</v>
      </c>
    </row>
    <row r="1336" spans="1:8" s="5" customFormat="1" ht="17.25" hidden="1" customHeight="1" outlineLevel="1" x14ac:dyDescent="0.25">
      <c r="A1336" s="4">
        <v>1586</v>
      </c>
      <c r="B1336" s="4" t="s">
        <v>39</v>
      </c>
      <c r="C1336" s="38" t="s">
        <v>453</v>
      </c>
      <c r="D1336" s="4">
        <v>2020</v>
      </c>
      <c r="E1336" s="4"/>
      <c r="F1336" s="4">
        <v>60</v>
      </c>
      <c r="G1336" s="4">
        <v>10</v>
      </c>
      <c r="H1336" s="4">
        <v>76.34787</v>
      </c>
    </row>
    <row r="1337" spans="1:8" s="5" customFormat="1" ht="17.25" hidden="1" customHeight="1" outlineLevel="1" x14ac:dyDescent="0.25">
      <c r="A1337" s="4">
        <v>1059</v>
      </c>
      <c r="B1337" s="4" t="s">
        <v>39</v>
      </c>
      <c r="C1337" s="38" t="s">
        <v>454</v>
      </c>
      <c r="D1337" s="4">
        <v>2020</v>
      </c>
      <c r="E1337" s="4"/>
      <c r="F1337" s="4">
        <v>140</v>
      </c>
      <c r="G1337" s="4">
        <v>10</v>
      </c>
      <c r="H1337" s="4">
        <v>116.42422000000001</v>
      </c>
    </row>
    <row r="1338" spans="1:8" s="5" customFormat="1" ht="17.25" hidden="1" customHeight="1" outlineLevel="1" x14ac:dyDescent="0.25">
      <c r="A1338" s="4">
        <v>1594</v>
      </c>
      <c r="B1338" s="4" t="s">
        <v>39</v>
      </c>
      <c r="C1338" s="38" t="s">
        <v>455</v>
      </c>
      <c r="D1338" s="4">
        <v>2020</v>
      </c>
      <c r="E1338" s="4"/>
      <c r="F1338" s="4">
        <v>110</v>
      </c>
      <c r="G1338" s="4">
        <v>10</v>
      </c>
      <c r="H1338" s="4">
        <v>125.60007</v>
      </c>
    </row>
    <row r="1339" spans="1:8" s="5" customFormat="1" ht="17.25" hidden="1" customHeight="1" outlineLevel="1" x14ac:dyDescent="0.25">
      <c r="A1339" s="4">
        <v>1163</v>
      </c>
      <c r="B1339" s="4" t="s">
        <v>39</v>
      </c>
      <c r="C1339" s="38" t="s">
        <v>456</v>
      </c>
      <c r="D1339" s="4">
        <v>2020</v>
      </c>
      <c r="E1339" s="4"/>
      <c r="F1339" s="4">
        <v>98</v>
      </c>
      <c r="G1339" s="4">
        <v>30</v>
      </c>
      <c r="H1339" s="4">
        <v>146.87606</v>
      </c>
    </row>
    <row r="1340" spans="1:8" s="5" customFormat="1" ht="17.25" hidden="1" customHeight="1" outlineLevel="1" x14ac:dyDescent="0.25">
      <c r="A1340" s="4">
        <v>1590</v>
      </c>
      <c r="B1340" s="4" t="s">
        <v>39</v>
      </c>
      <c r="C1340" s="38" t="s">
        <v>457</v>
      </c>
      <c r="D1340" s="4">
        <v>2020</v>
      </c>
      <c r="E1340" s="4"/>
      <c r="F1340" s="4">
        <v>146</v>
      </c>
      <c r="G1340" s="4">
        <v>15</v>
      </c>
      <c r="H1340" s="4">
        <v>107.38343999999999</v>
      </c>
    </row>
    <row r="1341" spans="1:8" s="5" customFormat="1" ht="17.25" hidden="1" customHeight="1" outlineLevel="1" x14ac:dyDescent="0.25">
      <c r="A1341" s="4">
        <v>1445</v>
      </c>
      <c r="B1341" s="4" t="s">
        <v>39</v>
      </c>
      <c r="C1341" s="38" t="s">
        <v>458</v>
      </c>
      <c r="D1341" s="4">
        <v>2020</v>
      </c>
      <c r="E1341" s="4"/>
      <c r="F1341" s="4">
        <v>127</v>
      </c>
      <c r="G1341" s="4">
        <v>10</v>
      </c>
      <c r="H1341" s="4">
        <v>145.70545000000001</v>
      </c>
    </row>
    <row r="1342" spans="1:8" s="5" customFormat="1" ht="17.25" hidden="1" customHeight="1" outlineLevel="1" x14ac:dyDescent="0.25">
      <c r="A1342" s="4">
        <v>1121</v>
      </c>
      <c r="B1342" s="4" t="s">
        <v>39</v>
      </c>
      <c r="C1342" s="38" t="s">
        <v>459</v>
      </c>
      <c r="D1342" s="4">
        <v>2020</v>
      </c>
      <c r="E1342" s="4"/>
      <c r="F1342" s="4">
        <v>146</v>
      </c>
      <c r="G1342" s="4">
        <v>30</v>
      </c>
      <c r="H1342" s="4">
        <v>157.80919</v>
      </c>
    </row>
    <row r="1343" spans="1:8" s="5" customFormat="1" ht="17.25" hidden="1" customHeight="1" outlineLevel="1" x14ac:dyDescent="0.25">
      <c r="A1343" s="4">
        <v>1487</v>
      </c>
      <c r="B1343" s="4" t="s">
        <v>39</v>
      </c>
      <c r="C1343" s="38" t="s">
        <v>460</v>
      </c>
      <c r="D1343" s="4">
        <v>2020</v>
      </c>
      <c r="E1343" s="4"/>
      <c r="F1343" s="4">
        <v>104</v>
      </c>
      <c r="G1343" s="4">
        <v>10</v>
      </c>
      <c r="H1343" s="4">
        <v>140.87162000000001</v>
      </c>
    </row>
    <row r="1344" spans="1:8" s="5" customFormat="1" ht="17.25" hidden="1" customHeight="1" outlineLevel="1" x14ac:dyDescent="0.25">
      <c r="A1344" s="4">
        <v>1700</v>
      </c>
      <c r="B1344" s="4" t="s">
        <v>39</v>
      </c>
      <c r="C1344" s="38" t="s">
        <v>461</v>
      </c>
      <c r="D1344" s="4">
        <v>2020</v>
      </c>
      <c r="E1344" s="4"/>
      <c r="F1344" s="4">
        <v>183</v>
      </c>
      <c r="G1344" s="4">
        <v>150</v>
      </c>
      <c r="H1344" s="4">
        <v>171.19609</v>
      </c>
    </row>
    <row r="1345" spans="1:8" s="5" customFormat="1" ht="17.25" hidden="1" customHeight="1" outlineLevel="1" x14ac:dyDescent="0.25">
      <c r="A1345" s="4">
        <v>1533</v>
      </c>
      <c r="B1345" s="4" t="s">
        <v>39</v>
      </c>
      <c r="C1345" s="38" t="s">
        <v>462</v>
      </c>
      <c r="D1345" s="4">
        <v>2020</v>
      </c>
      <c r="E1345" s="4"/>
      <c r="F1345" s="4">
        <v>5</v>
      </c>
      <c r="G1345" s="4">
        <v>150</v>
      </c>
      <c r="H1345" s="4">
        <v>71.797579999999996</v>
      </c>
    </row>
    <row r="1346" spans="1:8" s="5" customFormat="1" ht="17.25" hidden="1" customHeight="1" outlineLevel="1" x14ac:dyDescent="0.25">
      <c r="A1346" s="4">
        <v>1571</v>
      </c>
      <c r="B1346" s="4" t="s">
        <v>39</v>
      </c>
      <c r="C1346" s="38" t="s">
        <v>463</v>
      </c>
      <c r="D1346" s="4">
        <v>2020</v>
      </c>
      <c r="E1346" s="4"/>
      <c r="F1346" s="4">
        <v>84</v>
      </c>
      <c r="G1346" s="4">
        <v>15</v>
      </c>
      <c r="H1346" s="4">
        <v>106.51416</v>
      </c>
    </row>
    <row r="1347" spans="1:8" s="5" customFormat="1" ht="17.25" hidden="1" customHeight="1" outlineLevel="1" x14ac:dyDescent="0.25">
      <c r="A1347" s="4">
        <v>1525</v>
      </c>
      <c r="B1347" s="4" t="s">
        <v>39</v>
      </c>
      <c r="C1347" s="38" t="s">
        <v>464</v>
      </c>
      <c r="D1347" s="4">
        <v>2020</v>
      </c>
      <c r="E1347" s="4"/>
      <c r="F1347" s="4">
        <v>10</v>
      </c>
      <c r="G1347" s="4">
        <v>30</v>
      </c>
      <c r="H1347" s="4">
        <v>39.363520000000001</v>
      </c>
    </row>
    <row r="1348" spans="1:8" s="5" customFormat="1" ht="17.25" hidden="1" customHeight="1" outlineLevel="1" x14ac:dyDescent="0.25">
      <c r="A1348" s="4">
        <v>1531</v>
      </c>
      <c r="B1348" s="4" t="s">
        <v>39</v>
      </c>
      <c r="C1348" s="38" t="s">
        <v>465</v>
      </c>
      <c r="D1348" s="4">
        <v>2020</v>
      </c>
      <c r="E1348" s="4"/>
      <c r="F1348" s="4">
        <v>4</v>
      </c>
      <c r="G1348" s="4">
        <v>100</v>
      </c>
      <c r="H1348" s="4">
        <v>33.569749999999999</v>
      </c>
    </row>
    <row r="1349" spans="1:8" s="5" customFormat="1" ht="17.25" hidden="1" customHeight="1" outlineLevel="1" x14ac:dyDescent="0.25">
      <c r="A1349" s="4">
        <v>1569</v>
      </c>
      <c r="B1349" s="4" t="s">
        <v>39</v>
      </c>
      <c r="C1349" s="38" t="s">
        <v>466</v>
      </c>
      <c r="D1349" s="4">
        <v>2020</v>
      </c>
      <c r="E1349" s="4"/>
      <c r="F1349" s="4">
        <v>111</v>
      </c>
      <c r="G1349" s="4">
        <v>10</v>
      </c>
      <c r="H1349" s="4">
        <v>127.26219</v>
      </c>
    </row>
    <row r="1350" spans="1:8" s="5" customFormat="1" ht="17.25" hidden="1" customHeight="1" outlineLevel="1" x14ac:dyDescent="0.25">
      <c r="A1350" s="4">
        <v>1135</v>
      </c>
      <c r="B1350" s="4" t="s">
        <v>39</v>
      </c>
      <c r="C1350" s="38" t="s">
        <v>467</v>
      </c>
      <c r="D1350" s="4">
        <v>2020</v>
      </c>
      <c r="E1350" s="4"/>
      <c r="F1350" s="4">
        <v>42</v>
      </c>
      <c r="G1350" s="4">
        <v>30</v>
      </c>
      <c r="H1350" s="4">
        <v>91.291759999999996</v>
      </c>
    </row>
    <row r="1351" spans="1:8" s="5" customFormat="1" ht="17.25" hidden="1" customHeight="1" outlineLevel="1" x14ac:dyDescent="0.25">
      <c r="A1351" s="4">
        <v>1557</v>
      </c>
      <c r="B1351" s="4" t="s">
        <v>39</v>
      </c>
      <c r="C1351" s="38" t="s">
        <v>468</v>
      </c>
      <c r="D1351" s="4">
        <v>2020</v>
      </c>
      <c r="E1351" s="4"/>
      <c r="F1351" s="4">
        <v>112</v>
      </c>
      <c r="G1351" s="4">
        <v>30</v>
      </c>
      <c r="H1351" s="4">
        <v>144.52001000000001</v>
      </c>
    </row>
    <row r="1352" spans="1:8" s="5" customFormat="1" ht="17.25" hidden="1" customHeight="1" outlineLevel="1" x14ac:dyDescent="0.25">
      <c r="A1352" s="4">
        <v>1485</v>
      </c>
      <c r="B1352" s="4" t="s">
        <v>39</v>
      </c>
      <c r="C1352" s="38" t="s">
        <v>469</v>
      </c>
      <c r="D1352" s="4">
        <v>2020</v>
      </c>
      <c r="E1352" s="4"/>
      <c r="F1352" s="4">
        <v>56</v>
      </c>
      <c r="G1352" s="4">
        <v>15</v>
      </c>
      <c r="H1352" s="4">
        <v>112.91168999999999</v>
      </c>
    </row>
    <row r="1353" spans="1:8" s="5" customFormat="1" ht="17.25" hidden="1" customHeight="1" outlineLevel="1" x14ac:dyDescent="0.25">
      <c r="A1353" s="4">
        <v>1529</v>
      </c>
      <c r="B1353" s="4" t="s">
        <v>39</v>
      </c>
      <c r="C1353" s="38" t="s">
        <v>470</v>
      </c>
      <c r="D1353" s="4">
        <v>2020</v>
      </c>
      <c r="E1353" s="4"/>
      <c r="F1353" s="4">
        <v>28</v>
      </c>
      <c r="G1353" s="4">
        <v>50</v>
      </c>
      <c r="H1353" s="4">
        <v>71.621729999999999</v>
      </c>
    </row>
    <row r="1354" spans="1:8" s="5" customFormat="1" ht="17.25" hidden="1" customHeight="1" outlineLevel="1" x14ac:dyDescent="0.25">
      <c r="A1354" s="4">
        <v>1527</v>
      </c>
      <c r="B1354" s="4" t="s">
        <v>39</v>
      </c>
      <c r="C1354" s="38" t="s">
        <v>471</v>
      </c>
      <c r="D1354" s="4">
        <v>2020</v>
      </c>
      <c r="E1354" s="4"/>
      <c r="F1354" s="4">
        <v>3</v>
      </c>
      <c r="G1354" s="4">
        <v>150</v>
      </c>
      <c r="H1354" s="4">
        <v>57.528770000000002</v>
      </c>
    </row>
    <row r="1355" spans="1:8" s="5" customFormat="1" ht="17.25" hidden="1" customHeight="1" outlineLevel="1" x14ac:dyDescent="0.25">
      <c r="A1355" s="4">
        <v>1611</v>
      </c>
      <c r="B1355" s="4" t="s">
        <v>39</v>
      </c>
      <c r="C1355" s="38" t="s">
        <v>472</v>
      </c>
      <c r="D1355" s="4">
        <v>2020</v>
      </c>
      <c r="E1355" s="4"/>
      <c r="F1355" s="4">
        <v>157</v>
      </c>
      <c r="G1355" s="4">
        <v>15</v>
      </c>
      <c r="H1355" s="4">
        <v>118.28270999999999</v>
      </c>
    </row>
    <row r="1356" spans="1:8" s="5" customFormat="1" ht="17.25" hidden="1" customHeight="1" outlineLevel="1" x14ac:dyDescent="0.25">
      <c r="A1356" s="4">
        <v>1597</v>
      </c>
      <c r="B1356" s="4" t="s">
        <v>39</v>
      </c>
      <c r="C1356" s="38" t="s">
        <v>473</v>
      </c>
      <c r="D1356" s="4">
        <v>2020</v>
      </c>
      <c r="E1356" s="4"/>
      <c r="F1356" s="4">
        <v>108</v>
      </c>
      <c r="G1356" s="4">
        <v>15</v>
      </c>
      <c r="H1356" s="4">
        <v>147.03497999999999</v>
      </c>
    </row>
    <row r="1357" spans="1:8" s="5" customFormat="1" ht="17.25" hidden="1" customHeight="1" outlineLevel="1" x14ac:dyDescent="0.25">
      <c r="A1357" s="4">
        <v>1503</v>
      </c>
      <c r="B1357" s="4" t="s">
        <v>39</v>
      </c>
      <c r="C1357" s="38" t="s">
        <v>474</v>
      </c>
      <c r="D1357" s="4">
        <v>2020</v>
      </c>
      <c r="E1357" s="4"/>
      <c r="F1357" s="4">
        <v>124</v>
      </c>
      <c r="G1357" s="4">
        <v>20</v>
      </c>
      <c r="H1357" s="4">
        <v>142.6431</v>
      </c>
    </row>
    <row r="1358" spans="1:8" s="5" customFormat="1" ht="17.25" hidden="1" customHeight="1" outlineLevel="1" x14ac:dyDescent="0.25">
      <c r="A1358" s="4">
        <v>1492</v>
      </c>
      <c r="B1358" s="4" t="s">
        <v>39</v>
      </c>
      <c r="C1358" s="38" t="s">
        <v>475</v>
      </c>
      <c r="D1358" s="4">
        <v>2020</v>
      </c>
      <c r="E1358" s="4"/>
      <c r="F1358" s="4">
        <v>130</v>
      </c>
      <c r="G1358" s="4">
        <v>35</v>
      </c>
      <c r="H1358" s="4">
        <v>172.41541000000001</v>
      </c>
    </row>
    <row r="1359" spans="1:8" s="5" customFormat="1" ht="17.25" hidden="1" customHeight="1" outlineLevel="1" x14ac:dyDescent="0.25">
      <c r="A1359" s="4">
        <v>1532</v>
      </c>
      <c r="B1359" s="4" t="s">
        <v>39</v>
      </c>
      <c r="C1359" s="38" t="s">
        <v>476</v>
      </c>
      <c r="D1359" s="4">
        <v>2020</v>
      </c>
      <c r="E1359" s="4"/>
      <c r="F1359" s="4">
        <v>5</v>
      </c>
      <c r="G1359" s="4">
        <v>100</v>
      </c>
      <c r="H1359" s="4">
        <v>26.424790000000002</v>
      </c>
    </row>
    <row r="1360" spans="1:8" s="5" customFormat="1" ht="17.25" hidden="1" customHeight="1" outlineLevel="1" x14ac:dyDescent="0.25">
      <c r="A1360" s="4">
        <v>1576</v>
      </c>
      <c r="B1360" s="4" t="s">
        <v>39</v>
      </c>
      <c r="C1360" s="38" t="s">
        <v>477</v>
      </c>
      <c r="D1360" s="4">
        <v>2020</v>
      </c>
      <c r="E1360" s="4"/>
      <c r="F1360" s="4">
        <v>339</v>
      </c>
      <c r="G1360" s="4">
        <v>7</v>
      </c>
      <c r="H1360" s="4">
        <v>464.38648999999998</v>
      </c>
    </row>
    <row r="1361" spans="1:8" s="5" customFormat="1" ht="17.25" hidden="1" customHeight="1" outlineLevel="1" x14ac:dyDescent="0.25">
      <c r="A1361" s="4">
        <v>1462</v>
      </c>
      <c r="B1361" s="4" t="s">
        <v>39</v>
      </c>
      <c r="C1361" s="38" t="s">
        <v>478</v>
      </c>
      <c r="D1361" s="4">
        <v>2020</v>
      </c>
      <c r="E1361" s="4"/>
      <c r="F1361" s="4">
        <v>116</v>
      </c>
      <c r="G1361" s="4">
        <v>15</v>
      </c>
      <c r="H1361" s="4">
        <v>110.68962000000001</v>
      </c>
    </row>
    <row r="1362" spans="1:8" s="5" customFormat="1" ht="17.25" hidden="1" customHeight="1" outlineLevel="1" x14ac:dyDescent="0.25">
      <c r="A1362" s="4">
        <v>1572</v>
      </c>
      <c r="B1362" s="4" t="s">
        <v>39</v>
      </c>
      <c r="C1362" s="38" t="s">
        <v>479</v>
      </c>
      <c r="D1362" s="4">
        <v>2020</v>
      </c>
      <c r="E1362" s="4"/>
      <c r="F1362" s="4">
        <v>3</v>
      </c>
      <c r="G1362" s="4">
        <v>150</v>
      </c>
      <c r="H1362" s="4">
        <v>80.973560000000006</v>
      </c>
    </row>
    <row r="1363" spans="1:8" s="5" customFormat="1" ht="17.25" hidden="1" customHeight="1" outlineLevel="1" x14ac:dyDescent="0.25">
      <c r="A1363" s="4">
        <v>1573</v>
      </c>
      <c r="B1363" s="4" t="s">
        <v>39</v>
      </c>
      <c r="C1363" s="38" t="s">
        <v>480</v>
      </c>
      <c r="D1363" s="4">
        <v>2020</v>
      </c>
      <c r="E1363" s="4"/>
      <c r="F1363" s="4">
        <v>3</v>
      </c>
      <c r="G1363" s="4">
        <v>150</v>
      </c>
      <c r="H1363" s="4">
        <v>95.663619999999995</v>
      </c>
    </row>
    <row r="1364" spans="1:8" s="5" customFormat="1" ht="17.25" hidden="1" customHeight="1" outlineLevel="1" x14ac:dyDescent="0.25">
      <c r="A1364" s="4">
        <v>1706</v>
      </c>
      <c r="B1364" s="4" t="s">
        <v>39</v>
      </c>
      <c r="C1364" s="38" t="s">
        <v>6</v>
      </c>
      <c r="D1364" s="4">
        <v>2020</v>
      </c>
      <c r="E1364" s="4"/>
      <c r="F1364" s="4">
        <v>77</v>
      </c>
      <c r="G1364" s="4">
        <v>110</v>
      </c>
      <c r="H1364" s="4">
        <v>150.56402</v>
      </c>
    </row>
    <row r="1365" spans="1:8" s="5" customFormat="1" ht="17.25" hidden="1" customHeight="1" outlineLevel="1" x14ac:dyDescent="0.25">
      <c r="A1365" s="4">
        <v>1501</v>
      </c>
      <c r="B1365" s="4" t="s">
        <v>39</v>
      </c>
      <c r="C1365" s="38" t="s">
        <v>40</v>
      </c>
      <c r="D1365" s="4">
        <v>2020</v>
      </c>
      <c r="E1365" s="4"/>
      <c r="F1365" s="4">
        <v>145</v>
      </c>
      <c r="G1365" s="4">
        <v>10</v>
      </c>
      <c r="H1365" s="4">
        <v>268.06236999999999</v>
      </c>
    </row>
    <row r="1366" spans="1:8" s="5" customFormat="1" ht="17.25" hidden="1" customHeight="1" outlineLevel="1" x14ac:dyDescent="0.25">
      <c r="A1366" s="4">
        <v>1575</v>
      </c>
      <c r="B1366" s="4" t="s">
        <v>39</v>
      </c>
      <c r="C1366" s="38" t="s">
        <v>41</v>
      </c>
      <c r="D1366" s="4">
        <v>2020</v>
      </c>
      <c r="E1366" s="4"/>
      <c r="F1366" s="4">
        <v>158</v>
      </c>
      <c r="G1366" s="4">
        <v>15</v>
      </c>
      <c r="H1366" s="4">
        <v>289.43398000000002</v>
      </c>
    </row>
    <row r="1367" spans="1:8" s="5" customFormat="1" ht="17.25" hidden="1" customHeight="1" outlineLevel="1" x14ac:dyDescent="0.25">
      <c r="A1367" s="4">
        <v>1673</v>
      </c>
      <c r="B1367" s="4" t="s">
        <v>39</v>
      </c>
      <c r="C1367" s="38" t="s">
        <v>42</v>
      </c>
      <c r="D1367" s="4">
        <v>2020</v>
      </c>
      <c r="E1367" s="4"/>
      <c r="F1367" s="4">
        <v>132</v>
      </c>
      <c r="G1367" s="4">
        <v>35</v>
      </c>
      <c r="H1367" s="4">
        <v>213.22187</v>
      </c>
    </row>
    <row r="1368" spans="1:8" s="5" customFormat="1" ht="17.25" hidden="1" customHeight="1" outlineLevel="1" x14ac:dyDescent="0.25">
      <c r="A1368" s="4">
        <v>1574</v>
      </c>
      <c r="B1368" s="4" t="s">
        <v>39</v>
      </c>
      <c r="C1368" s="38" t="s">
        <v>43</v>
      </c>
      <c r="D1368" s="4">
        <v>2020</v>
      </c>
      <c r="E1368" s="4"/>
      <c r="F1368" s="4">
        <v>39</v>
      </c>
      <c r="G1368" s="4">
        <v>70</v>
      </c>
      <c r="H1368" s="4">
        <v>159.60738000000001</v>
      </c>
    </row>
    <row r="1369" spans="1:8" s="5" customFormat="1" ht="17.25" hidden="1" customHeight="1" outlineLevel="1" x14ac:dyDescent="0.25">
      <c r="A1369" s="4">
        <v>1507</v>
      </c>
      <c r="B1369" s="4" t="s">
        <v>39</v>
      </c>
      <c r="C1369" s="38" t="s">
        <v>44</v>
      </c>
      <c r="D1369" s="4">
        <v>2020</v>
      </c>
      <c r="E1369" s="4"/>
      <c r="F1369" s="4">
        <v>261</v>
      </c>
      <c r="G1369" s="4">
        <v>11</v>
      </c>
      <c r="H1369" s="4">
        <v>375.90600000000001</v>
      </c>
    </row>
    <row r="1370" spans="1:8" s="5" customFormat="1" ht="17.25" hidden="1" customHeight="1" outlineLevel="1" x14ac:dyDescent="0.25">
      <c r="A1370" s="4">
        <v>1762</v>
      </c>
      <c r="B1370" s="4" t="s">
        <v>39</v>
      </c>
      <c r="C1370" s="38" t="s">
        <v>45</v>
      </c>
      <c r="D1370" s="4">
        <v>2020</v>
      </c>
      <c r="E1370" s="4"/>
      <c r="F1370" s="4">
        <v>378</v>
      </c>
      <c r="G1370" s="4">
        <v>149</v>
      </c>
      <c r="H1370" s="4">
        <v>862.44390999999996</v>
      </c>
    </row>
    <row r="1371" spans="1:8" s="5" customFormat="1" ht="17.25" hidden="1" customHeight="1" outlineLevel="1" x14ac:dyDescent="0.25">
      <c r="A1371" s="4">
        <v>1624</v>
      </c>
      <c r="B1371" s="4" t="s">
        <v>39</v>
      </c>
      <c r="C1371" s="38" t="s">
        <v>46</v>
      </c>
      <c r="D1371" s="4">
        <v>2020</v>
      </c>
      <c r="E1371" s="4"/>
      <c r="F1371" s="4">
        <v>6</v>
      </c>
      <c r="G1371" s="4">
        <v>149</v>
      </c>
      <c r="H1371" s="4">
        <v>42.881709999999998</v>
      </c>
    </row>
    <row r="1372" spans="1:8" s="5" customFormat="1" ht="17.25" hidden="1" customHeight="1" outlineLevel="1" x14ac:dyDescent="0.25">
      <c r="A1372" s="4">
        <v>119</v>
      </c>
      <c r="B1372" s="4" t="s">
        <v>39</v>
      </c>
      <c r="C1372" s="38" t="s">
        <v>47</v>
      </c>
      <c r="D1372" s="4">
        <v>2020</v>
      </c>
      <c r="E1372" s="4"/>
      <c r="F1372" s="4">
        <v>187</v>
      </c>
      <c r="G1372" s="4">
        <v>145</v>
      </c>
      <c r="H1372" s="4">
        <v>241.99812</v>
      </c>
    </row>
    <row r="1373" spans="1:8" s="5" customFormat="1" ht="17.25" hidden="1" customHeight="1" outlineLevel="1" x14ac:dyDescent="0.25">
      <c r="A1373" s="4">
        <v>209</v>
      </c>
      <c r="B1373" s="4" t="s">
        <v>39</v>
      </c>
      <c r="C1373" s="38" t="s">
        <v>48</v>
      </c>
      <c r="D1373" s="4">
        <v>2020</v>
      </c>
      <c r="E1373" s="4"/>
      <c r="F1373" s="4">
        <v>104</v>
      </c>
      <c r="G1373" s="4">
        <v>10</v>
      </c>
      <c r="H1373" s="4">
        <v>245.34472</v>
      </c>
    </row>
    <row r="1374" spans="1:8" s="5" customFormat="1" ht="17.25" hidden="1" customHeight="1" outlineLevel="1" x14ac:dyDescent="0.25">
      <c r="A1374" s="4">
        <v>1119</v>
      </c>
      <c r="B1374" s="4" t="s">
        <v>39</v>
      </c>
      <c r="C1374" s="38" t="s">
        <v>49</v>
      </c>
      <c r="D1374" s="4">
        <v>2020</v>
      </c>
      <c r="E1374" s="4"/>
      <c r="F1374" s="4">
        <v>257</v>
      </c>
      <c r="G1374" s="4">
        <v>20.3</v>
      </c>
      <c r="H1374" s="4">
        <v>383.98399000000001</v>
      </c>
    </row>
    <row r="1375" spans="1:8" s="5" customFormat="1" ht="17.25" hidden="1" customHeight="1" outlineLevel="1" x14ac:dyDescent="0.25">
      <c r="A1375" s="4" t="s">
        <v>1105</v>
      </c>
      <c r="B1375" s="4" t="s">
        <v>39</v>
      </c>
      <c r="C1375" s="38" t="s">
        <v>50</v>
      </c>
      <c r="D1375" s="4">
        <v>2020</v>
      </c>
      <c r="E1375" s="4"/>
      <c r="F1375" s="4">
        <v>340</v>
      </c>
      <c r="G1375" s="4">
        <v>12</v>
      </c>
      <c r="H1375" s="4">
        <v>440.91798999999997</v>
      </c>
    </row>
    <row r="1376" spans="1:8" s="5" customFormat="1" ht="17.25" hidden="1" customHeight="1" outlineLevel="1" x14ac:dyDescent="0.25">
      <c r="A1376" s="4">
        <v>1498</v>
      </c>
      <c r="B1376" s="4" t="s">
        <v>39</v>
      </c>
      <c r="C1376" s="38" t="s">
        <v>51</v>
      </c>
      <c r="D1376" s="4">
        <v>2020</v>
      </c>
      <c r="E1376" s="4"/>
      <c r="F1376" s="4">
        <v>270</v>
      </c>
      <c r="G1376" s="4">
        <v>40</v>
      </c>
      <c r="H1376" s="4">
        <v>190.77754999999999</v>
      </c>
    </row>
    <row r="1377" spans="1:8" s="5" customFormat="1" ht="17.25" hidden="1" customHeight="1" outlineLevel="1" x14ac:dyDescent="0.25">
      <c r="A1377" s="4" t="s">
        <v>1106</v>
      </c>
      <c r="B1377" s="4" t="s">
        <v>39</v>
      </c>
      <c r="C1377" s="38" t="s">
        <v>52</v>
      </c>
      <c r="D1377" s="4">
        <v>2020</v>
      </c>
      <c r="E1377" s="4"/>
      <c r="F1377" s="4">
        <v>90</v>
      </c>
      <c r="G1377" s="4">
        <v>24</v>
      </c>
      <c r="H1377" s="4">
        <v>145.19466</v>
      </c>
    </row>
    <row r="1378" spans="1:8" s="5" customFormat="1" ht="17.25" hidden="1" customHeight="1" outlineLevel="1" x14ac:dyDescent="0.25">
      <c r="A1378" s="4">
        <v>334</v>
      </c>
      <c r="B1378" s="4" t="s">
        <v>39</v>
      </c>
      <c r="C1378" s="38" t="s">
        <v>53</v>
      </c>
      <c r="D1378" s="4">
        <v>2020</v>
      </c>
      <c r="E1378" s="4"/>
      <c r="F1378" s="4">
        <v>7</v>
      </c>
      <c r="G1378" s="4">
        <v>60</v>
      </c>
      <c r="H1378" s="4">
        <v>16.0227</v>
      </c>
    </row>
    <row r="1379" spans="1:8" s="5" customFormat="1" ht="17.25" hidden="1" customHeight="1" outlineLevel="1" x14ac:dyDescent="0.25">
      <c r="A1379" s="4" t="s">
        <v>1107</v>
      </c>
      <c r="B1379" s="4" t="s">
        <v>39</v>
      </c>
      <c r="C1379" s="38" t="s">
        <v>54</v>
      </c>
      <c r="D1379" s="4">
        <v>2020</v>
      </c>
      <c r="E1379" s="4"/>
      <c r="F1379" s="4">
        <v>165</v>
      </c>
      <c r="G1379" s="4">
        <v>16</v>
      </c>
      <c r="H1379" s="4">
        <v>157.78761</v>
      </c>
    </row>
    <row r="1380" spans="1:8" s="5" customFormat="1" ht="17.25" hidden="1" customHeight="1" outlineLevel="1" x14ac:dyDescent="0.25">
      <c r="A1380" s="4" t="s">
        <v>1108</v>
      </c>
      <c r="B1380" s="4" t="s">
        <v>39</v>
      </c>
      <c r="C1380" s="38" t="s">
        <v>55</v>
      </c>
      <c r="D1380" s="4">
        <v>2020</v>
      </c>
      <c r="E1380" s="4"/>
      <c r="F1380" s="4">
        <v>96</v>
      </c>
      <c r="G1380" s="4">
        <v>12</v>
      </c>
      <c r="H1380" s="4">
        <v>124.70862</v>
      </c>
    </row>
    <row r="1381" spans="1:8" s="5" customFormat="1" ht="17.25" hidden="1" customHeight="1" outlineLevel="1" x14ac:dyDescent="0.25">
      <c r="A1381" s="4" t="s">
        <v>1109</v>
      </c>
      <c r="B1381" s="4" t="s">
        <v>39</v>
      </c>
      <c r="C1381" s="38" t="s">
        <v>56</v>
      </c>
      <c r="D1381" s="4">
        <v>2020</v>
      </c>
      <c r="E1381" s="4"/>
      <c r="F1381" s="4">
        <v>51</v>
      </c>
      <c r="G1381" s="4">
        <v>10</v>
      </c>
      <c r="H1381" s="4">
        <v>162.13605000000001</v>
      </c>
    </row>
    <row r="1382" spans="1:8" s="5" customFormat="1" ht="17.25" hidden="1" customHeight="1" outlineLevel="1" x14ac:dyDescent="0.25">
      <c r="A1382" s="4" t="s">
        <v>1110</v>
      </c>
      <c r="B1382" s="4" t="s">
        <v>39</v>
      </c>
      <c r="C1382" s="38" t="s">
        <v>57</v>
      </c>
      <c r="D1382" s="4">
        <v>2020</v>
      </c>
      <c r="E1382" s="4"/>
      <c r="F1382" s="4">
        <v>132</v>
      </c>
      <c r="G1382" s="4">
        <v>15</v>
      </c>
      <c r="H1382" s="4">
        <v>166.76356000000001</v>
      </c>
    </row>
    <row r="1383" spans="1:8" s="5" customFormat="1" ht="17.25" hidden="1" customHeight="1" outlineLevel="1" x14ac:dyDescent="0.25">
      <c r="A1383" s="4">
        <v>425</v>
      </c>
      <c r="B1383" s="4" t="s">
        <v>39</v>
      </c>
      <c r="C1383" s="38" t="s">
        <v>58</v>
      </c>
      <c r="D1383" s="4">
        <v>2020</v>
      </c>
      <c r="E1383" s="4"/>
      <c r="F1383" s="4">
        <v>47</v>
      </c>
      <c r="G1383" s="4">
        <v>11</v>
      </c>
      <c r="H1383" s="4">
        <v>96.593909999999994</v>
      </c>
    </row>
    <row r="1384" spans="1:8" s="5" customFormat="1" ht="17.25" hidden="1" customHeight="1" outlineLevel="1" x14ac:dyDescent="0.25">
      <c r="A1384" s="4" t="s">
        <v>1111</v>
      </c>
      <c r="B1384" s="4" t="s">
        <v>39</v>
      </c>
      <c r="C1384" s="38" t="s">
        <v>59</v>
      </c>
      <c r="D1384" s="4">
        <v>2020</v>
      </c>
      <c r="E1384" s="4"/>
      <c r="F1384" s="4">
        <v>98</v>
      </c>
      <c r="G1384" s="4">
        <v>150</v>
      </c>
      <c r="H1384" s="4">
        <v>108.94824</v>
      </c>
    </row>
    <row r="1385" spans="1:8" s="5" customFormat="1" ht="17.25" hidden="1" customHeight="1" outlineLevel="1" x14ac:dyDescent="0.25">
      <c r="A1385" s="4" t="s">
        <v>1112</v>
      </c>
      <c r="B1385" s="4" t="s">
        <v>39</v>
      </c>
      <c r="C1385" s="38" t="s">
        <v>60</v>
      </c>
      <c r="D1385" s="4">
        <v>2020</v>
      </c>
      <c r="E1385" s="4"/>
      <c r="F1385" s="4">
        <v>172</v>
      </c>
      <c r="G1385" s="4">
        <v>12</v>
      </c>
      <c r="H1385" s="4">
        <v>163.49896000000001</v>
      </c>
    </row>
    <row r="1386" spans="1:8" s="5" customFormat="1" ht="17.25" hidden="1" customHeight="1" outlineLevel="1" x14ac:dyDescent="0.25">
      <c r="A1386" s="4">
        <v>603</v>
      </c>
      <c r="B1386" s="4" t="s">
        <v>39</v>
      </c>
      <c r="C1386" s="38" t="s">
        <v>61</v>
      </c>
      <c r="D1386" s="4">
        <v>2020</v>
      </c>
      <c r="E1386" s="4"/>
      <c r="F1386" s="4">
        <v>101</v>
      </c>
      <c r="G1386" s="4">
        <v>12</v>
      </c>
      <c r="H1386" s="4">
        <v>145.58723000000001</v>
      </c>
    </row>
    <row r="1387" spans="1:8" s="5" customFormat="1" ht="17.25" hidden="1" customHeight="1" outlineLevel="1" x14ac:dyDescent="0.25">
      <c r="A1387" s="4">
        <v>899</v>
      </c>
      <c r="B1387" s="4" t="s">
        <v>39</v>
      </c>
      <c r="C1387" s="38" t="s">
        <v>62</v>
      </c>
      <c r="D1387" s="4">
        <v>2020</v>
      </c>
      <c r="E1387" s="4"/>
      <c r="F1387" s="4">
        <v>140</v>
      </c>
      <c r="G1387" s="4">
        <v>15</v>
      </c>
      <c r="H1387" s="4">
        <v>97.600059999999999</v>
      </c>
    </row>
    <row r="1388" spans="1:8" s="5" customFormat="1" ht="17.25" hidden="1" customHeight="1" outlineLevel="1" x14ac:dyDescent="0.25">
      <c r="A1388" s="4">
        <v>960</v>
      </c>
      <c r="B1388" s="4" t="s">
        <v>39</v>
      </c>
      <c r="C1388" s="38" t="s">
        <v>63</v>
      </c>
      <c r="D1388" s="4">
        <v>2020</v>
      </c>
      <c r="E1388" s="4"/>
      <c r="F1388" s="4">
        <v>61</v>
      </c>
      <c r="G1388" s="4">
        <v>30</v>
      </c>
      <c r="H1388" s="4">
        <v>169.26206999999999</v>
      </c>
    </row>
    <row r="1389" spans="1:8" s="5" customFormat="1" ht="17.25" hidden="1" customHeight="1" outlineLevel="1" x14ac:dyDescent="0.25">
      <c r="A1389" s="4">
        <v>1007</v>
      </c>
      <c r="B1389" s="4" t="s">
        <v>39</v>
      </c>
      <c r="C1389" s="38" t="s">
        <v>64</v>
      </c>
      <c r="D1389" s="4">
        <v>2020</v>
      </c>
      <c r="E1389" s="4"/>
      <c r="F1389" s="4">
        <v>124</v>
      </c>
      <c r="G1389" s="4">
        <v>12</v>
      </c>
      <c r="H1389" s="4">
        <v>110.09726000000001</v>
      </c>
    </row>
    <row r="1390" spans="1:8" s="5" customFormat="1" ht="17.25" hidden="1" customHeight="1" outlineLevel="1" x14ac:dyDescent="0.25">
      <c r="A1390" s="4">
        <v>292</v>
      </c>
      <c r="B1390" s="4" t="s">
        <v>39</v>
      </c>
      <c r="C1390" s="38" t="s">
        <v>65</v>
      </c>
      <c r="D1390" s="4">
        <v>2020</v>
      </c>
      <c r="E1390" s="4"/>
      <c r="F1390" s="4">
        <v>467</v>
      </c>
      <c r="G1390" s="4">
        <v>45</v>
      </c>
      <c r="H1390" s="4">
        <v>490.34221000000002</v>
      </c>
    </row>
    <row r="1391" spans="1:8" s="5" customFormat="1" ht="17.25" hidden="1" customHeight="1" outlineLevel="1" x14ac:dyDescent="0.25">
      <c r="A1391" s="4">
        <v>330</v>
      </c>
      <c r="B1391" s="4" t="s">
        <v>39</v>
      </c>
      <c r="C1391" s="38" t="s">
        <v>66</v>
      </c>
      <c r="D1391" s="4">
        <v>2020</v>
      </c>
      <c r="E1391" s="4"/>
      <c r="F1391" s="4">
        <v>35</v>
      </c>
      <c r="G1391" s="4">
        <v>25</v>
      </c>
      <c r="H1391" s="4">
        <v>71.566370000000006</v>
      </c>
    </row>
    <row r="1392" spans="1:8" s="5" customFormat="1" ht="17.25" hidden="1" customHeight="1" outlineLevel="1" x14ac:dyDescent="0.25">
      <c r="A1392" s="4">
        <v>1814</v>
      </c>
      <c r="B1392" s="4" t="s">
        <v>39</v>
      </c>
      <c r="C1392" s="38" t="s">
        <v>67</v>
      </c>
      <c r="D1392" s="4">
        <v>2020</v>
      </c>
      <c r="E1392" s="4"/>
      <c r="F1392" s="4">
        <v>61</v>
      </c>
      <c r="G1392" s="4">
        <v>65</v>
      </c>
      <c r="H1392" s="4">
        <v>211.13210000000001</v>
      </c>
    </row>
    <row r="1393" spans="1:8" s="5" customFormat="1" ht="17.25" hidden="1" customHeight="1" outlineLevel="1" x14ac:dyDescent="0.25">
      <c r="A1393" s="4">
        <v>1812</v>
      </c>
      <c r="B1393" s="4" t="s">
        <v>39</v>
      </c>
      <c r="C1393" s="38" t="s">
        <v>68</v>
      </c>
      <c r="D1393" s="4">
        <v>2020</v>
      </c>
      <c r="E1393" s="4"/>
      <c r="F1393" s="4">
        <v>15</v>
      </c>
      <c r="G1393" s="4">
        <v>150</v>
      </c>
      <c r="H1393" s="4">
        <v>46.188490000000002</v>
      </c>
    </row>
    <row r="1394" spans="1:8" s="5" customFormat="1" ht="17.25" hidden="1" customHeight="1" outlineLevel="1" x14ac:dyDescent="0.25">
      <c r="A1394" s="4">
        <v>460</v>
      </c>
      <c r="B1394" s="4" t="s">
        <v>39</v>
      </c>
      <c r="C1394" s="38" t="s">
        <v>69</v>
      </c>
      <c r="D1394" s="4">
        <v>2020</v>
      </c>
      <c r="E1394" s="4"/>
      <c r="F1394" s="4">
        <v>76</v>
      </c>
      <c r="G1394" s="4">
        <v>100</v>
      </c>
      <c r="H1394" s="4">
        <v>63.648499999999999</v>
      </c>
    </row>
    <row r="1395" spans="1:8" s="5" customFormat="1" ht="17.25" hidden="1" customHeight="1" outlineLevel="1" x14ac:dyDescent="0.25">
      <c r="A1395" s="4">
        <v>1769</v>
      </c>
      <c r="B1395" s="4" t="s">
        <v>39</v>
      </c>
      <c r="C1395" s="38" t="s">
        <v>70</v>
      </c>
      <c r="D1395" s="4">
        <v>2020</v>
      </c>
      <c r="E1395" s="4"/>
      <c r="F1395" s="4">
        <v>33</v>
      </c>
      <c r="G1395" s="4">
        <v>150</v>
      </c>
      <c r="H1395" s="4">
        <v>143.25393</v>
      </c>
    </row>
    <row r="1396" spans="1:8" s="5" customFormat="1" ht="17.25" hidden="1" customHeight="1" outlineLevel="1" x14ac:dyDescent="0.25">
      <c r="A1396" s="4">
        <v>1770</v>
      </c>
      <c r="B1396" s="4" t="s">
        <v>39</v>
      </c>
      <c r="C1396" s="38" t="s">
        <v>71</v>
      </c>
      <c r="D1396" s="4">
        <v>2020</v>
      </c>
      <c r="E1396" s="4"/>
      <c r="F1396" s="4">
        <v>19</v>
      </c>
      <c r="G1396" s="4">
        <v>285</v>
      </c>
      <c r="H1396" s="4">
        <v>63.95337</v>
      </c>
    </row>
    <row r="1397" spans="1:8" s="5" customFormat="1" ht="17.25" hidden="1" customHeight="1" outlineLevel="1" x14ac:dyDescent="0.25">
      <c r="A1397" s="4">
        <v>400</v>
      </c>
      <c r="B1397" s="4" t="s">
        <v>39</v>
      </c>
      <c r="C1397" s="38" t="s">
        <v>72</v>
      </c>
      <c r="D1397" s="4">
        <v>2020</v>
      </c>
      <c r="E1397" s="4"/>
      <c r="F1397" s="4">
        <v>696</v>
      </c>
      <c r="G1397" s="4">
        <v>75</v>
      </c>
      <c r="H1397" s="4">
        <v>583.83196999999996</v>
      </c>
    </row>
    <row r="1398" spans="1:8" s="5" customFormat="1" ht="17.25" hidden="1" customHeight="1" outlineLevel="1" x14ac:dyDescent="0.25">
      <c r="A1398" s="4">
        <v>250</v>
      </c>
      <c r="B1398" s="4" t="s">
        <v>39</v>
      </c>
      <c r="C1398" s="38" t="s">
        <v>73</v>
      </c>
      <c r="D1398" s="4">
        <v>2020</v>
      </c>
      <c r="E1398" s="4"/>
      <c r="F1398" s="4">
        <v>5</v>
      </c>
      <c r="G1398" s="4">
        <v>50</v>
      </c>
      <c r="H1398" s="4">
        <v>47.453589999999998</v>
      </c>
    </row>
    <row r="1399" spans="1:8" s="5" customFormat="1" ht="17.25" hidden="1" customHeight="1" outlineLevel="1" x14ac:dyDescent="0.25">
      <c r="A1399" s="4">
        <v>648</v>
      </c>
      <c r="B1399" s="4" t="s">
        <v>39</v>
      </c>
      <c r="C1399" s="38" t="s">
        <v>74</v>
      </c>
      <c r="D1399" s="4">
        <v>2020</v>
      </c>
      <c r="E1399" s="4"/>
      <c r="F1399" s="4">
        <v>80</v>
      </c>
      <c r="G1399" s="4">
        <v>10</v>
      </c>
      <c r="H1399" s="4">
        <v>216.12272999999999</v>
      </c>
    </row>
    <row r="1400" spans="1:8" s="5" customFormat="1" ht="17.25" hidden="1" customHeight="1" outlineLevel="1" x14ac:dyDescent="0.25">
      <c r="A1400" s="4">
        <v>690</v>
      </c>
      <c r="B1400" s="4" t="s">
        <v>39</v>
      </c>
      <c r="C1400" s="38" t="s">
        <v>75</v>
      </c>
      <c r="D1400" s="4">
        <v>2020</v>
      </c>
      <c r="E1400" s="4"/>
      <c r="F1400" s="4">
        <v>45</v>
      </c>
      <c r="G1400" s="4">
        <v>10</v>
      </c>
      <c r="H1400" s="4">
        <v>147.43071</v>
      </c>
    </row>
    <row r="1401" spans="1:8" s="5" customFormat="1" ht="17.25" hidden="1" customHeight="1" outlineLevel="1" x14ac:dyDescent="0.25">
      <c r="A1401" s="4">
        <v>278</v>
      </c>
      <c r="B1401" s="4" t="s">
        <v>39</v>
      </c>
      <c r="C1401" s="38" t="s">
        <v>76</v>
      </c>
      <c r="D1401" s="4">
        <v>2020</v>
      </c>
      <c r="E1401" s="4"/>
      <c r="F1401" s="4">
        <v>235</v>
      </c>
      <c r="G1401" s="4">
        <v>10</v>
      </c>
      <c r="H1401" s="4">
        <v>177.88732999999999</v>
      </c>
    </row>
    <row r="1402" spans="1:8" s="5" customFormat="1" ht="17.25" hidden="1" customHeight="1" outlineLevel="1" x14ac:dyDescent="0.25">
      <c r="A1402" s="4">
        <v>636</v>
      </c>
      <c r="B1402" s="4" t="s">
        <v>39</v>
      </c>
      <c r="C1402" s="38" t="s">
        <v>77</v>
      </c>
      <c r="D1402" s="4">
        <v>2020</v>
      </c>
      <c r="E1402" s="4"/>
      <c r="F1402" s="4">
        <v>142</v>
      </c>
      <c r="G1402" s="4">
        <v>15</v>
      </c>
      <c r="H1402" s="4">
        <v>142.69910999999999</v>
      </c>
    </row>
    <row r="1403" spans="1:8" s="5" customFormat="1" ht="17.25" hidden="1" customHeight="1" outlineLevel="1" x14ac:dyDescent="0.25">
      <c r="A1403" s="4">
        <v>551</v>
      </c>
      <c r="B1403" s="4" t="s">
        <v>39</v>
      </c>
      <c r="C1403" s="38" t="s">
        <v>78</v>
      </c>
      <c r="D1403" s="4">
        <v>2020</v>
      </c>
      <c r="E1403" s="4"/>
      <c r="F1403" s="4">
        <v>260</v>
      </c>
      <c r="G1403" s="4">
        <v>25</v>
      </c>
      <c r="H1403" s="4">
        <v>231.75724</v>
      </c>
    </row>
    <row r="1404" spans="1:8" s="5" customFormat="1" ht="17.25" hidden="1" customHeight="1" outlineLevel="1" x14ac:dyDescent="0.25">
      <c r="A1404" s="4">
        <v>651</v>
      </c>
      <c r="B1404" s="4" t="s">
        <v>39</v>
      </c>
      <c r="C1404" s="38" t="s">
        <v>79</v>
      </c>
      <c r="D1404" s="4">
        <v>2020</v>
      </c>
      <c r="E1404" s="4"/>
      <c r="F1404" s="4">
        <v>131</v>
      </c>
      <c r="G1404" s="4">
        <v>13.6</v>
      </c>
      <c r="H1404" s="4">
        <v>188.10454999999999</v>
      </c>
    </row>
    <row r="1405" spans="1:8" s="5" customFormat="1" ht="17.25" hidden="1" customHeight="1" outlineLevel="1" x14ac:dyDescent="0.25">
      <c r="A1405" s="4">
        <v>696</v>
      </c>
      <c r="B1405" s="4" t="s">
        <v>39</v>
      </c>
      <c r="C1405" s="38" t="s">
        <v>80</v>
      </c>
      <c r="D1405" s="4">
        <v>2020</v>
      </c>
      <c r="E1405" s="4"/>
      <c r="F1405" s="4">
        <v>30</v>
      </c>
      <c r="G1405" s="4">
        <v>15</v>
      </c>
      <c r="H1405" s="4">
        <v>76.84496</v>
      </c>
    </row>
    <row r="1406" spans="1:8" s="5" customFormat="1" ht="17.25" hidden="1" customHeight="1" outlineLevel="1" x14ac:dyDescent="0.25">
      <c r="A1406" s="4">
        <v>634</v>
      </c>
      <c r="B1406" s="4" t="s">
        <v>39</v>
      </c>
      <c r="C1406" s="38" t="s">
        <v>81</v>
      </c>
      <c r="D1406" s="4">
        <v>2020</v>
      </c>
      <c r="E1406" s="4"/>
      <c r="F1406" s="4">
        <v>180</v>
      </c>
      <c r="G1406" s="4">
        <v>9</v>
      </c>
      <c r="H1406" s="4">
        <v>162.09075999999999</v>
      </c>
    </row>
    <row r="1407" spans="1:8" s="5" customFormat="1" ht="17.25" hidden="1" customHeight="1" outlineLevel="1" x14ac:dyDescent="0.25">
      <c r="A1407" s="4">
        <v>699</v>
      </c>
      <c r="B1407" s="4" t="s">
        <v>39</v>
      </c>
      <c r="C1407" s="38" t="s">
        <v>82</v>
      </c>
      <c r="D1407" s="4">
        <v>2020</v>
      </c>
      <c r="E1407" s="4"/>
      <c r="F1407" s="4">
        <v>35</v>
      </c>
      <c r="G1407" s="4">
        <v>10</v>
      </c>
      <c r="H1407" s="4">
        <v>120.82665</v>
      </c>
    </row>
    <row r="1408" spans="1:8" s="5" customFormat="1" ht="17.25" hidden="1" customHeight="1" outlineLevel="1" x14ac:dyDescent="0.25">
      <c r="A1408" s="4">
        <v>640</v>
      </c>
      <c r="B1408" s="4" t="s">
        <v>39</v>
      </c>
      <c r="C1408" s="38" t="s">
        <v>83</v>
      </c>
      <c r="D1408" s="4">
        <v>2020</v>
      </c>
      <c r="E1408" s="4"/>
      <c r="F1408" s="4">
        <v>232</v>
      </c>
      <c r="G1408" s="4">
        <v>75</v>
      </c>
      <c r="H1408" s="4">
        <v>336.27962000000002</v>
      </c>
    </row>
    <row r="1409" spans="1:8" s="5" customFormat="1" ht="17.25" hidden="1" customHeight="1" outlineLevel="1" x14ac:dyDescent="0.25">
      <c r="A1409" s="4">
        <v>893</v>
      </c>
      <c r="B1409" s="4" t="s">
        <v>39</v>
      </c>
      <c r="C1409" s="38" t="s">
        <v>84</v>
      </c>
      <c r="D1409" s="4">
        <v>2020</v>
      </c>
      <c r="E1409" s="4"/>
      <c r="F1409" s="4">
        <v>80</v>
      </c>
      <c r="G1409" s="4">
        <v>10</v>
      </c>
      <c r="H1409" s="4">
        <v>112.93147999999999</v>
      </c>
    </row>
    <row r="1410" spans="1:8" s="5" customFormat="1" ht="17.25" hidden="1" customHeight="1" outlineLevel="1" x14ac:dyDescent="0.25">
      <c r="A1410" s="4">
        <v>824</v>
      </c>
      <c r="B1410" s="4" t="s">
        <v>39</v>
      </c>
      <c r="C1410" s="38" t="s">
        <v>85</v>
      </c>
      <c r="D1410" s="4">
        <v>2020</v>
      </c>
      <c r="E1410" s="4"/>
      <c r="F1410" s="4">
        <v>135</v>
      </c>
      <c r="G1410" s="4">
        <v>15</v>
      </c>
      <c r="H1410" s="4">
        <v>119.31748</v>
      </c>
    </row>
    <row r="1411" spans="1:8" s="5" customFormat="1" ht="17.25" hidden="1" customHeight="1" outlineLevel="1" x14ac:dyDescent="0.25">
      <c r="A1411" s="4">
        <v>721</v>
      </c>
      <c r="B1411" s="4" t="s">
        <v>39</v>
      </c>
      <c r="C1411" s="38" t="s">
        <v>86</v>
      </c>
      <c r="D1411" s="4">
        <v>2020</v>
      </c>
      <c r="E1411" s="4"/>
      <c r="F1411" s="4">
        <v>120</v>
      </c>
      <c r="G1411" s="4">
        <v>10</v>
      </c>
      <c r="H1411" s="4">
        <v>166.44727</v>
      </c>
    </row>
    <row r="1412" spans="1:8" s="5" customFormat="1" ht="17.25" hidden="1" customHeight="1" outlineLevel="1" x14ac:dyDescent="0.25">
      <c r="A1412" s="4">
        <v>403</v>
      </c>
      <c r="B1412" s="4" t="s">
        <v>39</v>
      </c>
      <c r="C1412" s="38" t="s">
        <v>87</v>
      </c>
      <c r="D1412" s="4">
        <v>2020</v>
      </c>
      <c r="E1412" s="4"/>
      <c r="F1412" s="4">
        <v>212</v>
      </c>
      <c r="G1412" s="4">
        <v>25</v>
      </c>
      <c r="H1412" s="4">
        <v>353.70769999999999</v>
      </c>
    </row>
    <row r="1413" spans="1:8" s="5" customFormat="1" ht="17.25" hidden="1" customHeight="1" outlineLevel="1" x14ac:dyDescent="0.25">
      <c r="A1413" s="4">
        <v>1687</v>
      </c>
      <c r="B1413" s="4" t="s">
        <v>39</v>
      </c>
      <c r="C1413" s="38" t="s">
        <v>88</v>
      </c>
      <c r="D1413" s="4">
        <v>2020</v>
      </c>
      <c r="E1413" s="4"/>
      <c r="F1413" s="4">
        <v>150</v>
      </c>
      <c r="G1413" s="4">
        <v>9</v>
      </c>
      <c r="H1413" s="4">
        <v>204.28578999999999</v>
      </c>
    </row>
    <row r="1414" spans="1:8" s="5" customFormat="1" ht="17.25" hidden="1" customHeight="1" outlineLevel="1" x14ac:dyDescent="0.25">
      <c r="A1414" s="4">
        <v>1763</v>
      </c>
      <c r="B1414" s="4" t="s">
        <v>39</v>
      </c>
      <c r="C1414" s="38" t="s">
        <v>89</v>
      </c>
      <c r="D1414" s="4">
        <v>2020</v>
      </c>
      <c r="E1414" s="4"/>
      <c r="F1414" s="4">
        <v>21</v>
      </c>
      <c r="G1414" s="4">
        <v>45</v>
      </c>
      <c r="H1414" s="4">
        <v>105.54194</v>
      </c>
    </row>
    <row r="1415" spans="1:8" s="5" customFormat="1" ht="17.25" hidden="1" customHeight="1" outlineLevel="1" x14ac:dyDescent="0.25">
      <c r="A1415" s="4">
        <v>827</v>
      </c>
      <c r="B1415" s="4" t="s">
        <v>39</v>
      </c>
      <c r="C1415" s="38" t="s">
        <v>90</v>
      </c>
      <c r="D1415" s="4">
        <v>2020</v>
      </c>
      <c r="E1415" s="4"/>
      <c r="F1415" s="4">
        <v>310</v>
      </c>
      <c r="G1415" s="4">
        <v>15</v>
      </c>
      <c r="H1415" s="4">
        <v>261.68626</v>
      </c>
    </row>
    <row r="1416" spans="1:8" s="5" customFormat="1" ht="17.25" hidden="1" customHeight="1" outlineLevel="1" x14ac:dyDescent="0.25">
      <c r="A1416" s="4">
        <v>915</v>
      </c>
      <c r="B1416" s="4" t="s">
        <v>39</v>
      </c>
      <c r="C1416" s="38" t="s">
        <v>91</v>
      </c>
      <c r="D1416" s="4">
        <v>2020</v>
      </c>
      <c r="E1416" s="4"/>
      <c r="F1416" s="4">
        <v>60</v>
      </c>
      <c r="G1416" s="4">
        <v>15</v>
      </c>
      <c r="H1416" s="4">
        <v>88.644030000000001</v>
      </c>
    </row>
    <row r="1417" spans="1:8" s="5" customFormat="1" ht="17.25" hidden="1" customHeight="1" outlineLevel="1" x14ac:dyDescent="0.25">
      <c r="A1417" s="4">
        <v>1060</v>
      </c>
      <c r="B1417" s="4" t="s">
        <v>39</v>
      </c>
      <c r="C1417" s="38" t="s">
        <v>92</v>
      </c>
      <c r="D1417" s="4">
        <v>2020</v>
      </c>
      <c r="E1417" s="4"/>
      <c r="F1417" s="4">
        <v>130</v>
      </c>
      <c r="G1417" s="4">
        <v>50</v>
      </c>
      <c r="H1417" s="4">
        <v>148.37452999999999</v>
      </c>
    </row>
    <row r="1418" spans="1:8" s="5" customFormat="1" ht="17.25" hidden="1" customHeight="1" outlineLevel="1" x14ac:dyDescent="0.25">
      <c r="A1418" s="4">
        <v>578</v>
      </c>
      <c r="B1418" s="4" t="s">
        <v>39</v>
      </c>
      <c r="C1418" s="38" t="s">
        <v>93</v>
      </c>
      <c r="D1418" s="4">
        <v>2020</v>
      </c>
      <c r="E1418" s="4"/>
      <c r="F1418" s="4">
        <v>408</v>
      </c>
      <c r="G1418" s="4">
        <v>24</v>
      </c>
      <c r="H1418" s="4">
        <v>284.69776000000002</v>
      </c>
    </row>
    <row r="1419" spans="1:8" s="5" customFormat="1" ht="17.25" hidden="1" customHeight="1" outlineLevel="1" x14ac:dyDescent="0.25">
      <c r="A1419" s="4">
        <v>878</v>
      </c>
      <c r="B1419" s="4" t="s">
        <v>39</v>
      </c>
      <c r="C1419" s="38" t="s">
        <v>94</v>
      </c>
      <c r="D1419" s="4">
        <v>2020</v>
      </c>
      <c r="E1419" s="4"/>
      <c r="F1419" s="4">
        <v>40</v>
      </c>
      <c r="G1419" s="4">
        <v>15</v>
      </c>
      <c r="H1419" s="4">
        <v>108.73048</v>
      </c>
    </row>
    <row r="1420" spans="1:8" s="5" customFormat="1" ht="17.25" hidden="1" customHeight="1" outlineLevel="1" x14ac:dyDescent="0.25">
      <c r="A1420" s="4">
        <v>1682</v>
      </c>
      <c r="B1420" s="4" t="s">
        <v>39</v>
      </c>
      <c r="C1420" s="38" t="s">
        <v>95</v>
      </c>
      <c r="D1420" s="4">
        <v>2020</v>
      </c>
      <c r="E1420" s="4"/>
      <c r="F1420" s="4">
        <v>280</v>
      </c>
      <c r="G1420" s="4">
        <v>10</v>
      </c>
      <c r="H1420" s="4">
        <v>299.23655000000002</v>
      </c>
    </row>
    <row r="1421" spans="1:8" s="5" customFormat="1" ht="17.25" hidden="1" customHeight="1" outlineLevel="1" x14ac:dyDescent="0.25">
      <c r="A1421" s="4">
        <v>1675</v>
      </c>
      <c r="B1421" s="4" t="s">
        <v>39</v>
      </c>
      <c r="C1421" s="38" t="s">
        <v>96</v>
      </c>
      <c r="D1421" s="4">
        <v>2020</v>
      </c>
      <c r="E1421" s="4"/>
      <c r="F1421" s="4">
        <v>40</v>
      </c>
      <c r="G1421" s="4">
        <v>15</v>
      </c>
      <c r="H1421" s="4">
        <v>119.11527</v>
      </c>
    </row>
    <row r="1422" spans="1:8" s="5" customFormat="1" ht="17.25" hidden="1" customHeight="1" outlineLevel="1" x14ac:dyDescent="0.25">
      <c r="A1422" s="4">
        <v>1001</v>
      </c>
      <c r="B1422" s="4" t="s">
        <v>39</v>
      </c>
      <c r="C1422" s="38" t="s">
        <v>97</v>
      </c>
      <c r="D1422" s="4">
        <v>2020</v>
      </c>
      <c r="E1422" s="4"/>
      <c r="F1422" s="4">
        <v>210</v>
      </c>
      <c r="G1422" s="4">
        <v>15</v>
      </c>
      <c r="H1422" s="4">
        <v>234.24209999999999</v>
      </c>
    </row>
    <row r="1423" spans="1:8" s="5" customFormat="1" ht="17.25" hidden="1" customHeight="1" outlineLevel="1" x14ac:dyDescent="0.25">
      <c r="A1423" s="4">
        <v>1063</v>
      </c>
      <c r="B1423" s="4" t="s">
        <v>39</v>
      </c>
      <c r="C1423" s="38" t="s">
        <v>98</v>
      </c>
      <c r="D1423" s="4">
        <v>2020</v>
      </c>
      <c r="E1423" s="4"/>
      <c r="F1423" s="4">
        <v>85</v>
      </c>
      <c r="G1423" s="4">
        <v>15</v>
      </c>
      <c r="H1423" s="4">
        <v>158.50528</v>
      </c>
    </row>
    <row r="1424" spans="1:8" s="5" customFormat="1" ht="17.25" hidden="1" customHeight="1" outlineLevel="1" x14ac:dyDescent="0.25">
      <c r="A1424" s="4">
        <v>1101</v>
      </c>
      <c r="B1424" s="4" t="s">
        <v>39</v>
      </c>
      <c r="C1424" s="38" t="s">
        <v>99</v>
      </c>
      <c r="D1424" s="4">
        <v>2020</v>
      </c>
      <c r="E1424" s="4"/>
      <c r="F1424" s="4">
        <v>300</v>
      </c>
      <c r="G1424" s="4">
        <v>70</v>
      </c>
      <c r="H1424" s="4">
        <v>354.24815000000001</v>
      </c>
    </row>
    <row r="1425" spans="1:8" s="5" customFormat="1" ht="17.25" hidden="1" customHeight="1" outlineLevel="1" x14ac:dyDescent="0.25">
      <c r="A1425" s="4">
        <v>1095</v>
      </c>
      <c r="B1425" s="4" t="s">
        <v>39</v>
      </c>
      <c r="C1425" s="38" t="s">
        <v>100</v>
      </c>
      <c r="D1425" s="4">
        <v>2020</v>
      </c>
      <c r="E1425" s="4"/>
      <c r="F1425" s="4">
        <v>130</v>
      </c>
      <c r="G1425" s="4">
        <v>50</v>
      </c>
      <c r="H1425" s="4">
        <v>209.03818000000001</v>
      </c>
    </row>
    <row r="1426" spans="1:8" s="5" customFormat="1" ht="17.25" hidden="1" customHeight="1" outlineLevel="1" x14ac:dyDescent="0.25">
      <c r="A1426" s="4">
        <v>1768</v>
      </c>
      <c r="B1426" s="4" t="s">
        <v>39</v>
      </c>
      <c r="C1426" s="38" t="s">
        <v>101</v>
      </c>
      <c r="D1426" s="4">
        <v>2020</v>
      </c>
      <c r="E1426" s="4"/>
      <c r="F1426" s="4">
        <v>20</v>
      </c>
      <c r="G1426" s="4">
        <v>15</v>
      </c>
      <c r="H1426" s="4">
        <v>108.26268</v>
      </c>
    </row>
    <row r="1427" spans="1:8" s="5" customFormat="1" ht="17.25" hidden="1" customHeight="1" outlineLevel="1" x14ac:dyDescent="0.25">
      <c r="A1427" s="4">
        <v>1115</v>
      </c>
      <c r="B1427" s="4" t="s">
        <v>39</v>
      </c>
      <c r="C1427" s="38" t="s">
        <v>102</v>
      </c>
      <c r="D1427" s="4">
        <v>2020</v>
      </c>
      <c r="E1427" s="4"/>
      <c r="F1427" s="4">
        <v>60</v>
      </c>
      <c r="G1427" s="4">
        <v>35</v>
      </c>
      <c r="H1427" s="4">
        <v>156.35183000000001</v>
      </c>
    </row>
    <row r="1428" spans="1:8" s="5" customFormat="1" ht="17.25" hidden="1" customHeight="1" outlineLevel="1" x14ac:dyDescent="0.25">
      <c r="A1428" s="4">
        <v>1765</v>
      </c>
      <c r="B1428" s="4" t="s">
        <v>39</v>
      </c>
      <c r="C1428" s="38" t="s">
        <v>103</v>
      </c>
      <c r="D1428" s="4">
        <v>2020</v>
      </c>
      <c r="E1428" s="4"/>
      <c r="F1428" s="4">
        <v>4</v>
      </c>
      <c r="G1428" s="4">
        <v>150</v>
      </c>
      <c r="H1428" s="4">
        <v>93.88852</v>
      </c>
    </row>
    <row r="1429" spans="1:8" s="5" customFormat="1" ht="17.25" hidden="1" customHeight="1" outlineLevel="1" x14ac:dyDescent="0.25">
      <c r="A1429" s="4">
        <v>810</v>
      </c>
      <c r="B1429" s="4" t="s">
        <v>39</v>
      </c>
      <c r="C1429" s="38" t="s">
        <v>104</v>
      </c>
      <c r="D1429" s="4">
        <v>2020</v>
      </c>
      <c r="E1429" s="4"/>
      <c r="F1429" s="4">
        <v>1332</v>
      </c>
      <c r="G1429" s="4">
        <v>30</v>
      </c>
      <c r="H1429" s="4">
        <v>1617.5030400000001</v>
      </c>
    </row>
    <row r="1430" spans="1:8" s="5" customFormat="1" ht="17.25" hidden="1" customHeight="1" outlineLevel="1" x14ac:dyDescent="0.25">
      <c r="A1430" s="4">
        <v>1694</v>
      </c>
      <c r="B1430" s="4" t="s">
        <v>39</v>
      </c>
      <c r="C1430" s="38" t="s">
        <v>105</v>
      </c>
      <c r="D1430" s="4">
        <v>2020</v>
      </c>
      <c r="E1430" s="4"/>
      <c r="F1430" s="4">
        <v>33</v>
      </c>
      <c r="G1430" s="4">
        <v>30</v>
      </c>
      <c r="H1430" s="4">
        <v>69.436620000000005</v>
      </c>
    </row>
    <row r="1431" spans="1:8" s="5" customFormat="1" ht="17.25" hidden="1" customHeight="1" outlineLevel="1" x14ac:dyDescent="0.25">
      <c r="A1431" s="4">
        <v>1764</v>
      </c>
      <c r="B1431" s="4" t="s">
        <v>39</v>
      </c>
      <c r="C1431" s="38" t="s">
        <v>106</v>
      </c>
      <c r="D1431" s="4">
        <v>2020</v>
      </c>
      <c r="E1431" s="4"/>
      <c r="F1431" s="4">
        <v>25</v>
      </c>
      <c r="G1431" s="4">
        <v>99.9</v>
      </c>
      <c r="H1431" s="4">
        <v>147.99771000000001</v>
      </c>
    </row>
    <row r="1432" spans="1:8" s="5" customFormat="1" ht="17.25" hidden="1" customHeight="1" outlineLevel="1" x14ac:dyDescent="0.25">
      <c r="A1432" s="4">
        <v>414</v>
      </c>
      <c r="B1432" s="4" t="s">
        <v>39</v>
      </c>
      <c r="C1432" s="38" t="s">
        <v>107</v>
      </c>
      <c r="D1432" s="4">
        <v>2020</v>
      </c>
      <c r="E1432" s="4"/>
      <c r="F1432" s="4">
        <v>384</v>
      </c>
      <c r="G1432" s="4">
        <v>70</v>
      </c>
      <c r="H1432" s="4">
        <v>408.70769000000001</v>
      </c>
    </row>
    <row r="1433" spans="1:8" s="5" customFormat="1" ht="17.25" hidden="1" customHeight="1" outlineLevel="1" x14ac:dyDescent="0.25">
      <c r="A1433" s="4">
        <v>1683</v>
      </c>
      <c r="B1433" s="4" t="s">
        <v>39</v>
      </c>
      <c r="C1433" s="38" t="s">
        <v>108</v>
      </c>
      <c r="D1433" s="4">
        <v>2020</v>
      </c>
      <c r="E1433" s="4"/>
      <c r="F1433" s="4">
        <v>130</v>
      </c>
      <c r="G1433" s="4">
        <v>50</v>
      </c>
      <c r="H1433" s="4">
        <v>151.19992999999999</v>
      </c>
    </row>
    <row r="1434" spans="1:8" s="5" customFormat="1" ht="17.25" hidden="1" customHeight="1" outlineLevel="1" x14ac:dyDescent="0.25">
      <c r="A1434" s="4">
        <v>917</v>
      </c>
      <c r="B1434" s="4" t="s">
        <v>39</v>
      </c>
      <c r="C1434" s="38" t="s">
        <v>109</v>
      </c>
      <c r="D1434" s="4">
        <v>2020</v>
      </c>
      <c r="E1434" s="4"/>
      <c r="F1434" s="4">
        <v>4</v>
      </c>
      <c r="G1434" s="4">
        <v>15</v>
      </c>
      <c r="H1434" s="4">
        <v>95.478409999999997</v>
      </c>
    </row>
    <row r="1435" spans="1:8" s="5" customFormat="1" ht="17.25" hidden="1" customHeight="1" outlineLevel="1" x14ac:dyDescent="0.25">
      <c r="A1435" s="4">
        <v>1132</v>
      </c>
      <c r="B1435" s="4" t="s">
        <v>39</v>
      </c>
      <c r="C1435" s="38" t="s">
        <v>110</v>
      </c>
      <c r="D1435" s="4">
        <v>2020</v>
      </c>
      <c r="E1435" s="4"/>
      <c r="F1435" s="4">
        <v>131</v>
      </c>
      <c r="G1435" s="4">
        <v>15</v>
      </c>
      <c r="H1435" s="4">
        <v>158.09442000000001</v>
      </c>
    </row>
    <row r="1436" spans="1:8" s="5" customFormat="1" ht="24" hidden="1" customHeight="1" outlineLevel="1" x14ac:dyDescent="0.25">
      <c r="A1436" s="43">
        <v>3749</v>
      </c>
      <c r="B1436" s="4" t="s">
        <v>39</v>
      </c>
      <c r="C1436" s="35" t="s">
        <v>1295</v>
      </c>
      <c r="D1436" s="4">
        <v>2021</v>
      </c>
      <c r="E1436" s="4"/>
      <c r="F1436" s="4">
        <v>36</v>
      </c>
      <c r="G1436" s="4">
        <v>100</v>
      </c>
      <c r="H1436" s="4">
        <v>128.31768</v>
      </c>
    </row>
    <row r="1437" spans="1:8" s="5" customFormat="1" ht="24" hidden="1" customHeight="1" outlineLevel="1" x14ac:dyDescent="0.25">
      <c r="A1437" s="43">
        <v>1190</v>
      </c>
      <c r="B1437" s="4" t="s">
        <v>39</v>
      </c>
      <c r="C1437" s="38" t="s">
        <v>1296</v>
      </c>
      <c r="D1437" s="4">
        <v>2021</v>
      </c>
      <c r="E1437" s="4"/>
      <c r="F1437" s="4">
        <v>5</v>
      </c>
      <c r="G1437" s="4">
        <v>150</v>
      </c>
      <c r="H1437" s="4">
        <v>48.889449999999997</v>
      </c>
    </row>
    <row r="1438" spans="1:8" s="5" customFormat="1" ht="24" hidden="1" customHeight="1" outlineLevel="1" x14ac:dyDescent="0.25">
      <c r="A1438" s="42">
        <v>9679</v>
      </c>
      <c r="B1438" s="4" t="s">
        <v>39</v>
      </c>
      <c r="C1438" s="38" t="s">
        <v>1297</v>
      </c>
      <c r="D1438" s="4">
        <v>2021</v>
      </c>
      <c r="E1438" s="4"/>
      <c r="F1438" s="4">
        <v>18</v>
      </c>
      <c r="G1438" s="4">
        <v>60</v>
      </c>
      <c r="H1438" s="4">
        <v>34.933639999999997</v>
      </c>
    </row>
    <row r="1439" spans="1:8" s="5" customFormat="1" ht="24" hidden="1" customHeight="1" outlineLevel="1" x14ac:dyDescent="0.25">
      <c r="A1439" s="43">
        <v>3741</v>
      </c>
      <c r="B1439" s="4" t="s">
        <v>39</v>
      </c>
      <c r="C1439" s="38" t="s">
        <v>1298</v>
      </c>
      <c r="D1439" s="4">
        <v>2021</v>
      </c>
      <c r="E1439" s="4"/>
      <c r="F1439" s="4">
        <v>5</v>
      </c>
      <c r="G1439" s="4">
        <v>15</v>
      </c>
      <c r="H1439" s="4">
        <v>44.38044</v>
      </c>
    </row>
    <row r="1440" spans="1:8" s="5" customFormat="1" ht="24" hidden="1" customHeight="1" outlineLevel="1" x14ac:dyDescent="0.25">
      <c r="A1440" s="43">
        <v>3745</v>
      </c>
      <c r="B1440" s="4" t="s">
        <v>39</v>
      </c>
      <c r="C1440" s="38" t="s">
        <v>1299</v>
      </c>
      <c r="D1440" s="4">
        <v>2021</v>
      </c>
      <c r="E1440" s="4"/>
      <c r="F1440" s="4">
        <v>50</v>
      </c>
      <c r="G1440" s="4">
        <v>70</v>
      </c>
      <c r="H1440" s="4">
        <v>110.82632</v>
      </c>
    </row>
    <row r="1441" spans="1:8" s="5" customFormat="1" ht="24" hidden="1" customHeight="1" outlineLevel="1" x14ac:dyDescent="0.25">
      <c r="A1441" s="42">
        <v>9684</v>
      </c>
      <c r="B1441" s="4" t="s">
        <v>39</v>
      </c>
      <c r="C1441" s="38" t="s">
        <v>1300</v>
      </c>
      <c r="D1441" s="4">
        <v>2021</v>
      </c>
      <c r="E1441" s="4"/>
      <c r="F1441" s="4">
        <v>5</v>
      </c>
      <c r="G1441" s="4">
        <v>15</v>
      </c>
      <c r="H1441" s="4">
        <v>88.547899999999998</v>
      </c>
    </row>
    <row r="1442" spans="1:8" s="5" customFormat="1" ht="24" hidden="1" customHeight="1" outlineLevel="1" x14ac:dyDescent="0.25">
      <c r="A1442" s="42">
        <v>9737</v>
      </c>
      <c r="B1442" s="4" t="s">
        <v>39</v>
      </c>
      <c r="C1442" s="38" t="s">
        <v>1301</v>
      </c>
      <c r="D1442" s="4">
        <v>2021</v>
      </c>
      <c r="E1442" s="4"/>
      <c r="F1442" s="4">
        <v>10</v>
      </c>
      <c r="G1442" s="4">
        <v>50</v>
      </c>
      <c r="H1442" s="4">
        <v>75.592569999999995</v>
      </c>
    </row>
    <row r="1443" spans="1:8" s="5" customFormat="1" ht="24" hidden="1" customHeight="1" outlineLevel="1" x14ac:dyDescent="0.25">
      <c r="A1443" s="42">
        <v>9562</v>
      </c>
      <c r="B1443" s="4" t="s">
        <v>39</v>
      </c>
      <c r="C1443" s="38" t="s">
        <v>1302</v>
      </c>
      <c r="D1443" s="4">
        <v>2021</v>
      </c>
      <c r="E1443" s="4"/>
      <c r="F1443" s="4">
        <v>160</v>
      </c>
      <c r="G1443" s="4">
        <v>15</v>
      </c>
      <c r="H1443" s="4">
        <v>203.90380999999999</v>
      </c>
    </row>
    <row r="1444" spans="1:8" s="5" customFormat="1" ht="24" hidden="1" customHeight="1" outlineLevel="1" x14ac:dyDescent="0.25">
      <c r="A1444" s="42">
        <v>9551</v>
      </c>
      <c r="B1444" s="4" t="s">
        <v>39</v>
      </c>
      <c r="C1444" s="38" t="s">
        <v>1303</v>
      </c>
      <c r="D1444" s="4">
        <v>2021</v>
      </c>
      <c r="E1444" s="4"/>
      <c r="F1444" s="4">
        <v>135</v>
      </c>
      <c r="G1444" s="4">
        <v>10</v>
      </c>
      <c r="H1444" s="4">
        <v>187.12297000000001</v>
      </c>
    </row>
    <row r="1445" spans="1:8" s="5" customFormat="1" ht="24" hidden="1" customHeight="1" outlineLevel="1" x14ac:dyDescent="0.25">
      <c r="A1445" s="43">
        <v>805</v>
      </c>
      <c r="B1445" s="4" t="s">
        <v>39</v>
      </c>
      <c r="C1445" s="38" t="s">
        <v>1304</v>
      </c>
      <c r="D1445" s="4">
        <v>2021</v>
      </c>
      <c r="E1445" s="4"/>
      <c r="F1445" s="4">
        <v>260</v>
      </c>
      <c r="G1445" s="4">
        <v>30</v>
      </c>
      <c r="H1445" s="4">
        <v>298.61651999999998</v>
      </c>
    </row>
    <row r="1446" spans="1:8" s="5" customFormat="1" ht="24" hidden="1" customHeight="1" outlineLevel="1" x14ac:dyDescent="0.25">
      <c r="A1446" s="43">
        <v>800</v>
      </c>
      <c r="B1446" s="4" t="s">
        <v>39</v>
      </c>
      <c r="C1446" s="38" t="s">
        <v>1305</v>
      </c>
      <c r="D1446" s="4">
        <v>2021</v>
      </c>
      <c r="E1446" s="4"/>
      <c r="F1446" s="4">
        <v>30</v>
      </c>
      <c r="G1446" s="4">
        <v>15</v>
      </c>
      <c r="H1446" s="4">
        <v>89.437079999999995</v>
      </c>
    </row>
    <row r="1447" spans="1:8" s="5" customFormat="1" ht="24" hidden="1" customHeight="1" outlineLevel="1" x14ac:dyDescent="0.25">
      <c r="A1447" s="43">
        <v>3837</v>
      </c>
      <c r="B1447" s="4" t="s">
        <v>39</v>
      </c>
      <c r="C1447" s="38" t="s">
        <v>1306</v>
      </c>
      <c r="D1447" s="4">
        <v>2021</v>
      </c>
      <c r="E1447" s="4"/>
      <c r="F1447" s="4">
        <v>103</v>
      </c>
      <c r="G1447" s="4">
        <v>15</v>
      </c>
      <c r="H1447" s="4">
        <v>237.81196</v>
      </c>
    </row>
    <row r="1448" spans="1:8" s="5" customFormat="1" ht="24" hidden="1" customHeight="1" outlineLevel="1" x14ac:dyDescent="0.25">
      <c r="A1448" s="42">
        <v>9556</v>
      </c>
      <c r="B1448" s="4" t="s">
        <v>39</v>
      </c>
      <c r="C1448" s="38" t="s">
        <v>1307</v>
      </c>
      <c r="D1448" s="4">
        <v>2021</v>
      </c>
      <c r="E1448" s="4"/>
      <c r="F1448" s="4">
        <v>35</v>
      </c>
      <c r="G1448" s="4">
        <v>10</v>
      </c>
      <c r="H1448" s="4">
        <v>109.99688999999999</v>
      </c>
    </row>
    <row r="1449" spans="1:8" s="5" customFormat="1" ht="24" hidden="1" customHeight="1" outlineLevel="1" x14ac:dyDescent="0.25">
      <c r="A1449" s="42">
        <v>9683</v>
      </c>
      <c r="B1449" s="4" t="s">
        <v>39</v>
      </c>
      <c r="C1449" s="38" t="s">
        <v>1308</v>
      </c>
      <c r="D1449" s="4">
        <v>2021</v>
      </c>
      <c r="E1449" s="4"/>
      <c r="F1449" s="4">
        <v>5</v>
      </c>
      <c r="G1449" s="4">
        <v>50</v>
      </c>
      <c r="H1449" s="4">
        <v>34.902509999999999</v>
      </c>
    </row>
    <row r="1450" spans="1:8" s="5" customFormat="1" ht="24" hidden="1" customHeight="1" outlineLevel="1" x14ac:dyDescent="0.25">
      <c r="A1450" s="42">
        <v>9685</v>
      </c>
      <c r="B1450" s="4" t="s">
        <v>39</v>
      </c>
      <c r="C1450" s="35" t="s">
        <v>1309</v>
      </c>
      <c r="D1450" s="4">
        <v>2021</v>
      </c>
      <c r="E1450" s="4"/>
      <c r="F1450" s="4">
        <v>35</v>
      </c>
      <c r="G1450" s="4">
        <v>15</v>
      </c>
      <c r="H1450" s="4">
        <v>114.18888</v>
      </c>
    </row>
    <row r="1451" spans="1:8" s="5" customFormat="1" ht="24" hidden="1" customHeight="1" outlineLevel="1" x14ac:dyDescent="0.25">
      <c r="A1451" s="43">
        <v>828</v>
      </c>
      <c r="B1451" s="4" t="s">
        <v>39</v>
      </c>
      <c r="C1451" s="38" t="s">
        <v>1310</v>
      </c>
      <c r="D1451" s="4">
        <v>2021</v>
      </c>
      <c r="E1451" s="4"/>
      <c r="F1451" s="4">
        <v>153</v>
      </c>
      <c r="G1451" s="4">
        <v>150</v>
      </c>
      <c r="H1451" s="4">
        <v>166.82500999999999</v>
      </c>
    </row>
    <row r="1452" spans="1:8" s="5" customFormat="1" ht="24" hidden="1" customHeight="1" outlineLevel="1" x14ac:dyDescent="0.25">
      <c r="A1452" s="43">
        <v>814</v>
      </c>
      <c r="B1452" s="4" t="s">
        <v>39</v>
      </c>
      <c r="C1452" s="38" t="s">
        <v>1311</v>
      </c>
      <c r="D1452" s="4">
        <v>2021</v>
      </c>
      <c r="E1452" s="4"/>
      <c r="F1452" s="4">
        <v>100</v>
      </c>
      <c r="G1452" s="4">
        <v>15</v>
      </c>
      <c r="H1452" s="4">
        <v>104.42939</v>
      </c>
    </row>
    <row r="1453" spans="1:8" s="5" customFormat="1" ht="24" hidden="1" customHeight="1" outlineLevel="1" x14ac:dyDescent="0.25">
      <c r="A1453" s="43">
        <v>1285</v>
      </c>
      <c r="B1453" s="4" t="s">
        <v>39</v>
      </c>
      <c r="C1453" s="38" t="s">
        <v>1312</v>
      </c>
      <c r="D1453" s="4">
        <v>2021</v>
      </c>
      <c r="E1453" s="4"/>
      <c r="F1453" s="4">
        <v>56</v>
      </c>
      <c r="G1453" s="4">
        <v>30</v>
      </c>
      <c r="H1453" s="4">
        <v>172.69486000000001</v>
      </c>
    </row>
    <row r="1454" spans="1:8" s="5" customFormat="1" ht="24" hidden="1" customHeight="1" outlineLevel="1" x14ac:dyDescent="0.25">
      <c r="A1454" s="43">
        <v>1277</v>
      </c>
      <c r="B1454" s="4" t="s">
        <v>39</v>
      </c>
      <c r="C1454" s="38" t="s">
        <v>1313</v>
      </c>
      <c r="D1454" s="4">
        <v>2021</v>
      </c>
      <c r="E1454" s="4"/>
      <c r="F1454" s="4">
        <v>94</v>
      </c>
      <c r="G1454" s="4">
        <v>20</v>
      </c>
      <c r="H1454" s="4">
        <v>270.18968999999998</v>
      </c>
    </row>
    <row r="1455" spans="1:8" s="5" customFormat="1" ht="24" hidden="1" customHeight="1" outlineLevel="1" x14ac:dyDescent="0.25">
      <c r="A1455" s="42">
        <v>9806</v>
      </c>
      <c r="B1455" s="4" t="s">
        <v>39</v>
      </c>
      <c r="C1455" s="38" t="s">
        <v>1314</v>
      </c>
      <c r="D1455" s="4">
        <v>2021</v>
      </c>
      <c r="E1455" s="4"/>
      <c r="F1455" s="4">
        <v>144</v>
      </c>
      <c r="G1455" s="4">
        <v>15</v>
      </c>
      <c r="H1455" s="4">
        <v>151.28398000000001</v>
      </c>
    </row>
    <row r="1456" spans="1:8" s="5" customFormat="1" ht="24" hidden="1" customHeight="1" outlineLevel="1" x14ac:dyDescent="0.25">
      <c r="A1456" s="42">
        <v>9545</v>
      </c>
      <c r="B1456" s="4" t="s">
        <v>39</v>
      </c>
      <c r="C1456" s="38" t="s">
        <v>1315</v>
      </c>
      <c r="D1456" s="4">
        <v>2021</v>
      </c>
      <c r="E1456" s="4"/>
      <c r="F1456" s="4">
        <v>175</v>
      </c>
      <c r="G1456" s="4">
        <v>15</v>
      </c>
      <c r="H1456" s="4">
        <v>318.03751</v>
      </c>
    </row>
    <row r="1457" spans="1:8" s="5" customFormat="1" ht="24" hidden="1" customHeight="1" outlineLevel="1" x14ac:dyDescent="0.25">
      <c r="A1457" s="43">
        <v>3746</v>
      </c>
      <c r="B1457" s="4" t="s">
        <v>39</v>
      </c>
      <c r="C1457" s="38" t="s">
        <v>1316</v>
      </c>
      <c r="D1457" s="4">
        <v>2021</v>
      </c>
      <c r="E1457" s="4"/>
      <c r="F1457" s="4">
        <v>219</v>
      </c>
      <c r="G1457" s="4">
        <v>15</v>
      </c>
      <c r="H1457" s="4">
        <v>340.99779000000001</v>
      </c>
    </row>
    <row r="1458" spans="1:8" s="5" customFormat="1" ht="24" hidden="1" customHeight="1" outlineLevel="1" x14ac:dyDescent="0.25">
      <c r="A1458" s="42">
        <v>9738</v>
      </c>
      <c r="B1458" s="4" t="s">
        <v>39</v>
      </c>
      <c r="C1458" s="38" t="s">
        <v>1317</v>
      </c>
      <c r="D1458" s="4">
        <v>2021</v>
      </c>
      <c r="E1458" s="4"/>
      <c r="F1458" s="4">
        <v>5</v>
      </c>
      <c r="G1458" s="4">
        <v>15</v>
      </c>
      <c r="H1458" s="4">
        <v>50.992269999999998</v>
      </c>
    </row>
    <row r="1459" spans="1:8" s="5" customFormat="1" ht="24" hidden="1" customHeight="1" outlineLevel="1" x14ac:dyDescent="0.25">
      <c r="A1459" s="43">
        <v>3823</v>
      </c>
      <c r="B1459" s="4" t="s">
        <v>39</v>
      </c>
      <c r="C1459" s="38" t="s">
        <v>1318</v>
      </c>
      <c r="D1459" s="4">
        <v>2021</v>
      </c>
      <c r="E1459" s="4"/>
      <c r="F1459" s="4">
        <v>121</v>
      </c>
      <c r="G1459" s="4">
        <v>150</v>
      </c>
      <c r="H1459" s="4">
        <v>167.27436</v>
      </c>
    </row>
    <row r="1460" spans="1:8" s="5" customFormat="1" ht="24" hidden="1" customHeight="1" outlineLevel="1" x14ac:dyDescent="0.25">
      <c r="A1460" s="42">
        <v>9479</v>
      </c>
      <c r="B1460" s="4" t="s">
        <v>39</v>
      </c>
      <c r="C1460" s="38" t="s">
        <v>1319</v>
      </c>
      <c r="D1460" s="4">
        <v>2021</v>
      </c>
      <c r="E1460" s="4"/>
      <c r="F1460" s="4">
        <v>471</v>
      </c>
      <c r="G1460" s="4">
        <v>15</v>
      </c>
      <c r="H1460" s="4">
        <v>679.78890999999999</v>
      </c>
    </row>
    <row r="1461" spans="1:8" s="5" customFormat="1" ht="24" hidden="1" customHeight="1" outlineLevel="1" x14ac:dyDescent="0.25">
      <c r="A1461" s="43">
        <v>1291</v>
      </c>
      <c r="B1461" s="4" t="s">
        <v>39</v>
      </c>
      <c r="C1461" s="38" t="s">
        <v>1320</v>
      </c>
      <c r="D1461" s="4">
        <v>2021</v>
      </c>
      <c r="E1461" s="4"/>
      <c r="F1461" s="4">
        <v>290</v>
      </c>
      <c r="G1461" s="4">
        <v>15</v>
      </c>
      <c r="H1461" s="4">
        <v>427.78285</v>
      </c>
    </row>
    <row r="1462" spans="1:8" s="5" customFormat="1" ht="24" hidden="1" customHeight="1" outlineLevel="1" x14ac:dyDescent="0.25">
      <c r="A1462" s="42">
        <v>9566</v>
      </c>
      <c r="B1462" s="4" t="s">
        <v>39</v>
      </c>
      <c r="C1462" s="38" t="s">
        <v>1321</v>
      </c>
      <c r="D1462" s="4">
        <v>2021</v>
      </c>
      <c r="E1462" s="4"/>
      <c r="F1462" s="4">
        <v>491</v>
      </c>
      <c r="G1462" s="4">
        <v>15</v>
      </c>
      <c r="H1462" s="4">
        <v>641.06978000000004</v>
      </c>
    </row>
    <row r="1463" spans="1:8" s="5" customFormat="1" ht="24" hidden="1" customHeight="1" outlineLevel="1" x14ac:dyDescent="0.25">
      <c r="A1463" s="43">
        <v>3802</v>
      </c>
      <c r="B1463" s="4" t="s">
        <v>39</v>
      </c>
      <c r="C1463" s="38" t="s">
        <v>1322</v>
      </c>
      <c r="D1463" s="4">
        <v>2021</v>
      </c>
      <c r="E1463" s="4"/>
      <c r="F1463" s="4">
        <v>4</v>
      </c>
      <c r="G1463" s="4">
        <v>135</v>
      </c>
      <c r="H1463" s="4">
        <v>143.62799999999999</v>
      </c>
    </row>
    <row r="1464" spans="1:8" s="5" customFormat="1" ht="24" hidden="1" customHeight="1" outlineLevel="1" x14ac:dyDescent="0.25">
      <c r="A1464" s="42">
        <v>9538</v>
      </c>
      <c r="B1464" s="4" t="s">
        <v>39</v>
      </c>
      <c r="C1464" s="38" t="s">
        <v>1323</v>
      </c>
      <c r="D1464" s="4">
        <v>2021</v>
      </c>
      <c r="E1464" s="4"/>
      <c r="F1464" s="4">
        <v>513</v>
      </c>
      <c r="G1464" s="4">
        <v>15</v>
      </c>
      <c r="H1464" s="4">
        <v>697.56600000000003</v>
      </c>
    </row>
    <row r="1465" spans="1:8" s="5" customFormat="1" ht="24" hidden="1" customHeight="1" outlineLevel="1" x14ac:dyDescent="0.25">
      <c r="A1465" s="42">
        <v>9547</v>
      </c>
      <c r="B1465" s="4" t="s">
        <v>39</v>
      </c>
      <c r="C1465" s="38" t="s">
        <v>1324</v>
      </c>
      <c r="D1465" s="4">
        <v>2021</v>
      </c>
      <c r="E1465" s="4"/>
      <c r="F1465" s="4">
        <v>150</v>
      </c>
      <c r="G1465" s="4">
        <v>10</v>
      </c>
      <c r="H1465" s="4">
        <v>142.78299999999999</v>
      </c>
    </row>
    <row r="1466" spans="1:8" s="5" customFormat="1" ht="24" hidden="1" customHeight="1" outlineLevel="1" x14ac:dyDescent="0.25">
      <c r="A1466" s="43">
        <v>1299</v>
      </c>
      <c r="B1466" s="4" t="s">
        <v>39</v>
      </c>
      <c r="C1466" s="38" t="s">
        <v>1325</v>
      </c>
      <c r="D1466" s="4">
        <v>2021</v>
      </c>
      <c r="E1466" s="4"/>
      <c r="F1466" s="4">
        <v>106</v>
      </c>
      <c r="G1466" s="4">
        <v>30</v>
      </c>
      <c r="H1466" s="4">
        <v>327.07900000000001</v>
      </c>
    </row>
    <row r="1467" spans="1:8" s="5" customFormat="1" ht="24" hidden="1" customHeight="1" outlineLevel="1" x14ac:dyDescent="0.25">
      <c r="A1467" s="43">
        <v>846</v>
      </c>
      <c r="B1467" s="4" t="s">
        <v>39</v>
      </c>
      <c r="C1467" s="38" t="s">
        <v>1326</v>
      </c>
      <c r="D1467" s="4">
        <v>2021</v>
      </c>
      <c r="E1467" s="4"/>
      <c r="F1467" s="4">
        <v>272</v>
      </c>
      <c r="G1467" s="4">
        <v>45</v>
      </c>
      <c r="H1467" s="4">
        <v>413.95400000000001</v>
      </c>
    </row>
    <row r="1468" spans="1:8" s="5" customFormat="1" ht="24" hidden="1" customHeight="1" outlineLevel="1" x14ac:dyDescent="0.25">
      <c r="A1468" s="42">
        <v>9552</v>
      </c>
      <c r="B1468" s="4" t="s">
        <v>39</v>
      </c>
      <c r="C1468" s="38" t="s">
        <v>1327</v>
      </c>
      <c r="D1468" s="4">
        <v>2021</v>
      </c>
      <c r="E1468" s="4"/>
      <c r="F1468" s="4">
        <v>166</v>
      </c>
      <c r="G1468" s="4">
        <v>10</v>
      </c>
      <c r="H1468" s="4">
        <v>272.72800000000001</v>
      </c>
    </row>
    <row r="1469" spans="1:8" s="5" customFormat="1" ht="24" hidden="1" customHeight="1" outlineLevel="1" x14ac:dyDescent="0.25">
      <c r="A1469" s="43">
        <v>3801</v>
      </c>
      <c r="B1469" s="4" t="s">
        <v>39</v>
      </c>
      <c r="C1469" s="38" t="s">
        <v>1328</v>
      </c>
      <c r="D1469" s="4">
        <v>2021</v>
      </c>
      <c r="E1469" s="4"/>
      <c r="F1469" s="4">
        <v>13</v>
      </c>
      <c r="G1469" s="4">
        <v>15</v>
      </c>
      <c r="H1469" s="4">
        <v>105.059</v>
      </c>
    </row>
    <row r="1470" spans="1:8" s="5" customFormat="1" ht="24" hidden="1" customHeight="1" outlineLevel="1" x14ac:dyDescent="0.25">
      <c r="A1470" s="42">
        <v>9553</v>
      </c>
      <c r="B1470" s="4" t="s">
        <v>39</v>
      </c>
      <c r="C1470" s="38" t="s">
        <v>1329</v>
      </c>
      <c r="D1470" s="4">
        <v>2021</v>
      </c>
      <c r="E1470" s="4"/>
      <c r="F1470" s="4">
        <v>232</v>
      </c>
      <c r="G1470" s="4">
        <v>14</v>
      </c>
      <c r="H1470" s="4">
        <v>327.53100000000001</v>
      </c>
    </row>
    <row r="1471" spans="1:8" s="5" customFormat="1" ht="24" hidden="1" customHeight="1" outlineLevel="1" x14ac:dyDescent="0.25">
      <c r="A1471" s="42">
        <v>9563</v>
      </c>
      <c r="B1471" s="4" t="s">
        <v>39</v>
      </c>
      <c r="C1471" s="38" t="s">
        <v>1330</v>
      </c>
      <c r="D1471" s="4">
        <v>2021</v>
      </c>
      <c r="E1471" s="4"/>
      <c r="F1471" s="4">
        <v>70</v>
      </c>
      <c r="G1471" s="4">
        <v>15</v>
      </c>
      <c r="H1471" s="4">
        <v>86.536000000000001</v>
      </c>
    </row>
    <row r="1472" spans="1:8" s="5" customFormat="1" ht="24" hidden="1" customHeight="1" outlineLevel="1" x14ac:dyDescent="0.25">
      <c r="A1472" s="42">
        <v>9554</v>
      </c>
      <c r="B1472" s="4" t="s">
        <v>39</v>
      </c>
      <c r="C1472" s="38" t="s">
        <v>1331</v>
      </c>
      <c r="D1472" s="4">
        <v>2021</v>
      </c>
      <c r="E1472" s="4"/>
      <c r="F1472" s="4">
        <v>120</v>
      </c>
      <c r="G1472" s="4">
        <v>15</v>
      </c>
      <c r="H1472" s="4">
        <v>114.628</v>
      </c>
    </row>
    <row r="1473" spans="1:8" s="5" customFormat="1" ht="24" hidden="1" customHeight="1" outlineLevel="1" x14ac:dyDescent="0.25">
      <c r="A1473" s="42">
        <v>9561</v>
      </c>
      <c r="B1473" s="4" t="s">
        <v>39</v>
      </c>
      <c r="C1473" s="38" t="s">
        <v>1332</v>
      </c>
      <c r="D1473" s="4">
        <v>2021</v>
      </c>
      <c r="E1473" s="4"/>
      <c r="F1473" s="4">
        <v>160</v>
      </c>
      <c r="G1473" s="4">
        <v>15</v>
      </c>
      <c r="H1473" s="4">
        <v>149.96100000000001</v>
      </c>
    </row>
    <row r="1474" spans="1:8" s="5" customFormat="1" ht="24" hidden="1" customHeight="1" outlineLevel="1" x14ac:dyDescent="0.25">
      <c r="A1474" s="42">
        <v>9537</v>
      </c>
      <c r="B1474" s="4" t="s">
        <v>39</v>
      </c>
      <c r="C1474" s="35" t="s">
        <v>1333</v>
      </c>
      <c r="D1474" s="4">
        <v>2021</v>
      </c>
      <c r="E1474" s="4"/>
      <c r="F1474" s="4">
        <v>110</v>
      </c>
      <c r="G1474" s="4">
        <v>6</v>
      </c>
      <c r="H1474" s="4">
        <v>148.137</v>
      </c>
    </row>
    <row r="1475" spans="1:8" s="5" customFormat="1" ht="24" hidden="1" customHeight="1" outlineLevel="1" x14ac:dyDescent="0.25">
      <c r="A1475" s="42">
        <v>9559</v>
      </c>
      <c r="B1475" s="4" t="s">
        <v>39</v>
      </c>
      <c r="C1475" s="38" t="s">
        <v>1334</v>
      </c>
      <c r="D1475" s="4">
        <v>2021</v>
      </c>
      <c r="E1475" s="4"/>
      <c r="F1475" s="4">
        <v>150</v>
      </c>
      <c r="G1475" s="4">
        <v>15</v>
      </c>
      <c r="H1475" s="4">
        <v>161.434</v>
      </c>
    </row>
    <row r="1476" spans="1:8" s="5" customFormat="1" ht="24" hidden="1" customHeight="1" outlineLevel="1" x14ac:dyDescent="0.25">
      <c r="A1476" s="43">
        <v>1181</v>
      </c>
      <c r="B1476" s="4" t="s">
        <v>39</v>
      </c>
      <c r="C1476" s="38" t="s">
        <v>1335</v>
      </c>
      <c r="D1476" s="4">
        <v>2021</v>
      </c>
      <c r="E1476" s="4"/>
      <c r="F1476" s="4">
        <v>435</v>
      </c>
      <c r="G1476" s="4">
        <v>100</v>
      </c>
      <c r="H1476" s="4">
        <v>808.23299999999995</v>
      </c>
    </row>
    <row r="1477" spans="1:8" s="5" customFormat="1" ht="24" hidden="1" customHeight="1" outlineLevel="1" x14ac:dyDescent="0.25">
      <c r="A1477" s="42">
        <v>9734</v>
      </c>
      <c r="B1477" s="4" t="s">
        <v>39</v>
      </c>
      <c r="C1477" s="35" t="s">
        <v>1336</v>
      </c>
      <c r="D1477" s="4">
        <v>2021</v>
      </c>
      <c r="E1477" s="4"/>
      <c r="F1477" s="4">
        <v>138</v>
      </c>
      <c r="G1477" s="4">
        <v>170</v>
      </c>
      <c r="H1477" s="4">
        <v>365.95699999999999</v>
      </c>
    </row>
    <row r="1478" spans="1:8" s="5" customFormat="1" ht="24" hidden="1" customHeight="1" outlineLevel="1" x14ac:dyDescent="0.25">
      <c r="A1478" s="43">
        <v>797</v>
      </c>
      <c r="B1478" s="4" t="s">
        <v>39</v>
      </c>
      <c r="C1478" s="38" t="s">
        <v>1337</v>
      </c>
      <c r="D1478" s="4">
        <v>2021</v>
      </c>
      <c r="E1478" s="4"/>
      <c r="F1478" s="4">
        <v>40</v>
      </c>
      <c r="G1478" s="4">
        <v>14</v>
      </c>
      <c r="H1478" s="4">
        <v>65.537999999999997</v>
      </c>
    </row>
    <row r="1479" spans="1:8" s="5" customFormat="1" ht="24" hidden="1" customHeight="1" outlineLevel="1" x14ac:dyDescent="0.25">
      <c r="A1479" s="42">
        <v>9546</v>
      </c>
      <c r="B1479" s="4" t="s">
        <v>39</v>
      </c>
      <c r="C1479" s="38" t="s">
        <v>1338</v>
      </c>
      <c r="D1479" s="4">
        <v>2021</v>
      </c>
      <c r="E1479" s="4"/>
      <c r="F1479" s="4">
        <v>150</v>
      </c>
      <c r="G1479" s="4">
        <v>15</v>
      </c>
      <c r="H1479" s="4">
        <v>140.089</v>
      </c>
    </row>
    <row r="1480" spans="1:8" s="5" customFormat="1" ht="24" hidden="1" customHeight="1" outlineLevel="1" x14ac:dyDescent="0.25">
      <c r="A1480" s="42">
        <v>9681</v>
      </c>
      <c r="B1480" s="4" t="s">
        <v>39</v>
      </c>
      <c r="C1480" s="38" t="s">
        <v>1339</v>
      </c>
      <c r="D1480" s="4">
        <v>2021</v>
      </c>
      <c r="E1480" s="4"/>
      <c r="F1480" s="4">
        <v>4</v>
      </c>
      <c r="G1480" s="4">
        <v>105</v>
      </c>
      <c r="H1480" s="4">
        <v>57.002000000000002</v>
      </c>
    </row>
    <row r="1481" spans="1:8" s="5" customFormat="1" ht="24" hidden="1" customHeight="1" outlineLevel="1" x14ac:dyDescent="0.25">
      <c r="A1481" s="43">
        <v>1170</v>
      </c>
      <c r="B1481" s="4" t="s">
        <v>39</v>
      </c>
      <c r="C1481" s="38" t="s">
        <v>1340</v>
      </c>
      <c r="D1481" s="4">
        <v>2021</v>
      </c>
      <c r="E1481" s="4"/>
      <c r="F1481" s="4">
        <v>187</v>
      </c>
      <c r="G1481" s="4">
        <v>60</v>
      </c>
      <c r="H1481" s="4">
        <v>327.5</v>
      </c>
    </row>
    <row r="1482" spans="1:8" s="5" customFormat="1" ht="24" hidden="1" customHeight="1" outlineLevel="1" x14ac:dyDescent="0.25">
      <c r="A1482" s="42">
        <v>9740</v>
      </c>
      <c r="B1482" s="4" t="s">
        <v>39</v>
      </c>
      <c r="C1482" s="38" t="s">
        <v>1341</v>
      </c>
      <c r="D1482" s="4">
        <v>2021</v>
      </c>
      <c r="E1482" s="4"/>
      <c r="F1482" s="4">
        <v>86</v>
      </c>
      <c r="G1482" s="4">
        <v>150</v>
      </c>
      <c r="H1482" s="4">
        <v>118.57</v>
      </c>
    </row>
    <row r="1483" spans="1:8" s="5" customFormat="1" ht="24" hidden="1" customHeight="1" outlineLevel="1" x14ac:dyDescent="0.25">
      <c r="A1483" s="42">
        <v>9686</v>
      </c>
      <c r="B1483" s="4" t="s">
        <v>39</v>
      </c>
      <c r="C1483" s="38" t="s">
        <v>1342</v>
      </c>
      <c r="D1483" s="4">
        <v>2021</v>
      </c>
      <c r="E1483" s="4"/>
      <c r="F1483" s="4">
        <v>15</v>
      </c>
      <c r="G1483" s="4">
        <v>150</v>
      </c>
      <c r="H1483" s="4">
        <v>71.094999999999999</v>
      </c>
    </row>
    <row r="1484" spans="1:8" s="5" customFormat="1" ht="24" hidden="1" customHeight="1" outlineLevel="1" x14ac:dyDescent="0.25">
      <c r="A1484" s="42">
        <v>9736</v>
      </c>
      <c r="B1484" s="4" t="s">
        <v>39</v>
      </c>
      <c r="C1484" s="38" t="s">
        <v>1343</v>
      </c>
      <c r="D1484" s="4">
        <v>2021</v>
      </c>
      <c r="E1484" s="4"/>
      <c r="F1484" s="4">
        <v>10</v>
      </c>
      <c r="G1484" s="4">
        <v>107</v>
      </c>
      <c r="H1484" s="4">
        <v>44.889000000000003</v>
      </c>
    </row>
    <row r="1485" spans="1:8" s="5" customFormat="1" ht="24" hidden="1" customHeight="1" outlineLevel="1" x14ac:dyDescent="0.25">
      <c r="A1485" s="43">
        <v>836</v>
      </c>
      <c r="B1485" s="4" t="s">
        <v>39</v>
      </c>
      <c r="C1485" s="38" t="s">
        <v>1344</v>
      </c>
      <c r="D1485" s="4">
        <v>2021</v>
      </c>
      <c r="E1485" s="4"/>
      <c r="F1485" s="4">
        <v>741</v>
      </c>
      <c r="G1485" s="4">
        <v>150</v>
      </c>
      <c r="H1485" s="4">
        <v>967.52200000000005</v>
      </c>
    </row>
    <row r="1486" spans="1:8" s="5" customFormat="1" ht="24" hidden="1" customHeight="1" outlineLevel="1" x14ac:dyDescent="0.25">
      <c r="A1486" s="42">
        <v>9374</v>
      </c>
      <c r="B1486" s="4" t="s">
        <v>39</v>
      </c>
      <c r="C1486" s="38" t="s">
        <v>1345</v>
      </c>
      <c r="D1486" s="4">
        <v>2021</v>
      </c>
      <c r="E1486" s="4"/>
      <c r="F1486" s="4">
        <v>88</v>
      </c>
      <c r="G1486" s="4">
        <v>9</v>
      </c>
      <c r="H1486" s="4">
        <v>143.601</v>
      </c>
    </row>
    <row r="1487" spans="1:8" s="5" customFormat="1" ht="24" hidden="1" customHeight="1" outlineLevel="1" x14ac:dyDescent="0.25">
      <c r="A1487" s="42">
        <v>9391</v>
      </c>
      <c r="B1487" s="4" t="s">
        <v>39</v>
      </c>
      <c r="C1487" s="38" t="s">
        <v>1240</v>
      </c>
      <c r="D1487" s="4">
        <v>2021</v>
      </c>
      <c r="E1487" s="4"/>
      <c r="F1487" s="4">
        <v>41.5</v>
      </c>
      <c r="G1487" s="4">
        <v>15</v>
      </c>
      <c r="H1487" s="4">
        <v>140.08000000000001</v>
      </c>
    </row>
    <row r="1488" spans="1:8" s="5" customFormat="1" ht="24" hidden="1" customHeight="1" outlineLevel="1" x14ac:dyDescent="0.25">
      <c r="A1488" s="43">
        <v>3885</v>
      </c>
      <c r="B1488" s="4" t="s">
        <v>39</v>
      </c>
      <c r="C1488" s="38" t="s">
        <v>1346</v>
      </c>
      <c r="D1488" s="4">
        <v>2021</v>
      </c>
      <c r="E1488" s="4"/>
      <c r="F1488" s="4">
        <v>30.9</v>
      </c>
      <c r="G1488" s="4">
        <v>15</v>
      </c>
      <c r="H1488" s="4">
        <v>132.589</v>
      </c>
    </row>
    <row r="1489" spans="1:8" s="5" customFormat="1" ht="24" hidden="1" customHeight="1" outlineLevel="1" x14ac:dyDescent="0.25">
      <c r="A1489" s="42">
        <v>9361</v>
      </c>
      <c r="B1489" s="4" t="s">
        <v>39</v>
      </c>
      <c r="C1489" s="38" t="s">
        <v>1347</v>
      </c>
      <c r="D1489" s="4">
        <v>2021</v>
      </c>
      <c r="E1489" s="4"/>
      <c r="F1489" s="4">
        <v>53</v>
      </c>
      <c r="G1489" s="4">
        <v>75</v>
      </c>
      <c r="H1489" s="4">
        <v>216.28299999999999</v>
      </c>
    </row>
    <row r="1490" spans="1:8" s="5" customFormat="1" ht="24" hidden="1" customHeight="1" outlineLevel="1" x14ac:dyDescent="0.25">
      <c r="A1490" s="42">
        <v>9363</v>
      </c>
      <c r="B1490" s="4" t="s">
        <v>39</v>
      </c>
      <c r="C1490" s="38" t="s">
        <v>1283</v>
      </c>
      <c r="D1490" s="4">
        <v>2021</v>
      </c>
      <c r="E1490" s="4"/>
      <c r="F1490" s="4">
        <v>15</v>
      </c>
      <c r="G1490" s="4">
        <v>65</v>
      </c>
      <c r="H1490" s="4">
        <v>167.91499999999999</v>
      </c>
    </row>
    <row r="1491" spans="1:8" s="5" customFormat="1" ht="24" hidden="1" customHeight="1" outlineLevel="1" x14ac:dyDescent="0.25">
      <c r="A1491" s="43">
        <v>425</v>
      </c>
      <c r="B1491" s="4" t="s">
        <v>39</v>
      </c>
      <c r="C1491" s="38" t="s">
        <v>1284</v>
      </c>
      <c r="D1491" s="4">
        <v>2021</v>
      </c>
      <c r="E1491" s="4"/>
      <c r="F1491" s="4">
        <v>12</v>
      </c>
      <c r="G1491" s="4">
        <v>300</v>
      </c>
      <c r="H1491" s="4">
        <v>148.62700000000001</v>
      </c>
    </row>
    <row r="1492" spans="1:8" s="5" customFormat="1" ht="24" hidden="1" customHeight="1" outlineLevel="1" x14ac:dyDescent="0.25">
      <c r="A1492" s="43">
        <v>422</v>
      </c>
      <c r="B1492" s="4" t="s">
        <v>39</v>
      </c>
      <c r="C1492" s="38" t="s">
        <v>1285</v>
      </c>
      <c r="D1492" s="4">
        <v>2021</v>
      </c>
      <c r="E1492" s="4"/>
      <c r="F1492" s="4">
        <v>4</v>
      </c>
      <c r="G1492" s="4">
        <v>150</v>
      </c>
      <c r="H1492" s="4">
        <v>131.49700000000001</v>
      </c>
    </row>
    <row r="1493" spans="1:8" s="5" customFormat="1" ht="24" hidden="1" customHeight="1" outlineLevel="1" x14ac:dyDescent="0.25">
      <c r="A1493" s="42">
        <v>9369</v>
      </c>
      <c r="B1493" s="4" t="s">
        <v>39</v>
      </c>
      <c r="C1493" s="38" t="s">
        <v>1286</v>
      </c>
      <c r="D1493" s="4">
        <v>2021</v>
      </c>
      <c r="E1493" s="4"/>
      <c r="F1493" s="4">
        <v>340</v>
      </c>
      <c r="G1493" s="4">
        <v>75</v>
      </c>
      <c r="H1493" s="4">
        <v>521.96699999999998</v>
      </c>
    </row>
    <row r="1494" spans="1:8" s="5" customFormat="1" ht="24" hidden="1" customHeight="1" outlineLevel="1" x14ac:dyDescent="0.25">
      <c r="A1494" s="42">
        <v>9358</v>
      </c>
      <c r="B1494" s="4" t="s">
        <v>39</v>
      </c>
      <c r="C1494" s="38" t="s">
        <v>1287</v>
      </c>
      <c r="D1494" s="4">
        <v>2021</v>
      </c>
      <c r="E1494" s="4"/>
      <c r="F1494" s="4">
        <v>505</v>
      </c>
      <c r="G1494" s="4">
        <v>45</v>
      </c>
      <c r="H1494" s="4">
        <v>728.00400000000002</v>
      </c>
    </row>
    <row r="1495" spans="1:8" s="5" customFormat="1" ht="24" hidden="1" customHeight="1" outlineLevel="1" x14ac:dyDescent="0.25">
      <c r="A1495" s="42">
        <v>9354</v>
      </c>
      <c r="B1495" s="4" t="s">
        <v>39</v>
      </c>
      <c r="C1495" s="38" t="s">
        <v>1348</v>
      </c>
      <c r="D1495" s="4">
        <v>2021</v>
      </c>
      <c r="E1495" s="4"/>
      <c r="F1495" s="4">
        <v>10</v>
      </c>
      <c r="G1495" s="4">
        <v>15</v>
      </c>
      <c r="H1495" s="4">
        <v>158.63499999999999</v>
      </c>
    </row>
    <row r="1496" spans="1:8" s="5" customFormat="1" ht="24" hidden="1" customHeight="1" outlineLevel="1" x14ac:dyDescent="0.25">
      <c r="A1496" s="42">
        <v>9365</v>
      </c>
      <c r="B1496" s="4" t="s">
        <v>39</v>
      </c>
      <c r="C1496" s="38" t="s">
        <v>1288</v>
      </c>
      <c r="D1496" s="4">
        <v>2021</v>
      </c>
      <c r="E1496" s="4"/>
      <c r="F1496" s="4">
        <v>37</v>
      </c>
      <c r="G1496" s="4">
        <v>119.2</v>
      </c>
      <c r="H1496" s="4">
        <v>109.45399999999999</v>
      </c>
    </row>
    <row r="1497" spans="1:8" s="5" customFormat="1" ht="24" hidden="1" customHeight="1" outlineLevel="1" x14ac:dyDescent="0.25">
      <c r="A1497" s="42">
        <v>9364</v>
      </c>
      <c r="B1497" s="4" t="s">
        <v>39</v>
      </c>
      <c r="C1497" s="38" t="s">
        <v>1289</v>
      </c>
      <c r="D1497" s="4">
        <v>2021</v>
      </c>
      <c r="E1497" s="4"/>
      <c r="F1497" s="4">
        <v>20</v>
      </c>
      <c r="G1497" s="4">
        <v>150</v>
      </c>
      <c r="H1497" s="4">
        <v>147.72499999999999</v>
      </c>
    </row>
    <row r="1498" spans="1:8" s="5" customFormat="1" ht="24" hidden="1" customHeight="1" outlineLevel="1" x14ac:dyDescent="0.25">
      <c r="A1498" s="42">
        <v>9287</v>
      </c>
      <c r="B1498" s="4" t="s">
        <v>39</v>
      </c>
      <c r="C1498" s="38" t="s">
        <v>1349</v>
      </c>
      <c r="D1498" s="4">
        <v>2021</v>
      </c>
      <c r="E1498" s="4"/>
      <c r="F1498" s="4">
        <v>227</v>
      </c>
      <c r="G1498" s="4">
        <v>15</v>
      </c>
      <c r="H1498" s="4">
        <v>436.536</v>
      </c>
    </row>
    <row r="1499" spans="1:8" s="5" customFormat="1" ht="24" hidden="1" customHeight="1" outlineLevel="1" x14ac:dyDescent="0.25">
      <c r="A1499" s="42">
        <v>9335</v>
      </c>
      <c r="B1499" s="4" t="s">
        <v>39</v>
      </c>
      <c r="C1499" s="38" t="s">
        <v>1350</v>
      </c>
      <c r="D1499" s="4">
        <v>2021</v>
      </c>
      <c r="E1499" s="4"/>
      <c r="F1499" s="4">
        <v>232</v>
      </c>
      <c r="G1499" s="4">
        <v>30</v>
      </c>
      <c r="H1499" s="4">
        <v>205.85499999999999</v>
      </c>
    </row>
    <row r="1500" spans="1:8" s="5" customFormat="1" ht="24" hidden="1" customHeight="1" outlineLevel="1" x14ac:dyDescent="0.25">
      <c r="A1500" s="43">
        <v>367</v>
      </c>
      <c r="B1500" s="4" t="s">
        <v>39</v>
      </c>
      <c r="C1500" s="38" t="s">
        <v>1351</v>
      </c>
      <c r="D1500" s="4">
        <v>2021</v>
      </c>
      <c r="E1500" s="4"/>
      <c r="F1500" s="4">
        <v>357</v>
      </c>
      <c r="G1500" s="4">
        <v>15</v>
      </c>
      <c r="H1500" s="4">
        <v>546.26599999999996</v>
      </c>
    </row>
    <row r="1501" spans="1:8" s="5" customFormat="1" ht="24" hidden="1" customHeight="1" outlineLevel="1" x14ac:dyDescent="0.25">
      <c r="A1501" s="42">
        <v>9368</v>
      </c>
      <c r="B1501" s="4" t="s">
        <v>39</v>
      </c>
      <c r="C1501" s="38" t="s">
        <v>1352</v>
      </c>
      <c r="D1501" s="4">
        <v>2021</v>
      </c>
      <c r="E1501" s="4"/>
      <c r="F1501" s="4">
        <v>5</v>
      </c>
      <c r="G1501" s="4">
        <v>150</v>
      </c>
      <c r="H1501" s="4">
        <v>172.47200000000001</v>
      </c>
    </row>
    <row r="1502" spans="1:8" s="5" customFormat="1" ht="24" hidden="1" customHeight="1" outlineLevel="1" x14ac:dyDescent="0.25">
      <c r="A1502" s="43">
        <v>421</v>
      </c>
      <c r="B1502" s="4" t="s">
        <v>39</v>
      </c>
      <c r="C1502" s="38" t="s">
        <v>1353</v>
      </c>
      <c r="D1502" s="4">
        <v>2021</v>
      </c>
      <c r="E1502" s="4"/>
      <c r="F1502" s="4">
        <v>130</v>
      </c>
      <c r="G1502" s="4">
        <v>149</v>
      </c>
      <c r="H1502" s="4">
        <v>270.88200000000001</v>
      </c>
    </row>
    <row r="1503" spans="1:8" s="5" customFormat="1" ht="24" hidden="1" customHeight="1" outlineLevel="1" x14ac:dyDescent="0.25">
      <c r="A1503" s="42">
        <v>9342</v>
      </c>
      <c r="B1503" s="4" t="s">
        <v>39</v>
      </c>
      <c r="C1503" s="38" t="s">
        <v>1354</v>
      </c>
      <c r="D1503" s="4">
        <v>2021</v>
      </c>
      <c r="E1503" s="4"/>
      <c r="F1503" s="4">
        <v>365</v>
      </c>
      <c r="G1503" s="4">
        <v>60</v>
      </c>
      <c r="H1503" s="4">
        <v>589.14700000000005</v>
      </c>
    </row>
    <row r="1504" spans="1:8" s="5" customFormat="1" ht="24" hidden="1" customHeight="1" outlineLevel="1" x14ac:dyDescent="0.25">
      <c r="A1504" s="42">
        <v>9326</v>
      </c>
      <c r="B1504" s="4" t="s">
        <v>39</v>
      </c>
      <c r="C1504" s="38" t="s">
        <v>1355</v>
      </c>
      <c r="D1504" s="4">
        <v>2021</v>
      </c>
      <c r="E1504" s="4"/>
      <c r="F1504" s="4">
        <v>546</v>
      </c>
      <c r="G1504" s="4">
        <v>60</v>
      </c>
      <c r="H1504" s="4">
        <v>845.61500000000001</v>
      </c>
    </row>
    <row r="1505" spans="1:8" s="5" customFormat="1" ht="93" hidden="1" customHeight="1" outlineLevel="1" x14ac:dyDescent="0.25">
      <c r="A1505" s="42">
        <v>3748</v>
      </c>
      <c r="B1505" s="4" t="s">
        <v>39</v>
      </c>
      <c r="C1505" s="38" t="s">
        <v>1356</v>
      </c>
      <c r="D1505" s="4">
        <v>2021</v>
      </c>
      <c r="E1505" s="4"/>
      <c r="F1505" s="4">
        <v>190</v>
      </c>
      <c r="G1505" s="4">
        <v>65</v>
      </c>
      <c r="H1505" s="4">
        <v>530.30899999999997</v>
      </c>
    </row>
    <row r="1506" spans="1:8" s="5" customFormat="1" ht="24" hidden="1" customHeight="1" outlineLevel="1" x14ac:dyDescent="0.25">
      <c r="A1506" s="42">
        <v>3714</v>
      </c>
      <c r="B1506" s="4" t="s">
        <v>39</v>
      </c>
      <c r="C1506" s="38" t="s">
        <v>1357</v>
      </c>
      <c r="D1506" s="4">
        <v>2021</v>
      </c>
      <c r="E1506" s="4"/>
      <c r="F1506" s="4">
        <v>91</v>
      </c>
      <c r="G1506" s="4">
        <v>120</v>
      </c>
      <c r="H1506" s="4">
        <v>171.41499999999999</v>
      </c>
    </row>
    <row r="1507" spans="1:8" s="5" customFormat="1" ht="24" hidden="1" customHeight="1" outlineLevel="1" x14ac:dyDescent="0.25">
      <c r="A1507" s="42">
        <v>9336</v>
      </c>
      <c r="B1507" s="4" t="s">
        <v>39</v>
      </c>
      <c r="C1507" s="38" t="s">
        <v>1358</v>
      </c>
      <c r="D1507" s="4">
        <v>2021</v>
      </c>
      <c r="E1507" s="4"/>
      <c r="F1507" s="4">
        <v>136</v>
      </c>
      <c r="G1507" s="4">
        <v>15</v>
      </c>
      <c r="H1507" s="4">
        <v>235.70400000000001</v>
      </c>
    </row>
    <row r="1508" spans="1:8" s="5" customFormat="1" ht="24" hidden="1" customHeight="1" outlineLevel="1" x14ac:dyDescent="0.25">
      <c r="A1508" s="42">
        <v>9324</v>
      </c>
      <c r="B1508" s="4" t="s">
        <v>39</v>
      </c>
      <c r="C1508" s="38" t="s">
        <v>1359</v>
      </c>
      <c r="D1508" s="4">
        <v>2021</v>
      </c>
      <c r="E1508" s="4"/>
      <c r="F1508" s="4">
        <v>131</v>
      </c>
      <c r="G1508" s="4">
        <v>45</v>
      </c>
      <c r="H1508" s="4">
        <v>239.42500000000001</v>
      </c>
    </row>
    <row r="1509" spans="1:8" s="5" customFormat="1" ht="24" hidden="1" customHeight="1" outlineLevel="1" x14ac:dyDescent="0.25">
      <c r="A1509" s="42">
        <v>9442</v>
      </c>
      <c r="B1509" s="4" t="s">
        <v>39</v>
      </c>
      <c r="C1509" s="38" t="s">
        <v>1293</v>
      </c>
      <c r="D1509" s="4">
        <v>2021</v>
      </c>
      <c r="E1509" s="4"/>
      <c r="F1509" s="4">
        <v>15</v>
      </c>
      <c r="G1509" s="4">
        <v>70</v>
      </c>
      <c r="H1509" s="4">
        <v>112.498</v>
      </c>
    </row>
    <row r="1510" spans="1:8" s="5" customFormat="1" ht="24" hidden="1" customHeight="1" outlineLevel="1" x14ac:dyDescent="0.25">
      <c r="A1510" s="42">
        <v>9372</v>
      </c>
      <c r="B1510" s="4" t="s">
        <v>39</v>
      </c>
      <c r="C1510" s="38" t="s">
        <v>1294</v>
      </c>
      <c r="D1510" s="4">
        <v>2021</v>
      </c>
      <c r="E1510" s="4"/>
      <c r="F1510" s="4">
        <v>2298</v>
      </c>
      <c r="G1510" s="4">
        <v>210</v>
      </c>
      <c r="H1510" s="4">
        <v>2989.25</v>
      </c>
    </row>
    <row r="1511" spans="1:8" s="5" customFormat="1" ht="24" hidden="1" customHeight="1" outlineLevel="1" x14ac:dyDescent="0.25">
      <c r="A1511" s="42">
        <v>9271</v>
      </c>
      <c r="B1511" s="4" t="s">
        <v>39</v>
      </c>
      <c r="C1511" s="38" t="s">
        <v>1360</v>
      </c>
      <c r="D1511" s="4">
        <v>2021</v>
      </c>
      <c r="E1511" s="4"/>
      <c r="F1511" s="4">
        <v>135</v>
      </c>
      <c r="G1511" s="4">
        <v>15</v>
      </c>
      <c r="H1511" s="4">
        <v>225.13399999999999</v>
      </c>
    </row>
    <row r="1512" spans="1:8" s="5" customFormat="1" ht="24" hidden="1" customHeight="1" outlineLevel="1" x14ac:dyDescent="0.25">
      <c r="A1512" s="42">
        <v>9362</v>
      </c>
      <c r="B1512" s="4" t="s">
        <v>39</v>
      </c>
      <c r="C1512" s="38" t="s">
        <v>1361</v>
      </c>
      <c r="D1512" s="4">
        <v>2021</v>
      </c>
      <c r="E1512" s="4"/>
      <c r="F1512" s="4">
        <v>553</v>
      </c>
      <c r="G1512" s="4">
        <v>60</v>
      </c>
      <c r="H1512" s="4">
        <v>725.59299999999996</v>
      </c>
    </row>
    <row r="1513" spans="1:8" s="5" customFormat="1" ht="24" hidden="1" customHeight="1" outlineLevel="1" x14ac:dyDescent="0.25">
      <c r="A1513" s="42">
        <v>9429</v>
      </c>
      <c r="B1513" s="4" t="s">
        <v>39</v>
      </c>
      <c r="C1513" s="38" t="s">
        <v>1362</v>
      </c>
      <c r="D1513" s="4">
        <v>2021</v>
      </c>
      <c r="E1513" s="4"/>
      <c r="F1513" s="4">
        <v>453</v>
      </c>
      <c r="G1513" s="4">
        <v>90</v>
      </c>
      <c r="H1513" s="4">
        <v>1049.3689999999999</v>
      </c>
    </row>
    <row r="1514" spans="1:8" s="5" customFormat="1" ht="24" hidden="1" customHeight="1" outlineLevel="1" x14ac:dyDescent="0.25">
      <c r="A1514" s="42">
        <v>9352</v>
      </c>
      <c r="B1514" s="4" t="s">
        <v>39</v>
      </c>
      <c r="C1514" s="38" t="s">
        <v>1363</v>
      </c>
      <c r="D1514" s="4">
        <v>2021</v>
      </c>
      <c r="E1514" s="4"/>
      <c r="F1514" s="4">
        <v>317</v>
      </c>
      <c r="G1514" s="4">
        <v>90</v>
      </c>
      <c r="H1514" s="4">
        <v>583.53099999999995</v>
      </c>
    </row>
    <row r="1515" spans="1:8" s="5" customFormat="1" ht="24" hidden="1" customHeight="1" outlineLevel="1" x14ac:dyDescent="0.25">
      <c r="A1515" s="42">
        <v>9370</v>
      </c>
      <c r="B1515" s="4" t="s">
        <v>39</v>
      </c>
      <c r="C1515" s="38" t="s">
        <v>1364</v>
      </c>
      <c r="D1515" s="4">
        <v>2021</v>
      </c>
      <c r="E1515" s="4"/>
      <c r="F1515" s="4">
        <v>182</v>
      </c>
      <c r="G1515" s="4">
        <v>15</v>
      </c>
      <c r="H1515" s="4">
        <v>386.55099999999999</v>
      </c>
    </row>
    <row r="1516" spans="1:8" s="5" customFormat="1" ht="24" hidden="1" customHeight="1" outlineLevel="1" x14ac:dyDescent="0.25">
      <c r="A1516" s="43">
        <v>563</v>
      </c>
      <c r="B1516" s="4" t="s">
        <v>39</v>
      </c>
      <c r="C1516" s="38" t="s">
        <v>1365</v>
      </c>
      <c r="D1516" s="4">
        <v>2021</v>
      </c>
      <c r="E1516" s="4"/>
      <c r="F1516" s="4">
        <v>41</v>
      </c>
      <c r="G1516" s="4">
        <v>150</v>
      </c>
      <c r="H1516" s="4">
        <v>202.51900000000001</v>
      </c>
    </row>
    <row r="1517" spans="1:8" s="5" customFormat="1" ht="24" hidden="1" customHeight="1" outlineLevel="1" x14ac:dyDescent="0.25">
      <c r="A1517" s="42">
        <v>9091</v>
      </c>
      <c r="B1517" s="4" t="s">
        <v>39</v>
      </c>
      <c r="C1517" s="38" t="s">
        <v>1366</v>
      </c>
      <c r="D1517" s="4">
        <v>2021</v>
      </c>
      <c r="E1517" s="4"/>
      <c r="F1517" s="4">
        <v>17</v>
      </c>
      <c r="G1517" s="4">
        <v>60</v>
      </c>
      <c r="H1517" s="4">
        <v>127.78100000000001</v>
      </c>
    </row>
    <row r="1518" spans="1:8" s="5" customFormat="1" ht="24" hidden="1" customHeight="1" outlineLevel="1" x14ac:dyDescent="0.25">
      <c r="A1518" s="43">
        <v>449</v>
      </c>
      <c r="B1518" s="4" t="s">
        <v>39</v>
      </c>
      <c r="C1518" s="38" t="s">
        <v>1367</v>
      </c>
      <c r="D1518" s="4">
        <v>2021</v>
      </c>
      <c r="E1518" s="4"/>
      <c r="F1518" s="4">
        <v>260</v>
      </c>
      <c r="G1518" s="4">
        <v>150</v>
      </c>
      <c r="H1518" s="4">
        <v>596.005</v>
      </c>
    </row>
    <row r="1519" spans="1:8" s="5" customFormat="1" ht="24" hidden="1" customHeight="1" outlineLevel="1" x14ac:dyDescent="0.25">
      <c r="A1519" s="42">
        <v>9079</v>
      </c>
      <c r="B1519" s="4" t="s">
        <v>39</v>
      </c>
      <c r="C1519" s="38" t="s">
        <v>1368</v>
      </c>
      <c r="D1519" s="4">
        <v>2021</v>
      </c>
      <c r="E1519" s="4"/>
      <c r="F1519" s="4">
        <v>203</v>
      </c>
      <c r="G1519" s="4">
        <v>105</v>
      </c>
      <c r="H1519" s="4">
        <v>481.79300000000001</v>
      </c>
    </row>
    <row r="1520" spans="1:8" s="5" customFormat="1" ht="24" hidden="1" customHeight="1" outlineLevel="1" x14ac:dyDescent="0.25">
      <c r="A1520" s="43">
        <v>447</v>
      </c>
      <c r="B1520" s="4" t="s">
        <v>39</v>
      </c>
      <c r="C1520" s="38" t="s">
        <v>1369</v>
      </c>
      <c r="D1520" s="4">
        <v>2021</v>
      </c>
      <c r="E1520" s="4"/>
      <c r="F1520" s="4">
        <v>223</v>
      </c>
      <c r="G1520" s="4">
        <v>30</v>
      </c>
      <c r="H1520" s="4">
        <v>438.20800000000003</v>
      </c>
    </row>
    <row r="1521" spans="1:33" s="5" customFormat="1" ht="24" hidden="1" customHeight="1" outlineLevel="1" x14ac:dyDescent="0.25">
      <c r="A1521" s="43">
        <v>897</v>
      </c>
      <c r="B1521" s="4" t="s">
        <v>39</v>
      </c>
      <c r="C1521" s="38" t="s">
        <v>1370</v>
      </c>
      <c r="D1521" s="4">
        <v>2021</v>
      </c>
      <c r="E1521" s="4"/>
      <c r="F1521" s="4">
        <v>234</v>
      </c>
      <c r="G1521" s="4">
        <v>150</v>
      </c>
      <c r="H1521" s="4">
        <v>320.14299999999997</v>
      </c>
    </row>
    <row r="1522" spans="1:33" s="5" customFormat="1" ht="15.75" collapsed="1" x14ac:dyDescent="0.25">
      <c r="A1522" s="208"/>
      <c r="B1522" s="189" t="s">
        <v>39</v>
      </c>
      <c r="C1522" s="189" t="s">
        <v>3187</v>
      </c>
      <c r="D1522" s="189"/>
      <c r="E1522" s="174" t="s">
        <v>22</v>
      </c>
      <c r="F1522" s="174"/>
      <c r="G1522" s="174"/>
      <c r="H1522" s="174"/>
    </row>
    <row r="1523" spans="1:33" s="5" customFormat="1" ht="15.75" customHeight="1" x14ac:dyDescent="0.25">
      <c r="A1523" s="210"/>
      <c r="B1523" s="190"/>
      <c r="C1523" s="190"/>
      <c r="D1523" s="190"/>
      <c r="E1523" s="188"/>
      <c r="F1523" s="188"/>
      <c r="G1523" s="188"/>
      <c r="H1523" s="188"/>
    </row>
    <row r="1524" spans="1:33" s="5" customFormat="1" ht="17.25" customHeight="1" x14ac:dyDescent="0.25">
      <c r="A1524" s="209"/>
      <c r="B1524" s="191"/>
      <c r="C1524" s="191"/>
      <c r="D1524" s="191"/>
      <c r="E1524" s="175"/>
      <c r="F1524" s="175"/>
      <c r="G1524" s="175"/>
      <c r="H1524" s="175"/>
    </row>
    <row r="1525" spans="1:33" s="5" customFormat="1" ht="17.25" customHeight="1" x14ac:dyDescent="0.25">
      <c r="A1525" s="4"/>
      <c r="B1525" s="11" t="s">
        <v>39</v>
      </c>
      <c r="C1525" s="12" t="s">
        <v>1102</v>
      </c>
      <c r="D1525" s="11">
        <v>2020</v>
      </c>
      <c r="E1525" s="11" t="s">
        <v>22</v>
      </c>
      <c r="F1525" s="11">
        <f>SUMIF($D$1528:$D$1670,$D$1525,$F$1528:$F$1670)</f>
        <v>12633</v>
      </c>
      <c r="G1525" s="14">
        <f>SUMIF($D$1528:$D$1670,$D$1525,$G$1528:$G$1670)</f>
        <v>6707.7</v>
      </c>
      <c r="H1525" s="14">
        <f>SUMIF($D$1528:$D$1670,$D$1525,$H$1528:$H$1670)</f>
        <v>24427.842940000006</v>
      </c>
    </row>
    <row r="1526" spans="1:33" s="25" customFormat="1" ht="17.25" customHeight="1" x14ac:dyDescent="0.25">
      <c r="A1526" s="4"/>
      <c r="B1526" s="11" t="s">
        <v>39</v>
      </c>
      <c r="C1526" s="12" t="s">
        <v>1102</v>
      </c>
      <c r="D1526" s="11">
        <v>2021</v>
      </c>
      <c r="E1526" s="11" t="s">
        <v>22</v>
      </c>
      <c r="F1526" s="11">
        <f>SUMIF($D$1528:$D$1670,$D$1526,$F$1528:$F$1670)</f>
        <v>12208</v>
      </c>
      <c r="G1526" s="14">
        <f>SUMIF($D$1528:$D$1670,$D$1526,$G$1528:$G$1670)</f>
        <v>2826</v>
      </c>
      <c r="H1526" s="14">
        <f>SUMIF($D$1528:$D$1670,$D$1526,$H$1528:$H$1670)</f>
        <v>23939.066260000007</v>
      </c>
      <c r="I1526" s="5"/>
      <c r="J1526" s="5"/>
      <c r="K1526" s="5"/>
      <c r="L1526" s="5"/>
      <c r="M1526" s="5"/>
      <c r="N1526" s="5"/>
      <c r="O1526" s="5"/>
      <c r="P1526" s="5"/>
      <c r="Q1526" s="5"/>
      <c r="R1526" s="5"/>
      <c r="S1526" s="5"/>
      <c r="T1526" s="5"/>
      <c r="U1526" s="5"/>
      <c r="V1526" s="5"/>
      <c r="W1526" s="5"/>
      <c r="X1526" s="5"/>
      <c r="Y1526" s="5"/>
      <c r="Z1526" s="5"/>
      <c r="AA1526" s="5"/>
      <c r="AB1526" s="5"/>
      <c r="AC1526" s="5"/>
      <c r="AD1526" s="5"/>
      <c r="AE1526" s="5"/>
      <c r="AF1526" s="5"/>
      <c r="AG1526" s="5"/>
    </row>
    <row r="1527" spans="1:33" s="25" customFormat="1" ht="15.75" x14ac:dyDescent="0.25">
      <c r="A1527" s="4"/>
      <c r="B1527" s="11" t="s">
        <v>39</v>
      </c>
      <c r="C1527" s="12" t="s">
        <v>3929</v>
      </c>
      <c r="D1527" s="11">
        <v>2022</v>
      </c>
      <c r="E1527" s="11" t="s">
        <v>22</v>
      </c>
      <c r="F1527" s="11">
        <f>SUMIF($D$1528:$D$1670,$D$1527,$F$1528:$F$1670)</f>
        <v>15107</v>
      </c>
      <c r="G1527" s="14">
        <f>SUMIF($D$1528:$D$1670,$D$1527,$G$1528:$G$1670)</f>
        <v>2824</v>
      </c>
      <c r="H1527" s="14">
        <f>SUMIF($D$1528:$D$1670,$D$1527,$H$1528:$H$1670)</f>
        <v>26206.558369999999</v>
      </c>
      <c r="I1527" s="5"/>
      <c r="J1527" s="5"/>
      <c r="K1527" s="5"/>
      <c r="L1527" s="5"/>
      <c r="M1527" s="5"/>
      <c r="N1527" s="5"/>
      <c r="O1527" s="5"/>
      <c r="P1527" s="5"/>
      <c r="Q1527" s="5"/>
      <c r="R1527" s="5"/>
      <c r="S1527" s="5"/>
      <c r="T1527" s="5"/>
      <c r="U1527" s="5"/>
      <c r="V1527" s="5"/>
      <c r="W1527" s="5"/>
      <c r="X1527" s="5"/>
      <c r="Y1527" s="5"/>
      <c r="Z1527" s="5"/>
      <c r="AA1527" s="5"/>
      <c r="AB1527" s="5"/>
      <c r="AC1527" s="5"/>
      <c r="AD1527" s="5"/>
      <c r="AE1527" s="5"/>
      <c r="AF1527" s="5"/>
      <c r="AG1527" s="5"/>
    </row>
    <row r="1528" spans="1:33" s="5" customFormat="1" ht="17.25" hidden="1" customHeight="1" outlineLevel="1" x14ac:dyDescent="0.25">
      <c r="A1528" s="4">
        <v>2984</v>
      </c>
      <c r="B1528" s="4" t="s">
        <v>39</v>
      </c>
      <c r="C1528" s="38" t="s">
        <v>4049</v>
      </c>
      <c r="D1528" s="4">
        <v>2022</v>
      </c>
      <c r="E1528" s="4" t="s">
        <v>22</v>
      </c>
      <c r="F1528" s="4">
        <v>61</v>
      </c>
      <c r="G1528" s="4">
        <v>100</v>
      </c>
      <c r="H1528" s="4">
        <v>294.89500000000004</v>
      </c>
    </row>
    <row r="1529" spans="1:33" s="5" customFormat="1" ht="17.25" hidden="1" customHeight="1" outlineLevel="1" x14ac:dyDescent="0.25">
      <c r="A1529" s="4">
        <v>2784</v>
      </c>
      <c r="B1529" s="4" t="s">
        <v>39</v>
      </c>
      <c r="C1529" s="38" t="s">
        <v>3259</v>
      </c>
      <c r="D1529" s="4">
        <v>2022</v>
      </c>
      <c r="E1529" s="4" t="s">
        <v>22</v>
      </c>
      <c r="F1529" s="4">
        <v>480</v>
      </c>
      <c r="G1529" s="4">
        <v>30</v>
      </c>
      <c r="H1529" s="4">
        <f>0.464783*(1000)</f>
        <v>464.78300000000002</v>
      </c>
    </row>
    <row r="1530" spans="1:33" s="5" customFormat="1" ht="17.25" hidden="1" customHeight="1" outlineLevel="1" x14ac:dyDescent="0.25">
      <c r="A1530" s="4">
        <v>2802</v>
      </c>
      <c r="B1530" s="4" t="s">
        <v>39</v>
      </c>
      <c r="C1530" s="38" t="s">
        <v>3999</v>
      </c>
      <c r="D1530" s="4">
        <v>2022</v>
      </c>
      <c r="E1530" s="4" t="s">
        <v>22</v>
      </c>
      <c r="F1530" s="4">
        <v>412</v>
      </c>
      <c r="G1530" s="4">
        <v>300</v>
      </c>
      <c r="H1530" s="4">
        <f>0.518923*(1000)</f>
        <v>518.923</v>
      </c>
    </row>
    <row r="1531" spans="1:33" s="5" customFormat="1" ht="17.25" hidden="1" customHeight="1" outlineLevel="1" x14ac:dyDescent="0.25">
      <c r="A1531" s="4">
        <v>2993</v>
      </c>
      <c r="B1531" s="4" t="s">
        <v>39</v>
      </c>
      <c r="C1531" s="38" t="s">
        <v>4000</v>
      </c>
      <c r="D1531" s="4">
        <v>2022</v>
      </c>
      <c r="E1531" s="4" t="s">
        <v>22</v>
      </c>
      <c r="F1531" s="4">
        <v>8</v>
      </c>
      <c r="G1531" s="4">
        <v>15</v>
      </c>
      <c r="H1531" s="4">
        <f>0.10002*(1000)</f>
        <v>100.02</v>
      </c>
    </row>
    <row r="1532" spans="1:33" s="5" customFormat="1" ht="17.25" hidden="1" customHeight="1" outlineLevel="1" x14ac:dyDescent="0.25">
      <c r="A1532" s="4">
        <v>2842</v>
      </c>
      <c r="B1532" s="4" t="s">
        <v>39</v>
      </c>
      <c r="C1532" s="38" t="s">
        <v>3287</v>
      </c>
      <c r="D1532" s="4">
        <v>2022</v>
      </c>
      <c r="E1532" s="4" t="s">
        <v>22</v>
      </c>
      <c r="F1532" s="4">
        <v>290</v>
      </c>
      <c r="G1532" s="4">
        <v>30</v>
      </c>
      <c r="H1532" s="4">
        <f>0.332209*(1000)</f>
        <v>332.209</v>
      </c>
    </row>
    <row r="1533" spans="1:33" s="5" customFormat="1" ht="17.25" hidden="1" customHeight="1" outlineLevel="1" x14ac:dyDescent="0.25">
      <c r="A1533" s="4">
        <v>4117</v>
      </c>
      <c r="B1533" s="4" t="s">
        <v>39</v>
      </c>
      <c r="C1533" s="38" t="s">
        <v>4006</v>
      </c>
      <c r="D1533" s="4">
        <v>2022</v>
      </c>
      <c r="E1533" s="4" t="s">
        <v>22</v>
      </c>
      <c r="F1533" s="4">
        <v>318</v>
      </c>
      <c r="G1533" s="4">
        <v>300</v>
      </c>
      <c r="H1533" s="4">
        <f>0.90192827*(1000)</f>
        <v>901.92827</v>
      </c>
    </row>
    <row r="1534" spans="1:33" s="5" customFormat="1" ht="17.25" hidden="1" customHeight="1" outlineLevel="1" x14ac:dyDescent="0.25">
      <c r="A1534" s="4">
        <v>2786</v>
      </c>
      <c r="B1534" s="4" t="s">
        <v>39</v>
      </c>
      <c r="C1534" s="38" t="s">
        <v>3295</v>
      </c>
      <c r="D1534" s="4">
        <v>2022</v>
      </c>
      <c r="E1534" s="4" t="s">
        <v>22</v>
      </c>
      <c r="F1534" s="4">
        <v>13</v>
      </c>
      <c r="G1534" s="4">
        <v>60</v>
      </c>
      <c r="H1534" s="4">
        <f>0.11111753*(1000)</f>
        <v>111.11753</v>
      </c>
    </row>
    <row r="1535" spans="1:33" s="5" customFormat="1" ht="17.25" hidden="1" customHeight="1" outlineLevel="1" x14ac:dyDescent="0.25">
      <c r="A1535" s="4">
        <v>2861</v>
      </c>
      <c r="B1535" s="4" t="s">
        <v>39</v>
      </c>
      <c r="C1535" s="38" t="s">
        <v>3298</v>
      </c>
      <c r="D1535" s="4">
        <v>2022</v>
      </c>
      <c r="E1535" s="4" t="s">
        <v>22</v>
      </c>
      <c r="F1535" s="4">
        <v>12</v>
      </c>
      <c r="G1535" s="4">
        <v>100</v>
      </c>
      <c r="H1535" s="4">
        <f>0.108688*(1000)</f>
        <v>108.688</v>
      </c>
    </row>
    <row r="1536" spans="1:33" s="5" customFormat="1" ht="17.25" hidden="1" customHeight="1" outlineLevel="1" x14ac:dyDescent="0.25">
      <c r="A1536" s="4">
        <v>2910</v>
      </c>
      <c r="B1536" s="4" t="s">
        <v>39</v>
      </c>
      <c r="C1536" s="38" t="s">
        <v>3301</v>
      </c>
      <c r="D1536" s="4">
        <v>2022</v>
      </c>
      <c r="E1536" s="4" t="s">
        <v>22</v>
      </c>
      <c r="F1536" s="4">
        <v>4</v>
      </c>
      <c r="G1536" s="4">
        <v>100</v>
      </c>
      <c r="H1536" s="4">
        <f>0.04868335*(1000)</f>
        <v>48.683349999999997</v>
      </c>
    </row>
    <row r="1537" spans="1:8" s="5" customFormat="1" ht="17.25" hidden="1" customHeight="1" outlineLevel="1" x14ac:dyDescent="0.25">
      <c r="A1537" s="4">
        <v>2991</v>
      </c>
      <c r="B1537" s="4" t="s">
        <v>39</v>
      </c>
      <c r="C1537" s="38" t="s">
        <v>4007</v>
      </c>
      <c r="D1537" s="4">
        <v>2022</v>
      </c>
      <c r="E1537" s="4" t="s">
        <v>22</v>
      </c>
      <c r="F1537" s="4">
        <v>7</v>
      </c>
      <c r="G1537" s="4">
        <v>80</v>
      </c>
      <c r="H1537" s="4">
        <f>0.26934858*(1000)</f>
        <v>269.34858000000003</v>
      </c>
    </row>
    <row r="1538" spans="1:8" s="5" customFormat="1" ht="17.25" hidden="1" customHeight="1" outlineLevel="1" x14ac:dyDescent="0.25">
      <c r="A1538" s="4">
        <v>4224</v>
      </c>
      <c r="B1538" s="4" t="s">
        <v>39</v>
      </c>
      <c r="C1538" s="38" t="s">
        <v>4012</v>
      </c>
      <c r="D1538" s="4">
        <v>2022</v>
      </c>
      <c r="E1538" s="4" t="s">
        <v>22</v>
      </c>
      <c r="F1538" s="4">
        <v>291</v>
      </c>
      <c r="G1538" s="4">
        <v>104</v>
      </c>
      <c r="H1538" s="4">
        <f>0.6071339*(1000)</f>
        <v>607.13390000000004</v>
      </c>
    </row>
    <row r="1539" spans="1:8" s="5" customFormat="1" ht="17.25" hidden="1" customHeight="1" outlineLevel="1" x14ac:dyDescent="0.25">
      <c r="A1539" s="4">
        <v>2881</v>
      </c>
      <c r="B1539" s="4" t="s">
        <v>39</v>
      </c>
      <c r="C1539" s="38" t="s">
        <v>4015</v>
      </c>
      <c r="D1539" s="4">
        <v>2022</v>
      </c>
      <c r="E1539" s="4" t="s">
        <v>22</v>
      </c>
      <c r="F1539" s="4">
        <v>10</v>
      </c>
      <c r="G1539" s="4">
        <v>130</v>
      </c>
      <c r="H1539" s="4">
        <f>0.093885*(1000)</f>
        <v>93.884999999999991</v>
      </c>
    </row>
    <row r="1540" spans="1:8" s="5" customFormat="1" ht="17.25" hidden="1" customHeight="1" outlineLevel="1" x14ac:dyDescent="0.25">
      <c r="A1540" s="4">
        <v>2868</v>
      </c>
      <c r="B1540" s="4" t="s">
        <v>39</v>
      </c>
      <c r="C1540" s="38" t="s">
        <v>3358</v>
      </c>
      <c r="D1540" s="4">
        <v>2022</v>
      </c>
      <c r="E1540" s="4" t="s">
        <v>22</v>
      </c>
      <c r="F1540" s="4">
        <v>4</v>
      </c>
      <c r="G1540" s="4">
        <v>150</v>
      </c>
      <c r="H1540" s="4">
        <f>0.067804*(1000)</f>
        <v>67.804000000000002</v>
      </c>
    </row>
    <row r="1541" spans="1:8" s="5" customFormat="1" ht="17.25" hidden="1" customHeight="1" outlineLevel="1" x14ac:dyDescent="0.25">
      <c r="A1541" s="4">
        <v>455</v>
      </c>
      <c r="B1541" s="4" t="s">
        <v>39</v>
      </c>
      <c r="C1541" s="38" t="s">
        <v>4026</v>
      </c>
      <c r="D1541" s="4">
        <v>2022</v>
      </c>
      <c r="E1541" s="4" t="s">
        <v>22</v>
      </c>
      <c r="F1541" s="4">
        <v>1327</v>
      </c>
      <c r="G1541" s="4">
        <v>100</v>
      </c>
      <c r="H1541" s="4">
        <v>2595.2082799999998</v>
      </c>
    </row>
    <row r="1542" spans="1:8" s="5" customFormat="1" ht="17.25" hidden="1" customHeight="1" outlineLevel="1" x14ac:dyDescent="0.25">
      <c r="A1542" s="4">
        <v>456</v>
      </c>
      <c r="B1542" s="4" t="s">
        <v>39</v>
      </c>
      <c r="C1542" s="38" t="s">
        <v>4027</v>
      </c>
      <c r="D1542" s="4">
        <v>2022</v>
      </c>
      <c r="E1542" s="4" t="s">
        <v>22</v>
      </c>
      <c r="F1542" s="4">
        <v>8</v>
      </c>
      <c r="G1542" s="4">
        <v>15</v>
      </c>
      <c r="H1542" s="4">
        <v>122.08163999999999</v>
      </c>
    </row>
    <row r="1543" spans="1:8" s="5" customFormat="1" ht="17.25" hidden="1" customHeight="1" outlineLevel="1" x14ac:dyDescent="0.25">
      <c r="A1543" s="4">
        <v>462</v>
      </c>
      <c r="B1543" s="4" t="s">
        <v>39</v>
      </c>
      <c r="C1543" s="38" t="s">
        <v>3564</v>
      </c>
      <c r="D1543" s="4">
        <v>2022</v>
      </c>
      <c r="E1543" s="4" t="s">
        <v>22</v>
      </c>
      <c r="F1543" s="4">
        <v>2202</v>
      </c>
      <c r="G1543" s="4">
        <v>15</v>
      </c>
      <c r="H1543" s="4">
        <v>3981.9522999999999</v>
      </c>
    </row>
    <row r="1544" spans="1:8" s="5" customFormat="1" ht="17.25" hidden="1" customHeight="1" outlineLevel="1" x14ac:dyDescent="0.25">
      <c r="A1544" s="4">
        <v>464</v>
      </c>
      <c r="B1544" s="4" t="s">
        <v>39</v>
      </c>
      <c r="C1544" s="38" t="s">
        <v>4032</v>
      </c>
      <c r="D1544" s="4">
        <v>2022</v>
      </c>
      <c r="E1544" s="4" t="s">
        <v>22</v>
      </c>
      <c r="F1544" s="4">
        <v>7</v>
      </c>
      <c r="G1544" s="4">
        <v>150</v>
      </c>
      <c r="H1544" s="4">
        <v>182.83552</v>
      </c>
    </row>
    <row r="1545" spans="1:8" s="5" customFormat="1" ht="17.25" hidden="1" customHeight="1" outlineLevel="1" x14ac:dyDescent="0.25">
      <c r="A1545" s="4">
        <v>466</v>
      </c>
      <c r="B1545" s="4" t="s">
        <v>39</v>
      </c>
      <c r="C1545" s="38" t="s">
        <v>4050</v>
      </c>
      <c r="D1545" s="4">
        <v>2022</v>
      </c>
      <c r="E1545" s="4" t="s">
        <v>22</v>
      </c>
      <c r="F1545" s="4">
        <v>188</v>
      </c>
      <c r="G1545" s="4">
        <v>290</v>
      </c>
      <c r="H1545" s="4">
        <v>617.85864000000004</v>
      </c>
    </row>
    <row r="1546" spans="1:8" s="5" customFormat="1" ht="17.25" hidden="1" customHeight="1" outlineLevel="1" x14ac:dyDescent="0.25">
      <c r="A1546" s="4">
        <v>472</v>
      </c>
      <c r="B1546" s="4" t="s">
        <v>39</v>
      </c>
      <c r="C1546" s="38" t="s">
        <v>4034</v>
      </c>
      <c r="D1546" s="4">
        <v>2022</v>
      </c>
      <c r="E1546" s="4" t="s">
        <v>22</v>
      </c>
      <c r="F1546" s="4">
        <v>488</v>
      </c>
      <c r="G1546" s="4">
        <v>100</v>
      </c>
      <c r="H1546" s="4">
        <v>1169.20336</v>
      </c>
    </row>
    <row r="1547" spans="1:8" s="5" customFormat="1" ht="17.25" hidden="1" customHeight="1" outlineLevel="1" x14ac:dyDescent="0.25">
      <c r="A1547" s="4">
        <v>16</v>
      </c>
      <c r="B1547" s="4" t="s">
        <v>39</v>
      </c>
      <c r="C1547" s="38" t="s">
        <v>3738</v>
      </c>
      <c r="D1547" s="4">
        <v>2022</v>
      </c>
      <c r="E1547" s="4" t="s">
        <v>22</v>
      </c>
      <c r="F1547" s="4">
        <v>51</v>
      </c>
      <c r="G1547" s="4">
        <v>15</v>
      </c>
      <c r="H1547" s="4">
        <v>280</v>
      </c>
    </row>
    <row r="1548" spans="1:8" s="5" customFormat="1" ht="17.25" hidden="1" customHeight="1" outlineLevel="1" x14ac:dyDescent="0.25">
      <c r="A1548" s="4">
        <v>180</v>
      </c>
      <c r="B1548" s="4" t="s">
        <v>39</v>
      </c>
      <c r="C1548" s="38" t="s">
        <v>4038</v>
      </c>
      <c r="D1548" s="4">
        <v>2022</v>
      </c>
      <c r="E1548" s="4" t="s">
        <v>22</v>
      </c>
      <c r="F1548" s="4">
        <v>617</v>
      </c>
      <c r="G1548" s="4">
        <v>50</v>
      </c>
      <c r="H1548" s="4">
        <v>1349</v>
      </c>
    </row>
    <row r="1549" spans="1:8" s="5" customFormat="1" ht="17.25" hidden="1" customHeight="1" outlineLevel="1" x14ac:dyDescent="0.25">
      <c r="A1549" s="4">
        <v>17</v>
      </c>
      <c r="B1549" s="4" t="s">
        <v>39</v>
      </c>
      <c r="C1549" s="38" t="s">
        <v>4040</v>
      </c>
      <c r="D1549" s="4">
        <v>2022</v>
      </c>
      <c r="E1549" s="4" t="s">
        <v>22</v>
      </c>
      <c r="F1549" s="4">
        <v>694</v>
      </c>
      <c r="G1549" s="4">
        <v>265</v>
      </c>
      <c r="H1549" s="4">
        <v>1562</v>
      </c>
    </row>
    <row r="1550" spans="1:8" s="5" customFormat="1" ht="17.25" hidden="1" customHeight="1" outlineLevel="1" x14ac:dyDescent="0.25">
      <c r="A1550" s="4">
        <v>284</v>
      </c>
      <c r="B1550" s="4" t="s">
        <v>39</v>
      </c>
      <c r="C1550" s="38" t="s">
        <v>4041</v>
      </c>
      <c r="D1550" s="4">
        <v>2022</v>
      </c>
      <c r="E1550" s="4" t="s">
        <v>22</v>
      </c>
      <c r="F1550" s="4">
        <v>5</v>
      </c>
      <c r="G1550" s="4">
        <v>150</v>
      </c>
      <c r="H1550" s="4">
        <v>136</v>
      </c>
    </row>
    <row r="1551" spans="1:8" s="5" customFormat="1" ht="17.25" hidden="1" customHeight="1" outlineLevel="1" x14ac:dyDescent="0.25">
      <c r="A1551" s="4">
        <v>356</v>
      </c>
      <c r="B1551" s="4" t="s">
        <v>39</v>
      </c>
      <c r="C1551" s="38" t="s">
        <v>4042</v>
      </c>
      <c r="D1551" s="4">
        <v>2022</v>
      </c>
      <c r="E1551" s="4" t="s">
        <v>22</v>
      </c>
      <c r="F1551" s="4">
        <v>5707</v>
      </c>
      <c r="G1551" s="4">
        <v>25</v>
      </c>
      <c r="H1551" s="4">
        <v>7260</v>
      </c>
    </row>
    <row r="1552" spans="1:8" s="5" customFormat="1" ht="17.25" hidden="1" customHeight="1" outlineLevel="1" x14ac:dyDescent="0.25">
      <c r="A1552" s="4">
        <v>399</v>
      </c>
      <c r="B1552" s="4" t="s">
        <v>39</v>
      </c>
      <c r="C1552" s="38" t="s">
        <v>4043</v>
      </c>
      <c r="D1552" s="4">
        <v>2022</v>
      </c>
      <c r="E1552" s="4" t="s">
        <v>22</v>
      </c>
      <c r="F1552" s="4">
        <v>1903</v>
      </c>
      <c r="G1552" s="4">
        <v>150</v>
      </c>
      <c r="H1552" s="4">
        <v>3031</v>
      </c>
    </row>
    <row r="1553" spans="1:8" s="5" customFormat="1" ht="17.25" hidden="1" customHeight="1" outlineLevel="1" x14ac:dyDescent="0.25">
      <c r="A1553" s="4">
        <v>574</v>
      </c>
      <c r="B1553" s="4" t="s">
        <v>39</v>
      </c>
      <c r="C1553" s="38" t="s">
        <v>235</v>
      </c>
      <c r="D1553" s="4">
        <v>2020</v>
      </c>
      <c r="E1553" s="4"/>
      <c r="F1553" s="4">
        <v>1118</v>
      </c>
      <c r="G1553" s="42">
        <v>15</v>
      </c>
      <c r="H1553" s="42">
        <v>2213.2146699999998</v>
      </c>
    </row>
    <row r="1554" spans="1:8" s="5" customFormat="1" ht="17.25" hidden="1" customHeight="1" outlineLevel="1" x14ac:dyDescent="0.25">
      <c r="A1554" s="4">
        <v>1613</v>
      </c>
      <c r="B1554" s="4" t="s">
        <v>39</v>
      </c>
      <c r="C1554" s="38" t="s">
        <v>327</v>
      </c>
      <c r="D1554" s="4">
        <v>2020</v>
      </c>
      <c r="E1554" s="4"/>
      <c r="F1554" s="4">
        <v>10</v>
      </c>
      <c r="G1554" s="42">
        <v>150</v>
      </c>
      <c r="H1554" s="42">
        <v>53.822929999999999</v>
      </c>
    </row>
    <row r="1555" spans="1:8" s="5" customFormat="1" ht="17.25" hidden="1" customHeight="1" outlineLevel="1" x14ac:dyDescent="0.25">
      <c r="A1555" s="4">
        <v>106</v>
      </c>
      <c r="B1555" s="4" t="s">
        <v>39</v>
      </c>
      <c r="C1555" s="38" t="s">
        <v>328</v>
      </c>
      <c r="D1555" s="4">
        <v>2020</v>
      </c>
      <c r="E1555" s="4"/>
      <c r="F1555" s="4">
        <v>5</v>
      </c>
      <c r="G1555" s="42">
        <v>80</v>
      </c>
      <c r="H1555" s="42">
        <v>12.452360000000001</v>
      </c>
    </row>
    <row r="1556" spans="1:8" s="5" customFormat="1" ht="17.25" hidden="1" customHeight="1" outlineLevel="1" x14ac:dyDescent="0.25">
      <c r="A1556" s="4">
        <v>100</v>
      </c>
      <c r="B1556" s="4" t="s">
        <v>39</v>
      </c>
      <c r="C1556" s="38" t="s">
        <v>481</v>
      </c>
      <c r="D1556" s="4">
        <v>2020</v>
      </c>
      <c r="E1556" s="4"/>
      <c r="F1556" s="4">
        <v>744</v>
      </c>
      <c r="G1556" s="42">
        <v>150</v>
      </c>
      <c r="H1556" s="42">
        <v>674.07888000000003</v>
      </c>
    </row>
    <row r="1557" spans="1:8" s="5" customFormat="1" ht="17.25" hidden="1" customHeight="1" outlineLevel="1" x14ac:dyDescent="0.25">
      <c r="A1557" s="4">
        <v>121</v>
      </c>
      <c r="B1557" s="4" t="s">
        <v>39</v>
      </c>
      <c r="C1557" s="38" t="s">
        <v>342</v>
      </c>
      <c r="D1557" s="4">
        <v>2020</v>
      </c>
      <c r="E1557" s="4"/>
      <c r="F1557" s="4">
        <v>11</v>
      </c>
      <c r="G1557" s="42">
        <v>150</v>
      </c>
      <c r="H1557" s="42">
        <v>68.083060000000003</v>
      </c>
    </row>
    <row r="1558" spans="1:8" s="5" customFormat="1" ht="17.25" hidden="1" customHeight="1" outlineLevel="1" x14ac:dyDescent="0.25">
      <c r="A1558" s="4">
        <v>136</v>
      </c>
      <c r="B1558" s="4" t="s">
        <v>39</v>
      </c>
      <c r="C1558" s="38" t="s">
        <v>482</v>
      </c>
      <c r="D1558" s="4">
        <v>2020</v>
      </c>
      <c r="E1558" s="4"/>
      <c r="F1558" s="4">
        <v>8</v>
      </c>
      <c r="G1558" s="42">
        <v>50</v>
      </c>
      <c r="H1558" s="42">
        <v>117.9389</v>
      </c>
    </row>
    <row r="1559" spans="1:8" s="5" customFormat="1" ht="17.25" hidden="1" customHeight="1" outlineLevel="1" x14ac:dyDescent="0.25">
      <c r="A1559" s="4">
        <v>1615</v>
      </c>
      <c r="B1559" s="4" t="s">
        <v>39</v>
      </c>
      <c r="C1559" s="38" t="s">
        <v>483</v>
      </c>
      <c r="D1559" s="4">
        <v>2020</v>
      </c>
      <c r="E1559" s="4"/>
      <c r="F1559" s="4">
        <v>537</v>
      </c>
      <c r="G1559" s="42">
        <v>150</v>
      </c>
      <c r="H1559" s="42">
        <v>1109.30583</v>
      </c>
    </row>
    <row r="1560" spans="1:8" s="5" customFormat="1" ht="17.25" hidden="1" customHeight="1" outlineLevel="1" x14ac:dyDescent="0.25">
      <c r="A1560" s="4">
        <v>180</v>
      </c>
      <c r="B1560" s="4" t="s">
        <v>39</v>
      </c>
      <c r="C1560" s="38" t="s">
        <v>361</v>
      </c>
      <c r="D1560" s="4">
        <v>2020</v>
      </c>
      <c r="E1560" s="4"/>
      <c r="F1560" s="4">
        <v>386</v>
      </c>
      <c r="G1560" s="42">
        <v>45</v>
      </c>
      <c r="H1560" s="42">
        <v>948.99820999999997</v>
      </c>
    </row>
    <row r="1561" spans="1:8" s="5" customFormat="1" ht="17.25" hidden="1" customHeight="1" outlineLevel="1" x14ac:dyDescent="0.25">
      <c r="A1561" s="4">
        <v>214</v>
      </c>
      <c r="B1561" s="4" t="s">
        <v>39</v>
      </c>
      <c r="C1561" s="38" t="s">
        <v>369</v>
      </c>
      <c r="D1561" s="4">
        <v>2020</v>
      </c>
      <c r="E1561" s="4"/>
      <c r="F1561" s="4">
        <v>4</v>
      </c>
      <c r="G1561" s="42">
        <v>15</v>
      </c>
      <c r="H1561" s="42">
        <v>38.225009999999997</v>
      </c>
    </row>
    <row r="1562" spans="1:8" s="5" customFormat="1" ht="17.25" hidden="1" customHeight="1" outlineLevel="1" x14ac:dyDescent="0.25">
      <c r="A1562" s="4">
        <v>289</v>
      </c>
      <c r="B1562" s="4" t="s">
        <v>39</v>
      </c>
      <c r="C1562" s="38" t="s">
        <v>376</v>
      </c>
      <c r="D1562" s="4">
        <v>2020</v>
      </c>
      <c r="E1562" s="4"/>
      <c r="F1562" s="4">
        <v>28</v>
      </c>
      <c r="G1562" s="42">
        <v>150</v>
      </c>
      <c r="H1562" s="42">
        <v>64.363249999999994</v>
      </c>
    </row>
    <row r="1563" spans="1:8" s="5" customFormat="1" ht="17.25" hidden="1" customHeight="1" outlineLevel="1" x14ac:dyDescent="0.25">
      <c r="A1563" s="4">
        <v>1561</v>
      </c>
      <c r="B1563" s="4" t="s">
        <v>39</v>
      </c>
      <c r="C1563" s="38" t="s">
        <v>377</v>
      </c>
      <c r="D1563" s="4">
        <v>2020</v>
      </c>
      <c r="E1563" s="4"/>
      <c r="F1563" s="4">
        <v>20</v>
      </c>
      <c r="G1563" s="42">
        <v>140</v>
      </c>
      <c r="H1563" s="42">
        <v>59.57188</v>
      </c>
    </row>
    <row r="1564" spans="1:8" s="5" customFormat="1" ht="17.25" hidden="1" customHeight="1" outlineLevel="1" x14ac:dyDescent="0.25">
      <c r="A1564" s="4">
        <v>354</v>
      </c>
      <c r="B1564" s="4" t="s">
        <v>39</v>
      </c>
      <c r="C1564" s="38" t="s">
        <v>381</v>
      </c>
      <c r="D1564" s="4">
        <v>2020</v>
      </c>
      <c r="E1564" s="4"/>
      <c r="F1564" s="4">
        <v>28</v>
      </c>
      <c r="G1564" s="42">
        <v>30</v>
      </c>
      <c r="H1564" s="42">
        <v>184.44698</v>
      </c>
    </row>
    <row r="1565" spans="1:8" s="5" customFormat="1" ht="17.25" hidden="1" customHeight="1" outlineLevel="1" x14ac:dyDescent="0.25">
      <c r="A1565" s="4">
        <v>280</v>
      </c>
      <c r="B1565" s="4" t="s">
        <v>39</v>
      </c>
      <c r="C1565" s="38" t="s">
        <v>259</v>
      </c>
      <c r="D1565" s="4">
        <v>2020</v>
      </c>
      <c r="E1565" s="4"/>
      <c r="F1565" s="4">
        <v>5</v>
      </c>
      <c r="G1565" s="42">
        <v>15</v>
      </c>
      <c r="H1565" s="42">
        <v>54.16095</v>
      </c>
    </row>
    <row r="1566" spans="1:8" s="5" customFormat="1" ht="17.25" hidden="1" customHeight="1" outlineLevel="1" x14ac:dyDescent="0.25">
      <c r="A1566" s="4">
        <v>334</v>
      </c>
      <c r="B1566" s="4" t="s">
        <v>39</v>
      </c>
      <c r="C1566" s="38" t="s">
        <v>53</v>
      </c>
      <c r="D1566" s="4">
        <v>2020</v>
      </c>
      <c r="E1566" s="4"/>
      <c r="F1566" s="4">
        <v>5</v>
      </c>
      <c r="G1566" s="42">
        <v>60</v>
      </c>
      <c r="H1566" s="42">
        <v>69.431709999999995</v>
      </c>
    </row>
    <row r="1567" spans="1:8" s="5" customFormat="1" ht="17.25" hidden="1" customHeight="1" outlineLevel="1" x14ac:dyDescent="0.25">
      <c r="A1567" s="4">
        <v>1530</v>
      </c>
      <c r="B1567" s="4" t="s">
        <v>39</v>
      </c>
      <c r="C1567" s="38" t="s">
        <v>382</v>
      </c>
      <c r="D1567" s="4">
        <v>2020</v>
      </c>
      <c r="E1567" s="4"/>
      <c r="F1567" s="4">
        <v>57</v>
      </c>
      <c r="G1567" s="42">
        <v>40</v>
      </c>
      <c r="H1567" s="42">
        <v>140.73928000000001</v>
      </c>
    </row>
    <row r="1568" spans="1:8" s="5" customFormat="1" ht="17.25" hidden="1" customHeight="1" outlineLevel="1" x14ac:dyDescent="0.25">
      <c r="A1568" s="4">
        <v>338</v>
      </c>
      <c r="B1568" s="4" t="s">
        <v>39</v>
      </c>
      <c r="C1568" s="38" t="s">
        <v>383</v>
      </c>
      <c r="D1568" s="4">
        <v>2020</v>
      </c>
      <c r="E1568" s="4"/>
      <c r="F1568" s="4">
        <v>561</v>
      </c>
      <c r="G1568" s="42">
        <v>30</v>
      </c>
      <c r="H1568" s="42">
        <v>908.51757999999995</v>
      </c>
    </row>
    <row r="1569" spans="1:8" s="5" customFormat="1" ht="17.25" hidden="1" customHeight="1" outlineLevel="1" x14ac:dyDescent="0.25">
      <c r="A1569" s="4">
        <v>368</v>
      </c>
      <c r="B1569" s="4" t="s">
        <v>39</v>
      </c>
      <c r="C1569" s="38" t="s">
        <v>384</v>
      </c>
      <c r="D1569" s="4">
        <v>2020</v>
      </c>
      <c r="E1569" s="4"/>
      <c r="F1569" s="4">
        <v>5</v>
      </c>
      <c r="G1569" s="42">
        <v>100</v>
      </c>
      <c r="H1569" s="42">
        <v>92.833690000000004</v>
      </c>
    </row>
    <row r="1570" spans="1:8" s="5" customFormat="1" ht="17.25" hidden="1" customHeight="1" outlineLevel="1" x14ac:dyDescent="0.25">
      <c r="A1570" s="4">
        <v>1520</v>
      </c>
      <c r="B1570" s="4" t="s">
        <v>39</v>
      </c>
      <c r="C1570" s="38" t="s">
        <v>385</v>
      </c>
      <c r="D1570" s="4">
        <v>2020</v>
      </c>
      <c r="E1570" s="4"/>
      <c r="F1570" s="4">
        <v>6</v>
      </c>
      <c r="G1570" s="42">
        <v>150</v>
      </c>
      <c r="H1570" s="42">
        <v>72.814940000000007</v>
      </c>
    </row>
    <row r="1571" spans="1:8" s="5" customFormat="1" ht="17.25" hidden="1" customHeight="1" outlineLevel="1" x14ac:dyDescent="0.25">
      <c r="A1571" s="4">
        <v>1521</v>
      </c>
      <c r="B1571" s="4" t="s">
        <v>39</v>
      </c>
      <c r="C1571" s="38" t="s">
        <v>238</v>
      </c>
      <c r="D1571" s="4">
        <v>2020</v>
      </c>
      <c r="E1571" s="4"/>
      <c r="F1571" s="4">
        <v>8</v>
      </c>
      <c r="G1571" s="42">
        <v>15</v>
      </c>
      <c r="H1571" s="42">
        <v>131.45193</v>
      </c>
    </row>
    <row r="1572" spans="1:8" s="5" customFormat="1" ht="17.25" hidden="1" customHeight="1" outlineLevel="1" x14ac:dyDescent="0.25">
      <c r="A1572" s="4">
        <v>442</v>
      </c>
      <c r="B1572" s="4" t="s">
        <v>39</v>
      </c>
      <c r="C1572" s="38" t="s">
        <v>391</v>
      </c>
      <c r="D1572" s="4">
        <v>2020</v>
      </c>
      <c r="E1572" s="4"/>
      <c r="F1572" s="4">
        <v>38</v>
      </c>
      <c r="G1572" s="42">
        <v>150</v>
      </c>
      <c r="H1572" s="42">
        <v>127.53398</v>
      </c>
    </row>
    <row r="1573" spans="1:8" s="5" customFormat="1" ht="17.25" hidden="1" customHeight="1" outlineLevel="1" x14ac:dyDescent="0.25">
      <c r="A1573" s="4">
        <v>479</v>
      </c>
      <c r="B1573" s="4" t="s">
        <v>39</v>
      </c>
      <c r="C1573" s="38" t="s">
        <v>261</v>
      </c>
      <c r="D1573" s="4">
        <v>2020</v>
      </c>
      <c r="E1573" s="4"/>
      <c r="F1573" s="4">
        <v>14</v>
      </c>
      <c r="G1573" s="42">
        <v>50</v>
      </c>
      <c r="H1573" s="42">
        <v>113.29224000000001</v>
      </c>
    </row>
    <row r="1574" spans="1:8" s="5" customFormat="1" ht="17.25" hidden="1" customHeight="1" outlineLevel="1" x14ac:dyDescent="0.25">
      <c r="A1574" s="4">
        <v>497</v>
      </c>
      <c r="B1574" s="4" t="s">
        <v>39</v>
      </c>
      <c r="C1574" s="38" t="s">
        <v>396</v>
      </c>
      <c r="D1574" s="4">
        <v>2020</v>
      </c>
      <c r="E1574" s="4"/>
      <c r="F1574" s="4">
        <v>14</v>
      </c>
      <c r="G1574" s="42">
        <v>100</v>
      </c>
      <c r="H1574" s="42">
        <v>70.722750000000005</v>
      </c>
    </row>
    <row r="1575" spans="1:8" s="5" customFormat="1" ht="17.25" hidden="1" customHeight="1" outlineLevel="1" x14ac:dyDescent="0.25">
      <c r="A1575" s="4">
        <v>433</v>
      </c>
      <c r="B1575" s="4" t="s">
        <v>39</v>
      </c>
      <c r="C1575" s="38" t="s">
        <v>397</v>
      </c>
      <c r="D1575" s="4">
        <v>2020</v>
      </c>
      <c r="E1575" s="4"/>
      <c r="F1575" s="4">
        <v>24</v>
      </c>
      <c r="G1575" s="42">
        <v>270</v>
      </c>
      <c r="H1575" s="42">
        <v>33.381219999999999</v>
      </c>
    </row>
    <row r="1576" spans="1:8" s="5" customFormat="1" ht="17.25" hidden="1" customHeight="1" outlineLevel="1" x14ac:dyDescent="0.25">
      <c r="A1576" s="4">
        <v>1522</v>
      </c>
      <c r="B1576" s="4" t="s">
        <v>39</v>
      </c>
      <c r="C1576" s="38" t="s">
        <v>262</v>
      </c>
      <c r="D1576" s="4">
        <v>2020</v>
      </c>
      <c r="E1576" s="4"/>
      <c r="F1576" s="4">
        <v>378</v>
      </c>
      <c r="G1576" s="42">
        <v>25</v>
      </c>
      <c r="H1576" s="42">
        <v>542.95903999999996</v>
      </c>
    </row>
    <row r="1577" spans="1:8" s="5" customFormat="1" ht="17.25" hidden="1" customHeight="1" outlineLevel="1" x14ac:dyDescent="0.25">
      <c r="A1577" s="4">
        <v>560</v>
      </c>
      <c r="B1577" s="4" t="s">
        <v>39</v>
      </c>
      <c r="C1577" s="38" t="s">
        <v>484</v>
      </c>
      <c r="D1577" s="4">
        <v>2020</v>
      </c>
      <c r="E1577" s="4"/>
      <c r="F1577" s="4">
        <v>20</v>
      </c>
      <c r="G1577" s="42">
        <v>15</v>
      </c>
      <c r="H1577" s="42">
        <v>12.90216</v>
      </c>
    </row>
    <row r="1578" spans="1:8" s="5" customFormat="1" ht="17.25" hidden="1" customHeight="1" outlineLevel="1" x14ac:dyDescent="0.25">
      <c r="A1578" s="4">
        <v>539</v>
      </c>
      <c r="B1578" s="4" t="s">
        <v>39</v>
      </c>
      <c r="C1578" s="38" t="s">
        <v>404</v>
      </c>
      <c r="D1578" s="4">
        <v>2020</v>
      </c>
      <c r="E1578" s="4"/>
      <c r="F1578" s="4">
        <v>21</v>
      </c>
      <c r="G1578" s="42">
        <v>100</v>
      </c>
      <c r="H1578" s="42">
        <v>84.766059999999996</v>
      </c>
    </row>
    <row r="1579" spans="1:8" s="5" customFormat="1" ht="17.25" hidden="1" customHeight="1" outlineLevel="1" x14ac:dyDescent="0.25">
      <c r="A1579" s="4">
        <v>565</v>
      </c>
      <c r="B1579" s="4" t="s">
        <v>39</v>
      </c>
      <c r="C1579" s="38" t="s">
        <v>263</v>
      </c>
      <c r="D1579" s="4">
        <v>2020</v>
      </c>
      <c r="E1579" s="4"/>
      <c r="F1579" s="4">
        <v>4</v>
      </c>
      <c r="G1579" s="42">
        <v>30</v>
      </c>
      <c r="H1579" s="42">
        <v>81.952619999999996</v>
      </c>
    </row>
    <row r="1580" spans="1:8" s="5" customFormat="1" ht="17.25" hidden="1" customHeight="1" outlineLevel="1" x14ac:dyDescent="0.25">
      <c r="A1580" s="4">
        <v>1600</v>
      </c>
      <c r="B1580" s="4" t="s">
        <v>39</v>
      </c>
      <c r="C1580" s="38" t="s">
        <v>485</v>
      </c>
      <c r="D1580" s="4">
        <v>2020</v>
      </c>
      <c r="E1580" s="4"/>
      <c r="F1580" s="4">
        <v>16</v>
      </c>
      <c r="G1580" s="42">
        <v>15</v>
      </c>
      <c r="H1580" s="42">
        <v>158.55396999999999</v>
      </c>
    </row>
    <row r="1581" spans="1:8" s="5" customFormat="1" ht="17.25" hidden="1" customHeight="1" outlineLevel="1" x14ac:dyDescent="0.25">
      <c r="A1581" s="4">
        <v>625</v>
      </c>
      <c r="B1581" s="4" t="s">
        <v>39</v>
      </c>
      <c r="C1581" s="38" t="s">
        <v>486</v>
      </c>
      <c r="D1581" s="4">
        <v>2020</v>
      </c>
      <c r="E1581" s="4"/>
      <c r="F1581" s="4">
        <v>7</v>
      </c>
      <c r="G1581" s="42">
        <v>70</v>
      </c>
      <c r="H1581" s="42">
        <v>15.309089999999999</v>
      </c>
    </row>
    <row r="1582" spans="1:8" s="5" customFormat="1" ht="17.25" hidden="1" customHeight="1" outlineLevel="1" x14ac:dyDescent="0.25">
      <c r="A1582" s="4">
        <v>1733</v>
      </c>
      <c r="B1582" s="4" t="s">
        <v>39</v>
      </c>
      <c r="C1582" s="38" t="s">
        <v>487</v>
      </c>
      <c r="D1582" s="4">
        <v>2020</v>
      </c>
      <c r="E1582" s="4"/>
      <c r="F1582" s="4">
        <v>6</v>
      </c>
      <c r="G1582" s="42">
        <v>50</v>
      </c>
      <c r="H1582" s="42">
        <v>26.708950000000002</v>
      </c>
    </row>
    <row r="1583" spans="1:8" s="5" customFormat="1" ht="17.25" hidden="1" customHeight="1" outlineLevel="1" x14ac:dyDescent="0.25">
      <c r="A1583" s="4">
        <v>748</v>
      </c>
      <c r="B1583" s="4" t="s">
        <v>39</v>
      </c>
      <c r="C1583" s="38" t="s">
        <v>410</v>
      </c>
      <c r="D1583" s="4">
        <v>2020</v>
      </c>
      <c r="E1583" s="4"/>
      <c r="F1583" s="4">
        <v>31</v>
      </c>
      <c r="G1583" s="42">
        <v>65</v>
      </c>
      <c r="H1583" s="42">
        <v>195.57436999999999</v>
      </c>
    </row>
    <row r="1584" spans="1:8" s="5" customFormat="1" ht="17.25" hidden="1" customHeight="1" outlineLevel="1" x14ac:dyDescent="0.25">
      <c r="A1584" s="4">
        <v>789</v>
      </c>
      <c r="B1584" s="4" t="s">
        <v>39</v>
      </c>
      <c r="C1584" s="38" t="s">
        <v>419</v>
      </c>
      <c r="D1584" s="4">
        <v>2020</v>
      </c>
      <c r="E1584" s="4"/>
      <c r="F1584" s="4">
        <v>48</v>
      </c>
      <c r="G1584" s="42">
        <v>150</v>
      </c>
      <c r="H1584" s="42">
        <v>77.306929999999994</v>
      </c>
    </row>
    <row r="1585" spans="1:8" s="5" customFormat="1" ht="17.25" hidden="1" customHeight="1" outlineLevel="1" x14ac:dyDescent="0.25">
      <c r="A1585" s="4">
        <v>1518</v>
      </c>
      <c r="B1585" s="4" t="s">
        <v>39</v>
      </c>
      <c r="C1585" s="38" t="s">
        <v>420</v>
      </c>
      <c r="D1585" s="4">
        <v>2020</v>
      </c>
      <c r="E1585" s="4"/>
      <c r="F1585" s="4">
        <v>4</v>
      </c>
      <c r="G1585" s="42">
        <v>23.8</v>
      </c>
      <c r="H1585" s="42">
        <v>41.720419999999997</v>
      </c>
    </row>
    <row r="1586" spans="1:8" s="5" customFormat="1" ht="17.25" hidden="1" customHeight="1" outlineLevel="1" x14ac:dyDescent="0.25">
      <c r="A1586" s="4">
        <v>1526</v>
      </c>
      <c r="B1586" s="4" t="s">
        <v>39</v>
      </c>
      <c r="C1586" s="38" t="s">
        <v>424</v>
      </c>
      <c r="D1586" s="4">
        <v>2020</v>
      </c>
      <c r="E1586" s="4"/>
      <c r="F1586" s="4">
        <v>1657</v>
      </c>
      <c r="G1586" s="42">
        <v>15</v>
      </c>
      <c r="H1586" s="42">
        <v>2401.2247900000002</v>
      </c>
    </row>
    <row r="1587" spans="1:8" s="5" customFormat="1" ht="17.25" hidden="1" customHeight="1" outlineLevel="1" x14ac:dyDescent="0.25">
      <c r="A1587" s="4">
        <v>864</v>
      </c>
      <c r="B1587" s="4" t="s">
        <v>39</v>
      </c>
      <c r="C1587" s="38" t="s">
        <v>425</v>
      </c>
      <c r="D1587" s="4">
        <v>2020</v>
      </c>
      <c r="E1587" s="4"/>
      <c r="F1587" s="4">
        <v>5</v>
      </c>
      <c r="G1587" s="42">
        <v>60</v>
      </c>
      <c r="H1587" s="42">
        <v>34.439990000000002</v>
      </c>
    </row>
    <row r="1588" spans="1:8" s="5" customFormat="1" ht="17.25" hidden="1" customHeight="1" outlineLevel="1" x14ac:dyDescent="0.25">
      <c r="A1588" s="4">
        <v>967</v>
      </c>
      <c r="B1588" s="4" t="s">
        <v>39</v>
      </c>
      <c r="C1588" s="38" t="s">
        <v>439</v>
      </c>
      <c r="D1588" s="4">
        <v>2020</v>
      </c>
      <c r="E1588" s="4"/>
      <c r="F1588" s="4">
        <v>4</v>
      </c>
      <c r="G1588" s="42">
        <v>80</v>
      </c>
      <c r="H1588" s="42">
        <v>14.301740000000001</v>
      </c>
    </row>
    <row r="1589" spans="1:8" s="5" customFormat="1" ht="17.25" hidden="1" customHeight="1" outlineLevel="1" x14ac:dyDescent="0.25">
      <c r="A1589" s="4">
        <v>961</v>
      </c>
      <c r="B1589" s="4" t="s">
        <v>39</v>
      </c>
      <c r="C1589" s="38" t="s">
        <v>440</v>
      </c>
      <c r="D1589" s="4">
        <v>2020</v>
      </c>
      <c r="E1589" s="4"/>
      <c r="F1589" s="4">
        <v>7</v>
      </c>
      <c r="G1589" s="42">
        <v>150</v>
      </c>
      <c r="H1589" s="42">
        <v>6.6659899999999999</v>
      </c>
    </row>
    <row r="1590" spans="1:8" s="5" customFormat="1" ht="17.25" hidden="1" customHeight="1" outlineLevel="1" x14ac:dyDescent="0.25">
      <c r="A1590" s="4">
        <v>1519</v>
      </c>
      <c r="B1590" s="4" t="s">
        <v>39</v>
      </c>
      <c r="C1590" s="38" t="s">
        <v>441</v>
      </c>
      <c r="D1590" s="4">
        <v>2020</v>
      </c>
      <c r="E1590" s="4"/>
      <c r="F1590" s="4">
        <v>8</v>
      </c>
      <c r="G1590" s="42">
        <v>150</v>
      </c>
      <c r="H1590" s="42">
        <v>67.820419999999999</v>
      </c>
    </row>
    <row r="1591" spans="1:8" s="5" customFormat="1" ht="17.25" hidden="1" customHeight="1" outlineLevel="1" x14ac:dyDescent="0.25">
      <c r="A1591" s="4">
        <v>1524</v>
      </c>
      <c r="B1591" s="4" t="s">
        <v>39</v>
      </c>
      <c r="C1591" s="38" t="s">
        <v>442</v>
      </c>
      <c r="D1591" s="4">
        <v>2020</v>
      </c>
      <c r="E1591" s="4"/>
      <c r="F1591" s="4">
        <v>20</v>
      </c>
      <c r="G1591" s="42">
        <v>120</v>
      </c>
      <c r="H1591" s="42">
        <v>60.369540000000001</v>
      </c>
    </row>
    <row r="1592" spans="1:8" s="5" customFormat="1" ht="17.25" hidden="1" customHeight="1" outlineLevel="1" x14ac:dyDescent="0.25">
      <c r="A1592" s="4">
        <v>1523</v>
      </c>
      <c r="B1592" s="4" t="s">
        <v>39</v>
      </c>
      <c r="C1592" s="38" t="s">
        <v>443</v>
      </c>
      <c r="D1592" s="4">
        <v>2020</v>
      </c>
      <c r="E1592" s="4"/>
      <c r="F1592" s="4">
        <v>14</v>
      </c>
      <c r="G1592" s="42">
        <v>25</v>
      </c>
      <c r="H1592" s="42">
        <v>26.05761</v>
      </c>
    </row>
    <row r="1593" spans="1:8" s="5" customFormat="1" ht="17.25" hidden="1" customHeight="1" outlineLevel="1" x14ac:dyDescent="0.25">
      <c r="A1593" s="4">
        <v>1013</v>
      </c>
      <c r="B1593" s="4" t="s">
        <v>39</v>
      </c>
      <c r="C1593" s="38" t="s">
        <v>488</v>
      </c>
      <c r="D1593" s="4">
        <v>2020</v>
      </c>
      <c r="E1593" s="4"/>
      <c r="F1593" s="4">
        <v>82</v>
      </c>
      <c r="G1593" s="42">
        <v>60</v>
      </c>
      <c r="H1593" s="42">
        <v>119.04164</v>
      </c>
    </row>
    <row r="1594" spans="1:8" s="5" customFormat="1" ht="17.25" hidden="1" customHeight="1" outlineLevel="1" x14ac:dyDescent="0.25">
      <c r="A1594" s="4">
        <v>1528</v>
      </c>
      <c r="B1594" s="4" t="s">
        <v>39</v>
      </c>
      <c r="C1594" s="38" t="s">
        <v>445</v>
      </c>
      <c r="D1594" s="4">
        <v>2020</v>
      </c>
      <c r="E1594" s="4"/>
      <c r="F1594" s="4">
        <v>15</v>
      </c>
      <c r="G1594" s="42">
        <v>140</v>
      </c>
      <c r="H1594" s="42">
        <v>87.031030000000001</v>
      </c>
    </row>
    <row r="1595" spans="1:8" s="5" customFormat="1" ht="17.25" hidden="1" customHeight="1" outlineLevel="1" x14ac:dyDescent="0.25">
      <c r="A1595" s="4">
        <v>1012</v>
      </c>
      <c r="B1595" s="4" t="s">
        <v>39</v>
      </c>
      <c r="C1595" s="38" t="s">
        <v>446</v>
      </c>
      <c r="D1595" s="4">
        <v>2020</v>
      </c>
      <c r="E1595" s="4"/>
      <c r="F1595" s="4">
        <v>21</v>
      </c>
      <c r="G1595" s="42">
        <v>95</v>
      </c>
      <c r="H1595" s="42">
        <v>53.244669999999999</v>
      </c>
    </row>
    <row r="1596" spans="1:8" s="5" customFormat="1" ht="17.25" hidden="1" customHeight="1" outlineLevel="1" x14ac:dyDescent="0.25">
      <c r="A1596" s="4">
        <v>1047</v>
      </c>
      <c r="B1596" s="4" t="s">
        <v>39</v>
      </c>
      <c r="C1596" s="38" t="s">
        <v>489</v>
      </c>
      <c r="D1596" s="4">
        <v>2020</v>
      </c>
      <c r="E1596" s="4"/>
      <c r="F1596" s="4">
        <v>12</v>
      </c>
      <c r="G1596" s="42">
        <v>40</v>
      </c>
      <c r="H1596" s="42">
        <v>97.766499999999994</v>
      </c>
    </row>
    <row r="1597" spans="1:8" s="5" customFormat="1" ht="17.25" hidden="1" customHeight="1" outlineLevel="1" x14ac:dyDescent="0.25">
      <c r="A1597" s="4">
        <v>1752</v>
      </c>
      <c r="B1597" s="4" t="s">
        <v>39</v>
      </c>
      <c r="C1597" s="38" t="s">
        <v>490</v>
      </c>
      <c r="D1597" s="4">
        <v>2020</v>
      </c>
      <c r="E1597" s="4"/>
      <c r="F1597" s="4">
        <v>69</v>
      </c>
      <c r="G1597" s="42">
        <v>150</v>
      </c>
      <c r="H1597" s="42">
        <v>121.67903</v>
      </c>
    </row>
    <row r="1598" spans="1:8" s="5" customFormat="1" ht="17.25" hidden="1" customHeight="1" outlineLevel="1" x14ac:dyDescent="0.25">
      <c r="A1598" s="4">
        <v>1700</v>
      </c>
      <c r="B1598" s="4" t="s">
        <v>39</v>
      </c>
      <c r="C1598" s="38" t="s">
        <v>461</v>
      </c>
      <c r="D1598" s="4">
        <v>2020</v>
      </c>
      <c r="E1598" s="4"/>
      <c r="F1598" s="4">
        <v>5</v>
      </c>
      <c r="G1598" s="42">
        <v>150</v>
      </c>
      <c r="H1598" s="42">
        <v>59.91863</v>
      </c>
    </row>
    <row r="1599" spans="1:8" s="5" customFormat="1" ht="17.25" hidden="1" customHeight="1" outlineLevel="1" x14ac:dyDescent="0.25">
      <c r="A1599" s="4">
        <v>1533</v>
      </c>
      <c r="B1599" s="4" t="s">
        <v>39</v>
      </c>
      <c r="C1599" s="38" t="s">
        <v>462</v>
      </c>
      <c r="D1599" s="4">
        <v>2020</v>
      </c>
      <c r="E1599" s="4"/>
      <c r="F1599" s="4">
        <v>20</v>
      </c>
      <c r="G1599" s="42">
        <v>150</v>
      </c>
      <c r="H1599" s="42">
        <v>95.730099999999993</v>
      </c>
    </row>
    <row r="1600" spans="1:8" s="5" customFormat="1" ht="17.25" hidden="1" customHeight="1" outlineLevel="1" x14ac:dyDescent="0.25">
      <c r="A1600" s="4">
        <v>1525</v>
      </c>
      <c r="B1600" s="4" t="s">
        <v>39</v>
      </c>
      <c r="C1600" s="38" t="s">
        <v>464</v>
      </c>
      <c r="D1600" s="4">
        <v>2020</v>
      </c>
      <c r="E1600" s="4"/>
      <c r="F1600" s="4">
        <v>17</v>
      </c>
      <c r="G1600" s="42">
        <v>30</v>
      </c>
      <c r="H1600" s="42">
        <v>64.413030000000006</v>
      </c>
    </row>
    <row r="1601" spans="1:8" s="5" customFormat="1" ht="17.25" hidden="1" customHeight="1" outlineLevel="1" x14ac:dyDescent="0.25">
      <c r="A1601" s="4">
        <v>1531</v>
      </c>
      <c r="B1601" s="4" t="s">
        <v>39</v>
      </c>
      <c r="C1601" s="38" t="s">
        <v>465</v>
      </c>
      <c r="D1601" s="4">
        <v>2020</v>
      </c>
      <c r="E1601" s="4"/>
      <c r="F1601" s="4">
        <v>4</v>
      </c>
      <c r="G1601" s="42">
        <v>100</v>
      </c>
      <c r="H1601" s="42">
        <v>33.569749999999999</v>
      </c>
    </row>
    <row r="1602" spans="1:8" s="5" customFormat="1" ht="17.25" hidden="1" customHeight="1" outlineLevel="1" x14ac:dyDescent="0.25">
      <c r="A1602" s="4">
        <v>1529</v>
      </c>
      <c r="B1602" s="4" t="s">
        <v>39</v>
      </c>
      <c r="C1602" s="38" t="s">
        <v>470</v>
      </c>
      <c r="D1602" s="4">
        <v>2020</v>
      </c>
      <c r="E1602" s="4"/>
      <c r="F1602" s="4">
        <v>57</v>
      </c>
      <c r="G1602" s="42">
        <v>50</v>
      </c>
      <c r="H1602" s="42">
        <v>160.08968999999999</v>
      </c>
    </row>
    <row r="1603" spans="1:8" s="5" customFormat="1" ht="17.25" hidden="1" customHeight="1" outlineLevel="1" x14ac:dyDescent="0.25">
      <c r="A1603" s="4">
        <v>1527</v>
      </c>
      <c r="B1603" s="4" t="s">
        <v>39</v>
      </c>
      <c r="C1603" s="38" t="s">
        <v>471</v>
      </c>
      <c r="D1603" s="4">
        <v>2020</v>
      </c>
      <c r="E1603" s="4"/>
      <c r="F1603" s="4">
        <v>151</v>
      </c>
      <c r="G1603" s="42">
        <v>150</v>
      </c>
      <c r="H1603" s="42">
        <v>241.09741</v>
      </c>
    </row>
    <row r="1604" spans="1:8" s="5" customFormat="1" ht="17.25" hidden="1" customHeight="1" outlineLevel="1" x14ac:dyDescent="0.25">
      <c r="A1604" s="4">
        <v>1532</v>
      </c>
      <c r="B1604" s="4" t="s">
        <v>39</v>
      </c>
      <c r="C1604" s="38" t="s">
        <v>476</v>
      </c>
      <c r="D1604" s="4">
        <v>2020</v>
      </c>
      <c r="E1604" s="4"/>
      <c r="F1604" s="4">
        <v>13</v>
      </c>
      <c r="G1604" s="42">
        <v>100</v>
      </c>
      <c r="H1604" s="42">
        <v>26.424790000000002</v>
      </c>
    </row>
    <row r="1605" spans="1:8" s="5" customFormat="1" ht="22.5" hidden="1" customHeight="1" outlineLevel="1" x14ac:dyDescent="0.25">
      <c r="A1605" s="4">
        <v>1572</v>
      </c>
      <c r="B1605" s="4" t="s">
        <v>39</v>
      </c>
      <c r="C1605" s="38" t="s">
        <v>479</v>
      </c>
      <c r="D1605" s="4">
        <v>2020</v>
      </c>
      <c r="E1605" s="4"/>
      <c r="F1605" s="4">
        <v>11</v>
      </c>
      <c r="G1605" s="42">
        <v>150</v>
      </c>
      <c r="H1605" s="42">
        <v>80.967380000000006</v>
      </c>
    </row>
    <row r="1606" spans="1:8" s="5" customFormat="1" ht="17.25" hidden="1" customHeight="1" outlineLevel="1" x14ac:dyDescent="0.25">
      <c r="A1606" s="4">
        <v>1573</v>
      </c>
      <c r="B1606" s="4" t="s">
        <v>39</v>
      </c>
      <c r="C1606" s="38" t="s">
        <v>480</v>
      </c>
      <c r="D1606" s="4">
        <v>2020</v>
      </c>
      <c r="E1606" s="4"/>
      <c r="F1606" s="4">
        <v>33</v>
      </c>
      <c r="G1606" s="42">
        <v>150</v>
      </c>
      <c r="H1606" s="42">
        <v>116.1542</v>
      </c>
    </row>
    <row r="1607" spans="1:8" s="5" customFormat="1" ht="17.25" hidden="1" customHeight="1" outlineLevel="1" x14ac:dyDescent="0.25">
      <c r="A1607" s="4">
        <v>1672</v>
      </c>
      <c r="B1607" s="4" t="s">
        <v>39</v>
      </c>
      <c r="C1607" s="38" t="s">
        <v>111</v>
      </c>
      <c r="D1607" s="4">
        <v>2020</v>
      </c>
      <c r="E1607" s="4"/>
      <c r="F1607" s="4">
        <v>10</v>
      </c>
      <c r="G1607" s="4">
        <v>50</v>
      </c>
      <c r="H1607" s="4">
        <v>202.50133</v>
      </c>
    </row>
    <row r="1608" spans="1:8" s="5" customFormat="1" ht="17.25" hidden="1" customHeight="1" outlineLevel="1" x14ac:dyDescent="0.25">
      <c r="A1608" s="4">
        <v>292</v>
      </c>
      <c r="B1608" s="4" t="s">
        <v>39</v>
      </c>
      <c r="C1608" s="38" t="s">
        <v>65</v>
      </c>
      <c r="D1608" s="4">
        <v>2020</v>
      </c>
      <c r="E1608" s="4"/>
      <c r="F1608" s="4">
        <v>1010</v>
      </c>
      <c r="G1608" s="4">
        <v>45</v>
      </c>
      <c r="H1608" s="4">
        <v>2223.7465499999998</v>
      </c>
    </row>
    <row r="1609" spans="1:8" s="5" customFormat="1" ht="17.25" hidden="1" customHeight="1" outlineLevel="1" x14ac:dyDescent="0.25">
      <c r="A1609" s="4">
        <v>330</v>
      </c>
      <c r="B1609" s="4" t="s">
        <v>39</v>
      </c>
      <c r="C1609" s="38" t="s">
        <v>66</v>
      </c>
      <c r="D1609" s="4">
        <v>2020</v>
      </c>
      <c r="E1609" s="4"/>
      <c r="F1609" s="4">
        <v>769</v>
      </c>
      <c r="G1609" s="4">
        <v>25</v>
      </c>
      <c r="H1609" s="4">
        <v>1269.5020500000001</v>
      </c>
    </row>
    <row r="1610" spans="1:8" s="5" customFormat="1" ht="17.25" hidden="1" customHeight="1" outlineLevel="1" x14ac:dyDescent="0.25">
      <c r="A1610" s="4">
        <v>1811</v>
      </c>
      <c r="B1610" s="4" t="s">
        <v>39</v>
      </c>
      <c r="C1610" s="38" t="s">
        <v>112</v>
      </c>
      <c r="D1610" s="4">
        <v>2020</v>
      </c>
      <c r="E1610" s="4"/>
      <c r="F1610" s="4">
        <v>180</v>
      </c>
      <c r="G1610" s="4">
        <v>145</v>
      </c>
      <c r="H1610" s="4">
        <v>284.04223999999999</v>
      </c>
    </row>
    <row r="1611" spans="1:8" s="5" customFormat="1" ht="17.25" hidden="1" customHeight="1" outlineLevel="1" x14ac:dyDescent="0.25">
      <c r="A1611" s="4">
        <v>1814</v>
      </c>
      <c r="B1611" s="4" t="s">
        <v>39</v>
      </c>
      <c r="C1611" s="38" t="s">
        <v>67</v>
      </c>
      <c r="D1611" s="4">
        <v>2020</v>
      </c>
      <c r="E1611" s="4"/>
      <c r="F1611" s="4">
        <v>255</v>
      </c>
      <c r="G1611" s="4">
        <v>65</v>
      </c>
      <c r="H1611" s="4">
        <v>267.53613999999999</v>
      </c>
    </row>
    <row r="1612" spans="1:8" s="5" customFormat="1" ht="17.25" hidden="1" customHeight="1" outlineLevel="1" x14ac:dyDescent="0.25">
      <c r="A1612" s="4">
        <v>50</v>
      </c>
      <c r="B1612" s="4" t="s">
        <v>39</v>
      </c>
      <c r="C1612" s="38" t="s">
        <v>113</v>
      </c>
      <c r="D1612" s="4">
        <v>2020</v>
      </c>
      <c r="E1612" s="4"/>
      <c r="F1612" s="4">
        <v>272</v>
      </c>
      <c r="G1612" s="4">
        <v>300</v>
      </c>
      <c r="H1612" s="4">
        <v>424.61471999999998</v>
      </c>
    </row>
    <row r="1613" spans="1:8" s="5" customFormat="1" ht="17.25" hidden="1" customHeight="1" outlineLevel="1" x14ac:dyDescent="0.25">
      <c r="A1613" s="4">
        <v>460</v>
      </c>
      <c r="B1613" s="4" t="s">
        <v>39</v>
      </c>
      <c r="C1613" s="38" t="s">
        <v>69</v>
      </c>
      <c r="D1613" s="4">
        <v>2020</v>
      </c>
      <c r="E1613" s="4"/>
      <c r="F1613" s="4">
        <v>234</v>
      </c>
      <c r="G1613" s="4">
        <v>100</v>
      </c>
      <c r="H1613" s="4">
        <v>602.99708999999996</v>
      </c>
    </row>
    <row r="1614" spans="1:8" s="5" customFormat="1" ht="17.25" hidden="1" customHeight="1" outlineLevel="1" x14ac:dyDescent="0.25">
      <c r="A1614" s="4">
        <v>1769</v>
      </c>
      <c r="B1614" s="4" t="s">
        <v>39</v>
      </c>
      <c r="C1614" s="38" t="s">
        <v>70</v>
      </c>
      <c r="D1614" s="4">
        <v>2020</v>
      </c>
      <c r="E1614" s="4"/>
      <c r="F1614" s="4">
        <v>274</v>
      </c>
      <c r="G1614" s="4">
        <v>150</v>
      </c>
      <c r="H1614" s="4">
        <v>572.66958999999997</v>
      </c>
    </row>
    <row r="1615" spans="1:8" s="5" customFormat="1" ht="17.25" hidden="1" customHeight="1" outlineLevel="1" x14ac:dyDescent="0.25">
      <c r="A1615" s="4">
        <v>1802</v>
      </c>
      <c r="B1615" s="4" t="s">
        <v>39</v>
      </c>
      <c r="C1615" s="38" t="s">
        <v>23</v>
      </c>
      <c r="D1615" s="4">
        <v>2020</v>
      </c>
      <c r="E1615" s="4"/>
      <c r="F1615" s="4">
        <v>155</v>
      </c>
      <c r="G1615" s="4">
        <v>15</v>
      </c>
      <c r="H1615" s="4">
        <v>329.75333000000001</v>
      </c>
    </row>
    <row r="1616" spans="1:8" s="5" customFormat="1" ht="17.25" hidden="1" customHeight="1" outlineLevel="1" x14ac:dyDescent="0.25">
      <c r="A1616" s="4">
        <v>1813</v>
      </c>
      <c r="B1616" s="4" t="s">
        <v>39</v>
      </c>
      <c r="C1616" s="38" t="s">
        <v>24</v>
      </c>
      <c r="D1616" s="4">
        <v>2020</v>
      </c>
      <c r="E1616" s="4"/>
      <c r="F1616" s="4">
        <v>1898</v>
      </c>
      <c r="G1616" s="4">
        <v>15</v>
      </c>
      <c r="H1616" s="4">
        <v>2773.5579600000001</v>
      </c>
    </row>
    <row r="1617" spans="1:8" s="5" customFormat="1" ht="17.25" hidden="1" customHeight="1" outlineLevel="1" x14ac:dyDescent="0.25">
      <c r="A1617" s="4">
        <v>1770</v>
      </c>
      <c r="B1617" s="4" t="s">
        <v>39</v>
      </c>
      <c r="C1617" s="38" t="s">
        <v>71</v>
      </c>
      <c r="D1617" s="4">
        <v>2020</v>
      </c>
      <c r="E1617" s="4"/>
      <c r="F1617" s="4">
        <v>5</v>
      </c>
      <c r="G1617" s="4">
        <v>285</v>
      </c>
      <c r="H1617" s="4">
        <v>105.05956</v>
      </c>
    </row>
    <row r="1618" spans="1:8" s="5" customFormat="1" ht="17.25" hidden="1" customHeight="1" outlineLevel="1" x14ac:dyDescent="0.25">
      <c r="A1618" s="4">
        <v>400</v>
      </c>
      <c r="B1618" s="4" t="s">
        <v>39</v>
      </c>
      <c r="C1618" s="38" t="s">
        <v>72</v>
      </c>
      <c r="D1618" s="4">
        <v>2020</v>
      </c>
      <c r="E1618" s="4"/>
      <c r="F1618" s="4">
        <v>843</v>
      </c>
      <c r="G1618" s="4">
        <v>75</v>
      </c>
      <c r="H1618" s="4">
        <v>1567.0283999999999</v>
      </c>
    </row>
    <row r="1619" spans="1:8" s="5" customFormat="1" ht="17.25" hidden="1" customHeight="1" outlineLevel="1" x14ac:dyDescent="0.25">
      <c r="A1619" s="4">
        <v>250</v>
      </c>
      <c r="B1619" s="4" t="s">
        <v>39</v>
      </c>
      <c r="C1619" s="38" t="s">
        <v>73</v>
      </c>
      <c r="D1619" s="4">
        <v>2020</v>
      </c>
      <c r="E1619" s="4"/>
      <c r="F1619" s="4">
        <v>15</v>
      </c>
      <c r="G1619" s="4">
        <v>50</v>
      </c>
      <c r="H1619" s="4">
        <v>68.899439999999998</v>
      </c>
    </row>
    <row r="1620" spans="1:8" s="5" customFormat="1" ht="17.25" hidden="1" customHeight="1" outlineLevel="1" x14ac:dyDescent="0.25">
      <c r="A1620" s="4">
        <v>1763</v>
      </c>
      <c r="B1620" s="4" t="s">
        <v>39</v>
      </c>
      <c r="C1620" s="38" t="s">
        <v>89</v>
      </c>
      <c r="D1620" s="4">
        <v>2020</v>
      </c>
      <c r="E1620" s="4"/>
      <c r="F1620" s="4">
        <v>9</v>
      </c>
      <c r="G1620" s="4">
        <v>45</v>
      </c>
      <c r="H1620" s="4">
        <v>19.81522</v>
      </c>
    </row>
    <row r="1621" spans="1:8" s="5" customFormat="1" ht="17.25" hidden="1" customHeight="1" outlineLevel="1" x14ac:dyDescent="0.25">
      <c r="A1621" s="4">
        <v>1765</v>
      </c>
      <c r="B1621" s="4" t="s">
        <v>39</v>
      </c>
      <c r="C1621" s="38" t="s">
        <v>103</v>
      </c>
      <c r="D1621" s="4">
        <v>2020</v>
      </c>
      <c r="E1621" s="4"/>
      <c r="F1621" s="4">
        <v>5</v>
      </c>
      <c r="G1621" s="4">
        <v>150</v>
      </c>
      <c r="H1621" s="4">
        <v>81.948300000000003</v>
      </c>
    </row>
    <row r="1622" spans="1:8" s="5" customFormat="1" ht="17.25" hidden="1" customHeight="1" outlineLevel="1" x14ac:dyDescent="0.25">
      <c r="A1622" s="4">
        <v>920</v>
      </c>
      <c r="B1622" s="4" t="s">
        <v>39</v>
      </c>
      <c r="C1622" s="38" t="s">
        <v>35</v>
      </c>
      <c r="D1622" s="4">
        <v>2020</v>
      </c>
      <c r="E1622" s="4"/>
      <c r="F1622" s="4">
        <v>3</v>
      </c>
      <c r="G1622" s="4">
        <v>15</v>
      </c>
      <c r="H1622" s="4">
        <v>74.414299999999997</v>
      </c>
    </row>
    <row r="1623" spans="1:8" s="5" customFormat="1" ht="17.25" hidden="1" customHeight="1" outlineLevel="1" x14ac:dyDescent="0.25">
      <c r="A1623" s="4">
        <v>1694</v>
      </c>
      <c r="B1623" s="4" t="s">
        <v>39</v>
      </c>
      <c r="C1623" s="38" t="s">
        <v>105</v>
      </c>
      <c r="D1623" s="4">
        <v>2020</v>
      </c>
      <c r="E1623" s="4"/>
      <c r="F1623" s="4">
        <v>217</v>
      </c>
      <c r="G1623" s="4">
        <v>30</v>
      </c>
      <c r="H1623" s="4">
        <v>494.39352000000002</v>
      </c>
    </row>
    <row r="1624" spans="1:8" s="5" customFormat="1" ht="17.25" hidden="1" customHeight="1" outlineLevel="1" x14ac:dyDescent="0.25">
      <c r="A1624" s="4">
        <v>1764</v>
      </c>
      <c r="B1624" s="4" t="s">
        <v>39</v>
      </c>
      <c r="C1624" s="38" t="s">
        <v>106</v>
      </c>
      <c r="D1624" s="4">
        <v>2020</v>
      </c>
      <c r="E1624" s="4"/>
      <c r="F1624" s="4">
        <v>7</v>
      </c>
      <c r="G1624" s="4">
        <v>99.9</v>
      </c>
      <c r="H1624" s="4">
        <v>141.70671999999999</v>
      </c>
    </row>
    <row r="1625" spans="1:8" s="5" customFormat="1" ht="17.25" hidden="1" customHeight="1" outlineLevel="1" x14ac:dyDescent="0.25">
      <c r="A1625" s="4">
        <v>1673</v>
      </c>
      <c r="B1625" s="4" t="s">
        <v>39</v>
      </c>
      <c r="C1625" s="38" t="s">
        <v>42</v>
      </c>
      <c r="D1625" s="4">
        <v>2020</v>
      </c>
      <c r="E1625" s="4"/>
      <c r="F1625" s="4">
        <v>14</v>
      </c>
      <c r="G1625" s="4">
        <v>35</v>
      </c>
      <c r="H1625" s="4">
        <v>74.985770000000002</v>
      </c>
    </row>
    <row r="1626" spans="1:8" s="5" customFormat="1" ht="17.25" hidden="1" customHeight="1" outlineLevel="1" x14ac:dyDescent="0.25">
      <c r="A1626" s="4">
        <v>1624</v>
      </c>
      <c r="B1626" s="4" t="s">
        <v>39</v>
      </c>
      <c r="C1626" s="38" t="s">
        <v>46</v>
      </c>
      <c r="D1626" s="4">
        <v>2020</v>
      </c>
      <c r="E1626" s="4"/>
      <c r="F1626" s="4">
        <v>56</v>
      </c>
      <c r="G1626" s="4">
        <v>149</v>
      </c>
      <c r="H1626" s="4">
        <v>171.52683999999999</v>
      </c>
    </row>
    <row r="1627" spans="1:8" s="5" customFormat="1" ht="17.25" hidden="1" customHeight="1" outlineLevel="1" x14ac:dyDescent="0.25">
      <c r="A1627" s="4">
        <v>1626</v>
      </c>
      <c r="B1627" s="4" t="s">
        <v>39</v>
      </c>
      <c r="C1627" s="38" t="s">
        <v>114</v>
      </c>
      <c r="D1627" s="4">
        <v>2020</v>
      </c>
      <c r="E1627" s="4"/>
      <c r="F1627" s="4">
        <v>6</v>
      </c>
      <c r="G1627" s="4">
        <v>100</v>
      </c>
      <c r="H1627" s="4">
        <v>112.0001</v>
      </c>
    </row>
    <row r="1628" spans="1:8" s="5" customFormat="1" ht="24.75" hidden="1" customHeight="1" outlineLevel="1" x14ac:dyDescent="0.25">
      <c r="A1628" s="43">
        <v>3835</v>
      </c>
      <c r="B1628" s="4" t="s">
        <v>39</v>
      </c>
      <c r="C1628" s="38" t="s">
        <v>1371</v>
      </c>
      <c r="D1628" s="4">
        <v>2021</v>
      </c>
      <c r="E1628" s="4"/>
      <c r="F1628" s="4">
        <v>330</v>
      </c>
      <c r="G1628" s="42">
        <v>150</v>
      </c>
      <c r="H1628" s="42">
        <v>591.91088000000002</v>
      </c>
    </row>
    <row r="1629" spans="1:8" s="5" customFormat="1" ht="24.75" hidden="1" customHeight="1" outlineLevel="1" x14ac:dyDescent="0.25">
      <c r="A1629" s="43">
        <v>1190</v>
      </c>
      <c r="B1629" s="4" t="s">
        <v>39</v>
      </c>
      <c r="C1629" s="38" t="s">
        <v>1296</v>
      </c>
      <c r="D1629" s="4">
        <v>2021</v>
      </c>
      <c r="E1629" s="4"/>
      <c r="F1629" s="4">
        <v>10</v>
      </c>
      <c r="G1629" s="42">
        <v>150</v>
      </c>
      <c r="H1629" s="42">
        <v>36.322960000000002</v>
      </c>
    </row>
    <row r="1630" spans="1:8" s="5" customFormat="1" ht="24.75" hidden="1" customHeight="1" outlineLevel="1" x14ac:dyDescent="0.25">
      <c r="A1630" s="43">
        <v>3741</v>
      </c>
      <c r="B1630" s="4" t="s">
        <v>39</v>
      </c>
      <c r="C1630" s="38" t="s">
        <v>1298</v>
      </c>
      <c r="D1630" s="4">
        <v>2021</v>
      </c>
      <c r="E1630" s="4"/>
      <c r="F1630" s="4">
        <v>2590</v>
      </c>
      <c r="G1630" s="42">
        <v>15</v>
      </c>
      <c r="H1630" s="42">
        <v>4295.2990799999998</v>
      </c>
    </row>
    <row r="1631" spans="1:8" s="5" customFormat="1" ht="24.75" hidden="1" customHeight="1" outlineLevel="1" x14ac:dyDescent="0.25">
      <c r="A1631" s="43">
        <v>3745</v>
      </c>
      <c r="B1631" s="4" t="s">
        <v>39</v>
      </c>
      <c r="C1631" s="38" t="s">
        <v>1299</v>
      </c>
      <c r="D1631" s="4">
        <v>2021</v>
      </c>
      <c r="E1631" s="4"/>
      <c r="F1631" s="4">
        <v>641</v>
      </c>
      <c r="G1631" s="42">
        <v>70</v>
      </c>
      <c r="H1631" s="42">
        <v>1093.77909</v>
      </c>
    </row>
    <row r="1632" spans="1:8" s="5" customFormat="1" ht="24.75" hidden="1" customHeight="1" outlineLevel="1" x14ac:dyDescent="0.25">
      <c r="A1632" s="42">
        <v>9684</v>
      </c>
      <c r="B1632" s="4" t="s">
        <v>39</v>
      </c>
      <c r="C1632" s="38" t="s">
        <v>1300</v>
      </c>
      <c r="D1632" s="4">
        <v>2021</v>
      </c>
      <c r="E1632" s="4"/>
      <c r="F1632" s="4">
        <v>10</v>
      </c>
      <c r="G1632" s="42">
        <v>15</v>
      </c>
      <c r="H1632" s="42">
        <v>87.721540000000005</v>
      </c>
    </row>
    <row r="1633" spans="1:8" s="5" customFormat="1" ht="24.75" hidden="1" customHeight="1" outlineLevel="1" x14ac:dyDescent="0.25">
      <c r="A1633" s="42">
        <v>9095</v>
      </c>
      <c r="B1633" s="4" t="s">
        <v>39</v>
      </c>
      <c r="C1633" s="38" t="s">
        <v>1372</v>
      </c>
      <c r="D1633" s="4">
        <v>2021</v>
      </c>
      <c r="E1633" s="4"/>
      <c r="F1633" s="4">
        <v>485</v>
      </c>
      <c r="G1633" s="42">
        <v>50</v>
      </c>
      <c r="H1633" s="42">
        <v>806.84177</v>
      </c>
    </row>
    <row r="1634" spans="1:8" s="5" customFormat="1" ht="24.75" hidden="1" customHeight="1" outlineLevel="1" x14ac:dyDescent="0.25">
      <c r="A1634" s="43">
        <v>3802</v>
      </c>
      <c r="B1634" s="4" t="s">
        <v>39</v>
      </c>
      <c r="C1634" s="38" t="s">
        <v>1373</v>
      </c>
      <c r="D1634" s="4">
        <v>2021</v>
      </c>
      <c r="E1634" s="4"/>
      <c r="F1634" s="4">
        <v>9</v>
      </c>
      <c r="G1634" s="42">
        <v>135</v>
      </c>
      <c r="H1634" s="42">
        <v>130.607</v>
      </c>
    </row>
    <row r="1635" spans="1:8" s="5" customFormat="1" ht="24.75" hidden="1" customHeight="1" outlineLevel="1" x14ac:dyDescent="0.25">
      <c r="A1635" s="42">
        <v>9522</v>
      </c>
      <c r="B1635" s="4" t="s">
        <v>39</v>
      </c>
      <c r="C1635" s="38" t="s">
        <v>1150</v>
      </c>
      <c r="D1635" s="4">
        <v>2021</v>
      </c>
      <c r="E1635" s="4"/>
      <c r="F1635" s="4">
        <v>96</v>
      </c>
      <c r="G1635" s="42">
        <v>15</v>
      </c>
      <c r="H1635" s="42">
        <v>371.49799999999999</v>
      </c>
    </row>
    <row r="1636" spans="1:8" s="5" customFormat="1" ht="24.75" hidden="1" customHeight="1" outlineLevel="1" x14ac:dyDescent="0.25">
      <c r="A1636" s="43">
        <v>1290</v>
      </c>
      <c r="B1636" s="4" t="s">
        <v>39</v>
      </c>
      <c r="C1636" s="38" t="s">
        <v>1151</v>
      </c>
      <c r="D1636" s="4">
        <v>2021</v>
      </c>
      <c r="E1636" s="4"/>
      <c r="F1636" s="4">
        <v>6</v>
      </c>
      <c r="G1636" s="42">
        <v>15</v>
      </c>
      <c r="H1636" s="42">
        <v>167.37700000000001</v>
      </c>
    </row>
    <row r="1637" spans="1:8" s="5" customFormat="1" ht="24.75" hidden="1" customHeight="1" outlineLevel="1" x14ac:dyDescent="0.25">
      <c r="A1637" s="43">
        <v>1289</v>
      </c>
      <c r="B1637" s="4" t="s">
        <v>39</v>
      </c>
      <c r="C1637" s="38" t="s">
        <v>1152</v>
      </c>
      <c r="D1637" s="4">
        <v>2021</v>
      </c>
      <c r="E1637" s="4"/>
      <c r="F1637" s="4">
        <v>8</v>
      </c>
      <c r="G1637" s="42">
        <v>10</v>
      </c>
      <c r="H1637" s="42">
        <v>151.97499999999999</v>
      </c>
    </row>
    <row r="1638" spans="1:8" s="5" customFormat="1" ht="24.75" hidden="1" customHeight="1" outlineLevel="1" x14ac:dyDescent="0.25">
      <c r="A1638" s="43">
        <v>1284</v>
      </c>
      <c r="B1638" s="4" t="s">
        <v>39</v>
      </c>
      <c r="C1638" s="38" t="s">
        <v>1153</v>
      </c>
      <c r="D1638" s="4">
        <v>2021</v>
      </c>
      <c r="E1638" s="4"/>
      <c r="F1638" s="4">
        <v>713</v>
      </c>
      <c r="G1638" s="42">
        <v>15</v>
      </c>
      <c r="H1638" s="42">
        <v>1575.5740000000001</v>
      </c>
    </row>
    <row r="1639" spans="1:8" s="5" customFormat="1" ht="24.75" hidden="1" customHeight="1" outlineLevel="1" x14ac:dyDescent="0.25">
      <c r="A1639" s="42">
        <v>9733</v>
      </c>
      <c r="B1639" s="4" t="s">
        <v>39</v>
      </c>
      <c r="C1639" s="38" t="s">
        <v>1155</v>
      </c>
      <c r="D1639" s="4">
        <v>2021</v>
      </c>
      <c r="E1639" s="4"/>
      <c r="F1639" s="4">
        <v>1011</v>
      </c>
      <c r="G1639" s="42">
        <v>15</v>
      </c>
      <c r="H1639" s="42">
        <v>1525.962</v>
      </c>
    </row>
    <row r="1640" spans="1:8" s="5" customFormat="1" ht="24.75" hidden="1" customHeight="1" outlineLevel="1" x14ac:dyDescent="0.25">
      <c r="A1640" s="43">
        <v>3837</v>
      </c>
      <c r="B1640" s="4" t="s">
        <v>39</v>
      </c>
      <c r="C1640" s="38" t="s">
        <v>1374</v>
      </c>
      <c r="D1640" s="4">
        <v>2021</v>
      </c>
      <c r="E1640" s="4"/>
      <c r="F1640" s="4">
        <v>118</v>
      </c>
      <c r="G1640" s="42">
        <v>15</v>
      </c>
      <c r="H1640" s="42">
        <v>324.94873999999999</v>
      </c>
    </row>
    <row r="1641" spans="1:8" s="5" customFormat="1" ht="24.75" hidden="1" customHeight="1" outlineLevel="1" x14ac:dyDescent="0.25">
      <c r="A1641" s="42">
        <v>9680</v>
      </c>
      <c r="B1641" s="4" t="s">
        <v>39</v>
      </c>
      <c r="C1641" s="53" t="s">
        <v>1156</v>
      </c>
      <c r="D1641" s="4">
        <v>2021</v>
      </c>
      <c r="E1641" s="4"/>
      <c r="F1641" s="4">
        <v>15</v>
      </c>
      <c r="G1641" s="42">
        <v>15</v>
      </c>
      <c r="H1641" s="42">
        <v>65.074590000000001</v>
      </c>
    </row>
    <row r="1642" spans="1:8" s="5" customFormat="1" ht="24.75" hidden="1" customHeight="1" outlineLevel="1" x14ac:dyDescent="0.25">
      <c r="A1642" s="42">
        <v>9685</v>
      </c>
      <c r="B1642" s="4" t="s">
        <v>39</v>
      </c>
      <c r="C1642" s="38" t="s">
        <v>1309</v>
      </c>
      <c r="D1642" s="4">
        <v>2021</v>
      </c>
      <c r="E1642" s="4"/>
      <c r="F1642" s="4">
        <v>205</v>
      </c>
      <c r="G1642" s="42">
        <v>15</v>
      </c>
      <c r="H1642" s="42">
        <v>511.09795000000003</v>
      </c>
    </row>
    <row r="1643" spans="1:8" s="5" customFormat="1" ht="24.75" hidden="1" customHeight="1" outlineLevel="1" x14ac:dyDescent="0.25">
      <c r="A1643" s="43">
        <v>1285</v>
      </c>
      <c r="B1643" s="4" t="s">
        <v>39</v>
      </c>
      <c r="C1643" s="38" t="s">
        <v>1312</v>
      </c>
      <c r="D1643" s="4">
        <v>2021</v>
      </c>
      <c r="E1643" s="4"/>
      <c r="F1643" s="4">
        <v>56</v>
      </c>
      <c r="G1643" s="42">
        <v>30</v>
      </c>
      <c r="H1643" s="42">
        <v>237.70169000000001</v>
      </c>
    </row>
    <row r="1644" spans="1:8" s="5" customFormat="1" ht="24.75" hidden="1" customHeight="1" outlineLevel="1" x14ac:dyDescent="0.25">
      <c r="A1644" s="43">
        <v>1277</v>
      </c>
      <c r="B1644" s="4" t="s">
        <v>39</v>
      </c>
      <c r="C1644" s="38" t="s">
        <v>1313</v>
      </c>
      <c r="D1644" s="4">
        <v>2021</v>
      </c>
      <c r="E1644" s="4"/>
      <c r="F1644" s="4">
        <v>7</v>
      </c>
      <c r="G1644" s="42">
        <v>20</v>
      </c>
      <c r="H1644" s="42">
        <v>100.61454999999999</v>
      </c>
    </row>
    <row r="1645" spans="1:8" s="5" customFormat="1" ht="24.75" hidden="1" customHeight="1" outlineLevel="1" x14ac:dyDescent="0.25">
      <c r="A1645" s="42">
        <v>9738</v>
      </c>
      <c r="B1645" s="4" t="s">
        <v>39</v>
      </c>
      <c r="C1645" s="38" t="s">
        <v>1317</v>
      </c>
      <c r="D1645" s="4">
        <v>2021</v>
      </c>
      <c r="E1645" s="4"/>
      <c r="F1645" s="4">
        <v>40</v>
      </c>
      <c r="G1645" s="42">
        <v>15</v>
      </c>
      <c r="H1645" s="42">
        <v>145.31984</v>
      </c>
    </row>
    <row r="1646" spans="1:8" s="5" customFormat="1" ht="24.75" hidden="1" customHeight="1" outlineLevel="1" x14ac:dyDescent="0.25">
      <c r="A1646" s="43">
        <v>3823</v>
      </c>
      <c r="B1646" s="4" t="s">
        <v>39</v>
      </c>
      <c r="C1646" s="38" t="s">
        <v>1375</v>
      </c>
      <c r="D1646" s="4">
        <v>2021</v>
      </c>
      <c r="E1646" s="4"/>
      <c r="F1646" s="4">
        <v>596</v>
      </c>
      <c r="G1646" s="42">
        <v>150</v>
      </c>
      <c r="H1646" s="42">
        <v>1093.6300200000001</v>
      </c>
    </row>
    <row r="1647" spans="1:8" s="5" customFormat="1" ht="24.75" hidden="1" customHeight="1" outlineLevel="1" x14ac:dyDescent="0.25">
      <c r="A1647" s="43">
        <v>1291</v>
      </c>
      <c r="B1647" s="4" t="s">
        <v>39</v>
      </c>
      <c r="C1647" s="38" t="s">
        <v>1320</v>
      </c>
      <c r="D1647" s="4">
        <v>2021</v>
      </c>
      <c r="E1647" s="4"/>
      <c r="F1647" s="4">
        <v>489</v>
      </c>
      <c r="G1647" s="42">
        <v>15</v>
      </c>
      <c r="H1647" s="42">
        <v>598.16855999999996</v>
      </c>
    </row>
    <row r="1648" spans="1:8" s="5" customFormat="1" ht="24.75" hidden="1" customHeight="1" outlineLevel="1" x14ac:dyDescent="0.25">
      <c r="A1648" s="43">
        <v>1299</v>
      </c>
      <c r="B1648" s="4" t="s">
        <v>39</v>
      </c>
      <c r="C1648" s="38" t="s">
        <v>1325</v>
      </c>
      <c r="D1648" s="4">
        <v>2021</v>
      </c>
      <c r="E1648" s="4"/>
      <c r="F1648" s="4">
        <v>5</v>
      </c>
      <c r="G1648" s="42">
        <v>30</v>
      </c>
      <c r="H1648" s="42">
        <v>106.973</v>
      </c>
    </row>
    <row r="1649" spans="1:8" s="5" customFormat="1" ht="24.75" hidden="1" customHeight="1" outlineLevel="1" x14ac:dyDescent="0.25">
      <c r="A1649" s="43">
        <v>3801</v>
      </c>
      <c r="B1649" s="4" t="s">
        <v>39</v>
      </c>
      <c r="C1649" s="38" t="s">
        <v>1328</v>
      </c>
      <c r="D1649" s="4">
        <v>2021</v>
      </c>
      <c r="E1649" s="4"/>
      <c r="F1649" s="4">
        <v>5</v>
      </c>
      <c r="G1649" s="42">
        <v>15</v>
      </c>
      <c r="H1649" s="42">
        <v>115.473</v>
      </c>
    </row>
    <row r="1650" spans="1:8" s="5" customFormat="1" ht="24.75" hidden="1" customHeight="1" outlineLevel="1" x14ac:dyDescent="0.25">
      <c r="A1650" s="43">
        <v>1181</v>
      </c>
      <c r="B1650" s="4" t="s">
        <v>39</v>
      </c>
      <c r="C1650" s="38" t="s">
        <v>1335</v>
      </c>
      <c r="D1650" s="4">
        <v>2021</v>
      </c>
      <c r="E1650" s="4"/>
      <c r="F1650" s="4">
        <v>315</v>
      </c>
      <c r="G1650" s="42">
        <v>100</v>
      </c>
      <c r="H1650" s="42">
        <v>569.27800000000002</v>
      </c>
    </row>
    <row r="1651" spans="1:8" s="5" customFormat="1" ht="24.75" hidden="1" customHeight="1" outlineLevel="1" x14ac:dyDescent="0.25">
      <c r="A1651" s="42">
        <v>9734</v>
      </c>
      <c r="B1651" s="4" t="s">
        <v>39</v>
      </c>
      <c r="C1651" s="38" t="s">
        <v>1336</v>
      </c>
      <c r="D1651" s="4">
        <v>2021</v>
      </c>
      <c r="E1651" s="4"/>
      <c r="F1651" s="4">
        <v>199</v>
      </c>
      <c r="G1651" s="42">
        <v>170</v>
      </c>
      <c r="H1651" s="42">
        <v>494.86200000000002</v>
      </c>
    </row>
    <row r="1652" spans="1:8" s="5" customFormat="1" ht="24.75" hidden="1" customHeight="1" outlineLevel="1" x14ac:dyDescent="0.25">
      <c r="A1652" s="42">
        <v>9528</v>
      </c>
      <c r="B1652" s="4" t="s">
        <v>39</v>
      </c>
      <c r="C1652" s="38" t="s">
        <v>1376</v>
      </c>
      <c r="D1652" s="4">
        <v>2021</v>
      </c>
      <c r="E1652" s="4"/>
      <c r="F1652" s="4">
        <v>20</v>
      </c>
      <c r="G1652" s="42">
        <v>150</v>
      </c>
      <c r="H1652" s="42">
        <v>66.498000000000005</v>
      </c>
    </row>
    <row r="1653" spans="1:8" s="5" customFormat="1" ht="24.75" hidden="1" customHeight="1" outlineLevel="1" x14ac:dyDescent="0.25">
      <c r="A1653" s="42">
        <v>9681</v>
      </c>
      <c r="B1653" s="4" t="s">
        <v>39</v>
      </c>
      <c r="C1653" s="38" t="s">
        <v>1339</v>
      </c>
      <c r="D1653" s="4">
        <v>2021</v>
      </c>
      <c r="E1653" s="4"/>
      <c r="F1653" s="4">
        <v>338</v>
      </c>
      <c r="G1653" s="42">
        <v>105</v>
      </c>
      <c r="H1653" s="42">
        <v>667.00900000000001</v>
      </c>
    </row>
    <row r="1654" spans="1:8" s="5" customFormat="1" ht="24.75" hidden="1" customHeight="1" outlineLevel="1" x14ac:dyDescent="0.25">
      <c r="A1654" s="43">
        <v>1170</v>
      </c>
      <c r="B1654" s="4" t="s">
        <v>39</v>
      </c>
      <c r="C1654" s="38" t="s">
        <v>1340</v>
      </c>
      <c r="D1654" s="4">
        <v>2021</v>
      </c>
      <c r="E1654" s="4"/>
      <c r="F1654" s="4">
        <v>1179</v>
      </c>
      <c r="G1654" s="42">
        <v>60</v>
      </c>
      <c r="H1654" s="42">
        <v>1855.7139999999999</v>
      </c>
    </row>
    <row r="1655" spans="1:8" s="5" customFormat="1" ht="24.75" hidden="1" customHeight="1" outlineLevel="1" x14ac:dyDescent="0.25">
      <c r="A1655" s="42">
        <v>9740</v>
      </c>
      <c r="B1655" s="4" t="s">
        <v>39</v>
      </c>
      <c r="C1655" s="38" t="s">
        <v>1341</v>
      </c>
      <c r="D1655" s="4">
        <v>2021</v>
      </c>
      <c r="E1655" s="4"/>
      <c r="F1655" s="4">
        <v>10</v>
      </c>
      <c r="G1655" s="42">
        <v>150</v>
      </c>
      <c r="H1655" s="42">
        <v>71.593999999999994</v>
      </c>
    </row>
    <row r="1656" spans="1:8" s="5" customFormat="1" ht="24.75" hidden="1" customHeight="1" outlineLevel="1" x14ac:dyDescent="0.25">
      <c r="A1656" s="42">
        <v>9682</v>
      </c>
      <c r="B1656" s="4" t="s">
        <v>39</v>
      </c>
      <c r="C1656" s="38" t="s">
        <v>1175</v>
      </c>
      <c r="D1656" s="4">
        <v>2021</v>
      </c>
      <c r="E1656" s="4"/>
      <c r="F1656" s="4">
        <v>50</v>
      </c>
      <c r="G1656" s="42">
        <v>15</v>
      </c>
      <c r="H1656" s="42">
        <v>98.846999999999994</v>
      </c>
    </row>
    <row r="1657" spans="1:8" s="5" customFormat="1" ht="24.75" hidden="1" customHeight="1" outlineLevel="1" x14ac:dyDescent="0.25">
      <c r="A1657" s="42">
        <v>9686</v>
      </c>
      <c r="B1657" s="4" t="s">
        <v>39</v>
      </c>
      <c r="C1657" s="38" t="s">
        <v>1342</v>
      </c>
      <c r="D1657" s="4">
        <v>2021</v>
      </c>
      <c r="E1657" s="4"/>
      <c r="F1657" s="4">
        <v>40</v>
      </c>
      <c r="G1657" s="42">
        <v>150</v>
      </c>
      <c r="H1657" s="42">
        <v>136.18700000000001</v>
      </c>
    </row>
    <row r="1658" spans="1:8" s="5" customFormat="1" ht="24.75" hidden="1" customHeight="1" outlineLevel="1" x14ac:dyDescent="0.25">
      <c r="A1658" s="42">
        <v>9736</v>
      </c>
      <c r="B1658" s="4" t="s">
        <v>39</v>
      </c>
      <c r="C1658" s="38" t="s">
        <v>1343</v>
      </c>
      <c r="D1658" s="4">
        <v>2021</v>
      </c>
      <c r="E1658" s="4"/>
      <c r="F1658" s="4">
        <v>30</v>
      </c>
      <c r="G1658" s="42">
        <v>107</v>
      </c>
      <c r="H1658" s="42">
        <v>69.087000000000003</v>
      </c>
    </row>
    <row r="1659" spans="1:8" s="5" customFormat="1" ht="24.75" hidden="1" customHeight="1" outlineLevel="1" x14ac:dyDescent="0.25">
      <c r="A1659" s="42">
        <v>9361</v>
      </c>
      <c r="B1659" s="4" t="s">
        <v>39</v>
      </c>
      <c r="C1659" s="38" t="s">
        <v>1347</v>
      </c>
      <c r="D1659" s="4">
        <v>2021</v>
      </c>
      <c r="E1659" s="4"/>
      <c r="F1659" s="4">
        <v>5</v>
      </c>
      <c r="G1659" s="42">
        <v>75</v>
      </c>
      <c r="H1659" s="42">
        <v>202.12299999999999</v>
      </c>
    </row>
    <row r="1660" spans="1:8" s="5" customFormat="1" ht="24.75" hidden="1" customHeight="1" outlineLevel="1" x14ac:dyDescent="0.25">
      <c r="A1660" s="43">
        <v>3733</v>
      </c>
      <c r="B1660" s="4" t="s">
        <v>39</v>
      </c>
      <c r="C1660" s="38" t="s">
        <v>1377</v>
      </c>
      <c r="D1660" s="4">
        <v>2021</v>
      </c>
      <c r="E1660" s="4"/>
      <c r="F1660" s="4">
        <v>542</v>
      </c>
      <c r="G1660" s="42">
        <v>35</v>
      </c>
      <c r="H1660" s="42">
        <v>1038.825</v>
      </c>
    </row>
    <row r="1661" spans="1:8" s="5" customFormat="1" ht="24.75" hidden="1" customHeight="1" outlineLevel="1" x14ac:dyDescent="0.25">
      <c r="A1661" s="42">
        <v>9421</v>
      </c>
      <c r="B1661" s="4" t="s">
        <v>39</v>
      </c>
      <c r="C1661" s="38" t="s">
        <v>1232</v>
      </c>
      <c r="D1661" s="4">
        <v>2021</v>
      </c>
      <c r="E1661" s="4"/>
      <c r="F1661" s="4">
        <v>15</v>
      </c>
      <c r="G1661" s="42">
        <v>15</v>
      </c>
      <c r="H1661" s="42">
        <v>162.03899999999999</v>
      </c>
    </row>
    <row r="1662" spans="1:8" s="5" customFormat="1" ht="24.75" hidden="1" customHeight="1" outlineLevel="1" x14ac:dyDescent="0.25">
      <c r="A1662" s="42">
        <v>9368</v>
      </c>
      <c r="B1662" s="4" t="s">
        <v>39</v>
      </c>
      <c r="C1662" s="38" t="s">
        <v>1352</v>
      </c>
      <c r="D1662" s="4">
        <v>2021</v>
      </c>
      <c r="E1662" s="4"/>
      <c r="F1662" s="4">
        <v>795</v>
      </c>
      <c r="G1662" s="42">
        <v>150</v>
      </c>
      <c r="H1662" s="42">
        <v>1312.521</v>
      </c>
    </row>
    <row r="1663" spans="1:8" s="5" customFormat="1" ht="24.75" hidden="1" customHeight="1" outlineLevel="1" x14ac:dyDescent="0.25">
      <c r="A1663" s="43">
        <v>421</v>
      </c>
      <c r="B1663" s="4" t="s">
        <v>39</v>
      </c>
      <c r="C1663" s="38" t="s">
        <v>1353</v>
      </c>
      <c r="D1663" s="4">
        <v>2021</v>
      </c>
      <c r="E1663" s="4"/>
      <c r="F1663" s="4">
        <v>205</v>
      </c>
      <c r="G1663" s="42">
        <v>149</v>
      </c>
      <c r="H1663" s="42">
        <v>291.892</v>
      </c>
    </row>
    <row r="1664" spans="1:8" s="5" customFormat="1" ht="24.75" hidden="1" customHeight="1" outlineLevel="1" x14ac:dyDescent="0.25">
      <c r="A1664" s="42">
        <v>9357</v>
      </c>
      <c r="B1664" s="4" t="s">
        <v>39</v>
      </c>
      <c r="C1664" s="38" t="s">
        <v>1256</v>
      </c>
      <c r="D1664" s="4">
        <v>2021</v>
      </c>
      <c r="E1664" s="4"/>
      <c r="F1664" s="4">
        <v>5</v>
      </c>
      <c r="G1664" s="42">
        <v>20</v>
      </c>
      <c r="H1664" s="42">
        <v>116.215</v>
      </c>
    </row>
    <row r="1665" spans="1:33" s="5" customFormat="1" ht="24.75" hidden="1" customHeight="1" outlineLevel="1" x14ac:dyDescent="0.25">
      <c r="A1665" s="42">
        <v>9373</v>
      </c>
      <c r="B1665" s="4" t="s">
        <v>39</v>
      </c>
      <c r="C1665" s="38" t="s">
        <v>1257</v>
      </c>
      <c r="D1665" s="4">
        <v>2021</v>
      </c>
      <c r="E1665" s="4"/>
      <c r="F1665" s="4">
        <v>590</v>
      </c>
      <c r="G1665" s="42">
        <v>25</v>
      </c>
      <c r="H1665" s="42">
        <v>1104.886</v>
      </c>
    </row>
    <row r="1666" spans="1:33" s="5" customFormat="1" ht="24.75" hidden="1" customHeight="1" outlineLevel="1" x14ac:dyDescent="0.25">
      <c r="A1666" s="42">
        <v>9359</v>
      </c>
      <c r="B1666" s="4" t="s">
        <v>39</v>
      </c>
      <c r="C1666" s="38" t="s">
        <v>1261</v>
      </c>
      <c r="D1666" s="4">
        <v>2021</v>
      </c>
      <c r="E1666" s="4"/>
      <c r="F1666" s="4">
        <v>8</v>
      </c>
      <c r="G1666" s="42">
        <v>60</v>
      </c>
      <c r="H1666" s="42">
        <v>114.846</v>
      </c>
    </row>
    <row r="1667" spans="1:33" s="5" customFormat="1" ht="24.75" hidden="1" customHeight="1" outlineLevel="1" x14ac:dyDescent="0.25">
      <c r="A1667" s="43">
        <v>3714</v>
      </c>
      <c r="B1667" s="4" t="s">
        <v>39</v>
      </c>
      <c r="C1667" s="38" t="s">
        <v>1357</v>
      </c>
      <c r="D1667" s="4">
        <v>2021</v>
      </c>
      <c r="E1667" s="4"/>
      <c r="F1667" s="4">
        <v>39</v>
      </c>
      <c r="G1667" s="42">
        <v>120</v>
      </c>
      <c r="H1667" s="42">
        <v>167.49600000000001</v>
      </c>
    </row>
    <row r="1668" spans="1:33" s="5" customFormat="1" ht="24.75" hidden="1" customHeight="1" outlineLevel="1" x14ac:dyDescent="0.25">
      <c r="A1668" s="42">
        <v>9572</v>
      </c>
      <c r="B1668" s="4" t="s">
        <v>39</v>
      </c>
      <c r="C1668" s="38" t="s">
        <v>1270</v>
      </c>
      <c r="D1668" s="4">
        <v>2021</v>
      </c>
      <c r="E1668" s="4"/>
      <c r="F1668" s="4">
        <v>226</v>
      </c>
      <c r="G1668" s="42">
        <v>60</v>
      </c>
      <c r="H1668" s="42">
        <v>762.90800000000002</v>
      </c>
    </row>
    <row r="1669" spans="1:33" s="5" customFormat="1" ht="24.75" hidden="1" customHeight="1" outlineLevel="1" x14ac:dyDescent="0.25">
      <c r="A1669" s="42">
        <v>9362</v>
      </c>
      <c r="B1669" s="4" t="s">
        <v>39</v>
      </c>
      <c r="C1669" s="38" t="s">
        <v>1361</v>
      </c>
      <c r="D1669" s="4">
        <v>2021</v>
      </c>
      <c r="E1669" s="4"/>
      <c r="F1669" s="4">
        <v>33</v>
      </c>
      <c r="G1669" s="42">
        <v>60</v>
      </c>
      <c r="H1669" s="42">
        <v>191.631</v>
      </c>
    </row>
    <row r="1670" spans="1:33" s="5" customFormat="1" ht="24.75" hidden="1" customHeight="1" outlineLevel="1" x14ac:dyDescent="0.25">
      <c r="A1670" s="42">
        <v>9356</v>
      </c>
      <c r="B1670" s="4" t="s">
        <v>39</v>
      </c>
      <c r="C1670" s="38" t="s">
        <v>1271</v>
      </c>
      <c r="D1670" s="4">
        <v>2021</v>
      </c>
      <c r="E1670" s="4"/>
      <c r="F1670" s="4">
        <v>119</v>
      </c>
      <c r="G1670" s="42">
        <v>75</v>
      </c>
      <c r="H1670" s="42">
        <v>310.738</v>
      </c>
    </row>
    <row r="1671" spans="1:33" s="5" customFormat="1" ht="23.25" customHeight="1" collapsed="1" x14ac:dyDescent="0.25">
      <c r="A1671" s="208"/>
      <c r="B1671" s="178" t="s">
        <v>115</v>
      </c>
      <c r="C1671" s="185" t="s">
        <v>3188</v>
      </c>
      <c r="D1671" s="185"/>
      <c r="E1671" s="178" t="s">
        <v>21</v>
      </c>
      <c r="F1671" s="178"/>
      <c r="G1671" s="178"/>
      <c r="H1671" s="178"/>
    </row>
    <row r="1672" spans="1:33" s="9" customFormat="1" ht="2.25" customHeight="1" x14ac:dyDescent="0.25">
      <c r="A1672" s="210"/>
      <c r="B1672" s="187"/>
      <c r="C1672" s="192"/>
      <c r="D1672" s="192"/>
      <c r="E1672" s="187" t="s">
        <v>21</v>
      </c>
      <c r="F1672" s="187"/>
      <c r="G1672" s="187"/>
      <c r="H1672" s="187"/>
      <c r="I1672" s="5"/>
      <c r="J1672" s="5"/>
      <c r="K1672" s="5"/>
      <c r="L1672" s="5"/>
      <c r="M1672" s="5"/>
      <c r="N1672" s="5"/>
      <c r="O1672" s="5"/>
      <c r="P1672" s="5"/>
      <c r="Q1672" s="5"/>
      <c r="R1672" s="5"/>
      <c r="S1672" s="5"/>
      <c r="T1672" s="5"/>
      <c r="U1672" s="5"/>
      <c r="V1672" s="5"/>
      <c r="W1672" s="5"/>
      <c r="X1672" s="5"/>
      <c r="Y1672" s="5"/>
      <c r="Z1672" s="5"/>
      <c r="AA1672" s="5"/>
      <c r="AB1672" s="5"/>
      <c r="AC1672" s="5"/>
      <c r="AD1672" s="5"/>
      <c r="AE1672" s="5"/>
      <c r="AF1672" s="5"/>
      <c r="AG1672" s="5"/>
    </row>
    <row r="1673" spans="1:33" s="9" customFormat="1" ht="17.25" customHeight="1" x14ac:dyDescent="0.25">
      <c r="A1673" s="209"/>
      <c r="B1673" s="179"/>
      <c r="C1673" s="193"/>
      <c r="D1673" s="193"/>
      <c r="E1673" s="179"/>
      <c r="F1673" s="179"/>
      <c r="G1673" s="179"/>
      <c r="H1673" s="179"/>
      <c r="I1673" s="5"/>
      <c r="J1673" s="5"/>
      <c r="K1673" s="5"/>
      <c r="L1673" s="5"/>
      <c r="M1673" s="5"/>
      <c r="N1673" s="5"/>
      <c r="O1673" s="5"/>
      <c r="P1673" s="5"/>
      <c r="Q1673" s="5"/>
      <c r="R1673" s="5"/>
      <c r="S1673" s="5"/>
      <c r="T1673" s="5"/>
      <c r="U1673" s="5"/>
      <c r="V1673" s="5"/>
      <c r="W1673" s="5"/>
      <c r="X1673" s="5"/>
      <c r="Y1673" s="5"/>
      <c r="Z1673" s="5"/>
      <c r="AA1673" s="5"/>
      <c r="AB1673" s="5"/>
      <c r="AC1673" s="5"/>
      <c r="AD1673" s="5"/>
      <c r="AE1673" s="5"/>
      <c r="AF1673" s="5"/>
      <c r="AG1673" s="5"/>
    </row>
    <row r="1674" spans="1:33" s="9" customFormat="1" ht="17.25" customHeight="1" x14ac:dyDescent="0.25">
      <c r="A1674" s="4"/>
      <c r="B1674" s="7" t="s">
        <v>115</v>
      </c>
      <c r="C1674" s="8" t="s">
        <v>1102</v>
      </c>
      <c r="D1674" s="7">
        <v>2020</v>
      </c>
      <c r="E1674" s="7" t="s">
        <v>21</v>
      </c>
      <c r="F1674" s="7">
        <f>SUMIF($D$1677:$D$1687,$D$1674,$F$1677:$F$1687)</f>
        <v>2711</v>
      </c>
      <c r="G1674" s="7">
        <f>SUMIF($D$1677:$D$1687,$D$1674,$G$1677:$G$1687)</f>
        <v>415</v>
      </c>
      <c r="H1674" s="10">
        <f>SUMIF($D$1677:$D$1687,$D$1674,$H$1677:$H$1687)</f>
        <v>3807.6240999999995</v>
      </c>
      <c r="I1674" s="5"/>
      <c r="J1674" s="5"/>
      <c r="K1674" s="5"/>
      <c r="L1674" s="5"/>
      <c r="M1674" s="5"/>
      <c r="N1674" s="5"/>
      <c r="O1674" s="5"/>
      <c r="P1674" s="5"/>
      <c r="Q1674" s="5"/>
      <c r="R1674" s="5"/>
      <c r="S1674" s="5"/>
      <c r="T1674" s="5"/>
      <c r="U1674" s="5"/>
      <c r="V1674" s="5"/>
      <c r="W1674" s="5"/>
      <c r="X1674" s="5"/>
      <c r="Y1674" s="5"/>
      <c r="Z1674" s="5"/>
      <c r="AA1674" s="5"/>
      <c r="AB1674" s="5"/>
      <c r="AC1674" s="5"/>
      <c r="AD1674" s="5"/>
      <c r="AE1674" s="5"/>
      <c r="AF1674" s="5"/>
      <c r="AG1674" s="5"/>
    </row>
    <row r="1675" spans="1:33" s="25" customFormat="1" ht="17.25" customHeight="1" x14ac:dyDescent="0.25">
      <c r="A1675" s="4"/>
      <c r="B1675" s="7" t="s">
        <v>115</v>
      </c>
      <c r="C1675" s="8" t="s">
        <v>1102</v>
      </c>
      <c r="D1675" s="7">
        <v>2021</v>
      </c>
      <c r="E1675" s="7" t="s">
        <v>21</v>
      </c>
      <c r="F1675" s="7">
        <f>SUMIF($D$1677:$D$1687,$D$1675,$F$1677:$F$1687)</f>
        <v>0</v>
      </c>
      <c r="G1675" s="7">
        <f>SUMIF($D$1677:$D$1687,$D$1675,$G$1677:$G$1687)</f>
        <v>0</v>
      </c>
      <c r="H1675" s="10">
        <f>SUMIF($D$1677:$D$1687,$D$1675,$H$1677:$H$1687)</f>
        <v>0</v>
      </c>
      <c r="I1675" s="5"/>
      <c r="J1675" s="5"/>
      <c r="K1675" s="5"/>
      <c r="L1675" s="5"/>
      <c r="M1675" s="5"/>
      <c r="N1675" s="5"/>
      <c r="O1675" s="5"/>
      <c r="P1675" s="5"/>
      <c r="Q1675" s="5"/>
      <c r="R1675" s="5"/>
      <c r="S1675" s="5"/>
      <c r="T1675" s="5"/>
      <c r="U1675" s="5"/>
      <c r="V1675" s="5"/>
      <c r="W1675" s="5"/>
      <c r="X1675" s="5"/>
      <c r="Y1675" s="5"/>
      <c r="Z1675" s="5"/>
      <c r="AA1675" s="5"/>
      <c r="AB1675" s="5"/>
      <c r="AC1675" s="5"/>
      <c r="AD1675" s="5"/>
      <c r="AE1675" s="5"/>
      <c r="AF1675" s="5"/>
      <c r="AG1675" s="5"/>
    </row>
    <row r="1676" spans="1:33" s="25" customFormat="1" ht="15.75" x14ac:dyDescent="0.25">
      <c r="A1676" s="4"/>
      <c r="B1676" s="7" t="s">
        <v>115</v>
      </c>
      <c r="C1676" s="8" t="s">
        <v>3929</v>
      </c>
      <c r="D1676" s="7">
        <v>2022</v>
      </c>
      <c r="E1676" s="7" t="s">
        <v>21</v>
      </c>
      <c r="F1676" s="7">
        <f>SUMIF($D$1677:$D$1687,$D$1676,$F$1677:$F$1687)</f>
        <v>2690</v>
      </c>
      <c r="G1676" s="7">
        <f>SUMIF($D$1677:$D$1687,$D$1676,$G$1677:$G$1687)</f>
        <v>1259</v>
      </c>
      <c r="H1676" s="10">
        <f ca="1">SUMIF($D$1677:$H$1687,$D$1676,$H$1677:$H$1687)</f>
        <v>4879.1216299999996</v>
      </c>
      <c r="I1676" s="5"/>
      <c r="J1676" s="5"/>
      <c r="K1676" s="5"/>
      <c r="L1676" s="5"/>
      <c r="M1676" s="5"/>
      <c r="N1676" s="5"/>
      <c r="O1676" s="5"/>
      <c r="P1676" s="5"/>
      <c r="Q1676" s="5"/>
      <c r="R1676" s="5"/>
      <c r="S1676" s="5"/>
      <c r="T1676" s="5"/>
      <c r="U1676" s="5"/>
      <c r="V1676" s="5"/>
      <c r="W1676" s="5"/>
      <c r="X1676" s="5"/>
      <c r="Y1676" s="5"/>
      <c r="Z1676" s="5"/>
      <c r="AA1676" s="5"/>
      <c r="AB1676" s="5"/>
      <c r="AC1676" s="5"/>
      <c r="AD1676" s="5"/>
      <c r="AE1676" s="5"/>
      <c r="AF1676" s="5"/>
      <c r="AG1676" s="5"/>
    </row>
    <row r="1677" spans="1:33" s="5" customFormat="1" ht="42" hidden="1" customHeight="1" outlineLevel="1" x14ac:dyDescent="0.25">
      <c r="A1677" s="4">
        <v>2713</v>
      </c>
      <c r="B1677" s="4" t="s">
        <v>115</v>
      </c>
      <c r="C1677" s="38" t="s">
        <v>3933</v>
      </c>
      <c r="D1677" s="4">
        <v>2022</v>
      </c>
      <c r="E1677" s="4" t="s">
        <v>21</v>
      </c>
      <c r="F1677" s="4">
        <v>154</v>
      </c>
      <c r="G1677" s="4">
        <v>177</v>
      </c>
      <c r="H1677" s="4">
        <v>548.36799999999994</v>
      </c>
    </row>
    <row r="1678" spans="1:33" s="5" customFormat="1" ht="66.75" hidden="1" customHeight="1" outlineLevel="1" x14ac:dyDescent="0.25">
      <c r="A1678" s="4">
        <v>3000</v>
      </c>
      <c r="B1678" s="4" t="s">
        <v>115</v>
      </c>
      <c r="C1678" s="38" t="s">
        <v>4051</v>
      </c>
      <c r="D1678" s="4">
        <v>2022</v>
      </c>
      <c r="E1678" s="4" t="s">
        <v>21</v>
      </c>
      <c r="F1678" s="4">
        <v>322</v>
      </c>
      <c r="G1678" s="4">
        <v>147</v>
      </c>
      <c r="H1678" s="4">
        <v>254.66399999999999</v>
      </c>
    </row>
    <row r="1679" spans="1:33" s="5" customFormat="1" ht="45" hidden="1" customHeight="1" outlineLevel="1" x14ac:dyDescent="0.25">
      <c r="A1679" s="4">
        <v>2804</v>
      </c>
      <c r="B1679" s="4" t="s">
        <v>115</v>
      </c>
      <c r="C1679" s="38" t="s">
        <v>3938</v>
      </c>
      <c r="D1679" s="4">
        <v>2022</v>
      </c>
      <c r="E1679" s="4" t="s">
        <v>21</v>
      </c>
      <c r="F1679" s="4">
        <v>334</v>
      </c>
      <c r="G1679" s="4">
        <v>435</v>
      </c>
      <c r="H1679" s="4">
        <v>824.62899999999991</v>
      </c>
    </row>
    <row r="1680" spans="1:33" s="5" customFormat="1" ht="56.25" hidden="1" customHeight="1" outlineLevel="1" x14ac:dyDescent="0.25">
      <c r="A1680" s="4">
        <v>3003</v>
      </c>
      <c r="B1680" s="4" t="s">
        <v>115</v>
      </c>
      <c r="C1680" s="38" t="s">
        <v>3947</v>
      </c>
      <c r="D1680" s="4">
        <v>2022</v>
      </c>
      <c r="E1680" s="4" t="s">
        <v>21</v>
      </c>
      <c r="F1680" s="4">
        <v>670</v>
      </c>
      <c r="G1680" s="4">
        <v>185</v>
      </c>
      <c r="H1680" s="4">
        <v>1022.591</v>
      </c>
    </row>
    <row r="1681" spans="1:33" s="5" customFormat="1" ht="21.75" hidden="1" customHeight="1" outlineLevel="1" x14ac:dyDescent="0.25">
      <c r="A1681" s="4">
        <v>549</v>
      </c>
      <c r="B1681" s="4" t="s">
        <v>115</v>
      </c>
      <c r="C1681" s="38" t="s">
        <v>4052</v>
      </c>
      <c r="D1681" s="4">
        <v>2022</v>
      </c>
      <c r="E1681" s="4" t="s">
        <v>21</v>
      </c>
      <c r="F1681" s="4">
        <v>1070</v>
      </c>
      <c r="G1681" s="4">
        <v>165</v>
      </c>
      <c r="H1681" s="4">
        <v>1720.1286299999999</v>
      </c>
    </row>
    <row r="1682" spans="1:33" s="5" customFormat="1" ht="21.75" hidden="1" customHeight="1" outlineLevel="1" x14ac:dyDescent="0.25">
      <c r="A1682" s="4">
        <v>5749</v>
      </c>
      <c r="B1682" s="4" t="s">
        <v>115</v>
      </c>
      <c r="C1682" s="38" t="s">
        <v>4053</v>
      </c>
      <c r="D1682" s="4">
        <v>2022</v>
      </c>
      <c r="E1682" s="4" t="s">
        <v>21</v>
      </c>
      <c r="F1682" s="4">
        <v>140</v>
      </c>
      <c r="G1682" s="4">
        <v>150</v>
      </c>
      <c r="H1682" s="4">
        <v>508.74099999999999</v>
      </c>
    </row>
    <row r="1683" spans="1:33" s="9" customFormat="1" ht="49.5" hidden="1" customHeight="1" outlineLevel="1" x14ac:dyDescent="0.25">
      <c r="A1683" s="4">
        <v>50</v>
      </c>
      <c r="B1683" s="4" t="s">
        <v>115</v>
      </c>
      <c r="C1683" s="38" t="s">
        <v>113</v>
      </c>
      <c r="D1683" s="4">
        <v>2020</v>
      </c>
      <c r="E1683" s="4"/>
      <c r="F1683" s="4">
        <v>2153</v>
      </c>
      <c r="G1683" s="4">
        <v>300</v>
      </c>
      <c r="H1683" s="4">
        <v>3123.4253399999998</v>
      </c>
      <c r="I1683" s="5"/>
      <c r="J1683" s="5"/>
      <c r="K1683" s="5"/>
      <c r="L1683" s="5"/>
      <c r="M1683" s="5"/>
      <c r="N1683" s="5"/>
      <c r="O1683" s="5"/>
      <c r="P1683" s="5"/>
      <c r="Q1683" s="5"/>
      <c r="R1683" s="5"/>
      <c r="S1683" s="5"/>
      <c r="T1683" s="5"/>
      <c r="U1683" s="5"/>
      <c r="V1683" s="5"/>
      <c r="W1683" s="5"/>
      <c r="X1683" s="5"/>
      <c r="Y1683" s="5"/>
      <c r="Z1683" s="5"/>
      <c r="AA1683" s="5"/>
      <c r="AB1683" s="5"/>
      <c r="AC1683" s="5"/>
      <c r="AD1683" s="5"/>
      <c r="AE1683" s="5"/>
      <c r="AF1683" s="5"/>
      <c r="AG1683" s="5"/>
    </row>
    <row r="1684" spans="1:33" s="9" customFormat="1" ht="49.5" hidden="1" customHeight="1" outlineLevel="1" x14ac:dyDescent="0.25">
      <c r="A1684" s="4">
        <v>1626</v>
      </c>
      <c r="B1684" s="4" t="s">
        <v>115</v>
      </c>
      <c r="C1684" s="38" t="s">
        <v>114</v>
      </c>
      <c r="D1684" s="4">
        <v>2020</v>
      </c>
      <c r="E1684" s="4"/>
      <c r="F1684" s="4">
        <v>258</v>
      </c>
      <c r="G1684" s="4">
        <v>100</v>
      </c>
      <c r="H1684" s="4">
        <v>196.00017</v>
      </c>
      <c r="I1684" s="5"/>
      <c r="J1684" s="5"/>
      <c r="K1684" s="5"/>
      <c r="L1684" s="5"/>
      <c r="M1684" s="5"/>
      <c r="N1684" s="5"/>
      <c r="O1684" s="5"/>
      <c r="P1684" s="5"/>
      <c r="Q1684" s="5"/>
      <c r="R1684" s="5"/>
      <c r="S1684" s="5"/>
      <c r="T1684" s="5"/>
      <c r="U1684" s="5"/>
      <c r="V1684" s="5"/>
      <c r="W1684" s="5"/>
      <c r="X1684" s="5"/>
      <c r="Y1684" s="5"/>
      <c r="Z1684" s="5"/>
      <c r="AA1684" s="5"/>
      <c r="AB1684" s="5"/>
      <c r="AC1684" s="5"/>
      <c r="AD1684" s="5"/>
      <c r="AE1684" s="5"/>
      <c r="AF1684" s="5"/>
      <c r="AG1684" s="5"/>
    </row>
    <row r="1685" spans="1:33" s="9" customFormat="1" ht="49.5" hidden="1" customHeight="1" outlineLevel="1" x14ac:dyDescent="0.25">
      <c r="A1685" s="4">
        <v>994</v>
      </c>
      <c r="B1685" s="4" t="s">
        <v>115</v>
      </c>
      <c r="C1685" s="38" t="s">
        <v>116</v>
      </c>
      <c r="D1685" s="4">
        <v>2020</v>
      </c>
      <c r="E1685" s="4"/>
      <c r="F1685" s="4">
        <v>300</v>
      </c>
      <c r="G1685" s="4">
        <v>15</v>
      </c>
      <c r="H1685" s="4">
        <v>488.19859000000002</v>
      </c>
      <c r="I1685" s="5"/>
      <c r="J1685" s="5"/>
      <c r="K1685" s="5"/>
      <c r="L1685" s="5"/>
      <c r="M1685" s="5"/>
      <c r="N1685" s="5"/>
      <c r="O1685" s="5"/>
      <c r="P1685" s="5"/>
      <c r="Q1685" s="5"/>
      <c r="R1685" s="5"/>
      <c r="S1685" s="5"/>
      <c r="T1685" s="5"/>
      <c r="U1685" s="5"/>
      <c r="V1685" s="5"/>
      <c r="W1685" s="5"/>
      <c r="X1685" s="5"/>
      <c r="Y1685" s="5"/>
      <c r="Z1685" s="5"/>
      <c r="AA1685" s="5"/>
      <c r="AB1685" s="5"/>
      <c r="AC1685" s="5"/>
      <c r="AD1685" s="5"/>
      <c r="AE1685" s="5"/>
      <c r="AF1685" s="5"/>
      <c r="AG1685" s="5"/>
    </row>
    <row r="1686" spans="1:33" s="9" customFormat="1" ht="15.75" hidden="1" outlineLevel="1" x14ac:dyDescent="0.25">
      <c r="A1686" s="4"/>
      <c r="B1686" s="4" t="s">
        <v>115</v>
      </c>
      <c r="C1686" s="38"/>
      <c r="D1686" s="4">
        <v>2021</v>
      </c>
      <c r="E1686" s="4"/>
      <c r="F1686" s="4"/>
      <c r="G1686" s="4"/>
      <c r="H1686" s="4"/>
      <c r="I1686" s="5"/>
      <c r="J1686" s="5"/>
      <c r="K1686" s="5"/>
      <c r="L1686" s="5"/>
      <c r="M1686" s="5"/>
      <c r="N1686" s="5"/>
      <c r="O1686" s="5"/>
      <c r="P1686" s="5"/>
      <c r="Q1686" s="5"/>
      <c r="R1686" s="5"/>
      <c r="S1686" s="5"/>
      <c r="T1686" s="5"/>
      <c r="U1686" s="5"/>
      <c r="V1686" s="5"/>
      <c r="W1686" s="5"/>
      <c r="X1686" s="5"/>
      <c r="Y1686" s="5"/>
      <c r="Z1686" s="5"/>
      <c r="AA1686" s="5"/>
      <c r="AB1686" s="5"/>
      <c r="AC1686" s="5"/>
      <c r="AD1686" s="5"/>
      <c r="AE1686" s="5"/>
      <c r="AF1686" s="5"/>
      <c r="AG1686" s="5"/>
    </row>
    <row r="1687" spans="1:33" s="9" customFormat="1" ht="15.75" hidden="1" outlineLevel="1" x14ac:dyDescent="0.25">
      <c r="A1687" s="4"/>
      <c r="B1687" s="4" t="s">
        <v>115</v>
      </c>
      <c r="C1687" s="38"/>
      <c r="D1687" s="4">
        <v>2021</v>
      </c>
      <c r="E1687" s="4"/>
      <c r="F1687" s="4"/>
      <c r="G1687" s="4"/>
      <c r="H1687" s="4"/>
      <c r="I1687" s="5"/>
      <c r="J1687" s="5"/>
      <c r="K1687" s="5"/>
      <c r="L1687" s="5"/>
      <c r="M1687" s="5"/>
      <c r="N1687" s="5"/>
      <c r="O1687" s="5"/>
      <c r="P1687" s="5"/>
      <c r="Q1687" s="5"/>
      <c r="R1687" s="5"/>
      <c r="S1687" s="5"/>
      <c r="T1687" s="5"/>
      <c r="U1687" s="5"/>
      <c r="V1687" s="5"/>
      <c r="W1687" s="5"/>
      <c r="X1687" s="5"/>
      <c r="Y1687" s="5"/>
      <c r="Z1687" s="5"/>
      <c r="AA1687" s="5"/>
      <c r="AB1687" s="5"/>
      <c r="AC1687" s="5"/>
      <c r="AD1687" s="5"/>
      <c r="AE1687" s="5"/>
      <c r="AF1687" s="5"/>
      <c r="AG1687" s="5"/>
    </row>
    <row r="1688" spans="1:33" s="5" customFormat="1" ht="15.75" collapsed="1" x14ac:dyDescent="0.25">
      <c r="A1688" s="208"/>
      <c r="B1688" s="174" t="s">
        <v>117</v>
      </c>
      <c r="C1688" s="189" t="s">
        <v>3189</v>
      </c>
      <c r="D1688" s="189"/>
      <c r="E1688" s="174" t="s">
        <v>21</v>
      </c>
      <c r="F1688" s="174"/>
      <c r="G1688" s="174"/>
      <c r="H1688" s="174"/>
    </row>
    <row r="1689" spans="1:33" s="13" customFormat="1" ht="17.25" customHeight="1" x14ac:dyDescent="0.25">
      <c r="A1689" s="210"/>
      <c r="B1689" s="188"/>
      <c r="C1689" s="190"/>
      <c r="D1689" s="190"/>
      <c r="E1689" s="188" t="s">
        <v>21</v>
      </c>
      <c r="F1689" s="188"/>
      <c r="G1689" s="188"/>
      <c r="H1689" s="188"/>
      <c r="I1689" s="5"/>
      <c r="J1689" s="5"/>
      <c r="K1689" s="5"/>
      <c r="L1689" s="5"/>
      <c r="M1689" s="5"/>
      <c r="N1689" s="5"/>
      <c r="O1689" s="5"/>
      <c r="P1689" s="5"/>
      <c r="Q1689" s="5"/>
      <c r="R1689" s="5"/>
      <c r="S1689" s="5"/>
      <c r="T1689" s="5"/>
      <c r="U1689" s="5"/>
      <c r="V1689" s="5"/>
      <c r="W1689" s="5"/>
      <c r="X1689" s="5"/>
      <c r="Y1689" s="5"/>
      <c r="Z1689" s="5"/>
      <c r="AA1689" s="5"/>
      <c r="AB1689" s="5"/>
      <c r="AC1689" s="5"/>
      <c r="AD1689" s="5"/>
      <c r="AE1689" s="5"/>
      <c r="AF1689" s="5"/>
      <c r="AG1689" s="5"/>
    </row>
    <row r="1690" spans="1:33" s="13" customFormat="1" ht="14.25" customHeight="1" x14ac:dyDescent="0.25">
      <c r="A1690" s="209"/>
      <c r="B1690" s="175"/>
      <c r="C1690" s="191"/>
      <c r="D1690" s="191"/>
      <c r="E1690" s="175"/>
      <c r="F1690" s="175"/>
      <c r="G1690" s="175"/>
      <c r="H1690" s="175"/>
      <c r="I1690" s="5"/>
      <c r="J1690" s="5"/>
      <c r="K1690" s="5"/>
      <c r="L1690" s="5"/>
      <c r="M1690" s="5"/>
      <c r="N1690" s="5"/>
      <c r="O1690" s="5"/>
      <c r="P1690" s="5"/>
      <c r="Q1690" s="5"/>
      <c r="R1690" s="5"/>
      <c r="S1690" s="5"/>
      <c r="T1690" s="5"/>
      <c r="U1690" s="5"/>
      <c r="V1690" s="5"/>
      <c r="W1690" s="5"/>
      <c r="X1690" s="5"/>
      <c r="Y1690" s="5"/>
      <c r="Z1690" s="5"/>
      <c r="AA1690" s="5"/>
      <c r="AB1690" s="5"/>
      <c r="AC1690" s="5"/>
      <c r="AD1690" s="5"/>
      <c r="AE1690" s="5"/>
      <c r="AF1690" s="5"/>
      <c r="AG1690" s="5"/>
    </row>
    <row r="1691" spans="1:33" s="13" customFormat="1" ht="17.25" customHeight="1" x14ac:dyDescent="0.25">
      <c r="A1691" s="4"/>
      <c r="B1691" s="11" t="s">
        <v>117</v>
      </c>
      <c r="C1691" s="12" t="s">
        <v>1102</v>
      </c>
      <c r="D1691" s="11">
        <v>2020</v>
      </c>
      <c r="E1691" s="11" t="s">
        <v>21</v>
      </c>
      <c r="F1691" s="11">
        <f>SUMIF($D$1694:$D$2787,$D$1691,$F$1694:$F$2787)</f>
        <v>70730</v>
      </c>
      <c r="G1691" s="14">
        <f>SUMIF($D$1694:$D$2787,$D$1691,$G$1694:$G$2787)</f>
        <v>13127.970000000001</v>
      </c>
      <c r="H1691" s="14">
        <f>SUMIF($D$1694:$D$2787,$D$1691,$H$1694:$H$2787)</f>
        <v>111442.92565</v>
      </c>
      <c r="I1691" s="5"/>
      <c r="J1691" s="5"/>
      <c r="K1691" s="5"/>
      <c r="L1691" s="5"/>
      <c r="M1691" s="5"/>
      <c r="N1691" s="5"/>
      <c r="O1691" s="5"/>
      <c r="P1691" s="5"/>
      <c r="Q1691" s="5"/>
      <c r="R1691" s="5"/>
      <c r="S1691" s="5"/>
      <c r="T1691" s="5"/>
      <c r="U1691" s="5"/>
      <c r="V1691" s="5"/>
      <c r="W1691" s="5"/>
      <c r="X1691" s="5"/>
      <c r="Y1691" s="5"/>
      <c r="Z1691" s="5"/>
      <c r="AA1691" s="5"/>
      <c r="AB1691" s="5"/>
      <c r="AC1691" s="5"/>
      <c r="AD1691" s="5"/>
      <c r="AE1691" s="5"/>
      <c r="AF1691" s="5"/>
      <c r="AG1691" s="5"/>
    </row>
    <row r="1692" spans="1:33" s="25" customFormat="1" ht="17.25" customHeight="1" x14ac:dyDescent="0.25">
      <c r="A1692" s="4"/>
      <c r="B1692" s="11" t="s">
        <v>117</v>
      </c>
      <c r="C1692" s="12" t="s">
        <v>1102</v>
      </c>
      <c r="D1692" s="11">
        <v>2021</v>
      </c>
      <c r="E1692" s="11" t="s">
        <v>21</v>
      </c>
      <c r="F1692" s="11">
        <f>SUMIF($D$1694:$D$2787,$D$1692,$F$1694:$F$2787)</f>
        <v>54948</v>
      </c>
      <c r="G1692" s="14">
        <f>SUMIF($D$1694:$D$2787,$D$1692,$G$1694:$G$2787)</f>
        <v>9414.7599999999984</v>
      </c>
      <c r="H1692" s="14">
        <f>SUMIF($D$1694:$D$2787,$D$1692,$H$1694:$H$2787)</f>
        <v>81181.607677999957</v>
      </c>
      <c r="I1692" s="5"/>
      <c r="J1692" s="5"/>
      <c r="K1692" s="5"/>
      <c r="L1692" s="5"/>
      <c r="M1692" s="5"/>
      <c r="N1692" s="5"/>
      <c r="O1692" s="5"/>
      <c r="P1692" s="5"/>
      <c r="Q1692" s="5"/>
      <c r="R1692" s="5"/>
      <c r="S1692" s="5"/>
      <c r="T1692" s="5"/>
      <c r="U1692" s="5"/>
      <c r="V1692" s="5"/>
      <c r="W1692" s="5"/>
      <c r="X1692" s="5"/>
      <c r="Y1692" s="5"/>
      <c r="Z1692" s="5"/>
      <c r="AA1692" s="5"/>
      <c r="AB1692" s="5"/>
      <c r="AC1692" s="5"/>
      <c r="AD1692" s="5"/>
      <c r="AE1692" s="5"/>
      <c r="AF1692" s="5"/>
      <c r="AG1692" s="5"/>
    </row>
    <row r="1693" spans="1:33" s="25" customFormat="1" ht="15.75" customHeight="1" x14ac:dyDescent="0.25">
      <c r="A1693" s="4"/>
      <c r="B1693" s="11" t="s">
        <v>117</v>
      </c>
      <c r="C1693" s="12" t="s">
        <v>1102</v>
      </c>
      <c r="D1693" s="11">
        <v>2022</v>
      </c>
      <c r="E1693" s="11" t="s">
        <v>21</v>
      </c>
      <c r="F1693" s="11">
        <f>SUMIF($D$1694:$D$2787,$D$1693,$F$1694:$F$2787)</f>
        <v>21760</v>
      </c>
      <c r="G1693" s="14">
        <f>SUMIF($D$1694:$D$2787,$D$1693,$G$1694:$G$2787)</f>
        <v>2865.9</v>
      </c>
      <c r="H1693" s="14">
        <f ca="1">SUMIF($D$1694:$H$2787,$D$1693,$H$1694:$H$2787)</f>
        <v>37885.572103559025</v>
      </c>
      <c r="I1693" s="5"/>
      <c r="J1693" s="5"/>
      <c r="K1693" s="5"/>
      <c r="L1693" s="5"/>
      <c r="M1693" s="5"/>
      <c r="N1693" s="5"/>
      <c r="O1693" s="5"/>
      <c r="P1693" s="5"/>
      <c r="Q1693" s="5"/>
      <c r="R1693" s="5"/>
      <c r="S1693" s="5"/>
      <c r="T1693" s="5"/>
      <c r="U1693" s="5"/>
      <c r="V1693" s="5"/>
      <c r="W1693" s="5"/>
      <c r="X1693" s="5"/>
      <c r="Y1693" s="5"/>
      <c r="Z1693" s="5"/>
      <c r="AA1693" s="5"/>
      <c r="AB1693" s="5"/>
      <c r="AC1693" s="5"/>
      <c r="AD1693" s="5"/>
      <c r="AE1693" s="5"/>
      <c r="AF1693" s="5"/>
      <c r="AG1693" s="5"/>
    </row>
    <row r="1694" spans="1:33" s="5" customFormat="1" ht="17.25" hidden="1" customHeight="1" outlineLevel="1" x14ac:dyDescent="0.25">
      <c r="A1694" s="4">
        <v>4791</v>
      </c>
      <c r="B1694" s="4" t="s">
        <v>117</v>
      </c>
      <c r="C1694" s="38" t="s">
        <v>3962</v>
      </c>
      <c r="D1694" s="4">
        <v>2022</v>
      </c>
      <c r="E1694" s="4" t="s">
        <v>21</v>
      </c>
      <c r="F1694" s="4">
        <v>1216</v>
      </c>
      <c r="G1694" s="113">
        <v>15</v>
      </c>
      <c r="H1694" s="42">
        <v>1579</v>
      </c>
    </row>
    <row r="1695" spans="1:33" s="5" customFormat="1" ht="17.25" hidden="1" customHeight="1" outlineLevel="1" x14ac:dyDescent="0.25">
      <c r="A1695" s="4">
        <v>4793</v>
      </c>
      <c r="B1695" s="4" t="s">
        <v>117</v>
      </c>
      <c r="C1695" s="38" t="s">
        <v>4054</v>
      </c>
      <c r="D1695" s="4">
        <v>2022</v>
      </c>
      <c r="E1695" s="4" t="s">
        <v>21</v>
      </c>
      <c r="F1695" s="4">
        <v>330</v>
      </c>
      <c r="G1695" s="113">
        <v>15</v>
      </c>
      <c r="H1695" s="42">
        <v>718</v>
      </c>
    </row>
    <row r="1696" spans="1:33" s="5" customFormat="1" ht="17.25" hidden="1" customHeight="1" outlineLevel="1" x14ac:dyDescent="0.25">
      <c r="A1696" s="4">
        <v>4579</v>
      </c>
      <c r="B1696" s="4" t="s">
        <v>117</v>
      </c>
      <c r="C1696" s="38" t="s">
        <v>4055</v>
      </c>
      <c r="D1696" s="4">
        <v>2022</v>
      </c>
      <c r="E1696" s="4" t="s">
        <v>21</v>
      </c>
      <c r="F1696" s="4">
        <v>68</v>
      </c>
      <c r="G1696" s="113">
        <v>15</v>
      </c>
      <c r="H1696" s="42">
        <v>167</v>
      </c>
    </row>
    <row r="1697" spans="1:8" s="5" customFormat="1" ht="17.25" hidden="1" customHeight="1" outlineLevel="1" x14ac:dyDescent="0.25">
      <c r="A1697" s="4">
        <v>4581</v>
      </c>
      <c r="B1697" s="4" t="s">
        <v>117</v>
      </c>
      <c r="C1697" s="38" t="s">
        <v>4056</v>
      </c>
      <c r="D1697" s="4">
        <v>2022</v>
      </c>
      <c r="E1697" s="4" t="s">
        <v>21</v>
      </c>
      <c r="F1697" s="4">
        <v>125</v>
      </c>
      <c r="G1697" s="113">
        <v>15</v>
      </c>
      <c r="H1697" s="42">
        <v>233</v>
      </c>
    </row>
    <row r="1698" spans="1:8" s="5" customFormat="1" ht="17.25" hidden="1" customHeight="1" outlineLevel="1" x14ac:dyDescent="0.25">
      <c r="A1698" s="4">
        <v>4794</v>
      </c>
      <c r="B1698" s="4" t="s">
        <v>117</v>
      </c>
      <c r="C1698" s="38" t="s">
        <v>4057</v>
      </c>
      <c r="D1698" s="4">
        <v>2022</v>
      </c>
      <c r="E1698" s="4" t="s">
        <v>21</v>
      </c>
      <c r="F1698" s="4">
        <v>368</v>
      </c>
      <c r="G1698" s="113">
        <v>15</v>
      </c>
      <c r="H1698" s="42">
        <v>516</v>
      </c>
    </row>
    <row r="1699" spans="1:8" s="5" customFormat="1" ht="17.25" hidden="1" customHeight="1" outlineLevel="1" x14ac:dyDescent="0.25">
      <c r="A1699" s="4">
        <v>4795</v>
      </c>
      <c r="B1699" s="4" t="s">
        <v>117</v>
      </c>
      <c r="C1699" s="38" t="s">
        <v>4058</v>
      </c>
      <c r="D1699" s="4">
        <v>2022</v>
      </c>
      <c r="E1699" s="4" t="s">
        <v>21</v>
      </c>
      <c r="F1699" s="4">
        <v>172</v>
      </c>
      <c r="G1699" s="113">
        <v>15</v>
      </c>
      <c r="H1699" s="42">
        <v>281</v>
      </c>
    </row>
    <row r="1700" spans="1:8" s="5" customFormat="1" ht="17.25" hidden="1" customHeight="1" outlineLevel="1" x14ac:dyDescent="0.25">
      <c r="A1700" s="4">
        <v>4797</v>
      </c>
      <c r="B1700" s="4" t="s">
        <v>117</v>
      </c>
      <c r="C1700" s="38" t="s">
        <v>4059</v>
      </c>
      <c r="D1700" s="4">
        <v>2022</v>
      </c>
      <c r="E1700" s="4" t="s">
        <v>21</v>
      </c>
      <c r="F1700" s="4">
        <v>429</v>
      </c>
      <c r="G1700" s="113">
        <v>15</v>
      </c>
      <c r="H1700" s="42">
        <v>590</v>
      </c>
    </row>
    <row r="1701" spans="1:8" s="5" customFormat="1" ht="17.25" hidden="1" customHeight="1" outlineLevel="1" x14ac:dyDescent="0.25">
      <c r="A1701" s="4">
        <v>4827</v>
      </c>
      <c r="B1701" s="4" t="s">
        <v>117</v>
      </c>
      <c r="C1701" s="38" t="s">
        <v>4060</v>
      </c>
      <c r="D1701" s="4">
        <v>2022</v>
      </c>
      <c r="E1701" s="4" t="s">
        <v>21</v>
      </c>
      <c r="F1701" s="4">
        <v>243</v>
      </c>
      <c r="G1701" s="113">
        <v>15</v>
      </c>
      <c r="H1701" s="42">
        <v>467</v>
      </c>
    </row>
    <row r="1702" spans="1:8" s="5" customFormat="1" ht="17.25" hidden="1" customHeight="1" outlineLevel="1" x14ac:dyDescent="0.25">
      <c r="A1702" s="4">
        <v>4603</v>
      </c>
      <c r="B1702" s="4" t="s">
        <v>117</v>
      </c>
      <c r="C1702" s="38" t="s">
        <v>3964</v>
      </c>
      <c r="D1702" s="4">
        <v>2022</v>
      </c>
      <c r="E1702" s="4" t="s">
        <v>21</v>
      </c>
      <c r="F1702" s="4">
        <v>10</v>
      </c>
      <c r="G1702" s="113">
        <v>16</v>
      </c>
      <c r="H1702" s="42">
        <v>42</v>
      </c>
    </row>
    <row r="1703" spans="1:8" s="5" customFormat="1" ht="17.25" hidden="1" customHeight="1" outlineLevel="1" x14ac:dyDescent="0.25">
      <c r="A1703" s="4">
        <v>4604</v>
      </c>
      <c r="B1703" s="4" t="s">
        <v>117</v>
      </c>
      <c r="C1703" s="38" t="s">
        <v>3967</v>
      </c>
      <c r="D1703" s="4">
        <v>2022</v>
      </c>
      <c r="E1703" s="4" t="s">
        <v>21</v>
      </c>
      <c r="F1703" s="4">
        <v>8</v>
      </c>
      <c r="G1703" s="113">
        <v>25</v>
      </c>
      <c r="H1703" s="42">
        <v>32</v>
      </c>
    </row>
    <row r="1704" spans="1:8" s="5" customFormat="1" ht="17.25" hidden="1" customHeight="1" outlineLevel="1" x14ac:dyDescent="0.25">
      <c r="A1704" s="4">
        <v>4828</v>
      </c>
      <c r="B1704" s="4" t="s">
        <v>117</v>
      </c>
      <c r="C1704" s="38" t="s">
        <v>4061</v>
      </c>
      <c r="D1704" s="4">
        <v>2022</v>
      </c>
      <c r="E1704" s="4" t="s">
        <v>21</v>
      </c>
      <c r="F1704" s="4">
        <v>637</v>
      </c>
      <c r="G1704" s="113">
        <v>15</v>
      </c>
      <c r="H1704" s="42">
        <v>946</v>
      </c>
    </row>
    <row r="1705" spans="1:8" s="5" customFormat="1" ht="17.25" hidden="1" customHeight="1" outlineLevel="1" x14ac:dyDescent="0.25">
      <c r="A1705" s="4">
        <v>4852</v>
      </c>
      <c r="B1705" s="4" t="s">
        <v>117</v>
      </c>
      <c r="C1705" s="38" t="s">
        <v>4062</v>
      </c>
      <c r="D1705" s="4">
        <v>2022</v>
      </c>
      <c r="E1705" s="4" t="s">
        <v>21</v>
      </c>
      <c r="F1705" s="4">
        <v>210</v>
      </c>
      <c r="G1705" s="42">
        <v>15</v>
      </c>
      <c r="H1705" s="42">
        <v>425</v>
      </c>
    </row>
    <row r="1706" spans="1:8" s="5" customFormat="1" ht="17.25" hidden="1" customHeight="1" outlineLevel="1" x14ac:dyDescent="0.25">
      <c r="A1706" s="4">
        <v>4876</v>
      </c>
      <c r="B1706" s="4" t="s">
        <v>117</v>
      </c>
      <c r="C1706" s="38" t="s">
        <v>4063</v>
      </c>
      <c r="D1706" s="4">
        <v>2022</v>
      </c>
      <c r="E1706" s="4" t="s">
        <v>21</v>
      </c>
      <c r="F1706" s="4">
        <v>385</v>
      </c>
      <c r="G1706" s="42">
        <v>15</v>
      </c>
      <c r="H1706" s="42">
        <v>512</v>
      </c>
    </row>
    <row r="1707" spans="1:8" s="5" customFormat="1" ht="17.25" hidden="1" customHeight="1" outlineLevel="1" x14ac:dyDescent="0.25">
      <c r="A1707" s="4">
        <v>4877</v>
      </c>
      <c r="B1707" s="4" t="s">
        <v>117</v>
      </c>
      <c r="C1707" s="38" t="s">
        <v>3969</v>
      </c>
      <c r="D1707" s="4">
        <v>2022</v>
      </c>
      <c r="E1707" s="4" t="s">
        <v>21</v>
      </c>
      <c r="F1707" s="4">
        <v>5</v>
      </c>
      <c r="G1707" s="113">
        <v>40</v>
      </c>
      <c r="H1707" s="42">
        <v>51</v>
      </c>
    </row>
    <row r="1708" spans="1:8" s="5" customFormat="1" ht="17.25" hidden="1" customHeight="1" outlineLevel="1" x14ac:dyDescent="0.25">
      <c r="A1708" s="4">
        <v>4641</v>
      </c>
      <c r="B1708" s="4" t="s">
        <v>117</v>
      </c>
      <c r="C1708" s="38" t="s">
        <v>4064</v>
      </c>
      <c r="D1708" s="4">
        <v>2022</v>
      </c>
      <c r="E1708" s="4" t="s">
        <v>21</v>
      </c>
      <c r="F1708" s="4">
        <v>140</v>
      </c>
      <c r="G1708" s="113">
        <v>15</v>
      </c>
      <c r="H1708" s="42">
        <v>219</v>
      </c>
    </row>
    <row r="1709" spans="1:8" s="5" customFormat="1" ht="17.25" hidden="1" customHeight="1" outlineLevel="1" x14ac:dyDescent="0.25">
      <c r="A1709" s="4">
        <v>4615</v>
      </c>
      <c r="B1709" s="4" t="s">
        <v>117</v>
      </c>
      <c r="C1709" s="38" t="s">
        <v>4065</v>
      </c>
      <c r="D1709" s="4">
        <v>2022</v>
      </c>
      <c r="E1709" s="4" t="s">
        <v>21</v>
      </c>
      <c r="F1709" s="4">
        <v>93</v>
      </c>
      <c r="G1709" s="113">
        <v>15</v>
      </c>
      <c r="H1709" s="42">
        <v>164</v>
      </c>
    </row>
    <row r="1710" spans="1:8" s="5" customFormat="1" ht="17.25" hidden="1" customHeight="1" outlineLevel="1" x14ac:dyDescent="0.25">
      <c r="A1710" s="4">
        <v>4614</v>
      </c>
      <c r="B1710" s="4" t="s">
        <v>117</v>
      </c>
      <c r="C1710" s="38" t="s">
        <v>4066</v>
      </c>
      <c r="D1710" s="4">
        <v>2022</v>
      </c>
      <c r="E1710" s="4" t="s">
        <v>21</v>
      </c>
      <c r="F1710" s="4">
        <v>305</v>
      </c>
      <c r="G1710" s="113">
        <v>15</v>
      </c>
      <c r="H1710" s="42">
        <v>465</v>
      </c>
    </row>
    <row r="1711" spans="1:8" s="5" customFormat="1" ht="17.25" hidden="1" customHeight="1" outlineLevel="1" x14ac:dyDescent="0.25">
      <c r="A1711" s="4">
        <v>4898</v>
      </c>
      <c r="B1711" s="4" t="s">
        <v>117</v>
      </c>
      <c r="C1711" s="38" t="s">
        <v>4067</v>
      </c>
      <c r="D1711" s="4">
        <v>2022</v>
      </c>
      <c r="E1711" s="4" t="s">
        <v>21</v>
      </c>
      <c r="F1711" s="4">
        <v>284</v>
      </c>
      <c r="G1711" s="42">
        <v>15</v>
      </c>
      <c r="H1711" s="42">
        <v>753</v>
      </c>
    </row>
    <row r="1712" spans="1:8" s="5" customFormat="1" ht="17.25" hidden="1" customHeight="1" outlineLevel="1" x14ac:dyDescent="0.25">
      <c r="A1712" s="4">
        <v>4901</v>
      </c>
      <c r="B1712" s="4" t="s">
        <v>117</v>
      </c>
      <c r="C1712" s="38" t="s">
        <v>4068</v>
      </c>
      <c r="D1712" s="4">
        <v>2022</v>
      </c>
      <c r="E1712" s="4" t="s">
        <v>21</v>
      </c>
      <c r="F1712" s="4">
        <v>469</v>
      </c>
      <c r="G1712" s="113">
        <v>15</v>
      </c>
      <c r="H1712" s="42">
        <v>802</v>
      </c>
    </row>
    <row r="1713" spans="1:8" s="5" customFormat="1" ht="17.25" hidden="1" customHeight="1" outlineLevel="1" x14ac:dyDescent="0.25">
      <c r="A1713" s="4">
        <v>4904</v>
      </c>
      <c r="B1713" s="4" t="s">
        <v>117</v>
      </c>
      <c r="C1713" s="38" t="s">
        <v>4069</v>
      </c>
      <c r="D1713" s="4">
        <v>2022</v>
      </c>
      <c r="E1713" s="4" t="s">
        <v>21</v>
      </c>
      <c r="F1713" s="4">
        <v>179</v>
      </c>
      <c r="G1713" s="113">
        <v>15</v>
      </c>
      <c r="H1713" s="42">
        <v>474</v>
      </c>
    </row>
    <row r="1714" spans="1:8" s="5" customFormat="1" ht="17.25" hidden="1" customHeight="1" outlineLevel="1" x14ac:dyDescent="0.25">
      <c r="A1714" s="4">
        <v>4903</v>
      </c>
      <c r="B1714" s="4" t="s">
        <v>117</v>
      </c>
      <c r="C1714" s="38" t="s">
        <v>4070</v>
      </c>
      <c r="D1714" s="4">
        <v>2022</v>
      </c>
      <c r="E1714" s="4" t="s">
        <v>21</v>
      </c>
      <c r="F1714" s="4">
        <v>399</v>
      </c>
      <c r="G1714" s="113">
        <v>15</v>
      </c>
      <c r="H1714" s="42">
        <v>785</v>
      </c>
    </row>
    <row r="1715" spans="1:8" s="5" customFormat="1" ht="17.25" hidden="1" customHeight="1" outlineLevel="1" x14ac:dyDescent="0.25">
      <c r="A1715" s="4">
        <v>4570</v>
      </c>
      <c r="B1715" s="4" t="s">
        <v>117</v>
      </c>
      <c r="C1715" s="38" t="s">
        <v>4071</v>
      </c>
      <c r="D1715" s="4">
        <v>2022</v>
      </c>
      <c r="E1715" s="4" t="s">
        <v>21</v>
      </c>
      <c r="F1715" s="4">
        <v>40</v>
      </c>
      <c r="G1715" s="113">
        <v>139.4</v>
      </c>
      <c r="H1715" s="42">
        <v>135</v>
      </c>
    </row>
    <row r="1716" spans="1:8" s="5" customFormat="1" ht="17.25" hidden="1" customHeight="1" outlineLevel="1" x14ac:dyDescent="0.25">
      <c r="A1716" s="4">
        <v>4580</v>
      </c>
      <c r="B1716" s="4" t="s">
        <v>117</v>
      </c>
      <c r="C1716" s="38" t="s">
        <v>4072</v>
      </c>
      <c r="D1716" s="4">
        <v>2022</v>
      </c>
      <c r="E1716" s="4" t="s">
        <v>21</v>
      </c>
      <c r="F1716" s="4">
        <v>40</v>
      </c>
      <c r="G1716" s="113">
        <v>134.5</v>
      </c>
      <c r="H1716" s="42">
        <v>129</v>
      </c>
    </row>
    <row r="1717" spans="1:8" s="5" customFormat="1" ht="17.25" hidden="1" customHeight="1" outlineLevel="1" x14ac:dyDescent="0.25">
      <c r="A1717" s="4">
        <v>4899</v>
      </c>
      <c r="B1717" s="4" t="s">
        <v>117</v>
      </c>
      <c r="C1717" s="38" t="s">
        <v>3973</v>
      </c>
      <c r="D1717" s="4">
        <v>2022</v>
      </c>
      <c r="E1717" s="4" t="s">
        <v>21</v>
      </c>
      <c r="F1717" s="4">
        <v>352</v>
      </c>
      <c r="G1717" s="42">
        <v>47</v>
      </c>
      <c r="H1717" s="42">
        <v>545</v>
      </c>
    </row>
    <row r="1718" spans="1:8" s="5" customFormat="1" ht="17.25" hidden="1" customHeight="1" outlineLevel="1" x14ac:dyDescent="0.25">
      <c r="A1718" s="4">
        <v>4900</v>
      </c>
      <c r="B1718" s="4" t="s">
        <v>117</v>
      </c>
      <c r="C1718" s="38" t="s">
        <v>4073</v>
      </c>
      <c r="D1718" s="4">
        <v>2022</v>
      </c>
      <c r="E1718" s="4" t="s">
        <v>21</v>
      </c>
      <c r="F1718" s="4">
        <v>310</v>
      </c>
      <c r="G1718" s="113">
        <v>15</v>
      </c>
      <c r="H1718" s="42">
        <v>658</v>
      </c>
    </row>
    <row r="1719" spans="1:8" s="5" customFormat="1" ht="17.25" hidden="1" customHeight="1" outlineLevel="1" x14ac:dyDescent="0.25">
      <c r="A1719" s="4">
        <v>4902</v>
      </c>
      <c r="B1719" s="4" t="s">
        <v>117</v>
      </c>
      <c r="C1719" s="38" t="s">
        <v>4074</v>
      </c>
      <c r="D1719" s="4">
        <v>2022</v>
      </c>
      <c r="E1719" s="4" t="s">
        <v>21</v>
      </c>
      <c r="F1719" s="4">
        <v>243</v>
      </c>
      <c r="G1719" s="113">
        <v>15</v>
      </c>
      <c r="H1719" s="42">
        <v>531</v>
      </c>
    </row>
    <row r="1720" spans="1:8" s="5" customFormat="1" ht="17.25" hidden="1" customHeight="1" outlineLevel="1" x14ac:dyDescent="0.25">
      <c r="A1720" s="4">
        <v>4617</v>
      </c>
      <c r="B1720" s="4" t="s">
        <v>117</v>
      </c>
      <c r="C1720" s="38" t="s">
        <v>4075</v>
      </c>
      <c r="D1720" s="4">
        <v>2022</v>
      </c>
      <c r="E1720" s="4" t="s">
        <v>21</v>
      </c>
      <c r="F1720" s="4">
        <v>108</v>
      </c>
      <c r="G1720" s="113">
        <v>15</v>
      </c>
      <c r="H1720" s="42">
        <v>176</v>
      </c>
    </row>
    <row r="1721" spans="1:8" s="5" customFormat="1" ht="17.25" hidden="1" customHeight="1" outlineLevel="1" x14ac:dyDescent="0.25">
      <c r="A1721" s="4">
        <v>4701</v>
      </c>
      <c r="B1721" s="4" t="s">
        <v>117</v>
      </c>
      <c r="C1721" s="38" t="s">
        <v>4076</v>
      </c>
      <c r="D1721" s="4">
        <v>2022</v>
      </c>
      <c r="E1721" s="4" t="s">
        <v>21</v>
      </c>
      <c r="F1721" s="4">
        <v>45</v>
      </c>
      <c r="G1721" s="113">
        <v>15</v>
      </c>
      <c r="H1721" s="42">
        <v>77.98</v>
      </c>
    </row>
    <row r="1722" spans="1:8" s="5" customFormat="1" ht="17.25" hidden="1" customHeight="1" outlineLevel="1" x14ac:dyDescent="0.25">
      <c r="A1722" s="4">
        <v>4833</v>
      </c>
      <c r="B1722" s="4" t="s">
        <v>117</v>
      </c>
      <c r="C1722" s="38" t="s">
        <v>4077</v>
      </c>
      <c r="D1722" s="4">
        <v>2022</v>
      </c>
      <c r="E1722" s="4" t="s">
        <v>21</v>
      </c>
      <c r="F1722" s="4">
        <v>45</v>
      </c>
      <c r="G1722" s="113">
        <v>15</v>
      </c>
      <c r="H1722" s="42">
        <v>61</v>
      </c>
    </row>
    <row r="1723" spans="1:8" s="5" customFormat="1" ht="17.25" hidden="1" customHeight="1" outlineLevel="1" x14ac:dyDescent="0.25">
      <c r="A1723" s="4">
        <v>4834</v>
      </c>
      <c r="B1723" s="4" t="s">
        <v>117</v>
      </c>
      <c r="C1723" s="38" t="s">
        <v>4078</v>
      </c>
      <c r="D1723" s="4">
        <v>2022</v>
      </c>
      <c r="E1723" s="4" t="s">
        <v>21</v>
      </c>
      <c r="F1723" s="4">
        <v>45</v>
      </c>
      <c r="G1723" s="113">
        <v>15</v>
      </c>
      <c r="H1723" s="42">
        <v>61</v>
      </c>
    </row>
    <row r="1724" spans="1:8" s="5" customFormat="1" ht="17.25" hidden="1" customHeight="1" outlineLevel="1" x14ac:dyDescent="0.25">
      <c r="A1724" s="4">
        <v>4915</v>
      </c>
      <c r="B1724" s="4" t="s">
        <v>117</v>
      </c>
      <c r="C1724" s="38" t="s">
        <v>4079</v>
      </c>
      <c r="D1724" s="4">
        <v>2022</v>
      </c>
      <c r="E1724" s="4" t="s">
        <v>21</v>
      </c>
      <c r="F1724" s="4">
        <v>272</v>
      </c>
      <c r="G1724" s="113">
        <v>15</v>
      </c>
      <c r="H1724" s="42">
        <v>499</v>
      </c>
    </row>
    <row r="1725" spans="1:8" s="5" customFormat="1" ht="17.25" hidden="1" customHeight="1" outlineLevel="1" x14ac:dyDescent="0.25">
      <c r="A1725" s="4">
        <v>4747</v>
      </c>
      <c r="B1725" s="4" t="s">
        <v>117</v>
      </c>
      <c r="C1725" s="38" t="s">
        <v>4080</v>
      </c>
      <c r="D1725" s="4">
        <v>2022</v>
      </c>
      <c r="E1725" s="4" t="s">
        <v>21</v>
      </c>
      <c r="F1725" s="4">
        <v>30</v>
      </c>
      <c r="G1725" s="113">
        <v>15</v>
      </c>
      <c r="H1725" s="42">
        <v>102.76</v>
      </c>
    </row>
    <row r="1726" spans="1:8" s="5" customFormat="1" ht="17.25" hidden="1" customHeight="1" outlineLevel="1" x14ac:dyDescent="0.25">
      <c r="A1726" s="4">
        <v>4914</v>
      </c>
      <c r="B1726" s="4" t="s">
        <v>117</v>
      </c>
      <c r="C1726" s="38" t="s">
        <v>4081</v>
      </c>
      <c r="D1726" s="4">
        <v>2022</v>
      </c>
      <c r="E1726" s="4" t="s">
        <v>21</v>
      </c>
      <c r="F1726" s="4">
        <v>5</v>
      </c>
      <c r="G1726" s="113">
        <v>15</v>
      </c>
      <c r="H1726" s="42">
        <v>93</v>
      </c>
    </row>
    <row r="1727" spans="1:8" s="5" customFormat="1" ht="17.25" hidden="1" customHeight="1" outlineLevel="1" x14ac:dyDescent="0.25">
      <c r="A1727" s="4">
        <v>4589</v>
      </c>
      <c r="B1727" s="4" t="s">
        <v>117</v>
      </c>
      <c r="C1727" s="38" t="s">
        <v>4082</v>
      </c>
      <c r="D1727" s="4">
        <v>2022</v>
      </c>
      <c r="E1727" s="4" t="s">
        <v>21</v>
      </c>
      <c r="F1727" s="4">
        <v>25</v>
      </c>
      <c r="G1727" s="113">
        <v>20</v>
      </c>
      <c r="H1727" s="42">
        <v>81.809999999999988</v>
      </c>
    </row>
    <row r="1728" spans="1:8" s="5" customFormat="1" ht="17.25" hidden="1" customHeight="1" outlineLevel="1" x14ac:dyDescent="0.25">
      <c r="A1728" s="4">
        <v>4746</v>
      </c>
      <c r="B1728" s="4" t="s">
        <v>117</v>
      </c>
      <c r="C1728" s="38" t="s">
        <v>4083</v>
      </c>
      <c r="D1728" s="4">
        <v>2022</v>
      </c>
      <c r="E1728" s="4" t="s">
        <v>21</v>
      </c>
      <c r="F1728" s="4">
        <v>74</v>
      </c>
      <c r="G1728" s="113">
        <v>15</v>
      </c>
      <c r="H1728" s="42">
        <v>42.09</v>
      </c>
    </row>
    <row r="1729" spans="1:8" s="5" customFormat="1" ht="17.25" hidden="1" customHeight="1" outlineLevel="1" x14ac:dyDescent="0.25">
      <c r="A1729" s="4">
        <v>4855</v>
      </c>
      <c r="B1729" s="4" t="s">
        <v>117</v>
      </c>
      <c r="C1729" s="38" t="s">
        <v>4084</v>
      </c>
      <c r="D1729" s="4">
        <v>2022</v>
      </c>
      <c r="E1729" s="4" t="s">
        <v>21</v>
      </c>
      <c r="F1729" s="4">
        <v>45</v>
      </c>
      <c r="G1729" s="113">
        <v>5</v>
      </c>
      <c r="H1729" s="42">
        <v>81.309999999999988</v>
      </c>
    </row>
    <row r="1730" spans="1:8" s="5" customFormat="1" ht="17.25" hidden="1" customHeight="1" outlineLevel="1" x14ac:dyDescent="0.25">
      <c r="A1730" s="4">
        <v>4675</v>
      </c>
      <c r="B1730" s="4" t="s">
        <v>117</v>
      </c>
      <c r="C1730" s="38" t="s">
        <v>4085</v>
      </c>
      <c r="D1730" s="4">
        <v>2022</v>
      </c>
      <c r="E1730" s="4" t="s">
        <v>21</v>
      </c>
      <c r="F1730" s="4">
        <v>37</v>
      </c>
      <c r="G1730" s="113">
        <v>7.5</v>
      </c>
      <c r="H1730" s="42">
        <v>116.16</v>
      </c>
    </row>
    <row r="1731" spans="1:8" s="5" customFormat="1" ht="17.25" hidden="1" customHeight="1" outlineLevel="1" x14ac:dyDescent="0.25">
      <c r="A1731" s="4">
        <v>4676</v>
      </c>
      <c r="B1731" s="4" t="s">
        <v>117</v>
      </c>
      <c r="C1731" s="38" t="s">
        <v>4086</v>
      </c>
      <c r="D1731" s="4">
        <v>2022</v>
      </c>
      <c r="E1731" s="4" t="s">
        <v>21</v>
      </c>
      <c r="F1731" s="4">
        <v>57</v>
      </c>
      <c r="G1731" s="113">
        <v>15</v>
      </c>
      <c r="H1731" s="42">
        <v>108.45</v>
      </c>
    </row>
    <row r="1732" spans="1:8" s="5" customFormat="1" ht="17.25" hidden="1" customHeight="1" outlineLevel="1" x14ac:dyDescent="0.25">
      <c r="A1732" s="4">
        <v>4677</v>
      </c>
      <c r="B1732" s="4" t="s">
        <v>117</v>
      </c>
      <c r="C1732" s="38" t="s">
        <v>4087</v>
      </c>
      <c r="D1732" s="4">
        <v>2022</v>
      </c>
      <c r="E1732" s="4" t="s">
        <v>21</v>
      </c>
      <c r="F1732" s="4">
        <v>87</v>
      </c>
      <c r="G1732" s="113">
        <v>15</v>
      </c>
      <c r="H1732" s="42">
        <v>124.10300000000001</v>
      </c>
    </row>
    <row r="1733" spans="1:8" s="5" customFormat="1" ht="17.25" hidden="1" customHeight="1" outlineLevel="1" x14ac:dyDescent="0.25">
      <c r="A1733" s="4">
        <v>4879</v>
      </c>
      <c r="B1733" s="4" t="s">
        <v>117</v>
      </c>
      <c r="C1733" s="38" t="s">
        <v>4088</v>
      </c>
      <c r="D1733" s="4">
        <v>2022</v>
      </c>
      <c r="E1733" s="4" t="s">
        <v>21</v>
      </c>
      <c r="F1733" s="4">
        <v>57</v>
      </c>
      <c r="G1733" s="113">
        <v>15</v>
      </c>
      <c r="H1733" s="42">
        <v>91.626999999999995</v>
      </c>
    </row>
    <row r="1734" spans="1:8" s="5" customFormat="1" ht="17.25" hidden="1" customHeight="1" outlineLevel="1" x14ac:dyDescent="0.25">
      <c r="A1734" s="4">
        <v>4921</v>
      </c>
      <c r="B1734" s="4" t="s">
        <v>117</v>
      </c>
      <c r="C1734" s="38" t="s">
        <v>4089</v>
      </c>
      <c r="D1734" s="4">
        <v>2022</v>
      </c>
      <c r="E1734" s="4" t="s">
        <v>21</v>
      </c>
      <c r="F1734" s="4">
        <v>233</v>
      </c>
      <c r="G1734" s="113">
        <v>15</v>
      </c>
      <c r="H1734" s="42">
        <v>249.20999999999998</v>
      </c>
    </row>
    <row r="1735" spans="1:8" s="5" customFormat="1" ht="17.25" hidden="1" customHeight="1" outlineLevel="1" x14ac:dyDescent="0.25">
      <c r="A1735" s="4">
        <v>4856</v>
      </c>
      <c r="B1735" s="4" t="s">
        <v>117</v>
      </c>
      <c r="C1735" s="38" t="s">
        <v>4090</v>
      </c>
      <c r="D1735" s="4">
        <v>2022</v>
      </c>
      <c r="E1735" s="4" t="s">
        <v>21</v>
      </c>
      <c r="F1735" s="4">
        <v>55</v>
      </c>
      <c r="G1735" s="113">
        <v>15</v>
      </c>
      <c r="H1735" s="42">
        <v>145.69399999999999</v>
      </c>
    </row>
    <row r="1736" spans="1:8" s="5" customFormat="1" ht="17.25" hidden="1" customHeight="1" outlineLevel="1" x14ac:dyDescent="0.25">
      <c r="A1736" s="4">
        <v>4906</v>
      </c>
      <c r="B1736" s="4" t="s">
        <v>117</v>
      </c>
      <c r="C1736" s="38" t="s">
        <v>4091</v>
      </c>
      <c r="D1736" s="4">
        <v>2022</v>
      </c>
      <c r="E1736" s="4" t="s">
        <v>21</v>
      </c>
      <c r="F1736" s="4">
        <v>32</v>
      </c>
      <c r="G1736" s="113">
        <v>15</v>
      </c>
      <c r="H1736" s="42">
        <v>71.48</v>
      </c>
    </row>
    <row r="1737" spans="1:8" s="5" customFormat="1" ht="17.25" hidden="1" customHeight="1" outlineLevel="1" x14ac:dyDescent="0.25">
      <c r="A1737" s="4">
        <v>4761</v>
      </c>
      <c r="B1737" s="4" t="s">
        <v>117</v>
      </c>
      <c r="C1737" s="38" t="s">
        <v>4092</v>
      </c>
      <c r="D1737" s="4">
        <v>2022</v>
      </c>
      <c r="E1737" s="4" t="s">
        <v>21</v>
      </c>
      <c r="F1737" s="4">
        <v>180</v>
      </c>
      <c r="G1737" s="113">
        <v>5</v>
      </c>
      <c r="H1737" s="42">
        <v>156</v>
      </c>
    </row>
    <row r="1738" spans="1:8" s="5" customFormat="1" ht="17.25" hidden="1" customHeight="1" outlineLevel="1" x14ac:dyDescent="0.25">
      <c r="A1738" s="4">
        <v>4762</v>
      </c>
      <c r="B1738" s="4" t="s">
        <v>117</v>
      </c>
      <c r="C1738" s="38" t="s">
        <v>4093</v>
      </c>
      <c r="D1738" s="4">
        <v>2022</v>
      </c>
      <c r="E1738" s="4" t="s">
        <v>21</v>
      </c>
      <c r="F1738" s="4">
        <v>135</v>
      </c>
      <c r="G1738" s="113">
        <v>15</v>
      </c>
      <c r="H1738" s="42">
        <v>97.77</v>
      </c>
    </row>
    <row r="1739" spans="1:8" s="5" customFormat="1" ht="17.25" hidden="1" customHeight="1" outlineLevel="1" x14ac:dyDescent="0.25">
      <c r="A1739" s="4">
        <v>4763</v>
      </c>
      <c r="B1739" s="4" t="s">
        <v>117</v>
      </c>
      <c r="C1739" s="38" t="s">
        <v>4094</v>
      </c>
      <c r="D1739" s="4">
        <v>2022</v>
      </c>
      <c r="E1739" s="4" t="s">
        <v>21</v>
      </c>
      <c r="F1739" s="4">
        <v>52</v>
      </c>
      <c r="G1739" s="113">
        <v>10</v>
      </c>
      <c r="H1739" s="42">
        <v>59.322000000000003</v>
      </c>
    </row>
    <row r="1740" spans="1:8" s="5" customFormat="1" ht="17.25" hidden="1" customHeight="1" outlineLevel="1" x14ac:dyDescent="0.25">
      <c r="A1740" s="4">
        <v>4829</v>
      </c>
      <c r="B1740" s="4" t="s">
        <v>117</v>
      </c>
      <c r="C1740" s="38" t="s">
        <v>4095</v>
      </c>
      <c r="D1740" s="4">
        <v>2022</v>
      </c>
      <c r="E1740" s="4" t="s">
        <v>21</v>
      </c>
      <c r="F1740" s="4">
        <v>8</v>
      </c>
      <c r="G1740" s="113">
        <v>15</v>
      </c>
      <c r="H1740" s="42">
        <v>72.929999999999993</v>
      </c>
    </row>
    <row r="1741" spans="1:8" s="5" customFormat="1" ht="17.25" hidden="1" customHeight="1" outlineLevel="1" x14ac:dyDescent="0.25">
      <c r="A1741" s="4">
        <v>4920</v>
      </c>
      <c r="B1741" s="4" t="s">
        <v>117</v>
      </c>
      <c r="C1741" s="38" t="s">
        <v>4096</v>
      </c>
      <c r="D1741" s="4">
        <v>2022</v>
      </c>
      <c r="E1741" s="4" t="s">
        <v>21</v>
      </c>
      <c r="F1741" s="4">
        <v>685</v>
      </c>
      <c r="G1741" s="113">
        <v>15</v>
      </c>
      <c r="H1741" s="42">
        <v>1141.2809999999999</v>
      </c>
    </row>
    <row r="1742" spans="1:8" s="5" customFormat="1" ht="17.25" hidden="1" customHeight="1" outlineLevel="1" x14ac:dyDescent="0.25">
      <c r="A1742" s="4">
        <v>4928</v>
      </c>
      <c r="B1742" s="4" t="s">
        <v>117</v>
      </c>
      <c r="C1742" s="38" t="s">
        <v>4097</v>
      </c>
      <c r="D1742" s="4">
        <v>2022</v>
      </c>
      <c r="E1742" s="4" t="s">
        <v>21</v>
      </c>
      <c r="F1742" s="4">
        <v>155</v>
      </c>
      <c r="G1742" s="113">
        <v>15</v>
      </c>
      <c r="H1742" s="42">
        <v>492</v>
      </c>
    </row>
    <row r="1743" spans="1:8" s="5" customFormat="1" ht="17.25" hidden="1" customHeight="1" outlineLevel="1" x14ac:dyDescent="0.25">
      <c r="A1743" s="4">
        <v>4929</v>
      </c>
      <c r="B1743" s="4" t="s">
        <v>117</v>
      </c>
      <c r="C1743" s="38" t="s">
        <v>4098</v>
      </c>
      <c r="D1743" s="4">
        <v>2022</v>
      </c>
      <c r="E1743" s="4" t="s">
        <v>21</v>
      </c>
      <c r="F1743" s="4">
        <v>296</v>
      </c>
      <c r="G1743" s="113">
        <v>15</v>
      </c>
      <c r="H1743" s="42">
        <v>615</v>
      </c>
    </row>
    <row r="1744" spans="1:8" s="5" customFormat="1" ht="17.25" hidden="1" customHeight="1" outlineLevel="1" x14ac:dyDescent="0.25">
      <c r="A1744" s="4">
        <v>4932</v>
      </c>
      <c r="B1744" s="4" t="s">
        <v>117</v>
      </c>
      <c r="C1744" s="38" t="s">
        <v>4099</v>
      </c>
      <c r="D1744" s="4">
        <v>2022</v>
      </c>
      <c r="E1744" s="4" t="s">
        <v>21</v>
      </c>
      <c r="F1744" s="4">
        <v>28</v>
      </c>
      <c r="G1744" s="113">
        <v>15</v>
      </c>
      <c r="H1744" s="42">
        <v>42</v>
      </c>
    </row>
    <row r="1745" spans="1:8" s="5" customFormat="1" ht="17.25" hidden="1" customHeight="1" outlineLevel="1" x14ac:dyDescent="0.25">
      <c r="A1745" s="4">
        <v>4930</v>
      </c>
      <c r="B1745" s="4" t="s">
        <v>117</v>
      </c>
      <c r="C1745" s="38" t="s">
        <v>4100</v>
      </c>
      <c r="D1745" s="4">
        <v>2022</v>
      </c>
      <c r="E1745" s="4" t="s">
        <v>21</v>
      </c>
      <c r="F1745" s="4">
        <v>22</v>
      </c>
      <c r="G1745" s="113">
        <v>40</v>
      </c>
      <c r="H1745" s="42">
        <v>25</v>
      </c>
    </row>
    <row r="1746" spans="1:8" s="5" customFormat="1" ht="17.25" hidden="1" customHeight="1" outlineLevel="1" x14ac:dyDescent="0.25">
      <c r="A1746" s="4">
        <v>4944</v>
      </c>
      <c r="B1746" s="4" t="s">
        <v>117</v>
      </c>
      <c r="C1746" s="38" t="s">
        <v>4101</v>
      </c>
      <c r="D1746" s="4">
        <v>2022</v>
      </c>
      <c r="E1746" s="4" t="s">
        <v>21</v>
      </c>
      <c r="F1746" s="4">
        <v>169</v>
      </c>
      <c r="G1746" s="42">
        <v>30</v>
      </c>
      <c r="H1746" s="42">
        <v>388</v>
      </c>
    </row>
    <row r="1747" spans="1:8" s="5" customFormat="1" ht="17.25" hidden="1" customHeight="1" outlineLevel="1" x14ac:dyDescent="0.25">
      <c r="A1747" s="4">
        <v>4830</v>
      </c>
      <c r="B1747" s="4" t="s">
        <v>117</v>
      </c>
      <c r="C1747" s="38" t="s">
        <v>4102</v>
      </c>
      <c r="D1747" s="4">
        <v>2022</v>
      </c>
      <c r="E1747" s="4" t="s">
        <v>21</v>
      </c>
      <c r="F1747" s="4">
        <v>25</v>
      </c>
      <c r="G1747" s="113">
        <v>15</v>
      </c>
      <c r="H1747" s="42">
        <v>95</v>
      </c>
    </row>
    <row r="1748" spans="1:8" s="5" customFormat="1" ht="17.25" hidden="1" customHeight="1" outlineLevel="1" x14ac:dyDescent="0.25">
      <c r="A1748" s="4">
        <v>4931</v>
      </c>
      <c r="B1748" s="4" t="s">
        <v>117</v>
      </c>
      <c r="C1748" s="38" t="s">
        <v>4103</v>
      </c>
      <c r="D1748" s="4">
        <v>2022</v>
      </c>
      <c r="E1748" s="4" t="s">
        <v>21</v>
      </c>
      <c r="F1748" s="4">
        <v>22</v>
      </c>
      <c r="G1748" s="113">
        <v>35</v>
      </c>
      <c r="H1748" s="42">
        <v>25</v>
      </c>
    </row>
    <row r="1749" spans="1:8" s="5" customFormat="1" ht="17.25" hidden="1" customHeight="1" outlineLevel="1" x14ac:dyDescent="0.25">
      <c r="A1749" s="4">
        <v>4943</v>
      </c>
      <c r="B1749" s="4" t="s">
        <v>117</v>
      </c>
      <c r="C1749" s="38" t="s">
        <v>4104</v>
      </c>
      <c r="D1749" s="4">
        <v>2022</v>
      </c>
      <c r="E1749" s="4" t="s">
        <v>21</v>
      </c>
      <c r="F1749" s="4">
        <v>320</v>
      </c>
      <c r="G1749" s="113">
        <v>15</v>
      </c>
      <c r="H1749" s="42">
        <v>729</v>
      </c>
    </row>
    <row r="1750" spans="1:8" s="5" customFormat="1" ht="17.25" hidden="1" customHeight="1" outlineLevel="1" x14ac:dyDescent="0.25">
      <c r="A1750" s="4">
        <v>5021</v>
      </c>
      <c r="B1750" s="4" t="s">
        <v>117</v>
      </c>
      <c r="C1750" s="38" t="s">
        <v>4105</v>
      </c>
      <c r="D1750" s="4">
        <v>2022</v>
      </c>
      <c r="E1750" s="4" t="s">
        <v>21</v>
      </c>
      <c r="F1750" s="4">
        <v>18</v>
      </c>
      <c r="G1750" s="113">
        <v>50</v>
      </c>
      <c r="H1750" s="42">
        <v>131</v>
      </c>
    </row>
    <row r="1751" spans="1:8" s="5" customFormat="1" ht="17.25" hidden="1" customHeight="1" outlineLevel="1" x14ac:dyDescent="0.25">
      <c r="A1751" s="4">
        <v>5020</v>
      </c>
      <c r="B1751" s="4" t="s">
        <v>117</v>
      </c>
      <c r="C1751" s="38" t="s">
        <v>4106</v>
      </c>
      <c r="D1751" s="4">
        <v>2022</v>
      </c>
      <c r="E1751" s="4" t="s">
        <v>21</v>
      </c>
      <c r="F1751" s="4">
        <v>186</v>
      </c>
      <c r="G1751" s="113">
        <v>15</v>
      </c>
      <c r="H1751" s="42">
        <v>458</v>
      </c>
    </row>
    <row r="1752" spans="1:8" s="5" customFormat="1" ht="17.25" hidden="1" customHeight="1" outlineLevel="1" x14ac:dyDescent="0.25">
      <c r="A1752" s="4">
        <v>4916</v>
      </c>
      <c r="B1752" s="4" t="s">
        <v>117</v>
      </c>
      <c r="C1752" s="38" t="s">
        <v>4107</v>
      </c>
      <c r="D1752" s="4">
        <v>2022</v>
      </c>
      <c r="E1752" s="4" t="s">
        <v>21</v>
      </c>
      <c r="F1752" s="4">
        <v>34</v>
      </c>
      <c r="G1752" s="113">
        <v>15</v>
      </c>
      <c r="H1752" s="42">
        <v>129.80600000000001</v>
      </c>
    </row>
    <row r="1753" spans="1:8" s="5" customFormat="1" ht="17.25" hidden="1" customHeight="1" outlineLevel="1" x14ac:dyDescent="0.25">
      <c r="A1753" s="4">
        <v>4922</v>
      </c>
      <c r="B1753" s="4" t="s">
        <v>117</v>
      </c>
      <c r="C1753" s="38" t="s">
        <v>4108</v>
      </c>
      <c r="D1753" s="4">
        <v>2022</v>
      </c>
      <c r="E1753" s="4" t="s">
        <v>21</v>
      </c>
      <c r="F1753" s="4">
        <v>21</v>
      </c>
      <c r="G1753" s="113">
        <v>15</v>
      </c>
      <c r="H1753" s="42">
        <v>108.592</v>
      </c>
    </row>
    <row r="1754" spans="1:8" s="5" customFormat="1" ht="17.25" hidden="1" customHeight="1" outlineLevel="1" x14ac:dyDescent="0.25">
      <c r="A1754" s="4">
        <v>4923</v>
      </c>
      <c r="B1754" s="4" t="s">
        <v>117</v>
      </c>
      <c r="C1754" s="38" t="s">
        <v>4109</v>
      </c>
      <c r="D1754" s="4">
        <v>2022</v>
      </c>
      <c r="E1754" s="4" t="s">
        <v>21</v>
      </c>
      <c r="F1754" s="4">
        <v>25</v>
      </c>
      <c r="G1754" s="113">
        <v>15</v>
      </c>
      <c r="H1754" s="42">
        <v>90.387</v>
      </c>
    </row>
    <row r="1755" spans="1:8" s="5" customFormat="1" ht="17.25" hidden="1" customHeight="1" outlineLevel="1" x14ac:dyDescent="0.25">
      <c r="A1755" s="4">
        <v>4945</v>
      </c>
      <c r="B1755" s="4" t="s">
        <v>117</v>
      </c>
      <c r="C1755" s="38" t="s">
        <v>4110</v>
      </c>
      <c r="D1755" s="4">
        <v>2022</v>
      </c>
      <c r="E1755" s="4" t="s">
        <v>21</v>
      </c>
      <c r="F1755" s="4">
        <v>221</v>
      </c>
      <c r="G1755" s="113">
        <v>15</v>
      </c>
      <c r="H1755" s="42">
        <v>620</v>
      </c>
    </row>
    <row r="1756" spans="1:8" s="5" customFormat="1" ht="17.25" hidden="1" customHeight="1" outlineLevel="1" x14ac:dyDescent="0.25">
      <c r="A1756" s="4">
        <v>4857</v>
      </c>
      <c r="B1756" s="4" t="s">
        <v>117</v>
      </c>
      <c r="C1756" s="38" t="s">
        <v>4111</v>
      </c>
      <c r="D1756" s="4">
        <v>2022</v>
      </c>
      <c r="E1756" s="4" t="s">
        <v>21</v>
      </c>
      <c r="F1756" s="4">
        <v>55</v>
      </c>
      <c r="G1756" s="113">
        <v>15</v>
      </c>
      <c r="H1756" s="42">
        <v>78.495999999999995</v>
      </c>
    </row>
    <row r="1757" spans="1:8" s="5" customFormat="1" ht="17.25" hidden="1" customHeight="1" outlineLevel="1" x14ac:dyDescent="0.25">
      <c r="A1757" s="4">
        <v>4907</v>
      </c>
      <c r="B1757" s="4" t="s">
        <v>117</v>
      </c>
      <c r="C1757" s="38" t="s">
        <v>4112</v>
      </c>
      <c r="D1757" s="4">
        <v>2022</v>
      </c>
      <c r="E1757" s="4" t="s">
        <v>21</v>
      </c>
      <c r="F1757" s="4">
        <v>47</v>
      </c>
      <c r="G1757" s="113">
        <v>15</v>
      </c>
      <c r="H1757" s="42">
        <v>99.677000000000007</v>
      </c>
    </row>
    <row r="1758" spans="1:8" s="5" customFormat="1" ht="17.25" hidden="1" customHeight="1" outlineLevel="1" x14ac:dyDescent="0.25">
      <c r="A1758" s="4">
        <v>4905</v>
      </c>
      <c r="B1758" s="4" t="s">
        <v>117</v>
      </c>
      <c r="C1758" s="38" t="s">
        <v>4113</v>
      </c>
      <c r="D1758" s="4">
        <v>2022</v>
      </c>
      <c r="E1758" s="4" t="s">
        <v>21</v>
      </c>
      <c r="F1758" s="4">
        <v>55</v>
      </c>
      <c r="G1758" s="113">
        <v>15</v>
      </c>
      <c r="H1758" s="42">
        <v>206.697</v>
      </c>
    </row>
    <row r="1759" spans="1:8" s="5" customFormat="1" ht="17.25" hidden="1" customHeight="1" outlineLevel="1" x14ac:dyDescent="0.25">
      <c r="A1759" s="4">
        <v>4946</v>
      </c>
      <c r="B1759" s="4" t="s">
        <v>117</v>
      </c>
      <c r="C1759" s="38" t="s">
        <v>4114</v>
      </c>
      <c r="D1759" s="4">
        <v>2022</v>
      </c>
      <c r="E1759" s="4" t="s">
        <v>21</v>
      </c>
      <c r="F1759" s="4">
        <v>498</v>
      </c>
      <c r="G1759" s="113">
        <v>15</v>
      </c>
      <c r="H1759" s="42">
        <v>955.029</v>
      </c>
    </row>
    <row r="1760" spans="1:8" s="5" customFormat="1" ht="17.25" hidden="1" customHeight="1" outlineLevel="1" x14ac:dyDescent="0.25">
      <c r="A1760" s="4">
        <v>4880</v>
      </c>
      <c r="B1760" s="4" t="s">
        <v>117</v>
      </c>
      <c r="C1760" s="38" t="s">
        <v>4115</v>
      </c>
      <c r="D1760" s="4">
        <v>2022</v>
      </c>
      <c r="E1760" s="4" t="s">
        <v>21</v>
      </c>
      <c r="F1760" s="4">
        <v>45</v>
      </c>
      <c r="G1760" s="113">
        <v>15</v>
      </c>
      <c r="H1760" s="42">
        <v>64.36999999999999</v>
      </c>
    </row>
    <row r="1761" spans="1:8" s="5" customFormat="1" ht="17.25" hidden="1" customHeight="1" outlineLevel="1" x14ac:dyDescent="0.25">
      <c r="A1761" s="4">
        <v>4917</v>
      </c>
      <c r="B1761" s="4" t="s">
        <v>117</v>
      </c>
      <c r="C1761" s="38" t="s">
        <v>4116</v>
      </c>
      <c r="D1761" s="4">
        <v>2022</v>
      </c>
      <c r="E1761" s="4" t="s">
        <v>21</v>
      </c>
      <c r="F1761" s="4">
        <v>95</v>
      </c>
      <c r="G1761" s="113">
        <v>15</v>
      </c>
      <c r="H1761" s="42">
        <v>181.32899999999998</v>
      </c>
    </row>
    <row r="1762" spans="1:8" s="5" customFormat="1" ht="17.25" hidden="1" customHeight="1" outlineLevel="1" x14ac:dyDescent="0.25">
      <c r="A1762" s="4">
        <v>5050</v>
      </c>
      <c r="B1762" s="4" t="s">
        <v>117</v>
      </c>
      <c r="C1762" s="38" t="s">
        <v>4117</v>
      </c>
      <c r="D1762" s="4">
        <v>2022</v>
      </c>
      <c r="E1762" s="4" t="s">
        <v>21</v>
      </c>
      <c r="F1762" s="4">
        <v>408</v>
      </c>
      <c r="G1762" s="42">
        <v>25</v>
      </c>
      <c r="H1762" s="42">
        <v>667.88</v>
      </c>
    </row>
    <row r="1763" spans="1:8" s="5" customFormat="1" ht="17.25" hidden="1" customHeight="1" outlineLevel="1" x14ac:dyDescent="0.25">
      <c r="A1763" s="4">
        <v>5052</v>
      </c>
      <c r="B1763" s="4" t="s">
        <v>117</v>
      </c>
      <c r="C1763" s="38" t="s">
        <v>4118</v>
      </c>
      <c r="D1763" s="4">
        <v>2022</v>
      </c>
      <c r="E1763" s="4" t="s">
        <v>21</v>
      </c>
      <c r="F1763" s="4">
        <v>375</v>
      </c>
      <c r="G1763" s="113">
        <v>15</v>
      </c>
      <c r="H1763" s="42">
        <v>713.85</v>
      </c>
    </row>
    <row r="1764" spans="1:8" s="5" customFormat="1" ht="17.25" hidden="1" customHeight="1" outlineLevel="1" x14ac:dyDescent="0.25">
      <c r="A1764" s="4">
        <v>5055</v>
      </c>
      <c r="B1764" s="4" t="s">
        <v>117</v>
      </c>
      <c r="C1764" s="38" t="s">
        <v>4119</v>
      </c>
      <c r="D1764" s="4">
        <v>2022</v>
      </c>
      <c r="E1764" s="4" t="s">
        <v>21</v>
      </c>
      <c r="F1764" s="4">
        <v>238</v>
      </c>
      <c r="G1764" s="113">
        <v>15</v>
      </c>
      <c r="H1764" s="42">
        <v>537.95600000000002</v>
      </c>
    </row>
    <row r="1765" spans="1:8" s="5" customFormat="1" ht="17.25" hidden="1" customHeight="1" outlineLevel="1" x14ac:dyDescent="0.25">
      <c r="A1765" s="4">
        <v>4800</v>
      </c>
      <c r="B1765" s="4" t="s">
        <v>117</v>
      </c>
      <c r="C1765" s="38" t="s">
        <v>4120</v>
      </c>
      <c r="D1765" s="4">
        <v>2022</v>
      </c>
      <c r="E1765" s="4" t="s">
        <v>21</v>
      </c>
      <c r="F1765" s="4">
        <v>236</v>
      </c>
      <c r="G1765" s="113">
        <v>15</v>
      </c>
      <c r="H1765" s="42">
        <v>283.10300000000001</v>
      </c>
    </row>
    <row r="1766" spans="1:8" s="5" customFormat="1" ht="17.25" hidden="1" customHeight="1" outlineLevel="1" x14ac:dyDescent="0.25">
      <c r="A1766" s="4">
        <v>5054</v>
      </c>
      <c r="B1766" s="4" t="s">
        <v>117</v>
      </c>
      <c r="C1766" s="38" t="s">
        <v>4121</v>
      </c>
      <c r="D1766" s="4">
        <v>2022</v>
      </c>
      <c r="E1766" s="4" t="s">
        <v>21</v>
      </c>
      <c r="F1766" s="4">
        <v>227</v>
      </c>
      <c r="G1766" s="113">
        <v>15</v>
      </c>
      <c r="H1766" s="42">
        <v>447.786</v>
      </c>
    </row>
    <row r="1767" spans="1:8" s="5" customFormat="1" ht="17.25" hidden="1" customHeight="1" outlineLevel="1" x14ac:dyDescent="0.25">
      <c r="A1767" s="4">
        <v>4948</v>
      </c>
      <c r="B1767" s="4" t="s">
        <v>117</v>
      </c>
      <c r="C1767" s="38" t="s">
        <v>4122</v>
      </c>
      <c r="D1767" s="4">
        <v>2022</v>
      </c>
      <c r="E1767" s="4" t="s">
        <v>21</v>
      </c>
      <c r="F1767" s="4">
        <v>85</v>
      </c>
      <c r="G1767" s="113">
        <v>15</v>
      </c>
      <c r="H1767" s="42">
        <v>169.077</v>
      </c>
    </row>
    <row r="1768" spans="1:8" s="5" customFormat="1" ht="17.25" hidden="1" customHeight="1" outlineLevel="1" x14ac:dyDescent="0.25">
      <c r="A1768" s="4">
        <v>4674</v>
      </c>
      <c r="B1768" s="4" t="s">
        <v>117</v>
      </c>
      <c r="C1768" s="38" t="s">
        <v>4123</v>
      </c>
      <c r="D1768" s="4">
        <v>2022</v>
      </c>
      <c r="E1768" s="4" t="s">
        <v>21</v>
      </c>
      <c r="F1768" s="4">
        <v>15</v>
      </c>
      <c r="G1768" s="113">
        <v>45.5</v>
      </c>
      <c r="H1768" s="42">
        <v>67.745999999999995</v>
      </c>
    </row>
    <row r="1769" spans="1:8" s="5" customFormat="1" ht="17.25" hidden="1" customHeight="1" outlineLevel="1" x14ac:dyDescent="0.25">
      <c r="A1769" s="4">
        <v>4799</v>
      </c>
      <c r="B1769" s="4" t="s">
        <v>117</v>
      </c>
      <c r="C1769" s="38" t="s">
        <v>4124</v>
      </c>
      <c r="D1769" s="4">
        <v>2022</v>
      </c>
      <c r="E1769" s="4" t="s">
        <v>21</v>
      </c>
      <c r="F1769" s="4">
        <v>80</v>
      </c>
      <c r="G1769" s="113">
        <v>15</v>
      </c>
      <c r="H1769" s="42">
        <v>168.21299999999999</v>
      </c>
    </row>
    <row r="1770" spans="1:8" s="5" customFormat="1" ht="17.25" hidden="1" customHeight="1" outlineLevel="1" x14ac:dyDescent="0.25">
      <c r="A1770" s="4">
        <v>4854</v>
      </c>
      <c r="B1770" s="4" t="s">
        <v>117</v>
      </c>
      <c r="C1770" s="38" t="s">
        <v>4125</v>
      </c>
      <c r="D1770" s="4">
        <v>2022</v>
      </c>
      <c r="E1770" s="4" t="s">
        <v>21</v>
      </c>
      <c r="F1770" s="4">
        <v>17</v>
      </c>
      <c r="G1770" s="113">
        <v>5</v>
      </c>
      <c r="H1770" s="42">
        <v>70.061999999999998</v>
      </c>
    </row>
    <row r="1771" spans="1:8" s="5" customFormat="1" ht="17.25" hidden="1" customHeight="1" outlineLevel="1" x14ac:dyDescent="0.25">
      <c r="A1771" s="4">
        <v>5049</v>
      </c>
      <c r="B1771" s="4" t="s">
        <v>117</v>
      </c>
      <c r="C1771" s="38" t="s">
        <v>4126</v>
      </c>
      <c r="D1771" s="4">
        <v>2022</v>
      </c>
      <c r="E1771" s="4" t="s">
        <v>21</v>
      </c>
      <c r="F1771" s="4">
        <v>1541</v>
      </c>
      <c r="G1771" s="113">
        <v>15</v>
      </c>
      <c r="H1771" s="42">
        <v>1902</v>
      </c>
    </row>
    <row r="1772" spans="1:8" s="5" customFormat="1" ht="17.25" hidden="1" customHeight="1" outlineLevel="1" x14ac:dyDescent="0.25">
      <c r="A1772" s="4">
        <v>5051</v>
      </c>
      <c r="B1772" s="4" t="s">
        <v>117</v>
      </c>
      <c r="C1772" s="38" t="s">
        <v>4127</v>
      </c>
      <c r="D1772" s="4">
        <v>2022</v>
      </c>
      <c r="E1772" s="4" t="s">
        <v>21</v>
      </c>
      <c r="F1772" s="4">
        <v>465</v>
      </c>
      <c r="G1772" s="113">
        <v>15</v>
      </c>
      <c r="H1772" s="42">
        <v>759.077</v>
      </c>
    </row>
    <row r="1773" spans="1:8" s="5" customFormat="1" ht="17.25" hidden="1" customHeight="1" outlineLevel="1" x14ac:dyDescent="0.25">
      <c r="A1773" s="4">
        <v>4702</v>
      </c>
      <c r="B1773" s="4" t="s">
        <v>117</v>
      </c>
      <c r="C1773" s="38" t="s">
        <v>4128</v>
      </c>
      <c r="D1773" s="4">
        <v>2022</v>
      </c>
      <c r="E1773" s="4" t="s">
        <v>21</v>
      </c>
      <c r="F1773" s="4">
        <v>15</v>
      </c>
      <c r="G1773" s="113">
        <v>100</v>
      </c>
      <c r="H1773" s="42">
        <v>68.362000000000009</v>
      </c>
    </row>
    <row r="1774" spans="1:8" s="5" customFormat="1" ht="17.25" hidden="1" customHeight="1" outlineLevel="1" x14ac:dyDescent="0.25">
      <c r="A1774" s="4">
        <v>4826</v>
      </c>
      <c r="B1774" s="4" t="s">
        <v>117</v>
      </c>
      <c r="C1774" s="38" t="s">
        <v>4129</v>
      </c>
      <c r="D1774" s="4">
        <v>2022</v>
      </c>
      <c r="E1774" s="4" t="s">
        <v>21</v>
      </c>
      <c r="F1774" s="4">
        <v>43</v>
      </c>
      <c r="G1774" s="42">
        <v>55</v>
      </c>
      <c r="H1774" s="42">
        <v>53.606666666666797</v>
      </c>
    </row>
    <row r="1775" spans="1:8" s="5" customFormat="1" ht="17.25" hidden="1" customHeight="1" outlineLevel="1" x14ac:dyDescent="0.25">
      <c r="A1775" s="4">
        <v>4918</v>
      </c>
      <c r="B1775" s="4" t="s">
        <v>117</v>
      </c>
      <c r="C1775" s="38" t="s">
        <v>4130</v>
      </c>
      <c r="D1775" s="4">
        <v>2022</v>
      </c>
      <c r="E1775" s="4" t="s">
        <v>21</v>
      </c>
      <c r="F1775" s="4">
        <v>166</v>
      </c>
      <c r="G1775" s="113">
        <v>15</v>
      </c>
      <c r="H1775" s="42">
        <v>433.76864102564099</v>
      </c>
    </row>
    <row r="1776" spans="1:8" s="5" customFormat="1" ht="17.25" hidden="1" customHeight="1" outlineLevel="1" x14ac:dyDescent="0.25">
      <c r="A1776" s="4">
        <v>4919</v>
      </c>
      <c r="B1776" s="4" t="s">
        <v>117</v>
      </c>
      <c r="C1776" s="38" t="s">
        <v>4131</v>
      </c>
      <c r="D1776" s="4">
        <v>2022</v>
      </c>
      <c r="E1776" s="4" t="s">
        <v>21</v>
      </c>
      <c r="F1776" s="4">
        <v>350</v>
      </c>
      <c r="G1776" s="113">
        <v>15</v>
      </c>
      <c r="H1776" s="42">
        <v>555.13320158102772</v>
      </c>
    </row>
    <row r="1777" spans="1:8" s="5" customFormat="1" ht="17.25" hidden="1" customHeight="1" outlineLevel="1" x14ac:dyDescent="0.25">
      <c r="A1777" s="4">
        <v>5053</v>
      </c>
      <c r="B1777" s="4" t="s">
        <v>117</v>
      </c>
      <c r="C1777" s="38" t="s">
        <v>4132</v>
      </c>
      <c r="D1777" s="4">
        <v>2022</v>
      </c>
      <c r="E1777" s="4" t="s">
        <v>21</v>
      </c>
      <c r="F1777" s="4">
        <v>165</v>
      </c>
      <c r="G1777" s="113">
        <v>15</v>
      </c>
      <c r="H1777" s="42">
        <v>338.08971428571425</v>
      </c>
    </row>
    <row r="1778" spans="1:8" s="5" customFormat="1" ht="17.25" hidden="1" customHeight="1" outlineLevel="1" x14ac:dyDescent="0.25">
      <c r="A1778" s="4">
        <v>2063</v>
      </c>
      <c r="B1778" s="4" t="s">
        <v>117</v>
      </c>
      <c r="C1778" s="38" t="s">
        <v>4133</v>
      </c>
      <c r="D1778" s="4">
        <v>2022</v>
      </c>
      <c r="E1778" s="4" t="s">
        <v>21</v>
      </c>
      <c r="F1778" s="4">
        <v>55</v>
      </c>
      <c r="G1778" s="42">
        <v>45</v>
      </c>
      <c r="H1778" s="42">
        <v>80.617279999999994</v>
      </c>
    </row>
    <row r="1779" spans="1:8" s="5" customFormat="1" ht="17.25" hidden="1" customHeight="1" outlineLevel="1" x14ac:dyDescent="0.25">
      <c r="A1779" s="4">
        <v>2241</v>
      </c>
      <c r="B1779" s="4" t="s">
        <v>117</v>
      </c>
      <c r="C1779" s="38" t="s">
        <v>4134</v>
      </c>
      <c r="D1779" s="4">
        <v>2022</v>
      </c>
      <c r="E1779" s="4" t="s">
        <v>21</v>
      </c>
      <c r="F1779" s="4">
        <v>80</v>
      </c>
      <c r="G1779" s="42">
        <v>15</v>
      </c>
      <c r="H1779" s="42">
        <v>130.61676</v>
      </c>
    </row>
    <row r="1780" spans="1:8" s="5" customFormat="1" ht="17.25" hidden="1" customHeight="1" outlineLevel="1" x14ac:dyDescent="0.25">
      <c r="A1780" s="4">
        <v>2244</v>
      </c>
      <c r="B1780" s="4" t="s">
        <v>117</v>
      </c>
      <c r="C1780" s="38" t="s">
        <v>4135</v>
      </c>
      <c r="D1780" s="4">
        <v>2022</v>
      </c>
      <c r="E1780" s="4" t="s">
        <v>21</v>
      </c>
      <c r="F1780" s="4">
        <v>75</v>
      </c>
      <c r="G1780" s="42">
        <v>15</v>
      </c>
      <c r="H1780" s="42">
        <v>125.02402000000001</v>
      </c>
    </row>
    <row r="1781" spans="1:8" s="5" customFormat="1" ht="17.25" hidden="1" customHeight="1" outlineLevel="1" x14ac:dyDescent="0.25">
      <c r="A1781" s="4">
        <v>2245</v>
      </c>
      <c r="B1781" s="4" t="s">
        <v>117</v>
      </c>
      <c r="C1781" s="38" t="s">
        <v>4136</v>
      </c>
      <c r="D1781" s="4">
        <v>2022</v>
      </c>
      <c r="E1781" s="4" t="s">
        <v>21</v>
      </c>
      <c r="F1781" s="4">
        <v>30</v>
      </c>
      <c r="G1781" s="42">
        <v>10</v>
      </c>
      <c r="H1781" s="42">
        <v>79.739920000000012</v>
      </c>
    </row>
    <row r="1782" spans="1:8" s="5" customFormat="1" ht="17.25" hidden="1" customHeight="1" outlineLevel="1" x14ac:dyDescent="0.25">
      <c r="A1782" s="4">
        <v>2316</v>
      </c>
      <c r="B1782" s="4" t="s">
        <v>117</v>
      </c>
      <c r="C1782" s="38" t="s">
        <v>4137</v>
      </c>
      <c r="D1782" s="4">
        <v>2022</v>
      </c>
      <c r="E1782" s="4" t="s">
        <v>21</v>
      </c>
      <c r="F1782" s="4">
        <v>40</v>
      </c>
      <c r="G1782" s="42">
        <v>12</v>
      </c>
      <c r="H1782" s="42">
        <v>52.189419999999998</v>
      </c>
    </row>
    <row r="1783" spans="1:8" s="5" customFormat="1" ht="17.25" hidden="1" customHeight="1" outlineLevel="1" x14ac:dyDescent="0.25">
      <c r="A1783" s="4">
        <v>2318</v>
      </c>
      <c r="B1783" s="4" t="s">
        <v>117</v>
      </c>
      <c r="C1783" s="38" t="s">
        <v>4138</v>
      </c>
      <c r="D1783" s="4">
        <v>2022</v>
      </c>
      <c r="E1783" s="4" t="s">
        <v>21</v>
      </c>
      <c r="F1783" s="4">
        <v>40</v>
      </c>
      <c r="G1783" s="42">
        <v>15</v>
      </c>
      <c r="H1783" s="42">
        <v>66.668279999999996</v>
      </c>
    </row>
    <row r="1784" spans="1:8" s="5" customFormat="1" ht="17.25" hidden="1" customHeight="1" outlineLevel="1" x14ac:dyDescent="0.25">
      <c r="A1784" s="4">
        <v>2319</v>
      </c>
      <c r="B1784" s="4" t="s">
        <v>117</v>
      </c>
      <c r="C1784" s="38" t="s">
        <v>4139</v>
      </c>
      <c r="D1784" s="4">
        <v>2022</v>
      </c>
      <c r="E1784" s="4" t="s">
        <v>21</v>
      </c>
      <c r="F1784" s="4">
        <v>110</v>
      </c>
      <c r="G1784" s="42">
        <v>15</v>
      </c>
      <c r="H1784" s="42">
        <v>111.70699</v>
      </c>
    </row>
    <row r="1785" spans="1:8" s="5" customFormat="1" ht="17.25" hidden="1" customHeight="1" outlineLevel="1" x14ac:dyDescent="0.25">
      <c r="A1785" s="4">
        <v>2320</v>
      </c>
      <c r="B1785" s="4" t="s">
        <v>117</v>
      </c>
      <c r="C1785" s="38" t="s">
        <v>4140</v>
      </c>
      <c r="D1785" s="4">
        <v>2022</v>
      </c>
      <c r="E1785" s="4" t="s">
        <v>21</v>
      </c>
      <c r="F1785" s="4">
        <v>50</v>
      </c>
      <c r="G1785" s="42">
        <v>15</v>
      </c>
      <c r="H1785" s="42">
        <v>63.27769</v>
      </c>
    </row>
    <row r="1786" spans="1:8" s="5" customFormat="1" ht="17.25" hidden="1" customHeight="1" outlineLevel="1" x14ac:dyDescent="0.25">
      <c r="A1786" s="4">
        <v>2326</v>
      </c>
      <c r="B1786" s="4" t="s">
        <v>117</v>
      </c>
      <c r="C1786" s="38" t="s">
        <v>4141</v>
      </c>
      <c r="D1786" s="4">
        <v>2022</v>
      </c>
      <c r="E1786" s="4" t="s">
        <v>21</v>
      </c>
      <c r="F1786" s="4">
        <v>80</v>
      </c>
      <c r="G1786" s="42">
        <v>15</v>
      </c>
      <c r="H1786" s="42">
        <v>41.010570000000001</v>
      </c>
    </row>
    <row r="1787" spans="1:8" s="5" customFormat="1" ht="17.25" hidden="1" customHeight="1" outlineLevel="1" x14ac:dyDescent="0.25">
      <c r="A1787" s="4">
        <v>2366</v>
      </c>
      <c r="B1787" s="4" t="s">
        <v>117</v>
      </c>
      <c r="C1787" s="38" t="s">
        <v>4142</v>
      </c>
      <c r="D1787" s="4">
        <v>2022</v>
      </c>
      <c r="E1787" s="4" t="s">
        <v>21</v>
      </c>
      <c r="F1787" s="4">
        <v>50</v>
      </c>
      <c r="G1787" s="42">
        <v>49</v>
      </c>
      <c r="H1787" s="42">
        <v>79.952060000000003</v>
      </c>
    </row>
    <row r="1788" spans="1:8" s="5" customFormat="1" ht="17.25" hidden="1" customHeight="1" outlineLevel="1" x14ac:dyDescent="0.25">
      <c r="A1788" s="4">
        <v>2376</v>
      </c>
      <c r="B1788" s="4" t="s">
        <v>117</v>
      </c>
      <c r="C1788" s="38" t="s">
        <v>4143</v>
      </c>
      <c r="D1788" s="4">
        <v>2022</v>
      </c>
      <c r="E1788" s="4" t="s">
        <v>21</v>
      </c>
      <c r="F1788" s="4">
        <v>60</v>
      </c>
      <c r="G1788" s="42">
        <v>15</v>
      </c>
      <c r="H1788" s="42">
        <v>52.958709999999996</v>
      </c>
    </row>
    <row r="1789" spans="1:8" s="5" customFormat="1" ht="17.25" hidden="1" customHeight="1" outlineLevel="1" x14ac:dyDescent="0.25">
      <c r="A1789" s="4">
        <v>2377</v>
      </c>
      <c r="B1789" s="4" t="s">
        <v>117</v>
      </c>
      <c r="C1789" s="38" t="s">
        <v>4144</v>
      </c>
      <c r="D1789" s="4">
        <v>2022</v>
      </c>
      <c r="E1789" s="4" t="s">
        <v>21</v>
      </c>
      <c r="F1789" s="4">
        <v>25</v>
      </c>
      <c r="G1789" s="42">
        <v>3</v>
      </c>
      <c r="H1789" s="42">
        <v>44.639180000000003</v>
      </c>
    </row>
    <row r="1790" spans="1:8" s="5" customFormat="1" ht="17.25" hidden="1" customHeight="1" outlineLevel="1" x14ac:dyDescent="0.25">
      <c r="A1790" s="4">
        <v>2409</v>
      </c>
      <c r="B1790" s="4" t="s">
        <v>117</v>
      </c>
      <c r="C1790" s="38" t="s">
        <v>4145</v>
      </c>
      <c r="D1790" s="4">
        <v>2022</v>
      </c>
      <c r="E1790" s="4" t="s">
        <v>21</v>
      </c>
      <c r="F1790" s="4">
        <v>35</v>
      </c>
      <c r="G1790" s="42">
        <v>15</v>
      </c>
      <c r="H1790" s="42">
        <v>49.202649999999998</v>
      </c>
    </row>
    <row r="1791" spans="1:8" s="5" customFormat="1" ht="17.25" hidden="1" customHeight="1" outlineLevel="1" x14ac:dyDescent="0.25">
      <c r="A1791" s="4">
        <v>2374</v>
      </c>
      <c r="B1791" s="4" t="s">
        <v>117</v>
      </c>
      <c r="C1791" s="38" t="s">
        <v>4146</v>
      </c>
      <c r="D1791" s="4">
        <v>2022</v>
      </c>
      <c r="E1791" s="4" t="s">
        <v>21</v>
      </c>
      <c r="F1791" s="4">
        <v>30</v>
      </c>
      <c r="G1791" s="42">
        <v>15</v>
      </c>
      <c r="H1791" s="42">
        <v>26.091619999999999</v>
      </c>
    </row>
    <row r="1792" spans="1:8" s="5" customFormat="1" ht="17.25" hidden="1" customHeight="1" outlineLevel="1" x14ac:dyDescent="0.25">
      <c r="A1792" s="4">
        <v>2375</v>
      </c>
      <c r="B1792" s="4" t="s">
        <v>117</v>
      </c>
      <c r="C1792" s="38" t="s">
        <v>4147</v>
      </c>
      <c r="D1792" s="4">
        <v>2022</v>
      </c>
      <c r="E1792" s="4" t="s">
        <v>21</v>
      </c>
      <c r="F1792" s="4">
        <v>50</v>
      </c>
      <c r="G1792" s="42">
        <v>15</v>
      </c>
      <c r="H1792" s="42">
        <v>100.12885</v>
      </c>
    </row>
    <row r="1793" spans="1:8" s="5" customFormat="1" ht="17.25" hidden="1" customHeight="1" outlineLevel="1" x14ac:dyDescent="0.25">
      <c r="A1793" s="4">
        <v>2408</v>
      </c>
      <c r="B1793" s="4" t="s">
        <v>117</v>
      </c>
      <c r="C1793" s="38" t="s">
        <v>4148</v>
      </c>
      <c r="D1793" s="4">
        <v>2022</v>
      </c>
      <c r="E1793" s="4" t="s">
        <v>21</v>
      </c>
      <c r="F1793" s="4">
        <v>60</v>
      </c>
      <c r="G1793" s="42">
        <v>5</v>
      </c>
      <c r="H1793" s="42">
        <v>111.03931</v>
      </c>
    </row>
    <row r="1794" spans="1:8" s="5" customFormat="1" ht="17.25" hidden="1" customHeight="1" outlineLevel="1" x14ac:dyDescent="0.25">
      <c r="A1794" s="4">
        <v>1890</v>
      </c>
      <c r="B1794" s="4" t="s">
        <v>117</v>
      </c>
      <c r="C1794" s="38" t="s">
        <v>4149</v>
      </c>
      <c r="D1794" s="4">
        <v>2022</v>
      </c>
      <c r="E1794" s="4" t="s">
        <v>21</v>
      </c>
      <c r="F1794" s="4">
        <v>60</v>
      </c>
      <c r="G1794" s="42">
        <v>10</v>
      </c>
      <c r="H1794" s="42">
        <v>124.033</v>
      </c>
    </row>
    <row r="1795" spans="1:8" s="5" customFormat="1" ht="17.25" hidden="1" customHeight="1" outlineLevel="1" x14ac:dyDescent="0.25">
      <c r="A1795" s="4">
        <v>1937</v>
      </c>
      <c r="B1795" s="4" t="s">
        <v>117</v>
      </c>
      <c r="C1795" s="38" t="s">
        <v>4150</v>
      </c>
      <c r="D1795" s="4">
        <v>2022</v>
      </c>
      <c r="E1795" s="4" t="s">
        <v>21</v>
      </c>
      <c r="F1795" s="4">
        <v>90</v>
      </c>
      <c r="G1795" s="42">
        <v>40</v>
      </c>
      <c r="H1795" s="42">
        <v>194.35759999999999</v>
      </c>
    </row>
    <row r="1796" spans="1:8" s="5" customFormat="1" ht="17.25" hidden="1" customHeight="1" outlineLevel="1" x14ac:dyDescent="0.25">
      <c r="A1796" s="4">
        <v>2061</v>
      </c>
      <c r="B1796" s="4" t="s">
        <v>117</v>
      </c>
      <c r="C1796" s="38" t="s">
        <v>4151</v>
      </c>
      <c r="D1796" s="4">
        <v>2022</v>
      </c>
      <c r="E1796" s="4" t="s">
        <v>21</v>
      </c>
      <c r="F1796" s="4">
        <v>75</v>
      </c>
      <c r="G1796" s="42">
        <v>10</v>
      </c>
      <c r="H1796" s="42">
        <v>129.077</v>
      </c>
    </row>
    <row r="1797" spans="1:8" s="5" customFormat="1" ht="17.25" hidden="1" customHeight="1" outlineLevel="1" x14ac:dyDescent="0.25">
      <c r="A1797" s="4">
        <v>2072</v>
      </c>
      <c r="B1797" s="4" t="s">
        <v>117</v>
      </c>
      <c r="C1797" s="38" t="s">
        <v>4152</v>
      </c>
      <c r="D1797" s="4">
        <v>2022</v>
      </c>
      <c r="E1797" s="4" t="s">
        <v>21</v>
      </c>
      <c r="F1797" s="4">
        <v>70</v>
      </c>
      <c r="G1797" s="42">
        <v>15</v>
      </c>
      <c r="H1797" s="42">
        <v>141.245</v>
      </c>
    </row>
    <row r="1798" spans="1:8" s="5" customFormat="1" ht="17.25" hidden="1" customHeight="1" outlineLevel="1" x14ac:dyDescent="0.25">
      <c r="A1798" s="4">
        <v>2073</v>
      </c>
      <c r="B1798" s="4" t="s">
        <v>117</v>
      </c>
      <c r="C1798" s="38" t="s">
        <v>4153</v>
      </c>
      <c r="D1798" s="4">
        <v>2022</v>
      </c>
      <c r="E1798" s="4" t="s">
        <v>21</v>
      </c>
      <c r="F1798" s="4">
        <v>70</v>
      </c>
      <c r="G1798" s="42">
        <v>15</v>
      </c>
      <c r="H1798" s="42">
        <v>150.595</v>
      </c>
    </row>
    <row r="1799" spans="1:8" s="5" customFormat="1" ht="17.25" hidden="1" customHeight="1" outlineLevel="1" x14ac:dyDescent="0.25">
      <c r="A1799" s="4">
        <v>2249</v>
      </c>
      <c r="B1799" s="4" t="s">
        <v>117</v>
      </c>
      <c r="C1799" s="38" t="s">
        <v>4154</v>
      </c>
      <c r="D1799" s="4">
        <v>2022</v>
      </c>
      <c r="E1799" s="4" t="s">
        <v>21</v>
      </c>
      <c r="F1799" s="4">
        <v>60</v>
      </c>
      <c r="G1799" s="42">
        <v>15</v>
      </c>
      <c r="H1799" s="42">
        <v>108.244</v>
      </c>
    </row>
    <row r="1800" spans="1:8" s="5" customFormat="1" ht="17.25" hidden="1" customHeight="1" outlineLevel="1" x14ac:dyDescent="0.25">
      <c r="A1800" s="4">
        <v>2254</v>
      </c>
      <c r="B1800" s="4" t="s">
        <v>117</v>
      </c>
      <c r="C1800" s="38" t="s">
        <v>4155</v>
      </c>
      <c r="D1800" s="4">
        <v>2022</v>
      </c>
      <c r="E1800" s="4" t="s">
        <v>21</v>
      </c>
      <c r="F1800" s="4">
        <v>30</v>
      </c>
      <c r="G1800" s="42">
        <v>15</v>
      </c>
      <c r="H1800" s="42">
        <v>73.800000000000011</v>
      </c>
    </row>
    <row r="1801" spans="1:8" s="5" customFormat="1" ht="17.25" hidden="1" customHeight="1" outlineLevel="1" x14ac:dyDescent="0.25">
      <c r="A1801" s="4">
        <v>2317</v>
      </c>
      <c r="B1801" s="4" t="s">
        <v>117</v>
      </c>
      <c r="C1801" s="38" t="s">
        <v>4156</v>
      </c>
      <c r="D1801" s="4">
        <v>2022</v>
      </c>
      <c r="E1801" s="4" t="s">
        <v>21</v>
      </c>
      <c r="F1801" s="4">
        <v>30</v>
      </c>
      <c r="G1801" s="42">
        <v>15</v>
      </c>
      <c r="H1801" s="42">
        <v>56.411999999999999</v>
      </c>
    </row>
    <row r="1802" spans="1:8" s="5" customFormat="1" ht="17.25" hidden="1" customHeight="1" outlineLevel="1" x14ac:dyDescent="0.25">
      <c r="A1802" s="4">
        <v>2363</v>
      </c>
      <c r="B1802" s="4" t="s">
        <v>117</v>
      </c>
      <c r="C1802" s="38" t="s">
        <v>4157</v>
      </c>
      <c r="D1802" s="4">
        <v>2022</v>
      </c>
      <c r="E1802" s="4" t="s">
        <v>21</v>
      </c>
      <c r="F1802" s="4">
        <v>80</v>
      </c>
      <c r="G1802" s="42">
        <v>15</v>
      </c>
      <c r="H1802" s="42">
        <v>116.16500000000001</v>
      </c>
    </row>
    <row r="1803" spans="1:8" s="5" customFormat="1" ht="17.25" hidden="1" customHeight="1" outlineLevel="1" x14ac:dyDescent="0.25">
      <c r="A1803" s="4">
        <v>2406</v>
      </c>
      <c r="B1803" s="4" t="s">
        <v>117</v>
      </c>
      <c r="C1803" s="38" t="s">
        <v>4158</v>
      </c>
      <c r="D1803" s="4">
        <v>2022</v>
      </c>
      <c r="E1803" s="4" t="s">
        <v>21</v>
      </c>
      <c r="F1803" s="4">
        <v>90</v>
      </c>
      <c r="G1803" s="42">
        <v>30</v>
      </c>
      <c r="H1803" s="42">
        <v>131.18245000000002</v>
      </c>
    </row>
    <row r="1804" spans="1:8" s="5" customFormat="1" ht="17.25" hidden="1" customHeight="1" outlineLevel="1" x14ac:dyDescent="0.25">
      <c r="A1804" s="4">
        <v>2407</v>
      </c>
      <c r="B1804" s="4" t="s">
        <v>117</v>
      </c>
      <c r="C1804" s="38" t="s">
        <v>4159</v>
      </c>
      <c r="D1804" s="4">
        <v>2022</v>
      </c>
      <c r="E1804" s="4" t="s">
        <v>21</v>
      </c>
      <c r="F1804" s="4">
        <v>75</v>
      </c>
      <c r="G1804" s="42">
        <v>15</v>
      </c>
      <c r="H1804" s="42">
        <v>94.766000000000005</v>
      </c>
    </row>
    <row r="1805" spans="1:8" s="5" customFormat="1" ht="17.25" hidden="1" customHeight="1" outlineLevel="1" x14ac:dyDescent="0.25">
      <c r="A1805" s="4">
        <v>2411</v>
      </c>
      <c r="B1805" s="4" t="s">
        <v>117</v>
      </c>
      <c r="C1805" s="38" t="s">
        <v>4160</v>
      </c>
      <c r="D1805" s="4">
        <v>2022</v>
      </c>
      <c r="E1805" s="4" t="s">
        <v>21</v>
      </c>
      <c r="F1805" s="4">
        <v>220</v>
      </c>
      <c r="G1805" s="42">
        <v>15</v>
      </c>
      <c r="H1805" s="42">
        <v>371.09700000000004</v>
      </c>
    </row>
    <row r="1806" spans="1:8" s="5" customFormat="1" ht="17.25" hidden="1" customHeight="1" outlineLevel="1" x14ac:dyDescent="0.25">
      <c r="A1806" s="4">
        <v>2419</v>
      </c>
      <c r="B1806" s="4" t="s">
        <v>117</v>
      </c>
      <c r="C1806" s="38" t="s">
        <v>4161</v>
      </c>
      <c r="D1806" s="4">
        <v>2022</v>
      </c>
      <c r="E1806" s="4" t="s">
        <v>21</v>
      </c>
      <c r="F1806" s="4">
        <v>17</v>
      </c>
      <c r="G1806" s="42">
        <v>15</v>
      </c>
      <c r="H1806" s="42">
        <v>39.777000000000001</v>
      </c>
    </row>
    <row r="1807" spans="1:8" s="5" customFormat="1" ht="17.25" hidden="1" customHeight="1" outlineLevel="1" x14ac:dyDescent="0.25">
      <c r="A1807" s="4">
        <v>1865</v>
      </c>
      <c r="B1807" s="4" t="s">
        <v>117</v>
      </c>
      <c r="C1807" s="38" t="s">
        <v>4162</v>
      </c>
      <c r="D1807" s="4">
        <v>2022</v>
      </c>
      <c r="E1807" s="4" t="s">
        <v>21</v>
      </c>
      <c r="F1807" s="4">
        <v>30</v>
      </c>
      <c r="G1807" s="42">
        <v>15</v>
      </c>
      <c r="H1807" s="42">
        <v>83.056660000000008</v>
      </c>
    </row>
    <row r="1808" spans="1:8" s="5" customFormat="1" ht="17.25" hidden="1" customHeight="1" outlineLevel="1" x14ac:dyDescent="0.25">
      <c r="A1808" s="4">
        <v>2062</v>
      </c>
      <c r="B1808" s="4" t="s">
        <v>117</v>
      </c>
      <c r="C1808" s="38" t="s">
        <v>4163</v>
      </c>
      <c r="D1808" s="4">
        <v>2022</v>
      </c>
      <c r="E1808" s="4" t="s">
        <v>21</v>
      </c>
      <c r="F1808" s="4">
        <v>130</v>
      </c>
      <c r="G1808" s="42">
        <v>10</v>
      </c>
      <c r="H1808" s="42">
        <v>167.33600000000001</v>
      </c>
    </row>
    <row r="1809" spans="1:8" s="5" customFormat="1" ht="17.25" hidden="1" customHeight="1" outlineLevel="1" x14ac:dyDescent="0.25">
      <c r="A1809" s="4">
        <v>2250</v>
      </c>
      <c r="B1809" s="4" t="s">
        <v>117</v>
      </c>
      <c r="C1809" s="38" t="s">
        <v>4164</v>
      </c>
      <c r="D1809" s="4">
        <v>2022</v>
      </c>
      <c r="E1809" s="4" t="s">
        <v>21</v>
      </c>
      <c r="F1809" s="4">
        <v>70</v>
      </c>
      <c r="G1809" s="42">
        <v>10</v>
      </c>
      <c r="H1809" s="42">
        <v>138.02700000000002</v>
      </c>
    </row>
    <row r="1810" spans="1:8" s="5" customFormat="1" ht="17.25" hidden="1" customHeight="1" outlineLevel="1" x14ac:dyDescent="0.25">
      <c r="A1810" s="4">
        <v>2253</v>
      </c>
      <c r="B1810" s="4" t="s">
        <v>117</v>
      </c>
      <c r="C1810" s="38" t="s">
        <v>4165</v>
      </c>
      <c r="D1810" s="4">
        <v>2022</v>
      </c>
      <c r="E1810" s="4" t="s">
        <v>21</v>
      </c>
      <c r="F1810" s="4">
        <v>90</v>
      </c>
      <c r="G1810" s="42">
        <v>14</v>
      </c>
      <c r="H1810" s="42">
        <v>58.748000000000005</v>
      </c>
    </row>
    <row r="1811" spans="1:8" s="5" customFormat="1" ht="17.25" hidden="1" customHeight="1" outlineLevel="1" x14ac:dyDescent="0.25">
      <c r="A1811" s="4">
        <v>2362</v>
      </c>
      <c r="B1811" s="4" t="s">
        <v>117</v>
      </c>
      <c r="C1811" s="38" t="s">
        <v>4166</v>
      </c>
      <c r="D1811" s="4">
        <v>2022</v>
      </c>
      <c r="E1811" s="4" t="s">
        <v>21</v>
      </c>
      <c r="F1811" s="4">
        <v>20</v>
      </c>
      <c r="G1811" s="42">
        <v>15</v>
      </c>
      <c r="H1811" s="42">
        <v>38.120989999999999</v>
      </c>
    </row>
    <row r="1812" spans="1:8" s="5" customFormat="1" ht="17.25" hidden="1" customHeight="1" outlineLevel="1" x14ac:dyDescent="0.25">
      <c r="A1812" s="4">
        <v>2371</v>
      </c>
      <c r="B1812" s="4" t="s">
        <v>117</v>
      </c>
      <c r="C1812" s="38" t="s">
        <v>4167</v>
      </c>
      <c r="D1812" s="4">
        <v>2022</v>
      </c>
      <c r="E1812" s="4" t="s">
        <v>21</v>
      </c>
      <c r="F1812" s="4">
        <v>65</v>
      </c>
      <c r="G1812" s="42">
        <v>15</v>
      </c>
      <c r="H1812" s="42">
        <v>74.786630000000002</v>
      </c>
    </row>
    <row r="1813" spans="1:8" s="5" customFormat="1" ht="17.25" hidden="1" customHeight="1" outlineLevel="1" x14ac:dyDescent="0.25">
      <c r="A1813" s="4">
        <v>2373</v>
      </c>
      <c r="B1813" s="4" t="s">
        <v>117</v>
      </c>
      <c r="C1813" s="38" t="s">
        <v>4168</v>
      </c>
      <c r="D1813" s="4">
        <v>2022</v>
      </c>
      <c r="E1813" s="4" t="s">
        <v>21</v>
      </c>
      <c r="F1813" s="4">
        <v>40</v>
      </c>
      <c r="G1813" s="42">
        <v>15</v>
      </c>
      <c r="H1813" s="42">
        <v>82.483379999999997</v>
      </c>
    </row>
    <row r="1814" spans="1:8" s="5" customFormat="1" ht="17.25" hidden="1" customHeight="1" outlineLevel="1" x14ac:dyDescent="0.25">
      <c r="A1814" s="4">
        <v>2412</v>
      </c>
      <c r="B1814" s="4" t="s">
        <v>117</v>
      </c>
      <c r="C1814" s="38" t="s">
        <v>4169</v>
      </c>
      <c r="D1814" s="4">
        <v>2022</v>
      </c>
      <c r="E1814" s="4" t="s">
        <v>21</v>
      </c>
      <c r="F1814" s="4">
        <v>105</v>
      </c>
      <c r="G1814" s="42">
        <v>15</v>
      </c>
      <c r="H1814" s="42">
        <v>169.04400000000001</v>
      </c>
    </row>
    <row r="1815" spans="1:8" s="5" customFormat="1" ht="17.25" hidden="1" customHeight="1" outlineLevel="1" x14ac:dyDescent="0.25">
      <c r="A1815" s="4">
        <v>2413</v>
      </c>
      <c r="B1815" s="4" t="s">
        <v>117</v>
      </c>
      <c r="C1815" s="38" t="s">
        <v>4170</v>
      </c>
      <c r="D1815" s="4">
        <v>2022</v>
      </c>
      <c r="E1815" s="4" t="s">
        <v>21</v>
      </c>
      <c r="F1815" s="4">
        <v>40</v>
      </c>
      <c r="G1815" s="42">
        <v>15</v>
      </c>
      <c r="H1815" s="42">
        <v>60.134</v>
      </c>
    </row>
    <row r="1816" spans="1:8" s="5" customFormat="1" ht="17.25" hidden="1" customHeight="1" outlineLevel="1" x14ac:dyDescent="0.25">
      <c r="A1816" s="4">
        <v>2414</v>
      </c>
      <c r="B1816" s="4" t="s">
        <v>117</v>
      </c>
      <c r="C1816" s="38" t="s">
        <v>4171</v>
      </c>
      <c r="D1816" s="4">
        <v>2022</v>
      </c>
      <c r="E1816" s="4" t="s">
        <v>21</v>
      </c>
      <c r="F1816" s="4">
        <v>110</v>
      </c>
      <c r="G1816" s="42">
        <v>15</v>
      </c>
      <c r="H1816" s="42">
        <v>138.31560000000002</v>
      </c>
    </row>
    <row r="1817" spans="1:8" s="5" customFormat="1" ht="17.25" hidden="1" customHeight="1" outlineLevel="1" x14ac:dyDescent="0.25">
      <c r="A1817" s="4">
        <v>2456</v>
      </c>
      <c r="B1817" s="4" t="s">
        <v>117</v>
      </c>
      <c r="C1817" s="38" t="s">
        <v>4172</v>
      </c>
      <c r="D1817" s="4">
        <v>2022</v>
      </c>
      <c r="E1817" s="4" t="s">
        <v>21</v>
      </c>
      <c r="F1817" s="4">
        <v>16</v>
      </c>
      <c r="G1817" s="42">
        <v>15</v>
      </c>
      <c r="H1817" s="42">
        <v>38.71</v>
      </c>
    </row>
    <row r="1818" spans="1:8" s="5" customFormat="1" ht="17.25" hidden="1" customHeight="1" outlineLevel="1" x14ac:dyDescent="0.25">
      <c r="A1818" s="4">
        <v>2541</v>
      </c>
      <c r="B1818" s="4" t="s">
        <v>117</v>
      </c>
      <c r="C1818" s="38" t="s">
        <v>4173</v>
      </c>
      <c r="D1818" s="4">
        <v>2022</v>
      </c>
      <c r="E1818" s="4" t="s">
        <v>21</v>
      </c>
      <c r="F1818" s="4">
        <v>195</v>
      </c>
      <c r="G1818" s="42">
        <v>15</v>
      </c>
      <c r="H1818" s="42">
        <v>462.26256000000001</v>
      </c>
    </row>
    <row r="1819" spans="1:8" s="5" customFormat="1" ht="17.25" hidden="1" customHeight="1" outlineLevel="1" x14ac:dyDescent="0.25">
      <c r="A1819" s="4">
        <v>2544</v>
      </c>
      <c r="B1819" s="4" t="s">
        <v>117</v>
      </c>
      <c r="C1819" s="38" t="s">
        <v>4174</v>
      </c>
      <c r="D1819" s="4">
        <v>2022</v>
      </c>
      <c r="E1819" s="4" t="s">
        <v>21</v>
      </c>
      <c r="F1819" s="4">
        <v>5</v>
      </c>
      <c r="G1819" s="42">
        <v>15</v>
      </c>
      <c r="H1819" s="42">
        <v>54.652970000000003</v>
      </c>
    </row>
    <row r="1820" spans="1:8" s="5" customFormat="1" ht="17.25" hidden="1" customHeight="1" outlineLevel="1" x14ac:dyDescent="0.25">
      <c r="A1820" s="4">
        <v>2546</v>
      </c>
      <c r="B1820" s="4" t="s">
        <v>117</v>
      </c>
      <c r="C1820" s="38" t="s">
        <v>4175</v>
      </c>
      <c r="D1820" s="4">
        <v>2022</v>
      </c>
      <c r="E1820" s="4" t="s">
        <v>21</v>
      </c>
      <c r="F1820" s="4">
        <v>213</v>
      </c>
      <c r="G1820" s="42">
        <v>5</v>
      </c>
      <c r="H1820" s="42">
        <v>256.49699999999996</v>
      </c>
    </row>
    <row r="1821" spans="1:8" s="5" customFormat="1" ht="17.25" hidden="1" customHeight="1" outlineLevel="1" x14ac:dyDescent="0.25">
      <c r="A1821" s="4">
        <v>2547</v>
      </c>
      <c r="B1821" s="4" t="s">
        <v>117</v>
      </c>
      <c r="C1821" s="38" t="s">
        <v>4176</v>
      </c>
      <c r="D1821" s="4">
        <v>2022</v>
      </c>
      <c r="E1821" s="4" t="s">
        <v>21</v>
      </c>
      <c r="F1821" s="4">
        <v>237</v>
      </c>
      <c r="G1821" s="42">
        <v>15</v>
      </c>
      <c r="H1821" s="42">
        <v>491.28397000000001</v>
      </c>
    </row>
    <row r="1822" spans="1:8" s="5" customFormat="1" ht="17.25" hidden="1" customHeight="1" outlineLevel="1" x14ac:dyDescent="0.25">
      <c r="A1822" s="4">
        <v>2074</v>
      </c>
      <c r="B1822" s="4" t="s">
        <v>117</v>
      </c>
      <c r="C1822" s="38" t="s">
        <v>4177</v>
      </c>
      <c r="D1822" s="4">
        <v>2022</v>
      </c>
      <c r="E1822" s="4" t="s">
        <v>21</v>
      </c>
      <c r="F1822" s="4">
        <v>16</v>
      </c>
      <c r="G1822" s="42">
        <v>15</v>
      </c>
      <c r="H1822" s="42">
        <v>99.841999999999999</v>
      </c>
    </row>
    <row r="1823" spans="1:8" s="5" customFormat="1" ht="17.25" hidden="1" customHeight="1" outlineLevel="1" x14ac:dyDescent="0.25">
      <c r="A1823" s="4">
        <v>2169</v>
      </c>
      <c r="B1823" s="4" t="s">
        <v>117</v>
      </c>
      <c r="C1823" s="38" t="s">
        <v>4178</v>
      </c>
      <c r="D1823" s="4">
        <v>2022</v>
      </c>
      <c r="E1823" s="4" t="s">
        <v>21</v>
      </c>
      <c r="F1823" s="4">
        <v>156</v>
      </c>
      <c r="G1823" s="42">
        <v>60</v>
      </c>
      <c r="H1823" s="42">
        <v>291.45175</v>
      </c>
    </row>
    <row r="1824" spans="1:8" s="5" customFormat="1" ht="17.25" hidden="1" customHeight="1" outlineLevel="1" x14ac:dyDescent="0.25">
      <c r="A1824" s="4">
        <v>2322</v>
      </c>
      <c r="B1824" s="4" t="s">
        <v>117</v>
      </c>
      <c r="C1824" s="38" t="s">
        <v>4179</v>
      </c>
      <c r="D1824" s="4">
        <v>2022</v>
      </c>
      <c r="E1824" s="4" t="s">
        <v>21</v>
      </c>
      <c r="F1824" s="4">
        <v>50</v>
      </c>
      <c r="G1824" s="42">
        <v>15</v>
      </c>
      <c r="H1824" s="42">
        <v>136.084</v>
      </c>
    </row>
    <row r="1825" spans="1:8" s="5" customFormat="1" ht="17.25" hidden="1" customHeight="1" outlineLevel="1" x14ac:dyDescent="0.25">
      <c r="A1825" s="4">
        <v>2367</v>
      </c>
      <c r="B1825" s="4" t="s">
        <v>117</v>
      </c>
      <c r="C1825" s="38" t="s">
        <v>4180</v>
      </c>
      <c r="D1825" s="4">
        <v>2022</v>
      </c>
      <c r="E1825" s="4" t="s">
        <v>21</v>
      </c>
      <c r="F1825" s="4">
        <v>30</v>
      </c>
      <c r="G1825" s="42">
        <v>15</v>
      </c>
      <c r="H1825" s="42">
        <v>68.213999999999999</v>
      </c>
    </row>
    <row r="1826" spans="1:8" s="5" customFormat="1" ht="17.25" hidden="1" customHeight="1" outlineLevel="1" x14ac:dyDescent="0.25">
      <c r="A1826" s="4">
        <v>2368</v>
      </c>
      <c r="B1826" s="4" t="s">
        <v>117</v>
      </c>
      <c r="C1826" s="38" t="s">
        <v>4181</v>
      </c>
      <c r="D1826" s="4">
        <v>2022</v>
      </c>
      <c r="E1826" s="4" t="s">
        <v>21</v>
      </c>
      <c r="F1826" s="4">
        <v>30</v>
      </c>
      <c r="G1826" s="42">
        <v>30</v>
      </c>
      <c r="H1826" s="42">
        <v>55.555</v>
      </c>
    </row>
    <row r="1827" spans="1:8" s="5" customFormat="1" ht="17.25" hidden="1" customHeight="1" outlineLevel="1" x14ac:dyDescent="0.25">
      <c r="A1827" s="4">
        <v>2370</v>
      </c>
      <c r="B1827" s="4" t="s">
        <v>117</v>
      </c>
      <c r="C1827" s="38" t="s">
        <v>4182</v>
      </c>
      <c r="D1827" s="4">
        <v>2022</v>
      </c>
      <c r="E1827" s="4" t="s">
        <v>21</v>
      </c>
      <c r="F1827" s="4">
        <v>30</v>
      </c>
      <c r="G1827" s="42">
        <v>10</v>
      </c>
      <c r="H1827" s="42">
        <v>76.3857</v>
      </c>
    </row>
    <row r="1828" spans="1:8" s="5" customFormat="1" ht="17.25" hidden="1" customHeight="1" outlineLevel="1" x14ac:dyDescent="0.25">
      <c r="A1828" s="4">
        <v>2372</v>
      </c>
      <c r="B1828" s="4" t="s">
        <v>117</v>
      </c>
      <c r="C1828" s="38" t="s">
        <v>4183</v>
      </c>
      <c r="D1828" s="4">
        <v>2022</v>
      </c>
      <c r="E1828" s="4" t="s">
        <v>21</v>
      </c>
      <c r="F1828" s="4">
        <v>50</v>
      </c>
      <c r="G1828" s="42">
        <v>15</v>
      </c>
      <c r="H1828" s="42">
        <v>86.09559999999999</v>
      </c>
    </row>
    <row r="1829" spans="1:8" s="5" customFormat="1" ht="17.25" hidden="1" customHeight="1" outlineLevel="1" x14ac:dyDescent="0.25">
      <c r="A1829" s="4">
        <v>2405</v>
      </c>
      <c r="B1829" s="4" t="s">
        <v>117</v>
      </c>
      <c r="C1829" s="38" t="s">
        <v>4184</v>
      </c>
      <c r="D1829" s="4">
        <v>2022</v>
      </c>
      <c r="E1829" s="4" t="s">
        <v>21</v>
      </c>
      <c r="F1829" s="4">
        <v>85</v>
      </c>
      <c r="G1829" s="42">
        <v>15</v>
      </c>
      <c r="H1829" s="42">
        <v>90.411000000000001</v>
      </c>
    </row>
    <row r="1830" spans="1:8" s="5" customFormat="1" ht="17.25" hidden="1" customHeight="1" outlineLevel="1" x14ac:dyDescent="0.25">
      <c r="A1830" s="4">
        <v>2417</v>
      </c>
      <c r="B1830" s="4" t="s">
        <v>117</v>
      </c>
      <c r="C1830" s="38" t="s">
        <v>4185</v>
      </c>
      <c r="D1830" s="4">
        <v>2022</v>
      </c>
      <c r="E1830" s="4" t="s">
        <v>21</v>
      </c>
      <c r="F1830" s="4">
        <v>30</v>
      </c>
      <c r="G1830" s="42">
        <v>15</v>
      </c>
      <c r="H1830" s="42">
        <v>58.997909999999997</v>
      </c>
    </row>
    <row r="1831" spans="1:8" s="5" customFormat="1" ht="17.25" hidden="1" customHeight="1" outlineLevel="1" x14ac:dyDescent="0.25">
      <c r="A1831" s="4">
        <v>2418</v>
      </c>
      <c r="B1831" s="4" t="s">
        <v>117</v>
      </c>
      <c r="C1831" s="38" t="s">
        <v>4186</v>
      </c>
      <c r="D1831" s="4">
        <v>2022</v>
      </c>
      <c r="E1831" s="4" t="s">
        <v>21</v>
      </c>
      <c r="F1831" s="4">
        <v>30</v>
      </c>
      <c r="G1831" s="42">
        <v>15</v>
      </c>
      <c r="H1831" s="42">
        <v>59.40945</v>
      </c>
    </row>
    <row r="1832" spans="1:8" s="5" customFormat="1" ht="17.25" hidden="1" customHeight="1" outlineLevel="1" x14ac:dyDescent="0.25">
      <c r="A1832" s="4">
        <v>2428</v>
      </c>
      <c r="B1832" s="4" t="s">
        <v>117</v>
      </c>
      <c r="C1832" s="38" t="s">
        <v>4187</v>
      </c>
      <c r="D1832" s="4">
        <v>2022</v>
      </c>
      <c r="E1832" s="4" t="s">
        <v>21</v>
      </c>
      <c r="F1832" s="4">
        <v>500</v>
      </c>
      <c r="G1832" s="42">
        <v>15</v>
      </c>
      <c r="H1832" s="42">
        <v>451.58300000000003</v>
      </c>
    </row>
    <row r="1833" spans="1:8" s="5" customFormat="1" ht="17.25" hidden="1" customHeight="1" outlineLevel="1" x14ac:dyDescent="0.25">
      <c r="A1833" s="4">
        <v>2430</v>
      </c>
      <c r="B1833" s="4" t="s">
        <v>117</v>
      </c>
      <c r="C1833" s="38" t="s">
        <v>4188</v>
      </c>
      <c r="D1833" s="4">
        <v>2022</v>
      </c>
      <c r="E1833" s="4" t="s">
        <v>21</v>
      </c>
      <c r="F1833" s="4">
        <v>30</v>
      </c>
      <c r="G1833" s="42">
        <v>15</v>
      </c>
      <c r="H1833" s="42">
        <v>63.405459999999998</v>
      </c>
    </row>
    <row r="1834" spans="1:8" s="5" customFormat="1" ht="17.25" hidden="1" customHeight="1" outlineLevel="1" x14ac:dyDescent="0.25">
      <c r="A1834" s="4">
        <v>2455</v>
      </c>
      <c r="B1834" s="4" t="s">
        <v>117</v>
      </c>
      <c r="C1834" s="38" t="s">
        <v>4189</v>
      </c>
      <c r="D1834" s="4">
        <v>2022</v>
      </c>
      <c r="E1834" s="4" t="s">
        <v>21</v>
      </c>
      <c r="F1834" s="4">
        <v>60</v>
      </c>
      <c r="G1834" s="42">
        <v>15</v>
      </c>
      <c r="H1834" s="42">
        <v>124.90260000000001</v>
      </c>
    </row>
    <row r="1835" spans="1:8" s="5" customFormat="1" ht="17.25" hidden="1" customHeight="1" outlineLevel="1" x14ac:dyDescent="0.25">
      <c r="A1835" s="4">
        <v>2507</v>
      </c>
      <c r="B1835" s="4" t="s">
        <v>117</v>
      </c>
      <c r="C1835" s="38" t="s">
        <v>4190</v>
      </c>
      <c r="D1835" s="4">
        <v>2022</v>
      </c>
      <c r="E1835" s="4" t="s">
        <v>21</v>
      </c>
      <c r="F1835" s="4">
        <v>60</v>
      </c>
      <c r="G1835" s="42">
        <v>15</v>
      </c>
      <c r="H1835" s="42">
        <v>118.407</v>
      </c>
    </row>
    <row r="1836" spans="1:8" s="5" customFormat="1" ht="17.25" hidden="1" customHeight="1" outlineLevel="1" x14ac:dyDescent="0.25">
      <c r="A1836" s="4">
        <v>2508</v>
      </c>
      <c r="B1836" s="4" t="s">
        <v>117</v>
      </c>
      <c r="C1836" s="38" t="s">
        <v>4191</v>
      </c>
      <c r="D1836" s="4">
        <v>2022</v>
      </c>
      <c r="E1836" s="4" t="s">
        <v>21</v>
      </c>
      <c r="F1836" s="4">
        <v>70</v>
      </c>
      <c r="G1836" s="42">
        <v>15</v>
      </c>
      <c r="H1836" s="42">
        <v>77.15831</v>
      </c>
    </row>
    <row r="1837" spans="1:8" s="5" customFormat="1" ht="17.25" hidden="1" customHeight="1" outlineLevel="1" x14ac:dyDescent="0.25">
      <c r="A1837" s="4">
        <v>2509</v>
      </c>
      <c r="B1837" s="4" t="s">
        <v>117</v>
      </c>
      <c r="C1837" s="38" t="s">
        <v>4192</v>
      </c>
      <c r="D1837" s="4">
        <v>2022</v>
      </c>
      <c r="E1837" s="4" t="s">
        <v>21</v>
      </c>
      <c r="F1837" s="4">
        <v>50</v>
      </c>
      <c r="G1837" s="42">
        <v>6</v>
      </c>
      <c r="H1837" s="42">
        <v>130.75400000000002</v>
      </c>
    </row>
    <row r="1838" spans="1:8" s="5" customFormat="1" ht="17.25" hidden="1" customHeight="1" outlineLevel="1" x14ac:dyDescent="0.25">
      <c r="A1838" s="4">
        <v>2511</v>
      </c>
      <c r="B1838" s="4" t="s">
        <v>117</v>
      </c>
      <c r="C1838" s="38" t="s">
        <v>4193</v>
      </c>
      <c r="D1838" s="4">
        <v>2022</v>
      </c>
      <c r="E1838" s="4" t="s">
        <v>21</v>
      </c>
      <c r="F1838" s="4">
        <v>230</v>
      </c>
      <c r="G1838" s="42">
        <v>8</v>
      </c>
      <c r="H1838" s="42">
        <v>332.61600000000004</v>
      </c>
    </row>
    <row r="1839" spans="1:8" s="5" customFormat="1" ht="17.25" hidden="1" customHeight="1" outlineLevel="1" x14ac:dyDescent="0.25">
      <c r="A1839" s="4">
        <v>2512</v>
      </c>
      <c r="B1839" s="4" t="s">
        <v>117</v>
      </c>
      <c r="C1839" s="38" t="s">
        <v>4194</v>
      </c>
      <c r="D1839" s="4">
        <v>2022</v>
      </c>
      <c r="E1839" s="4" t="s">
        <v>21</v>
      </c>
      <c r="F1839" s="4">
        <v>310</v>
      </c>
      <c r="G1839" s="42">
        <v>15</v>
      </c>
      <c r="H1839" s="42">
        <v>39.220999999999997</v>
      </c>
    </row>
    <row r="1840" spans="1:8" s="5" customFormat="1" ht="17.25" hidden="1" customHeight="1" outlineLevel="1" x14ac:dyDescent="0.25">
      <c r="A1840" s="4">
        <v>2548</v>
      </c>
      <c r="B1840" s="4" t="s">
        <v>117</v>
      </c>
      <c r="C1840" s="38" t="s">
        <v>4195</v>
      </c>
      <c r="D1840" s="4">
        <v>2022</v>
      </c>
      <c r="E1840" s="4" t="s">
        <v>21</v>
      </c>
      <c r="F1840" s="4">
        <v>70</v>
      </c>
      <c r="G1840" s="42">
        <v>15</v>
      </c>
      <c r="H1840" s="42">
        <v>208.26998</v>
      </c>
    </row>
    <row r="1841" spans="1:8" s="5" customFormat="1" ht="17.25" hidden="1" customHeight="1" outlineLevel="1" x14ac:dyDescent="0.25">
      <c r="A1841" s="4">
        <v>2565</v>
      </c>
      <c r="B1841" s="4" t="s">
        <v>117</v>
      </c>
      <c r="C1841" s="38" t="s">
        <v>4196</v>
      </c>
      <c r="D1841" s="4">
        <v>2022</v>
      </c>
      <c r="E1841" s="4" t="s">
        <v>21</v>
      </c>
      <c r="F1841" s="4">
        <v>10</v>
      </c>
      <c r="G1841" s="42">
        <v>15</v>
      </c>
      <c r="H1841" s="42">
        <v>48.080999999999996</v>
      </c>
    </row>
    <row r="1842" spans="1:8" s="5" customFormat="1" ht="17.25" hidden="1" customHeight="1" outlineLevel="1" x14ac:dyDescent="0.25">
      <c r="A1842" s="4">
        <v>2566</v>
      </c>
      <c r="B1842" s="4" t="s">
        <v>117</v>
      </c>
      <c r="C1842" s="38" t="s">
        <v>4197</v>
      </c>
      <c r="D1842" s="4">
        <v>2022</v>
      </c>
      <c r="E1842" s="4" t="s">
        <v>21</v>
      </c>
      <c r="F1842" s="4">
        <v>310</v>
      </c>
      <c r="G1842" s="42">
        <v>14</v>
      </c>
      <c r="H1842" s="42">
        <v>749.91399999999999</v>
      </c>
    </row>
    <row r="1843" spans="1:8" s="5" customFormat="1" ht="17.25" hidden="1" customHeight="1" outlineLevel="1" x14ac:dyDescent="0.25">
      <c r="A1843" s="4">
        <v>2568</v>
      </c>
      <c r="B1843" s="4" t="s">
        <v>117</v>
      </c>
      <c r="C1843" s="38" t="s">
        <v>4198</v>
      </c>
      <c r="D1843" s="4">
        <v>2022</v>
      </c>
      <c r="E1843" s="4" t="s">
        <v>21</v>
      </c>
      <c r="F1843" s="4">
        <v>215</v>
      </c>
      <c r="G1843" s="42">
        <v>15</v>
      </c>
      <c r="H1843" s="42">
        <v>560.66999999999996</v>
      </c>
    </row>
    <row r="1844" spans="1:8" s="5" customFormat="1" ht="27.75" hidden="1" customHeight="1" outlineLevel="1" x14ac:dyDescent="0.25">
      <c r="A1844" s="42">
        <v>9565</v>
      </c>
      <c r="B1844" s="4" t="s">
        <v>117</v>
      </c>
      <c r="C1844" s="38" t="s">
        <v>1378</v>
      </c>
      <c r="D1844" s="4">
        <v>2021</v>
      </c>
      <c r="E1844" s="4" t="s">
        <v>21</v>
      </c>
      <c r="F1844" s="4">
        <v>56</v>
      </c>
      <c r="G1844" s="4">
        <v>42</v>
      </c>
      <c r="H1844" s="4">
        <v>146</v>
      </c>
    </row>
    <row r="1845" spans="1:8" s="5" customFormat="1" ht="27.75" hidden="1" customHeight="1" outlineLevel="1" x14ac:dyDescent="0.25">
      <c r="A1845" s="42">
        <v>9795</v>
      </c>
      <c r="B1845" s="4" t="s">
        <v>117</v>
      </c>
      <c r="C1845" s="38" t="s">
        <v>1379</v>
      </c>
      <c r="D1845" s="4">
        <v>2021</v>
      </c>
      <c r="E1845" s="4" t="s">
        <v>21</v>
      </c>
      <c r="F1845" s="4">
        <v>12</v>
      </c>
      <c r="G1845" s="4">
        <v>10</v>
      </c>
      <c r="H1845" s="4">
        <v>121</v>
      </c>
    </row>
    <row r="1846" spans="1:8" s="5" customFormat="1" ht="27.75" hidden="1" customHeight="1" outlineLevel="1" x14ac:dyDescent="0.25">
      <c r="A1846" s="43">
        <v>1282</v>
      </c>
      <c r="B1846" s="4" t="s">
        <v>117</v>
      </c>
      <c r="C1846" s="38" t="s">
        <v>1380</v>
      </c>
      <c r="D1846" s="4">
        <v>2021</v>
      </c>
      <c r="E1846" s="4" t="s">
        <v>21</v>
      </c>
      <c r="F1846" s="4">
        <v>6</v>
      </c>
      <c r="G1846" s="4">
        <v>20</v>
      </c>
      <c r="H1846" s="4">
        <v>36</v>
      </c>
    </row>
    <row r="1847" spans="1:8" s="5" customFormat="1" ht="27.75" hidden="1" customHeight="1" outlineLevel="1" x14ac:dyDescent="0.25">
      <c r="A1847" s="42">
        <v>9778</v>
      </c>
      <c r="B1847" s="4" t="s">
        <v>117</v>
      </c>
      <c r="C1847" s="38" t="s">
        <v>1381</v>
      </c>
      <c r="D1847" s="4">
        <v>2021</v>
      </c>
      <c r="E1847" s="4" t="s">
        <v>21</v>
      </c>
      <c r="F1847" s="4">
        <v>350</v>
      </c>
      <c r="G1847" s="4">
        <v>10</v>
      </c>
      <c r="H1847" s="4">
        <v>404</v>
      </c>
    </row>
    <row r="1848" spans="1:8" s="5" customFormat="1" ht="27.75" hidden="1" customHeight="1" outlineLevel="1" x14ac:dyDescent="0.25">
      <c r="A1848" s="42">
        <v>9770</v>
      </c>
      <c r="B1848" s="4" t="s">
        <v>117</v>
      </c>
      <c r="C1848" s="38" t="s">
        <v>1382</v>
      </c>
      <c r="D1848" s="4">
        <v>2021</v>
      </c>
      <c r="E1848" s="4" t="s">
        <v>21</v>
      </c>
      <c r="F1848" s="4">
        <v>298</v>
      </c>
      <c r="G1848" s="4">
        <v>30</v>
      </c>
      <c r="H1848" s="4">
        <v>348</v>
      </c>
    </row>
    <row r="1849" spans="1:8" s="5" customFormat="1" ht="27.75" hidden="1" customHeight="1" outlineLevel="1" x14ac:dyDescent="0.25">
      <c r="A1849" s="42">
        <v>9775</v>
      </c>
      <c r="B1849" s="4" t="s">
        <v>117</v>
      </c>
      <c r="C1849" s="38" t="s">
        <v>1383</v>
      </c>
      <c r="D1849" s="4">
        <v>2021</v>
      </c>
      <c r="E1849" s="4" t="s">
        <v>21</v>
      </c>
      <c r="F1849" s="4">
        <v>25</v>
      </c>
      <c r="G1849" s="4">
        <v>5</v>
      </c>
      <c r="H1849" s="4">
        <v>75</v>
      </c>
    </row>
    <row r="1850" spans="1:8" s="5" customFormat="1" ht="27.75" hidden="1" customHeight="1" outlineLevel="1" x14ac:dyDescent="0.25">
      <c r="A1850" s="43">
        <v>1392</v>
      </c>
      <c r="B1850" s="4" t="s">
        <v>117</v>
      </c>
      <c r="C1850" s="38" t="s">
        <v>1384</v>
      </c>
      <c r="D1850" s="4">
        <v>2021</v>
      </c>
      <c r="E1850" s="4" t="s">
        <v>21</v>
      </c>
      <c r="F1850" s="4">
        <v>57</v>
      </c>
      <c r="G1850" s="4">
        <v>0.5</v>
      </c>
      <c r="H1850" s="4">
        <v>79</v>
      </c>
    </row>
    <row r="1851" spans="1:8" s="5" customFormat="1" ht="27.75" hidden="1" customHeight="1" outlineLevel="1" x14ac:dyDescent="0.25">
      <c r="A1851" s="43">
        <v>1384</v>
      </c>
      <c r="B1851" s="4" t="s">
        <v>117</v>
      </c>
      <c r="C1851" s="38" t="s">
        <v>1385</v>
      </c>
      <c r="D1851" s="4">
        <v>2021</v>
      </c>
      <c r="E1851" s="4" t="s">
        <v>21</v>
      </c>
      <c r="F1851" s="4">
        <v>15</v>
      </c>
      <c r="G1851" s="4">
        <v>15</v>
      </c>
      <c r="H1851" s="4">
        <v>67</v>
      </c>
    </row>
    <row r="1852" spans="1:8" s="5" customFormat="1" ht="27.75" hidden="1" customHeight="1" outlineLevel="1" x14ac:dyDescent="0.25">
      <c r="A1852" s="43">
        <v>794</v>
      </c>
      <c r="B1852" s="4" t="s">
        <v>117</v>
      </c>
      <c r="C1852" s="38" t="s">
        <v>1386</v>
      </c>
      <c r="D1852" s="4">
        <v>2021</v>
      </c>
      <c r="E1852" s="4" t="s">
        <v>21</v>
      </c>
      <c r="F1852" s="4">
        <v>77</v>
      </c>
      <c r="G1852" s="4">
        <v>15</v>
      </c>
      <c r="H1852" s="4">
        <v>122</v>
      </c>
    </row>
    <row r="1853" spans="1:8" s="5" customFormat="1" ht="27.75" hidden="1" customHeight="1" outlineLevel="1" x14ac:dyDescent="0.25">
      <c r="A1853" s="43">
        <v>1427</v>
      </c>
      <c r="B1853" s="4" t="s">
        <v>117</v>
      </c>
      <c r="C1853" s="38" t="s">
        <v>1387</v>
      </c>
      <c r="D1853" s="4">
        <v>2021</v>
      </c>
      <c r="E1853" s="4" t="s">
        <v>21</v>
      </c>
      <c r="F1853" s="4">
        <v>30</v>
      </c>
      <c r="G1853" s="4">
        <v>9</v>
      </c>
      <c r="H1853" s="4">
        <v>186</v>
      </c>
    </row>
    <row r="1854" spans="1:8" s="5" customFormat="1" ht="27.75" hidden="1" customHeight="1" outlineLevel="1" x14ac:dyDescent="0.25">
      <c r="A1854" s="42">
        <v>9570</v>
      </c>
      <c r="B1854" s="4" t="s">
        <v>117</v>
      </c>
      <c r="C1854" s="38" t="s">
        <v>1388</v>
      </c>
      <c r="D1854" s="4">
        <v>2021</v>
      </c>
      <c r="E1854" s="4" t="s">
        <v>21</v>
      </c>
      <c r="F1854" s="4">
        <v>28</v>
      </c>
      <c r="G1854" s="4">
        <v>15</v>
      </c>
      <c r="H1854" s="4">
        <v>105</v>
      </c>
    </row>
    <row r="1855" spans="1:8" s="5" customFormat="1" ht="27.75" hidden="1" customHeight="1" outlineLevel="1" x14ac:dyDescent="0.25">
      <c r="A1855" s="42">
        <v>9783</v>
      </c>
      <c r="B1855" s="4" t="s">
        <v>117</v>
      </c>
      <c r="C1855" s="38" t="s">
        <v>1389</v>
      </c>
      <c r="D1855" s="4">
        <v>2021</v>
      </c>
      <c r="E1855" s="4" t="s">
        <v>21</v>
      </c>
      <c r="F1855" s="4">
        <v>25</v>
      </c>
      <c r="G1855" s="4">
        <v>15</v>
      </c>
      <c r="H1855" s="4">
        <v>123</v>
      </c>
    </row>
    <row r="1856" spans="1:8" s="5" customFormat="1" ht="27.75" hidden="1" customHeight="1" outlineLevel="1" x14ac:dyDescent="0.25">
      <c r="A1856" s="42">
        <v>9784</v>
      </c>
      <c r="B1856" s="4" t="s">
        <v>117</v>
      </c>
      <c r="C1856" s="38" t="s">
        <v>1390</v>
      </c>
      <c r="D1856" s="4">
        <v>2021</v>
      </c>
      <c r="E1856" s="4" t="s">
        <v>21</v>
      </c>
      <c r="F1856" s="4">
        <v>22</v>
      </c>
      <c r="G1856" s="4">
        <v>21.06</v>
      </c>
      <c r="H1856" s="4">
        <v>99</v>
      </c>
    </row>
    <row r="1857" spans="1:8" s="5" customFormat="1" ht="27.75" hidden="1" customHeight="1" outlineLevel="1" x14ac:dyDescent="0.25">
      <c r="A1857" s="42">
        <v>9791</v>
      </c>
      <c r="B1857" s="4" t="s">
        <v>117</v>
      </c>
      <c r="C1857" s="38" t="s">
        <v>1391</v>
      </c>
      <c r="D1857" s="4">
        <v>2021</v>
      </c>
      <c r="E1857" s="4" t="s">
        <v>21</v>
      </c>
      <c r="F1857" s="4">
        <v>108</v>
      </c>
      <c r="G1857" s="4">
        <v>15</v>
      </c>
      <c r="H1857" s="4">
        <v>210</v>
      </c>
    </row>
    <row r="1858" spans="1:8" s="5" customFormat="1" ht="27.75" hidden="1" customHeight="1" outlineLevel="1" x14ac:dyDescent="0.25">
      <c r="A1858" s="42">
        <v>9796</v>
      </c>
      <c r="B1858" s="4" t="s">
        <v>117</v>
      </c>
      <c r="C1858" s="38" t="s">
        <v>1392</v>
      </c>
      <c r="D1858" s="4">
        <v>2021</v>
      </c>
      <c r="E1858" s="4" t="s">
        <v>21</v>
      </c>
      <c r="F1858" s="4">
        <v>172</v>
      </c>
      <c r="G1858" s="4">
        <v>15</v>
      </c>
      <c r="H1858" s="4">
        <v>283</v>
      </c>
    </row>
    <row r="1859" spans="1:8" s="5" customFormat="1" ht="27.75" hidden="1" customHeight="1" outlineLevel="1" x14ac:dyDescent="0.25">
      <c r="A1859" s="43">
        <v>1434</v>
      </c>
      <c r="B1859" s="4" t="s">
        <v>117</v>
      </c>
      <c r="C1859" s="38" t="s">
        <v>1393</v>
      </c>
      <c r="D1859" s="4">
        <v>2021</v>
      </c>
      <c r="E1859" s="4" t="s">
        <v>21</v>
      </c>
      <c r="F1859" s="4">
        <v>217</v>
      </c>
      <c r="G1859" s="4">
        <v>15</v>
      </c>
      <c r="H1859" s="4">
        <v>266</v>
      </c>
    </row>
    <row r="1860" spans="1:8" s="5" customFormat="1" ht="27.75" hidden="1" customHeight="1" outlineLevel="1" x14ac:dyDescent="0.25">
      <c r="A1860" s="42">
        <v>9794</v>
      </c>
      <c r="B1860" s="4" t="s">
        <v>117</v>
      </c>
      <c r="C1860" s="38" t="s">
        <v>1394</v>
      </c>
      <c r="D1860" s="4">
        <v>2021</v>
      </c>
      <c r="E1860" s="4" t="s">
        <v>21</v>
      </c>
      <c r="F1860" s="4">
        <v>18</v>
      </c>
      <c r="G1860" s="4">
        <v>10</v>
      </c>
      <c r="H1860" s="4">
        <v>55</v>
      </c>
    </row>
    <row r="1861" spans="1:8" s="5" customFormat="1" ht="27.75" hidden="1" customHeight="1" outlineLevel="1" x14ac:dyDescent="0.25">
      <c r="A1861" s="43">
        <v>1432</v>
      </c>
      <c r="B1861" s="4" t="s">
        <v>117</v>
      </c>
      <c r="C1861" s="38" t="s">
        <v>1395</v>
      </c>
      <c r="D1861" s="4">
        <v>2021</v>
      </c>
      <c r="E1861" s="4" t="s">
        <v>21</v>
      </c>
      <c r="F1861" s="4">
        <v>424</v>
      </c>
      <c r="G1861" s="4">
        <v>15</v>
      </c>
      <c r="H1861" s="4">
        <v>576</v>
      </c>
    </row>
    <row r="1862" spans="1:8" s="5" customFormat="1" ht="27.75" hidden="1" customHeight="1" outlineLevel="1" x14ac:dyDescent="0.25">
      <c r="A1862" s="43">
        <v>1272</v>
      </c>
      <c r="B1862" s="4" t="s">
        <v>117</v>
      </c>
      <c r="C1862" s="38" t="s">
        <v>1396</v>
      </c>
      <c r="D1862" s="4">
        <v>2021</v>
      </c>
      <c r="E1862" s="4" t="s">
        <v>21</v>
      </c>
      <c r="F1862" s="4">
        <v>76</v>
      </c>
      <c r="G1862" s="4">
        <v>100</v>
      </c>
      <c r="H1862" s="4">
        <v>212</v>
      </c>
    </row>
    <row r="1863" spans="1:8" s="5" customFormat="1" ht="27.75" hidden="1" customHeight="1" outlineLevel="1" x14ac:dyDescent="0.25">
      <c r="A1863" s="43">
        <v>1436</v>
      </c>
      <c r="B1863" s="4" t="s">
        <v>117</v>
      </c>
      <c r="C1863" s="38" t="s">
        <v>1397</v>
      </c>
      <c r="D1863" s="4">
        <v>2021</v>
      </c>
      <c r="E1863" s="4" t="s">
        <v>21</v>
      </c>
      <c r="F1863" s="4">
        <v>380</v>
      </c>
      <c r="G1863" s="4">
        <v>15</v>
      </c>
      <c r="H1863" s="4">
        <v>362</v>
      </c>
    </row>
    <row r="1864" spans="1:8" s="5" customFormat="1" ht="27.75" hidden="1" customHeight="1" outlineLevel="1" x14ac:dyDescent="0.25">
      <c r="A1864" s="43">
        <v>1421</v>
      </c>
      <c r="B1864" s="4" t="s">
        <v>117</v>
      </c>
      <c r="C1864" s="38" t="s">
        <v>1398</v>
      </c>
      <c r="D1864" s="4">
        <v>2021</v>
      </c>
      <c r="E1864" s="4" t="s">
        <v>21</v>
      </c>
      <c r="F1864" s="4">
        <v>20</v>
      </c>
      <c r="G1864" s="4">
        <v>15</v>
      </c>
      <c r="H1864" s="4">
        <v>104</v>
      </c>
    </row>
    <row r="1865" spans="1:8" s="5" customFormat="1" ht="27.75" hidden="1" customHeight="1" outlineLevel="1" x14ac:dyDescent="0.25">
      <c r="A1865" s="43">
        <v>1428</v>
      </c>
      <c r="B1865" s="4" t="s">
        <v>117</v>
      </c>
      <c r="C1865" s="38" t="s">
        <v>1399</v>
      </c>
      <c r="D1865" s="4">
        <v>2021</v>
      </c>
      <c r="E1865" s="4" t="s">
        <v>21</v>
      </c>
      <c r="F1865" s="4">
        <v>175</v>
      </c>
      <c r="G1865" s="4">
        <v>30</v>
      </c>
      <c r="H1865" s="4">
        <v>208</v>
      </c>
    </row>
    <row r="1866" spans="1:8" s="5" customFormat="1" ht="27.75" hidden="1" customHeight="1" outlineLevel="1" x14ac:dyDescent="0.25">
      <c r="A1866" s="42">
        <v>9564</v>
      </c>
      <c r="B1866" s="4" t="s">
        <v>117</v>
      </c>
      <c r="C1866" s="38" t="s">
        <v>1400</v>
      </c>
      <c r="D1866" s="4">
        <v>2021</v>
      </c>
      <c r="E1866" s="4" t="s">
        <v>21</v>
      </c>
      <c r="F1866" s="4">
        <v>185</v>
      </c>
      <c r="G1866" s="4">
        <v>15</v>
      </c>
      <c r="H1866" s="4">
        <v>401</v>
      </c>
    </row>
    <row r="1867" spans="1:8" s="5" customFormat="1" ht="27.75" hidden="1" customHeight="1" outlineLevel="1" x14ac:dyDescent="0.25">
      <c r="A1867" s="43">
        <v>1400</v>
      </c>
      <c r="B1867" s="4" t="s">
        <v>117</v>
      </c>
      <c r="C1867" s="38" t="s">
        <v>1401</v>
      </c>
      <c r="D1867" s="4">
        <v>2021</v>
      </c>
      <c r="E1867" s="4" t="s">
        <v>21</v>
      </c>
      <c r="F1867" s="4">
        <v>150</v>
      </c>
      <c r="G1867" s="4">
        <v>15</v>
      </c>
      <c r="H1867" s="4">
        <v>154</v>
      </c>
    </row>
    <row r="1868" spans="1:8" s="5" customFormat="1" ht="27.75" hidden="1" customHeight="1" outlineLevel="1" x14ac:dyDescent="0.25">
      <c r="A1868" s="42">
        <v>9788</v>
      </c>
      <c r="B1868" s="4" t="s">
        <v>117</v>
      </c>
      <c r="C1868" s="38" t="s">
        <v>1402</v>
      </c>
      <c r="D1868" s="4">
        <v>2021</v>
      </c>
      <c r="E1868" s="4" t="s">
        <v>21</v>
      </c>
      <c r="F1868" s="4">
        <v>48</v>
      </c>
      <c r="G1868" s="4">
        <v>15</v>
      </c>
      <c r="H1868" s="4">
        <v>111</v>
      </c>
    </row>
    <row r="1869" spans="1:8" s="5" customFormat="1" ht="27.75" hidden="1" customHeight="1" outlineLevel="1" x14ac:dyDescent="0.25">
      <c r="A1869" s="43">
        <v>1491</v>
      </c>
      <c r="B1869" s="4" t="s">
        <v>117</v>
      </c>
      <c r="C1869" s="38" t="s">
        <v>1403</v>
      </c>
      <c r="D1869" s="4">
        <v>2021</v>
      </c>
      <c r="E1869" s="4" t="s">
        <v>21</v>
      </c>
      <c r="F1869" s="4">
        <v>120</v>
      </c>
      <c r="G1869" s="4">
        <v>15</v>
      </c>
      <c r="H1869" s="4">
        <v>183</v>
      </c>
    </row>
    <row r="1870" spans="1:8" s="5" customFormat="1" ht="27.75" hidden="1" customHeight="1" outlineLevel="1" x14ac:dyDescent="0.25">
      <c r="A1870" s="43">
        <v>832</v>
      </c>
      <c r="B1870" s="4" t="s">
        <v>117</v>
      </c>
      <c r="C1870" s="38" t="s">
        <v>1404</v>
      </c>
      <c r="D1870" s="4">
        <v>2021</v>
      </c>
      <c r="E1870" s="4" t="s">
        <v>21</v>
      </c>
      <c r="F1870" s="4">
        <v>217</v>
      </c>
      <c r="G1870" s="4">
        <v>30</v>
      </c>
      <c r="H1870" s="4">
        <v>414</v>
      </c>
    </row>
    <row r="1871" spans="1:8" s="5" customFormat="1" ht="27.75" hidden="1" customHeight="1" outlineLevel="1" x14ac:dyDescent="0.25">
      <c r="A1871" s="43">
        <v>834</v>
      </c>
      <c r="B1871" s="4" t="s">
        <v>117</v>
      </c>
      <c r="C1871" s="38" t="s">
        <v>1405</v>
      </c>
      <c r="D1871" s="4">
        <v>2021</v>
      </c>
      <c r="E1871" s="4" t="s">
        <v>21</v>
      </c>
      <c r="F1871" s="4">
        <v>131</v>
      </c>
      <c r="G1871" s="4">
        <v>84.3</v>
      </c>
      <c r="H1871" s="4">
        <v>265</v>
      </c>
    </row>
    <row r="1872" spans="1:8" s="5" customFormat="1" ht="27.75" hidden="1" customHeight="1" outlineLevel="1" x14ac:dyDescent="0.25">
      <c r="A1872" s="42">
        <v>9541</v>
      </c>
      <c r="B1872" s="4" t="s">
        <v>117</v>
      </c>
      <c r="C1872" s="38" t="s">
        <v>1406</v>
      </c>
      <c r="D1872" s="4">
        <v>2021</v>
      </c>
      <c r="E1872" s="4" t="s">
        <v>21</v>
      </c>
      <c r="F1872" s="4">
        <v>53</v>
      </c>
      <c r="G1872" s="4">
        <v>15</v>
      </c>
      <c r="H1872" s="4">
        <v>217</v>
      </c>
    </row>
    <row r="1873" spans="1:8" s="5" customFormat="1" ht="27.75" hidden="1" customHeight="1" outlineLevel="1" x14ac:dyDescent="0.25">
      <c r="A1873" s="43">
        <v>1390</v>
      </c>
      <c r="B1873" s="4" t="s">
        <v>117</v>
      </c>
      <c r="C1873" s="38" t="s">
        <v>1407</v>
      </c>
      <c r="D1873" s="4">
        <v>2021</v>
      </c>
      <c r="E1873" s="4" t="s">
        <v>21</v>
      </c>
      <c r="F1873" s="4">
        <v>90</v>
      </c>
      <c r="G1873" s="4">
        <v>50</v>
      </c>
      <c r="H1873" s="4">
        <v>262</v>
      </c>
    </row>
    <row r="1874" spans="1:8" s="5" customFormat="1" ht="27.75" hidden="1" customHeight="1" outlineLevel="1" x14ac:dyDescent="0.25">
      <c r="A1874" s="43">
        <v>789</v>
      </c>
      <c r="B1874" s="4" t="s">
        <v>117</v>
      </c>
      <c r="C1874" s="38" t="s">
        <v>1408</v>
      </c>
      <c r="D1874" s="4">
        <v>2021</v>
      </c>
      <c r="E1874" s="4" t="s">
        <v>21</v>
      </c>
      <c r="F1874" s="4">
        <v>341</v>
      </c>
      <c r="G1874" s="4">
        <v>15</v>
      </c>
      <c r="H1874" s="4">
        <v>368</v>
      </c>
    </row>
    <row r="1875" spans="1:8" s="5" customFormat="1" ht="27.75" hidden="1" customHeight="1" outlineLevel="1" x14ac:dyDescent="0.25">
      <c r="A1875" s="43">
        <v>1388</v>
      </c>
      <c r="B1875" s="4" t="s">
        <v>117</v>
      </c>
      <c r="C1875" s="38" t="s">
        <v>1409</v>
      </c>
      <c r="D1875" s="4">
        <v>2021</v>
      </c>
      <c r="E1875" s="4" t="s">
        <v>21</v>
      </c>
      <c r="F1875" s="4">
        <v>30</v>
      </c>
      <c r="G1875" s="4">
        <v>15</v>
      </c>
      <c r="H1875" s="4">
        <v>89</v>
      </c>
    </row>
    <row r="1876" spans="1:8" s="5" customFormat="1" ht="27.75" hidden="1" customHeight="1" outlineLevel="1" x14ac:dyDescent="0.25">
      <c r="A1876" s="43">
        <v>1395</v>
      </c>
      <c r="B1876" s="4" t="s">
        <v>117</v>
      </c>
      <c r="C1876" s="38" t="s">
        <v>1410</v>
      </c>
      <c r="D1876" s="4">
        <v>2021</v>
      </c>
      <c r="E1876" s="4" t="s">
        <v>21</v>
      </c>
      <c r="F1876" s="4">
        <v>40</v>
      </c>
      <c r="G1876" s="4">
        <v>15</v>
      </c>
      <c r="H1876" s="4">
        <v>145</v>
      </c>
    </row>
    <row r="1877" spans="1:8" s="5" customFormat="1" ht="27.75" hidden="1" customHeight="1" outlineLevel="1" x14ac:dyDescent="0.25">
      <c r="A1877" s="43">
        <v>1273</v>
      </c>
      <c r="B1877" s="4" t="s">
        <v>117</v>
      </c>
      <c r="C1877" s="38" t="s">
        <v>1411</v>
      </c>
      <c r="D1877" s="4">
        <v>2021</v>
      </c>
      <c r="E1877" s="4" t="s">
        <v>21</v>
      </c>
      <c r="F1877" s="4">
        <v>5</v>
      </c>
      <c r="G1877" s="4">
        <v>40</v>
      </c>
      <c r="H1877" s="4">
        <v>42</v>
      </c>
    </row>
    <row r="1878" spans="1:8" s="5" customFormat="1" ht="27.75" hidden="1" customHeight="1" outlineLevel="1" x14ac:dyDescent="0.25">
      <c r="A1878" s="43">
        <v>1362</v>
      </c>
      <c r="B1878" s="4" t="s">
        <v>117</v>
      </c>
      <c r="C1878" s="38" t="s">
        <v>1412</v>
      </c>
      <c r="D1878" s="4">
        <v>2021</v>
      </c>
      <c r="E1878" s="4" t="s">
        <v>21</v>
      </c>
      <c r="F1878" s="4">
        <v>30</v>
      </c>
      <c r="G1878" s="4">
        <v>15</v>
      </c>
      <c r="H1878" s="4">
        <v>133</v>
      </c>
    </row>
    <row r="1879" spans="1:8" s="5" customFormat="1" ht="27.75" hidden="1" customHeight="1" outlineLevel="1" x14ac:dyDescent="0.25">
      <c r="A1879" s="43">
        <v>1405</v>
      </c>
      <c r="B1879" s="4" t="s">
        <v>117</v>
      </c>
      <c r="C1879" s="38" t="s">
        <v>1413</v>
      </c>
      <c r="D1879" s="4">
        <v>2021</v>
      </c>
      <c r="E1879" s="4" t="s">
        <v>21</v>
      </c>
      <c r="F1879" s="4">
        <v>45</v>
      </c>
      <c r="G1879" s="4">
        <v>30</v>
      </c>
      <c r="H1879" s="4">
        <v>113</v>
      </c>
    </row>
    <row r="1880" spans="1:8" s="5" customFormat="1" ht="27.75" hidden="1" customHeight="1" outlineLevel="1" x14ac:dyDescent="0.25">
      <c r="A1880" s="43">
        <v>1418</v>
      </c>
      <c r="B1880" s="4" t="s">
        <v>117</v>
      </c>
      <c r="C1880" s="38" t="s">
        <v>1414</v>
      </c>
      <c r="D1880" s="4">
        <v>2021</v>
      </c>
      <c r="E1880" s="4" t="s">
        <v>21</v>
      </c>
      <c r="F1880" s="4">
        <v>80</v>
      </c>
      <c r="G1880" s="4">
        <v>15</v>
      </c>
      <c r="H1880" s="4">
        <v>155</v>
      </c>
    </row>
    <row r="1881" spans="1:8" s="5" customFormat="1" ht="27.75" hidden="1" customHeight="1" outlineLevel="1" x14ac:dyDescent="0.25">
      <c r="A1881" s="43">
        <v>1430</v>
      </c>
      <c r="B1881" s="4" t="s">
        <v>117</v>
      </c>
      <c r="C1881" s="38" t="s">
        <v>1415</v>
      </c>
      <c r="D1881" s="4">
        <v>2021</v>
      </c>
      <c r="E1881" s="4" t="s">
        <v>21</v>
      </c>
      <c r="F1881" s="4">
        <v>246</v>
      </c>
      <c r="G1881" s="4">
        <v>30</v>
      </c>
      <c r="H1881" s="4">
        <v>260</v>
      </c>
    </row>
    <row r="1882" spans="1:8" s="5" customFormat="1" ht="27.75" hidden="1" customHeight="1" outlineLevel="1" x14ac:dyDescent="0.25">
      <c r="A1882" s="43">
        <v>1396</v>
      </c>
      <c r="B1882" s="4" t="s">
        <v>117</v>
      </c>
      <c r="C1882" s="38" t="s">
        <v>1416</v>
      </c>
      <c r="D1882" s="4">
        <v>2021</v>
      </c>
      <c r="E1882" s="4" t="s">
        <v>21</v>
      </c>
      <c r="F1882" s="4">
        <v>30</v>
      </c>
      <c r="G1882" s="4">
        <v>15</v>
      </c>
      <c r="H1882" s="4">
        <v>86</v>
      </c>
    </row>
    <row r="1883" spans="1:8" s="5" customFormat="1" ht="27.75" hidden="1" customHeight="1" outlineLevel="1" x14ac:dyDescent="0.25">
      <c r="A1883" s="42">
        <v>9789</v>
      </c>
      <c r="B1883" s="4" t="s">
        <v>117</v>
      </c>
      <c r="C1883" s="38" t="s">
        <v>1417</v>
      </c>
      <c r="D1883" s="4">
        <v>2021</v>
      </c>
      <c r="E1883" s="4" t="s">
        <v>21</v>
      </c>
      <c r="F1883" s="4">
        <v>30</v>
      </c>
      <c r="G1883" s="4">
        <v>15</v>
      </c>
      <c r="H1883" s="4">
        <v>75</v>
      </c>
    </row>
    <row r="1884" spans="1:8" s="5" customFormat="1" ht="27.75" hidden="1" customHeight="1" outlineLevel="1" x14ac:dyDescent="0.25">
      <c r="A1884" s="42">
        <v>9263</v>
      </c>
      <c r="B1884" s="4" t="s">
        <v>117</v>
      </c>
      <c r="C1884" s="38" t="s">
        <v>1418</v>
      </c>
      <c r="D1884" s="4">
        <v>2021</v>
      </c>
      <c r="E1884" s="4" t="s">
        <v>21</v>
      </c>
      <c r="F1884" s="4">
        <v>180</v>
      </c>
      <c r="G1884" s="4">
        <v>15</v>
      </c>
      <c r="H1884" s="4">
        <v>152</v>
      </c>
    </row>
    <row r="1885" spans="1:8" s="5" customFormat="1" ht="27.75" hidden="1" customHeight="1" outlineLevel="1" x14ac:dyDescent="0.25">
      <c r="A1885" s="42">
        <v>9262</v>
      </c>
      <c r="B1885" s="4" t="s">
        <v>117</v>
      </c>
      <c r="C1885" s="38" t="s">
        <v>1419</v>
      </c>
      <c r="D1885" s="4">
        <v>2021</v>
      </c>
      <c r="E1885" s="4" t="s">
        <v>21</v>
      </c>
      <c r="F1885" s="4">
        <v>140</v>
      </c>
      <c r="G1885" s="4">
        <v>40</v>
      </c>
      <c r="H1885" s="4">
        <v>333</v>
      </c>
    </row>
    <row r="1886" spans="1:8" s="5" customFormat="1" ht="27.75" hidden="1" customHeight="1" outlineLevel="1" x14ac:dyDescent="0.25">
      <c r="A1886" s="43">
        <v>792</v>
      </c>
      <c r="B1886" s="4" t="s">
        <v>117</v>
      </c>
      <c r="C1886" s="38" t="s">
        <v>1420</v>
      </c>
      <c r="D1886" s="4">
        <v>2021</v>
      </c>
      <c r="E1886" s="4" t="s">
        <v>21</v>
      </c>
      <c r="F1886" s="4">
        <v>217</v>
      </c>
      <c r="G1886" s="4">
        <v>15</v>
      </c>
      <c r="H1886" s="4">
        <v>235</v>
      </c>
    </row>
    <row r="1887" spans="1:8" s="5" customFormat="1" ht="27.75" hidden="1" customHeight="1" outlineLevel="1" x14ac:dyDescent="0.25">
      <c r="A1887" s="42">
        <v>9746</v>
      </c>
      <c r="B1887" s="4" t="s">
        <v>117</v>
      </c>
      <c r="C1887" s="38" t="s">
        <v>1421</v>
      </c>
      <c r="D1887" s="4">
        <v>2021</v>
      </c>
      <c r="E1887" s="4" t="s">
        <v>21</v>
      </c>
      <c r="F1887" s="4">
        <v>120</v>
      </c>
      <c r="G1887" s="4">
        <v>15</v>
      </c>
      <c r="H1887" s="4">
        <v>276</v>
      </c>
    </row>
    <row r="1888" spans="1:8" s="5" customFormat="1" ht="27.75" hidden="1" customHeight="1" outlineLevel="1" x14ac:dyDescent="0.25">
      <c r="A1888" s="42">
        <v>9779</v>
      </c>
      <c r="B1888" s="4" t="s">
        <v>117</v>
      </c>
      <c r="C1888" s="38" t="s">
        <v>1422</v>
      </c>
      <c r="D1888" s="4">
        <v>2021</v>
      </c>
      <c r="E1888" s="4" t="s">
        <v>21</v>
      </c>
      <c r="F1888" s="4">
        <v>35</v>
      </c>
      <c r="G1888" s="4">
        <v>5</v>
      </c>
      <c r="H1888" s="4">
        <v>53</v>
      </c>
    </row>
    <row r="1889" spans="1:8" s="5" customFormat="1" ht="27.75" hidden="1" customHeight="1" outlineLevel="1" x14ac:dyDescent="0.25">
      <c r="A1889" s="43">
        <v>1332</v>
      </c>
      <c r="B1889" s="4" t="s">
        <v>117</v>
      </c>
      <c r="C1889" s="35" t="s">
        <v>1423</v>
      </c>
      <c r="D1889" s="4">
        <v>2021</v>
      </c>
      <c r="E1889" s="4" t="s">
        <v>21</v>
      </c>
      <c r="F1889" s="4">
        <v>25</v>
      </c>
      <c r="G1889" s="4">
        <v>5</v>
      </c>
      <c r="H1889" s="4">
        <v>111</v>
      </c>
    </row>
    <row r="1890" spans="1:8" s="5" customFormat="1" ht="27.75" hidden="1" customHeight="1" outlineLevel="1" x14ac:dyDescent="0.25">
      <c r="A1890" s="43">
        <v>1423</v>
      </c>
      <c r="B1890" s="4" t="s">
        <v>117</v>
      </c>
      <c r="C1890" s="38" t="s">
        <v>1424</v>
      </c>
      <c r="D1890" s="4">
        <v>2021</v>
      </c>
      <c r="E1890" s="4" t="s">
        <v>21</v>
      </c>
      <c r="F1890" s="4">
        <v>35</v>
      </c>
      <c r="G1890" s="4">
        <v>15</v>
      </c>
      <c r="H1890" s="4">
        <v>82</v>
      </c>
    </row>
    <row r="1891" spans="1:8" s="5" customFormat="1" ht="27.75" hidden="1" customHeight="1" outlineLevel="1" x14ac:dyDescent="0.25">
      <c r="A1891" s="42">
        <v>9782</v>
      </c>
      <c r="B1891" s="4" t="s">
        <v>117</v>
      </c>
      <c r="C1891" s="38" t="s">
        <v>1425</v>
      </c>
      <c r="D1891" s="4">
        <v>2021</v>
      </c>
      <c r="E1891" s="4" t="s">
        <v>21</v>
      </c>
      <c r="F1891" s="4">
        <v>320</v>
      </c>
      <c r="G1891" s="4">
        <v>15</v>
      </c>
      <c r="H1891" s="4">
        <v>428</v>
      </c>
    </row>
    <row r="1892" spans="1:8" s="5" customFormat="1" ht="27.75" hidden="1" customHeight="1" outlineLevel="1" x14ac:dyDescent="0.25">
      <c r="A1892" s="43">
        <v>1267</v>
      </c>
      <c r="B1892" s="4" t="s">
        <v>117</v>
      </c>
      <c r="C1892" s="38" t="s">
        <v>1426</v>
      </c>
      <c r="D1892" s="4">
        <v>2021</v>
      </c>
      <c r="E1892" s="4" t="s">
        <v>21</v>
      </c>
      <c r="F1892" s="4">
        <v>16</v>
      </c>
      <c r="G1892" s="4">
        <v>15</v>
      </c>
      <c r="H1892" s="4">
        <v>80</v>
      </c>
    </row>
    <row r="1893" spans="1:8" s="5" customFormat="1" ht="27.75" hidden="1" customHeight="1" outlineLevel="1" x14ac:dyDescent="0.25">
      <c r="A1893" s="42">
        <v>9785</v>
      </c>
      <c r="B1893" s="4" t="s">
        <v>117</v>
      </c>
      <c r="C1893" s="38" t="s">
        <v>1427</v>
      </c>
      <c r="D1893" s="4">
        <v>2021</v>
      </c>
      <c r="E1893" s="4" t="s">
        <v>21</v>
      </c>
      <c r="F1893" s="4">
        <v>35</v>
      </c>
      <c r="G1893" s="4">
        <v>15</v>
      </c>
      <c r="H1893" s="4">
        <v>86</v>
      </c>
    </row>
    <row r="1894" spans="1:8" s="5" customFormat="1" ht="27.75" hidden="1" customHeight="1" outlineLevel="1" x14ac:dyDescent="0.25">
      <c r="A1894" s="43">
        <v>830</v>
      </c>
      <c r="B1894" s="4" t="s">
        <v>117</v>
      </c>
      <c r="C1894" s="38" t="s">
        <v>1428</v>
      </c>
      <c r="D1894" s="4">
        <v>2021</v>
      </c>
      <c r="E1894" s="4" t="s">
        <v>21</v>
      </c>
      <c r="F1894" s="4">
        <v>6</v>
      </c>
      <c r="G1894" s="4">
        <v>10</v>
      </c>
      <c r="H1894" s="4">
        <v>93</v>
      </c>
    </row>
    <row r="1895" spans="1:8" s="5" customFormat="1" ht="27.75" hidden="1" customHeight="1" outlineLevel="1" x14ac:dyDescent="0.25">
      <c r="A1895" s="42">
        <v>9780</v>
      </c>
      <c r="B1895" s="4" t="s">
        <v>117</v>
      </c>
      <c r="C1895" s="38" t="s">
        <v>1429</v>
      </c>
      <c r="D1895" s="4">
        <v>2021</v>
      </c>
      <c r="E1895" s="4" t="s">
        <v>21</v>
      </c>
      <c r="F1895" s="4">
        <v>470</v>
      </c>
      <c r="G1895" s="4">
        <v>15</v>
      </c>
      <c r="H1895" s="4">
        <v>526</v>
      </c>
    </row>
    <row r="1896" spans="1:8" s="5" customFormat="1" ht="27.75" hidden="1" customHeight="1" outlineLevel="1" x14ac:dyDescent="0.25">
      <c r="A1896" s="43">
        <v>1391</v>
      </c>
      <c r="B1896" s="4" t="s">
        <v>117</v>
      </c>
      <c r="C1896" s="38" t="s">
        <v>1430</v>
      </c>
      <c r="D1896" s="4">
        <v>2021</v>
      </c>
      <c r="E1896" s="4" t="s">
        <v>21</v>
      </c>
      <c r="F1896" s="4">
        <v>50</v>
      </c>
      <c r="G1896" s="4">
        <v>30</v>
      </c>
      <c r="H1896" s="4">
        <v>85</v>
      </c>
    </row>
    <row r="1897" spans="1:8" s="5" customFormat="1" ht="27.75" hidden="1" customHeight="1" outlineLevel="1" x14ac:dyDescent="0.25">
      <c r="A1897" s="42">
        <v>9568</v>
      </c>
      <c r="B1897" s="4" t="s">
        <v>117</v>
      </c>
      <c r="C1897" s="38" t="s">
        <v>1431</v>
      </c>
      <c r="D1897" s="4">
        <v>2021</v>
      </c>
      <c r="E1897" s="4" t="s">
        <v>21</v>
      </c>
      <c r="F1897" s="4">
        <v>103</v>
      </c>
      <c r="G1897" s="4">
        <v>15</v>
      </c>
      <c r="H1897" s="4">
        <v>283</v>
      </c>
    </row>
    <row r="1898" spans="1:8" s="5" customFormat="1" ht="27.75" hidden="1" customHeight="1" outlineLevel="1" x14ac:dyDescent="0.25">
      <c r="A1898" s="42">
        <v>9790</v>
      </c>
      <c r="B1898" s="4" t="s">
        <v>117</v>
      </c>
      <c r="C1898" s="38" t="s">
        <v>1432</v>
      </c>
      <c r="D1898" s="4">
        <v>2021</v>
      </c>
      <c r="E1898" s="4" t="s">
        <v>21</v>
      </c>
      <c r="F1898" s="4">
        <v>21</v>
      </c>
      <c r="G1898" s="4">
        <v>5</v>
      </c>
      <c r="H1898" s="4">
        <v>64</v>
      </c>
    </row>
    <row r="1899" spans="1:8" s="5" customFormat="1" ht="27.75" hidden="1" customHeight="1" outlineLevel="1" x14ac:dyDescent="0.25">
      <c r="A1899" s="43">
        <v>835</v>
      </c>
      <c r="B1899" s="4" t="s">
        <v>117</v>
      </c>
      <c r="C1899" s="38" t="s">
        <v>1433</v>
      </c>
      <c r="D1899" s="4">
        <v>2021</v>
      </c>
      <c r="E1899" s="4" t="s">
        <v>21</v>
      </c>
      <c r="F1899" s="4">
        <v>76</v>
      </c>
      <c r="G1899" s="4">
        <v>15</v>
      </c>
      <c r="H1899" s="4">
        <v>220</v>
      </c>
    </row>
    <row r="1900" spans="1:8" s="5" customFormat="1" ht="27.75" hidden="1" customHeight="1" outlineLevel="1" x14ac:dyDescent="0.25">
      <c r="A1900" s="42">
        <v>9787</v>
      </c>
      <c r="B1900" s="4" t="s">
        <v>117</v>
      </c>
      <c r="C1900" s="38" t="s">
        <v>1434</v>
      </c>
      <c r="D1900" s="4">
        <v>2021</v>
      </c>
      <c r="E1900" s="4" t="s">
        <v>21</v>
      </c>
      <c r="F1900" s="4">
        <v>115</v>
      </c>
      <c r="G1900" s="4">
        <v>15</v>
      </c>
      <c r="H1900" s="4">
        <v>252</v>
      </c>
    </row>
    <row r="1901" spans="1:8" s="5" customFormat="1" ht="27.75" hidden="1" customHeight="1" outlineLevel="1" x14ac:dyDescent="0.25">
      <c r="A1901" s="42">
        <v>9792</v>
      </c>
      <c r="B1901" s="4" t="s">
        <v>117</v>
      </c>
      <c r="C1901" s="38" t="s">
        <v>1435</v>
      </c>
      <c r="D1901" s="4">
        <v>2021</v>
      </c>
      <c r="E1901" s="4" t="s">
        <v>21</v>
      </c>
      <c r="F1901" s="4">
        <v>82</v>
      </c>
      <c r="G1901" s="4">
        <v>6</v>
      </c>
      <c r="H1901" s="4">
        <v>169</v>
      </c>
    </row>
    <row r="1902" spans="1:8" s="5" customFormat="1" ht="27.75" hidden="1" customHeight="1" outlineLevel="1" x14ac:dyDescent="0.25">
      <c r="A1902" s="42">
        <v>9769</v>
      </c>
      <c r="B1902" s="4" t="s">
        <v>117</v>
      </c>
      <c r="C1902" s="38" t="s">
        <v>1436</v>
      </c>
      <c r="D1902" s="4">
        <v>2021</v>
      </c>
      <c r="E1902" s="4" t="s">
        <v>21</v>
      </c>
      <c r="F1902" s="4">
        <v>30</v>
      </c>
      <c r="G1902" s="4">
        <v>15</v>
      </c>
      <c r="H1902" s="4">
        <v>71</v>
      </c>
    </row>
    <row r="1903" spans="1:8" s="5" customFormat="1" ht="27.75" hidden="1" customHeight="1" outlineLevel="1" x14ac:dyDescent="0.25">
      <c r="A1903" s="42">
        <v>9567</v>
      </c>
      <c r="B1903" s="4" t="s">
        <v>117</v>
      </c>
      <c r="C1903" s="38" t="s">
        <v>1437</v>
      </c>
      <c r="D1903" s="4">
        <v>2021</v>
      </c>
      <c r="E1903" s="4" t="s">
        <v>21</v>
      </c>
      <c r="F1903" s="4">
        <v>280</v>
      </c>
      <c r="G1903" s="4">
        <v>15</v>
      </c>
      <c r="H1903" s="4">
        <v>428</v>
      </c>
    </row>
    <row r="1904" spans="1:8" s="5" customFormat="1" ht="27.75" hidden="1" customHeight="1" outlineLevel="1" x14ac:dyDescent="0.25">
      <c r="A1904" s="43">
        <v>3841</v>
      </c>
      <c r="B1904" s="4" t="s">
        <v>117</v>
      </c>
      <c r="C1904" s="38" t="s">
        <v>1438</v>
      </c>
      <c r="D1904" s="4">
        <v>2021</v>
      </c>
      <c r="E1904" s="4" t="s">
        <v>21</v>
      </c>
      <c r="F1904" s="4">
        <v>150</v>
      </c>
      <c r="G1904" s="4">
        <v>15</v>
      </c>
      <c r="H1904" s="4">
        <v>245</v>
      </c>
    </row>
    <row r="1905" spans="1:8" s="5" customFormat="1" ht="27.75" hidden="1" customHeight="1" outlineLevel="1" x14ac:dyDescent="0.25">
      <c r="A1905" s="42">
        <v>9781</v>
      </c>
      <c r="B1905" s="4" t="s">
        <v>117</v>
      </c>
      <c r="C1905" s="38" t="s">
        <v>1439</v>
      </c>
      <c r="D1905" s="4">
        <v>2021</v>
      </c>
      <c r="E1905" s="4" t="s">
        <v>21</v>
      </c>
      <c r="F1905" s="4">
        <v>70</v>
      </c>
      <c r="G1905" s="4">
        <v>15</v>
      </c>
      <c r="H1905" s="4">
        <v>201</v>
      </c>
    </row>
    <row r="1906" spans="1:8" s="5" customFormat="1" ht="27.75" hidden="1" customHeight="1" outlineLevel="1" x14ac:dyDescent="0.25">
      <c r="A1906" s="42">
        <v>9793</v>
      </c>
      <c r="B1906" s="4" t="s">
        <v>117</v>
      </c>
      <c r="C1906" s="38" t="s">
        <v>1440</v>
      </c>
      <c r="D1906" s="4">
        <v>2021</v>
      </c>
      <c r="E1906" s="4" t="s">
        <v>21</v>
      </c>
      <c r="F1906" s="4">
        <v>255</v>
      </c>
      <c r="G1906" s="4">
        <v>15</v>
      </c>
      <c r="H1906" s="4">
        <v>546</v>
      </c>
    </row>
    <row r="1907" spans="1:8" s="5" customFormat="1" ht="27.75" hidden="1" customHeight="1" outlineLevel="1" x14ac:dyDescent="0.25">
      <c r="A1907" s="43">
        <v>1415</v>
      </c>
      <c r="B1907" s="4" t="s">
        <v>117</v>
      </c>
      <c r="C1907" s="38" t="s">
        <v>1441</v>
      </c>
      <c r="D1907" s="4">
        <v>2021</v>
      </c>
      <c r="E1907" s="4" t="s">
        <v>21</v>
      </c>
      <c r="F1907" s="4">
        <v>75</v>
      </c>
      <c r="G1907" s="4">
        <v>15</v>
      </c>
      <c r="H1907" s="4">
        <v>134</v>
      </c>
    </row>
    <row r="1908" spans="1:8" s="5" customFormat="1" ht="27.75" hidden="1" customHeight="1" outlineLevel="1" x14ac:dyDescent="0.25">
      <c r="A1908" s="42">
        <v>10384</v>
      </c>
      <c r="B1908" s="4" t="s">
        <v>117</v>
      </c>
      <c r="C1908" s="38" t="s">
        <v>1442</v>
      </c>
      <c r="D1908" s="4">
        <v>2021</v>
      </c>
      <c r="E1908" s="4" t="s">
        <v>21</v>
      </c>
      <c r="F1908" s="4">
        <v>6</v>
      </c>
      <c r="G1908" s="4">
        <v>40</v>
      </c>
      <c r="H1908" s="4">
        <v>13</v>
      </c>
    </row>
    <row r="1909" spans="1:8" s="5" customFormat="1" ht="27.75" hidden="1" customHeight="1" outlineLevel="1" x14ac:dyDescent="0.25">
      <c r="A1909" s="43">
        <v>1397</v>
      </c>
      <c r="B1909" s="4" t="s">
        <v>117</v>
      </c>
      <c r="C1909" s="38" t="s">
        <v>1443</v>
      </c>
      <c r="D1909" s="4">
        <v>2021</v>
      </c>
      <c r="E1909" s="4" t="s">
        <v>21</v>
      </c>
      <c r="F1909" s="4">
        <v>40</v>
      </c>
      <c r="G1909" s="4">
        <v>15</v>
      </c>
      <c r="H1909" s="4">
        <v>86</v>
      </c>
    </row>
    <row r="1910" spans="1:8" s="5" customFormat="1" ht="27.75" hidden="1" customHeight="1" outlineLevel="1" x14ac:dyDescent="0.25">
      <c r="A1910" s="43">
        <v>1265</v>
      </c>
      <c r="B1910" s="4" t="s">
        <v>117</v>
      </c>
      <c r="C1910" s="38" t="s">
        <v>1444</v>
      </c>
      <c r="D1910" s="4">
        <v>2021</v>
      </c>
      <c r="E1910" s="4" t="s">
        <v>21</v>
      </c>
      <c r="F1910" s="4">
        <v>6</v>
      </c>
      <c r="G1910" s="4">
        <v>15</v>
      </c>
      <c r="H1910" s="4">
        <v>54</v>
      </c>
    </row>
    <row r="1911" spans="1:8" s="5" customFormat="1" ht="27.75" hidden="1" customHeight="1" outlineLevel="1" x14ac:dyDescent="0.25">
      <c r="A1911" s="43">
        <v>829</v>
      </c>
      <c r="B1911" s="4" t="s">
        <v>117</v>
      </c>
      <c r="C1911" s="38" t="s">
        <v>1445</v>
      </c>
      <c r="D1911" s="4">
        <v>2021</v>
      </c>
      <c r="E1911" s="4" t="s">
        <v>21</v>
      </c>
      <c r="F1911" s="4">
        <v>35</v>
      </c>
      <c r="G1911" s="4">
        <v>15</v>
      </c>
      <c r="H1911" s="4">
        <v>91</v>
      </c>
    </row>
    <row r="1912" spans="1:8" s="5" customFormat="1" ht="27.75" hidden="1" customHeight="1" outlineLevel="1" x14ac:dyDescent="0.25">
      <c r="A1912" s="42">
        <v>9699</v>
      </c>
      <c r="B1912" s="4" t="s">
        <v>117</v>
      </c>
      <c r="C1912" s="38" t="s">
        <v>1446</v>
      </c>
      <c r="D1912" s="4">
        <v>2021</v>
      </c>
      <c r="E1912" s="4" t="s">
        <v>21</v>
      </c>
      <c r="F1912" s="4">
        <v>20</v>
      </c>
      <c r="G1912" s="4" t="s">
        <v>1447</v>
      </c>
      <c r="H1912" s="4">
        <v>96</v>
      </c>
    </row>
    <row r="1913" spans="1:8" s="5" customFormat="1" ht="27.75" hidden="1" customHeight="1" outlineLevel="1" x14ac:dyDescent="0.25">
      <c r="A1913" s="43">
        <v>3804</v>
      </c>
      <c r="B1913" s="4" t="s">
        <v>117</v>
      </c>
      <c r="C1913" s="38" t="s">
        <v>1448</v>
      </c>
      <c r="D1913" s="4">
        <v>2021</v>
      </c>
      <c r="E1913" s="4" t="s">
        <v>21</v>
      </c>
      <c r="F1913" s="4">
        <v>180</v>
      </c>
      <c r="G1913" s="4" t="s">
        <v>1447</v>
      </c>
      <c r="H1913" s="4">
        <v>246</v>
      </c>
    </row>
    <row r="1914" spans="1:8" s="5" customFormat="1" ht="27.75" hidden="1" customHeight="1" outlineLevel="1" x14ac:dyDescent="0.25">
      <c r="A1914" s="43">
        <v>1257</v>
      </c>
      <c r="B1914" s="4" t="s">
        <v>117</v>
      </c>
      <c r="C1914" s="38" t="s">
        <v>1449</v>
      </c>
      <c r="D1914" s="4">
        <v>2021</v>
      </c>
      <c r="E1914" s="4" t="s">
        <v>21</v>
      </c>
      <c r="F1914" s="4">
        <v>17</v>
      </c>
      <c r="G1914" s="4" t="s">
        <v>1196</v>
      </c>
      <c r="H1914" s="4">
        <v>124</v>
      </c>
    </row>
    <row r="1915" spans="1:8" s="5" customFormat="1" ht="27.75" hidden="1" customHeight="1" outlineLevel="1" x14ac:dyDescent="0.25">
      <c r="A1915" s="42">
        <v>9703</v>
      </c>
      <c r="B1915" s="4" t="s">
        <v>117</v>
      </c>
      <c r="C1915" s="38" t="s">
        <v>1450</v>
      </c>
      <c r="D1915" s="4">
        <v>2021</v>
      </c>
      <c r="E1915" s="4" t="s">
        <v>21</v>
      </c>
      <c r="F1915" s="4">
        <v>503</v>
      </c>
      <c r="G1915" s="4" t="s">
        <v>1451</v>
      </c>
      <c r="H1915" s="4">
        <v>593</v>
      </c>
    </row>
    <row r="1916" spans="1:8" s="5" customFormat="1" ht="27.75" hidden="1" customHeight="1" outlineLevel="1" x14ac:dyDescent="0.25">
      <c r="A1916" s="43">
        <v>700</v>
      </c>
      <c r="B1916" s="4" t="s">
        <v>117</v>
      </c>
      <c r="C1916" s="38" t="s">
        <v>1178</v>
      </c>
      <c r="D1916" s="4">
        <v>2021</v>
      </c>
      <c r="E1916" s="4" t="s">
        <v>21</v>
      </c>
      <c r="F1916" s="4">
        <v>20</v>
      </c>
      <c r="G1916" s="4" t="s">
        <v>1452</v>
      </c>
      <c r="H1916" s="4">
        <v>67</v>
      </c>
    </row>
    <row r="1917" spans="1:8" s="5" customFormat="1" ht="27.75" hidden="1" customHeight="1" outlineLevel="1" x14ac:dyDescent="0.25">
      <c r="A1917" s="43">
        <v>1221</v>
      </c>
      <c r="B1917" s="4" t="s">
        <v>117</v>
      </c>
      <c r="C1917" s="38" t="s">
        <v>1453</v>
      </c>
      <c r="D1917" s="4">
        <v>2021</v>
      </c>
      <c r="E1917" s="4" t="s">
        <v>21</v>
      </c>
      <c r="F1917" s="4">
        <v>112</v>
      </c>
      <c r="G1917" s="4" t="s">
        <v>1447</v>
      </c>
      <c r="H1917" s="4">
        <v>137</v>
      </c>
    </row>
    <row r="1918" spans="1:8" s="5" customFormat="1" ht="27.75" hidden="1" customHeight="1" outlineLevel="1" x14ac:dyDescent="0.25">
      <c r="A1918" s="42">
        <v>9720</v>
      </c>
      <c r="B1918" s="4" t="s">
        <v>117</v>
      </c>
      <c r="C1918" s="38" t="s">
        <v>1454</v>
      </c>
      <c r="D1918" s="4">
        <v>2021</v>
      </c>
      <c r="E1918" s="4" t="s">
        <v>21</v>
      </c>
      <c r="F1918" s="4">
        <v>38</v>
      </c>
      <c r="G1918" s="4" t="s">
        <v>1455</v>
      </c>
      <c r="H1918" s="4">
        <v>76</v>
      </c>
    </row>
    <row r="1919" spans="1:8" s="5" customFormat="1" ht="27.75" hidden="1" customHeight="1" outlineLevel="1" x14ac:dyDescent="0.25">
      <c r="A1919" s="43">
        <v>3817</v>
      </c>
      <c r="B1919" s="4" t="s">
        <v>117</v>
      </c>
      <c r="C1919" s="38" t="s">
        <v>1456</v>
      </c>
      <c r="D1919" s="4">
        <v>2021</v>
      </c>
      <c r="E1919" s="4" t="s">
        <v>21</v>
      </c>
      <c r="F1919" s="4">
        <v>657</v>
      </c>
      <c r="G1919" s="4" t="s">
        <v>1447</v>
      </c>
      <c r="H1919" s="4">
        <v>816</v>
      </c>
    </row>
    <row r="1920" spans="1:8" s="5" customFormat="1" ht="27.75" hidden="1" customHeight="1" outlineLevel="1" x14ac:dyDescent="0.25">
      <c r="A1920" s="43">
        <v>3810</v>
      </c>
      <c r="B1920" s="4" t="s">
        <v>117</v>
      </c>
      <c r="C1920" s="38" t="s">
        <v>1457</v>
      </c>
      <c r="D1920" s="4">
        <v>2021</v>
      </c>
      <c r="E1920" s="4" t="s">
        <v>21</v>
      </c>
      <c r="F1920" s="4">
        <v>70</v>
      </c>
      <c r="G1920" s="4" t="s">
        <v>1451</v>
      </c>
      <c r="H1920" s="4">
        <v>142</v>
      </c>
    </row>
    <row r="1921" spans="1:8" s="5" customFormat="1" ht="27.75" hidden="1" customHeight="1" outlineLevel="1" x14ac:dyDescent="0.25">
      <c r="A1921" s="43">
        <v>3807</v>
      </c>
      <c r="B1921" s="4" t="s">
        <v>117</v>
      </c>
      <c r="C1921" s="38" t="s">
        <v>1458</v>
      </c>
      <c r="D1921" s="4">
        <v>2021</v>
      </c>
      <c r="E1921" s="4" t="s">
        <v>21</v>
      </c>
      <c r="F1921" s="4">
        <v>40</v>
      </c>
      <c r="G1921" s="4" t="s">
        <v>1451</v>
      </c>
      <c r="H1921" s="4">
        <v>132</v>
      </c>
    </row>
    <row r="1922" spans="1:8" s="5" customFormat="1" ht="27.75" hidden="1" customHeight="1" outlineLevel="1" x14ac:dyDescent="0.25">
      <c r="A1922" s="43">
        <v>3824</v>
      </c>
      <c r="B1922" s="4" t="s">
        <v>117</v>
      </c>
      <c r="C1922" s="38" t="s">
        <v>1179</v>
      </c>
      <c r="D1922" s="4">
        <v>2021</v>
      </c>
      <c r="E1922" s="4" t="s">
        <v>21</v>
      </c>
      <c r="F1922" s="4">
        <v>18</v>
      </c>
      <c r="G1922" s="4" t="s">
        <v>1447</v>
      </c>
      <c r="H1922" s="4">
        <v>110</v>
      </c>
    </row>
    <row r="1923" spans="1:8" s="5" customFormat="1" ht="27.75" hidden="1" customHeight="1" outlineLevel="1" x14ac:dyDescent="0.25">
      <c r="A1923" s="42">
        <v>9704</v>
      </c>
      <c r="B1923" s="4" t="s">
        <v>117</v>
      </c>
      <c r="C1923" s="38" t="s">
        <v>1459</v>
      </c>
      <c r="D1923" s="4">
        <v>2021</v>
      </c>
      <c r="E1923" s="4" t="s">
        <v>21</v>
      </c>
      <c r="F1923" s="4">
        <v>321</v>
      </c>
      <c r="G1923" s="4" t="s">
        <v>1451</v>
      </c>
      <c r="H1923" s="4">
        <v>331</v>
      </c>
    </row>
    <row r="1924" spans="1:8" s="5" customFormat="1" ht="27.75" hidden="1" customHeight="1" outlineLevel="1" x14ac:dyDescent="0.25">
      <c r="A1924" s="43">
        <v>1224</v>
      </c>
      <c r="B1924" s="4" t="s">
        <v>117</v>
      </c>
      <c r="C1924" s="38" t="s">
        <v>1460</v>
      </c>
      <c r="D1924" s="4">
        <v>2021</v>
      </c>
      <c r="E1924" s="4" t="s">
        <v>21</v>
      </c>
      <c r="F1924" s="4">
        <v>280</v>
      </c>
      <c r="G1924" s="4" t="s">
        <v>1447</v>
      </c>
      <c r="H1924" s="4">
        <v>165</v>
      </c>
    </row>
    <row r="1925" spans="1:8" s="5" customFormat="1" ht="27.75" hidden="1" customHeight="1" outlineLevel="1" x14ac:dyDescent="0.25">
      <c r="A1925" s="43">
        <v>1204</v>
      </c>
      <c r="B1925" s="4" t="s">
        <v>117</v>
      </c>
      <c r="C1925" s="38" t="s">
        <v>1461</v>
      </c>
      <c r="D1925" s="4">
        <v>2021</v>
      </c>
      <c r="E1925" s="4" t="s">
        <v>21</v>
      </c>
      <c r="F1925" s="4">
        <v>244</v>
      </c>
      <c r="G1925" s="4" t="s">
        <v>1447</v>
      </c>
      <c r="H1925" s="4">
        <v>474</v>
      </c>
    </row>
    <row r="1926" spans="1:8" s="5" customFormat="1" ht="27.75" hidden="1" customHeight="1" outlineLevel="1" x14ac:dyDescent="0.25">
      <c r="A1926" s="43">
        <v>4</v>
      </c>
      <c r="B1926" s="4" t="s">
        <v>117</v>
      </c>
      <c r="C1926" s="38" t="s">
        <v>1462</v>
      </c>
      <c r="D1926" s="4">
        <v>2021</v>
      </c>
      <c r="E1926" s="4" t="s">
        <v>21</v>
      </c>
      <c r="F1926" s="4">
        <v>51</v>
      </c>
      <c r="G1926" s="4" t="s">
        <v>1447</v>
      </c>
      <c r="H1926" s="4">
        <v>101</v>
      </c>
    </row>
    <row r="1927" spans="1:8" s="5" customFormat="1" ht="27.75" hidden="1" customHeight="1" outlineLevel="1" x14ac:dyDescent="0.25">
      <c r="A1927" s="43">
        <v>1217</v>
      </c>
      <c r="B1927" s="4" t="s">
        <v>117</v>
      </c>
      <c r="C1927" s="38" t="s">
        <v>1463</v>
      </c>
      <c r="D1927" s="4">
        <v>2021</v>
      </c>
      <c r="E1927" s="4" t="s">
        <v>21</v>
      </c>
      <c r="F1927" s="4">
        <v>60</v>
      </c>
      <c r="G1927" s="4" t="s">
        <v>1447</v>
      </c>
      <c r="H1927" s="4">
        <v>91</v>
      </c>
    </row>
    <row r="1928" spans="1:8" s="5" customFormat="1" ht="27.75" hidden="1" customHeight="1" outlineLevel="1" x14ac:dyDescent="0.25">
      <c r="A1928" s="42">
        <v>9707</v>
      </c>
      <c r="B1928" s="4" t="s">
        <v>117</v>
      </c>
      <c r="C1928" s="38" t="s">
        <v>1464</v>
      </c>
      <c r="D1928" s="4">
        <v>2021</v>
      </c>
      <c r="E1928" s="4" t="s">
        <v>21</v>
      </c>
      <c r="F1928" s="4">
        <v>47</v>
      </c>
      <c r="G1928" s="4" t="s">
        <v>1455</v>
      </c>
      <c r="H1928" s="4">
        <v>97</v>
      </c>
    </row>
    <row r="1929" spans="1:8" s="5" customFormat="1" ht="27.75" hidden="1" customHeight="1" outlineLevel="1" x14ac:dyDescent="0.25">
      <c r="A1929" s="43">
        <v>1250</v>
      </c>
      <c r="B1929" s="4" t="s">
        <v>117</v>
      </c>
      <c r="C1929" s="38" t="s">
        <v>1180</v>
      </c>
      <c r="D1929" s="4">
        <v>2021</v>
      </c>
      <c r="E1929" s="4" t="s">
        <v>21</v>
      </c>
      <c r="F1929" s="4">
        <v>700</v>
      </c>
      <c r="G1929" s="4" t="s">
        <v>1447</v>
      </c>
      <c r="H1929" s="4">
        <v>1009</v>
      </c>
    </row>
    <row r="1930" spans="1:8" s="5" customFormat="1" ht="27.75" hidden="1" customHeight="1" outlineLevel="1" x14ac:dyDescent="0.25">
      <c r="A1930" s="43">
        <v>1245</v>
      </c>
      <c r="B1930" s="4" t="s">
        <v>117</v>
      </c>
      <c r="C1930" s="38" t="s">
        <v>1465</v>
      </c>
      <c r="D1930" s="4">
        <v>2021</v>
      </c>
      <c r="E1930" s="4" t="s">
        <v>21</v>
      </c>
      <c r="F1930" s="4">
        <v>270</v>
      </c>
      <c r="G1930" s="4" t="s">
        <v>1447</v>
      </c>
      <c r="H1930" s="4">
        <v>366</v>
      </c>
    </row>
    <row r="1931" spans="1:8" s="5" customFormat="1" ht="27.75" hidden="1" customHeight="1" outlineLevel="1" x14ac:dyDescent="0.25">
      <c r="A1931" s="43">
        <v>1247</v>
      </c>
      <c r="B1931" s="4" t="s">
        <v>117</v>
      </c>
      <c r="C1931" s="38" t="s">
        <v>1466</v>
      </c>
      <c r="D1931" s="4">
        <v>2021</v>
      </c>
      <c r="E1931" s="4" t="s">
        <v>21</v>
      </c>
      <c r="F1931" s="4">
        <v>167</v>
      </c>
      <c r="G1931" s="4" t="s">
        <v>1447</v>
      </c>
      <c r="H1931" s="4">
        <v>293</v>
      </c>
    </row>
    <row r="1932" spans="1:8" s="5" customFormat="1" ht="27.75" hidden="1" customHeight="1" outlineLevel="1" x14ac:dyDescent="0.25">
      <c r="A1932" s="42">
        <v>9093</v>
      </c>
      <c r="B1932" s="4" t="s">
        <v>117</v>
      </c>
      <c r="C1932" s="38" t="s">
        <v>1467</v>
      </c>
      <c r="D1932" s="4">
        <v>2021</v>
      </c>
      <c r="E1932" s="4" t="s">
        <v>21</v>
      </c>
      <c r="F1932" s="4">
        <v>440</v>
      </c>
      <c r="G1932" s="4" t="s">
        <v>1452</v>
      </c>
      <c r="H1932" s="4">
        <v>271</v>
      </c>
    </row>
    <row r="1933" spans="1:8" s="5" customFormat="1" ht="27.75" hidden="1" customHeight="1" outlineLevel="1" x14ac:dyDescent="0.25">
      <c r="A1933" s="42">
        <v>9710</v>
      </c>
      <c r="B1933" s="4" t="s">
        <v>117</v>
      </c>
      <c r="C1933" s="38" t="s">
        <v>1468</v>
      </c>
      <c r="D1933" s="4">
        <v>2021</v>
      </c>
      <c r="E1933" s="4" t="s">
        <v>21</v>
      </c>
      <c r="F1933" s="4">
        <v>318</v>
      </c>
      <c r="G1933" s="4" t="s">
        <v>1447</v>
      </c>
      <c r="H1933" s="4">
        <v>482</v>
      </c>
    </row>
    <row r="1934" spans="1:8" s="5" customFormat="1" ht="27.75" hidden="1" customHeight="1" outlineLevel="1" x14ac:dyDescent="0.25">
      <c r="A1934" s="42">
        <v>9728</v>
      </c>
      <c r="B1934" s="4" t="s">
        <v>117</v>
      </c>
      <c r="C1934" s="38" t="s">
        <v>1182</v>
      </c>
      <c r="D1934" s="4">
        <v>2021</v>
      </c>
      <c r="E1934" s="4" t="s">
        <v>21</v>
      </c>
      <c r="F1934" s="4">
        <v>15</v>
      </c>
      <c r="G1934" s="4" t="s">
        <v>1452</v>
      </c>
      <c r="H1934" s="4">
        <v>89</v>
      </c>
    </row>
    <row r="1935" spans="1:8" s="5" customFormat="1" ht="27.75" hidden="1" customHeight="1" outlineLevel="1" x14ac:dyDescent="0.25">
      <c r="A1935" s="43">
        <v>1228</v>
      </c>
      <c r="B1935" s="4" t="s">
        <v>117</v>
      </c>
      <c r="C1935" s="38" t="s">
        <v>1469</v>
      </c>
      <c r="D1935" s="4">
        <v>2021</v>
      </c>
      <c r="E1935" s="4" t="s">
        <v>21</v>
      </c>
      <c r="F1935" s="4">
        <v>477</v>
      </c>
      <c r="G1935" s="4" t="s">
        <v>1447</v>
      </c>
      <c r="H1935" s="4">
        <v>504</v>
      </c>
    </row>
    <row r="1936" spans="1:8" s="5" customFormat="1" ht="27.75" hidden="1" customHeight="1" outlineLevel="1" x14ac:dyDescent="0.25">
      <c r="A1936" s="42">
        <v>9727</v>
      </c>
      <c r="B1936" s="4" t="s">
        <v>117</v>
      </c>
      <c r="C1936" s="38" t="s">
        <v>1184</v>
      </c>
      <c r="D1936" s="4">
        <v>2021</v>
      </c>
      <c r="E1936" s="4" t="s">
        <v>21</v>
      </c>
      <c r="F1936" s="4">
        <v>5</v>
      </c>
      <c r="G1936" s="4">
        <v>45</v>
      </c>
      <c r="H1936" s="4">
        <v>51</v>
      </c>
    </row>
    <row r="1937" spans="1:8" s="5" customFormat="1" ht="27.75" hidden="1" customHeight="1" outlineLevel="1" x14ac:dyDescent="0.25">
      <c r="A1937" s="42">
        <v>9718</v>
      </c>
      <c r="B1937" s="4" t="s">
        <v>117</v>
      </c>
      <c r="C1937" s="38" t="s">
        <v>1470</v>
      </c>
      <c r="D1937" s="4">
        <v>2021</v>
      </c>
      <c r="E1937" s="4" t="s">
        <v>21</v>
      </c>
      <c r="F1937" s="4">
        <v>99</v>
      </c>
      <c r="G1937" s="4" t="s">
        <v>1455</v>
      </c>
      <c r="H1937" s="4">
        <v>215</v>
      </c>
    </row>
    <row r="1938" spans="1:8" s="5" customFormat="1" ht="27.75" hidden="1" customHeight="1" outlineLevel="1" x14ac:dyDescent="0.25">
      <c r="A1938" s="43">
        <v>3811</v>
      </c>
      <c r="B1938" s="4" t="s">
        <v>117</v>
      </c>
      <c r="C1938" s="38" t="s">
        <v>1471</v>
      </c>
      <c r="D1938" s="4">
        <v>2021</v>
      </c>
      <c r="E1938" s="4" t="s">
        <v>21</v>
      </c>
      <c r="F1938" s="4">
        <v>309</v>
      </c>
      <c r="G1938" s="4" t="s">
        <v>1447</v>
      </c>
      <c r="H1938" s="4">
        <v>504</v>
      </c>
    </row>
    <row r="1939" spans="1:8" s="5" customFormat="1" ht="27.75" hidden="1" customHeight="1" outlineLevel="1" x14ac:dyDescent="0.25">
      <c r="A1939" s="43">
        <v>3826</v>
      </c>
      <c r="B1939" s="4" t="s">
        <v>117</v>
      </c>
      <c r="C1939" s="38" t="s">
        <v>1472</v>
      </c>
      <c r="D1939" s="4">
        <v>2021</v>
      </c>
      <c r="E1939" s="4" t="s">
        <v>21</v>
      </c>
      <c r="F1939" s="4">
        <v>25</v>
      </c>
      <c r="G1939" s="4" t="s">
        <v>1447</v>
      </c>
      <c r="H1939" s="4">
        <v>102</v>
      </c>
    </row>
    <row r="1940" spans="1:8" s="5" customFormat="1" ht="27.75" hidden="1" customHeight="1" outlineLevel="1" x14ac:dyDescent="0.25">
      <c r="A1940" s="43">
        <v>1281</v>
      </c>
      <c r="B1940" s="4" t="s">
        <v>117</v>
      </c>
      <c r="C1940" s="38" t="s">
        <v>1185</v>
      </c>
      <c r="D1940" s="4">
        <v>2021</v>
      </c>
      <c r="E1940" s="4" t="s">
        <v>21</v>
      </c>
      <c r="F1940" s="4">
        <v>32</v>
      </c>
      <c r="G1940" s="4" t="s">
        <v>1473</v>
      </c>
      <c r="H1940" s="4">
        <v>107</v>
      </c>
    </row>
    <row r="1941" spans="1:8" s="5" customFormat="1" ht="27.75" hidden="1" customHeight="1" outlineLevel="1" x14ac:dyDescent="0.25">
      <c r="A1941" s="42">
        <v>9705</v>
      </c>
      <c r="B1941" s="4" t="s">
        <v>117</v>
      </c>
      <c r="C1941" s="38" t="s">
        <v>1474</v>
      </c>
      <c r="D1941" s="4">
        <v>2021</v>
      </c>
      <c r="E1941" s="4" t="s">
        <v>21</v>
      </c>
      <c r="F1941" s="4">
        <v>139</v>
      </c>
      <c r="G1941" s="4" t="s">
        <v>1455</v>
      </c>
      <c r="H1941" s="4">
        <v>110</v>
      </c>
    </row>
    <row r="1942" spans="1:8" s="5" customFormat="1" ht="27.75" hidden="1" customHeight="1" outlineLevel="1" x14ac:dyDescent="0.25">
      <c r="A1942" s="43">
        <v>1242</v>
      </c>
      <c r="B1942" s="4" t="s">
        <v>117</v>
      </c>
      <c r="C1942" s="38" t="s">
        <v>1475</v>
      </c>
      <c r="D1942" s="4">
        <v>2021</v>
      </c>
      <c r="E1942" s="4" t="s">
        <v>21</v>
      </c>
      <c r="F1942" s="4">
        <v>40</v>
      </c>
      <c r="G1942" s="4" t="s">
        <v>1447</v>
      </c>
      <c r="H1942" s="4">
        <v>74</v>
      </c>
    </row>
    <row r="1943" spans="1:8" s="5" customFormat="1" ht="27.75" hidden="1" customHeight="1" outlineLevel="1" x14ac:dyDescent="0.25">
      <c r="A1943" s="43">
        <v>1197</v>
      </c>
      <c r="B1943" s="4" t="s">
        <v>117</v>
      </c>
      <c r="C1943" s="38" t="s">
        <v>1476</v>
      </c>
      <c r="D1943" s="4">
        <v>2021</v>
      </c>
      <c r="E1943" s="4" t="s">
        <v>21</v>
      </c>
      <c r="F1943" s="4">
        <v>1326</v>
      </c>
      <c r="G1943" s="4" t="s">
        <v>1447</v>
      </c>
      <c r="H1943" s="4">
        <v>1579</v>
      </c>
    </row>
    <row r="1944" spans="1:8" s="5" customFormat="1" ht="27.75" hidden="1" customHeight="1" outlineLevel="1" x14ac:dyDescent="0.25">
      <c r="A1944" s="42">
        <v>9706</v>
      </c>
      <c r="B1944" s="4" t="s">
        <v>117</v>
      </c>
      <c r="C1944" s="38" t="s">
        <v>1477</v>
      </c>
      <c r="D1944" s="4">
        <v>2021</v>
      </c>
      <c r="E1944" s="4" t="s">
        <v>21</v>
      </c>
      <c r="F1944" s="4">
        <v>586</v>
      </c>
      <c r="G1944" s="4" t="s">
        <v>1447</v>
      </c>
      <c r="H1944" s="4">
        <v>930</v>
      </c>
    </row>
    <row r="1945" spans="1:8" s="5" customFormat="1" ht="27.75" hidden="1" customHeight="1" outlineLevel="1" x14ac:dyDescent="0.25">
      <c r="A1945" s="43">
        <v>1259</v>
      </c>
      <c r="B1945" s="4" t="s">
        <v>117</v>
      </c>
      <c r="C1945" s="38" t="s">
        <v>1478</v>
      </c>
      <c r="D1945" s="4">
        <v>2021</v>
      </c>
      <c r="E1945" s="4" t="s">
        <v>21</v>
      </c>
      <c r="F1945" s="4">
        <v>292</v>
      </c>
      <c r="G1945" s="4">
        <v>30</v>
      </c>
      <c r="H1945" s="4">
        <v>396</v>
      </c>
    </row>
    <row r="1946" spans="1:8" s="5" customFormat="1" ht="27.75" hidden="1" customHeight="1" outlineLevel="1" x14ac:dyDescent="0.25">
      <c r="A1946" s="43">
        <v>1246</v>
      </c>
      <c r="B1946" s="4" t="s">
        <v>117</v>
      </c>
      <c r="C1946" s="38" t="s">
        <v>1479</v>
      </c>
      <c r="D1946" s="4">
        <v>2021</v>
      </c>
      <c r="E1946" s="4" t="s">
        <v>21</v>
      </c>
      <c r="F1946" s="4">
        <v>140</v>
      </c>
      <c r="G1946" s="4" t="s">
        <v>1447</v>
      </c>
      <c r="H1946" s="4">
        <v>221</v>
      </c>
    </row>
    <row r="1947" spans="1:8" s="5" customFormat="1" ht="27.75" hidden="1" customHeight="1" outlineLevel="1" x14ac:dyDescent="0.25">
      <c r="A1947" s="43">
        <v>1262</v>
      </c>
      <c r="B1947" s="4" t="s">
        <v>117</v>
      </c>
      <c r="C1947" s="38" t="s">
        <v>1480</v>
      </c>
      <c r="D1947" s="4">
        <v>2021</v>
      </c>
      <c r="E1947" s="4" t="s">
        <v>21</v>
      </c>
      <c r="F1947" s="4">
        <v>178</v>
      </c>
      <c r="G1947" s="4">
        <v>30</v>
      </c>
      <c r="H1947" s="4">
        <v>308</v>
      </c>
    </row>
    <row r="1948" spans="1:8" s="5" customFormat="1" ht="27.75" hidden="1" customHeight="1" outlineLevel="1" x14ac:dyDescent="0.25">
      <c r="A1948" s="43">
        <v>1229</v>
      </c>
      <c r="B1948" s="4" t="s">
        <v>117</v>
      </c>
      <c r="C1948" s="38" t="s">
        <v>1481</v>
      </c>
      <c r="D1948" s="4">
        <v>2021</v>
      </c>
      <c r="E1948" s="4" t="s">
        <v>21</v>
      </c>
      <c r="F1948" s="4">
        <v>611</v>
      </c>
      <c r="G1948" s="4" t="s">
        <v>1447</v>
      </c>
      <c r="H1948" s="4">
        <v>837</v>
      </c>
    </row>
    <row r="1949" spans="1:8" s="5" customFormat="1" ht="27.75" hidden="1" customHeight="1" outlineLevel="1" x14ac:dyDescent="0.25">
      <c r="A1949" s="43">
        <v>3825</v>
      </c>
      <c r="B1949" s="4" t="s">
        <v>117</v>
      </c>
      <c r="C1949" s="38" t="s">
        <v>1187</v>
      </c>
      <c r="D1949" s="4">
        <v>2021</v>
      </c>
      <c r="E1949" s="4" t="s">
        <v>21</v>
      </c>
      <c r="F1949" s="4">
        <v>15</v>
      </c>
      <c r="G1949" s="4" t="s">
        <v>1482</v>
      </c>
      <c r="H1949" s="4">
        <v>43</v>
      </c>
    </row>
    <row r="1950" spans="1:8" s="5" customFormat="1" ht="27.75" hidden="1" customHeight="1" outlineLevel="1" x14ac:dyDescent="0.25">
      <c r="A1950" s="43">
        <v>1213</v>
      </c>
      <c r="B1950" s="4" t="s">
        <v>117</v>
      </c>
      <c r="C1950" s="38" t="s">
        <v>1483</v>
      </c>
      <c r="D1950" s="4">
        <v>2021</v>
      </c>
      <c r="E1950" s="4" t="s">
        <v>21</v>
      </c>
      <c r="F1950" s="4">
        <v>35</v>
      </c>
      <c r="G1950" s="4" t="s">
        <v>1447</v>
      </c>
      <c r="H1950" s="4">
        <v>67</v>
      </c>
    </row>
    <row r="1951" spans="1:8" s="5" customFormat="1" ht="27.75" hidden="1" customHeight="1" outlineLevel="1" x14ac:dyDescent="0.25">
      <c r="A1951" s="43">
        <v>1216</v>
      </c>
      <c r="B1951" s="4" t="s">
        <v>117</v>
      </c>
      <c r="C1951" s="38" t="s">
        <v>1484</v>
      </c>
      <c r="D1951" s="4">
        <v>2021</v>
      </c>
      <c r="E1951" s="4" t="s">
        <v>21</v>
      </c>
      <c r="F1951" s="4">
        <v>100</v>
      </c>
      <c r="G1951" s="4" t="s">
        <v>1447</v>
      </c>
      <c r="H1951" s="4">
        <v>130</v>
      </c>
    </row>
    <row r="1952" spans="1:8" s="5" customFormat="1" ht="27.75" hidden="1" customHeight="1" outlineLevel="1" x14ac:dyDescent="0.25">
      <c r="A1952" s="42">
        <v>9712</v>
      </c>
      <c r="B1952" s="4" t="s">
        <v>117</v>
      </c>
      <c r="C1952" s="38" t="s">
        <v>1485</v>
      </c>
      <c r="D1952" s="4">
        <v>2021</v>
      </c>
      <c r="E1952" s="4" t="s">
        <v>21</v>
      </c>
      <c r="F1952" s="4">
        <v>301</v>
      </c>
      <c r="G1952" s="4" t="s">
        <v>1447</v>
      </c>
      <c r="H1952" s="4">
        <v>531</v>
      </c>
    </row>
    <row r="1953" spans="1:8" s="5" customFormat="1" ht="27.75" hidden="1" customHeight="1" outlineLevel="1" x14ac:dyDescent="0.25">
      <c r="A1953" s="43">
        <v>1385</v>
      </c>
      <c r="B1953" s="4" t="s">
        <v>117</v>
      </c>
      <c r="C1953" s="38" t="s">
        <v>1486</v>
      </c>
      <c r="D1953" s="4">
        <v>2021</v>
      </c>
      <c r="E1953" s="4" t="s">
        <v>21</v>
      </c>
      <c r="F1953" s="4">
        <v>210</v>
      </c>
      <c r="G1953" s="4" t="s">
        <v>1447</v>
      </c>
      <c r="H1953" s="4">
        <v>82</v>
      </c>
    </row>
    <row r="1954" spans="1:8" s="5" customFormat="1" ht="27.75" hidden="1" customHeight="1" outlineLevel="1" x14ac:dyDescent="0.25">
      <c r="A1954" s="43">
        <v>3808</v>
      </c>
      <c r="B1954" s="4" t="s">
        <v>117</v>
      </c>
      <c r="C1954" s="38" t="s">
        <v>1487</v>
      </c>
      <c r="D1954" s="4">
        <v>2021</v>
      </c>
      <c r="E1954" s="4" t="s">
        <v>21</v>
      </c>
      <c r="F1954" s="4">
        <v>303</v>
      </c>
      <c r="G1954" s="4" t="s">
        <v>1447</v>
      </c>
      <c r="H1954" s="4">
        <v>391</v>
      </c>
    </row>
    <row r="1955" spans="1:8" s="5" customFormat="1" ht="27.75" hidden="1" customHeight="1" outlineLevel="1" x14ac:dyDescent="0.25">
      <c r="A1955" s="43">
        <v>1234</v>
      </c>
      <c r="B1955" s="4" t="s">
        <v>117</v>
      </c>
      <c r="C1955" s="38" t="s">
        <v>1488</v>
      </c>
      <c r="D1955" s="4">
        <v>2021</v>
      </c>
      <c r="E1955" s="4" t="s">
        <v>21</v>
      </c>
      <c r="F1955" s="4">
        <v>100</v>
      </c>
      <c r="G1955" s="4" t="s">
        <v>1489</v>
      </c>
      <c r="H1955" s="4">
        <v>157</v>
      </c>
    </row>
    <row r="1956" spans="1:8" s="5" customFormat="1" ht="27.75" hidden="1" customHeight="1" outlineLevel="1" x14ac:dyDescent="0.25">
      <c r="A1956" s="42">
        <v>9689</v>
      </c>
      <c r="B1956" s="4" t="s">
        <v>117</v>
      </c>
      <c r="C1956" s="38" t="s">
        <v>1490</v>
      </c>
      <c r="D1956" s="4">
        <v>2021</v>
      </c>
      <c r="E1956" s="4" t="s">
        <v>21</v>
      </c>
      <c r="F1956" s="4">
        <v>20</v>
      </c>
      <c r="G1956" s="4" t="s">
        <v>1455</v>
      </c>
      <c r="H1956" s="4">
        <v>66</v>
      </c>
    </row>
    <row r="1957" spans="1:8" s="5" customFormat="1" ht="27.75" hidden="1" customHeight="1" outlineLevel="1" x14ac:dyDescent="0.25">
      <c r="A1957" s="42">
        <v>9694</v>
      </c>
      <c r="B1957" s="4" t="s">
        <v>117</v>
      </c>
      <c r="C1957" s="38" t="s">
        <v>1491</v>
      </c>
      <c r="D1957" s="4">
        <v>2021</v>
      </c>
      <c r="E1957" s="4" t="s">
        <v>21</v>
      </c>
      <c r="F1957" s="4">
        <v>156</v>
      </c>
      <c r="G1957" s="4" t="s">
        <v>1447</v>
      </c>
      <c r="H1957" s="4">
        <v>129</v>
      </c>
    </row>
    <row r="1958" spans="1:8" s="5" customFormat="1" ht="27.75" hidden="1" customHeight="1" outlineLevel="1" x14ac:dyDescent="0.25">
      <c r="A1958" s="43">
        <v>1210</v>
      </c>
      <c r="B1958" s="4" t="s">
        <v>117</v>
      </c>
      <c r="C1958" s="38" t="s">
        <v>1492</v>
      </c>
      <c r="D1958" s="4">
        <v>2021</v>
      </c>
      <c r="E1958" s="4" t="s">
        <v>21</v>
      </c>
      <c r="F1958" s="4">
        <v>247</v>
      </c>
      <c r="G1958" s="4" t="s">
        <v>1447</v>
      </c>
      <c r="H1958" s="4">
        <v>286</v>
      </c>
    </row>
    <row r="1959" spans="1:8" s="5" customFormat="1" ht="27.75" hidden="1" customHeight="1" outlineLevel="1" x14ac:dyDescent="0.25">
      <c r="A1959" s="42">
        <v>9776</v>
      </c>
      <c r="B1959" s="4" t="s">
        <v>117</v>
      </c>
      <c r="C1959" s="38" t="s">
        <v>1493</v>
      </c>
      <c r="D1959" s="4">
        <v>2021</v>
      </c>
      <c r="E1959" s="4" t="s">
        <v>21</v>
      </c>
      <c r="F1959" s="4">
        <v>17</v>
      </c>
      <c r="G1959" s="4" t="s">
        <v>1447</v>
      </c>
      <c r="H1959" s="4">
        <v>69</v>
      </c>
    </row>
    <row r="1960" spans="1:8" s="5" customFormat="1" ht="27.75" hidden="1" customHeight="1" outlineLevel="1" x14ac:dyDescent="0.25">
      <c r="A1960" s="42">
        <v>9702</v>
      </c>
      <c r="B1960" s="4" t="s">
        <v>117</v>
      </c>
      <c r="C1960" s="38" t="s">
        <v>1494</v>
      </c>
      <c r="D1960" s="4">
        <v>2021</v>
      </c>
      <c r="E1960" s="4" t="s">
        <v>21</v>
      </c>
      <c r="F1960" s="4">
        <v>50</v>
      </c>
      <c r="G1960" s="4" t="s">
        <v>1447</v>
      </c>
      <c r="H1960" s="4">
        <v>94</v>
      </c>
    </row>
    <row r="1961" spans="1:8" s="5" customFormat="1" ht="27.75" hidden="1" customHeight="1" outlineLevel="1" x14ac:dyDescent="0.25">
      <c r="A1961" s="42">
        <v>9719</v>
      </c>
      <c r="B1961" s="4" t="s">
        <v>117</v>
      </c>
      <c r="C1961" s="38" t="s">
        <v>1495</v>
      </c>
      <c r="D1961" s="4">
        <v>2021</v>
      </c>
      <c r="E1961" s="4" t="s">
        <v>21</v>
      </c>
      <c r="F1961" s="4">
        <v>116</v>
      </c>
      <c r="G1961" s="4" t="s">
        <v>1447</v>
      </c>
      <c r="H1961" s="4">
        <v>153</v>
      </c>
    </row>
    <row r="1962" spans="1:8" s="5" customFormat="1" ht="27.75" hidden="1" customHeight="1" outlineLevel="1" x14ac:dyDescent="0.25">
      <c r="A1962" s="43">
        <v>1239</v>
      </c>
      <c r="B1962" s="4" t="s">
        <v>117</v>
      </c>
      <c r="C1962" s="38" t="s">
        <v>1496</v>
      </c>
      <c r="D1962" s="4">
        <v>2021</v>
      </c>
      <c r="E1962" s="4" t="s">
        <v>21</v>
      </c>
      <c r="F1962" s="4">
        <v>241</v>
      </c>
      <c r="G1962" s="4" t="s">
        <v>1447</v>
      </c>
      <c r="H1962" s="4">
        <v>391</v>
      </c>
    </row>
    <row r="1963" spans="1:8" s="5" customFormat="1" ht="27.75" hidden="1" customHeight="1" outlineLevel="1" x14ac:dyDescent="0.25">
      <c r="A1963" s="43">
        <v>1261</v>
      </c>
      <c r="B1963" s="4" t="s">
        <v>117</v>
      </c>
      <c r="C1963" s="38" t="s">
        <v>1189</v>
      </c>
      <c r="D1963" s="4">
        <v>2021</v>
      </c>
      <c r="E1963" s="4" t="s">
        <v>21</v>
      </c>
      <c r="F1963" s="4">
        <v>65</v>
      </c>
      <c r="G1963" s="4" t="s">
        <v>1447</v>
      </c>
      <c r="H1963" s="4">
        <v>96</v>
      </c>
    </row>
    <row r="1964" spans="1:8" s="5" customFormat="1" ht="27.75" hidden="1" customHeight="1" outlineLevel="1" x14ac:dyDescent="0.25">
      <c r="A1964" s="43">
        <v>1198</v>
      </c>
      <c r="B1964" s="4" t="s">
        <v>117</v>
      </c>
      <c r="C1964" s="38" t="s">
        <v>1497</v>
      </c>
      <c r="D1964" s="4">
        <v>2021</v>
      </c>
      <c r="E1964" s="4" t="s">
        <v>21</v>
      </c>
      <c r="F1964" s="4">
        <v>205</v>
      </c>
      <c r="G1964" s="4" t="s">
        <v>1447</v>
      </c>
      <c r="H1964" s="4">
        <v>391</v>
      </c>
    </row>
    <row r="1965" spans="1:8" s="5" customFormat="1" ht="27.75" hidden="1" customHeight="1" outlineLevel="1" x14ac:dyDescent="0.25">
      <c r="A1965" s="43">
        <v>3829</v>
      </c>
      <c r="B1965" s="4" t="s">
        <v>117</v>
      </c>
      <c r="C1965" s="38" t="s">
        <v>1191</v>
      </c>
      <c r="D1965" s="4">
        <v>2021</v>
      </c>
      <c r="E1965" s="4" t="s">
        <v>21</v>
      </c>
      <c r="F1965" s="4">
        <v>15</v>
      </c>
      <c r="G1965" s="4">
        <v>40</v>
      </c>
      <c r="H1965" s="4">
        <v>108</v>
      </c>
    </row>
    <row r="1966" spans="1:8" s="5" customFormat="1" ht="27.75" hidden="1" customHeight="1" outlineLevel="1" x14ac:dyDescent="0.25">
      <c r="A1966" s="42">
        <v>9800</v>
      </c>
      <c r="B1966" s="4" t="s">
        <v>117</v>
      </c>
      <c r="C1966" s="38" t="s">
        <v>1498</v>
      </c>
      <c r="D1966" s="4">
        <v>2021</v>
      </c>
      <c r="E1966" s="4" t="s">
        <v>21</v>
      </c>
      <c r="F1966" s="4">
        <v>256</v>
      </c>
      <c r="G1966" s="4" t="s">
        <v>1447</v>
      </c>
      <c r="H1966" s="4">
        <v>350</v>
      </c>
    </row>
    <row r="1967" spans="1:8" s="5" customFormat="1" ht="27.75" hidden="1" customHeight="1" outlineLevel="1" x14ac:dyDescent="0.25">
      <c r="A1967" s="42">
        <v>9725</v>
      </c>
      <c r="B1967" s="4" t="s">
        <v>117</v>
      </c>
      <c r="C1967" s="38" t="s">
        <v>1194</v>
      </c>
      <c r="D1967" s="4">
        <v>2021</v>
      </c>
      <c r="E1967" s="4" t="s">
        <v>21</v>
      </c>
      <c r="F1967" s="4">
        <v>584</v>
      </c>
      <c r="G1967" s="4" t="s">
        <v>1447</v>
      </c>
      <c r="H1967" s="4">
        <v>734</v>
      </c>
    </row>
    <row r="1968" spans="1:8" s="5" customFormat="1" ht="27.75" hidden="1" customHeight="1" outlineLevel="1" x14ac:dyDescent="0.25">
      <c r="A1968" s="43">
        <v>1227</v>
      </c>
      <c r="B1968" s="4" t="s">
        <v>117</v>
      </c>
      <c r="C1968" s="38" t="s">
        <v>1499</v>
      </c>
      <c r="D1968" s="4">
        <v>2021</v>
      </c>
      <c r="E1968" s="4" t="s">
        <v>21</v>
      </c>
      <c r="F1968" s="4">
        <v>380</v>
      </c>
      <c r="G1968" s="4" t="s">
        <v>1447</v>
      </c>
      <c r="H1968" s="4">
        <v>474</v>
      </c>
    </row>
    <row r="1969" spans="1:8" s="5" customFormat="1" ht="27.75" hidden="1" customHeight="1" outlineLevel="1" x14ac:dyDescent="0.25">
      <c r="A1969" s="42">
        <v>9697</v>
      </c>
      <c r="B1969" s="4" t="s">
        <v>117</v>
      </c>
      <c r="C1969" s="38" t="s">
        <v>1500</v>
      </c>
      <c r="D1969" s="4">
        <v>2021</v>
      </c>
      <c r="E1969" s="4" t="s">
        <v>21</v>
      </c>
      <c r="F1969" s="4">
        <v>225</v>
      </c>
      <c r="G1969" s="4" t="s">
        <v>1447</v>
      </c>
      <c r="H1969" s="4">
        <v>408</v>
      </c>
    </row>
    <row r="1970" spans="1:8" s="5" customFormat="1" ht="27.75" hidden="1" customHeight="1" outlineLevel="1" x14ac:dyDescent="0.25">
      <c r="A1970" s="42">
        <v>9700</v>
      </c>
      <c r="B1970" s="4" t="s">
        <v>117</v>
      </c>
      <c r="C1970" s="38" t="s">
        <v>1501</v>
      </c>
      <c r="D1970" s="4">
        <v>2021</v>
      </c>
      <c r="E1970" s="4" t="s">
        <v>21</v>
      </c>
      <c r="F1970" s="4">
        <v>224</v>
      </c>
      <c r="G1970" s="4" t="s">
        <v>1447</v>
      </c>
      <c r="H1970" s="4">
        <v>497</v>
      </c>
    </row>
    <row r="1971" spans="1:8" s="5" customFormat="1" ht="27.75" hidden="1" customHeight="1" outlineLevel="1" x14ac:dyDescent="0.25">
      <c r="A1971" s="42">
        <v>9722</v>
      </c>
      <c r="B1971" s="4" t="s">
        <v>117</v>
      </c>
      <c r="C1971" s="38" t="s">
        <v>1195</v>
      </c>
      <c r="D1971" s="4">
        <v>2021</v>
      </c>
      <c r="E1971" s="4" t="s">
        <v>21</v>
      </c>
      <c r="F1971" s="4">
        <v>5</v>
      </c>
      <c r="G1971" s="4" t="s">
        <v>1196</v>
      </c>
      <c r="H1971" s="4">
        <v>82</v>
      </c>
    </row>
    <row r="1972" spans="1:8" s="5" customFormat="1" ht="27.75" hidden="1" customHeight="1" outlineLevel="1" x14ac:dyDescent="0.25">
      <c r="A1972" s="42">
        <v>9094</v>
      </c>
      <c r="B1972" s="4" t="s">
        <v>117</v>
      </c>
      <c r="C1972" s="38" t="s">
        <v>1197</v>
      </c>
      <c r="D1972" s="4">
        <v>2021</v>
      </c>
      <c r="E1972" s="4" t="s">
        <v>21</v>
      </c>
      <c r="F1972" s="4">
        <v>5</v>
      </c>
      <c r="G1972" s="4" t="s">
        <v>1198</v>
      </c>
      <c r="H1972" s="4">
        <v>70</v>
      </c>
    </row>
    <row r="1973" spans="1:8" s="5" customFormat="1" ht="27.75" hidden="1" customHeight="1" outlineLevel="1" x14ac:dyDescent="0.25">
      <c r="A1973" s="42">
        <v>9709</v>
      </c>
      <c r="B1973" s="4" t="s">
        <v>117</v>
      </c>
      <c r="C1973" s="38" t="s">
        <v>1502</v>
      </c>
      <c r="D1973" s="4">
        <v>2021</v>
      </c>
      <c r="E1973" s="4" t="s">
        <v>21</v>
      </c>
      <c r="F1973" s="4">
        <v>105</v>
      </c>
      <c r="G1973" s="4" t="s">
        <v>1447</v>
      </c>
      <c r="H1973" s="4">
        <v>185</v>
      </c>
    </row>
    <row r="1974" spans="1:8" s="5" customFormat="1" ht="27.75" hidden="1" customHeight="1" outlineLevel="1" x14ac:dyDescent="0.25">
      <c r="A1974" s="42">
        <v>9713</v>
      </c>
      <c r="B1974" s="4" t="s">
        <v>117</v>
      </c>
      <c r="C1974" s="38" t="s">
        <v>1503</v>
      </c>
      <c r="D1974" s="4">
        <v>2021</v>
      </c>
      <c r="E1974" s="4" t="s">
        <v>21</v>
      </c>
      <c r="F1974" s="4">
        <v>347</v>
      </c>
      <c r="G1974" s="4" t="s">
        <v>1447</v>
      </c>
      <c r="H1974" s="4">
        <v>532</v>
      </c>
    </row>
    <row r="1975" spans="1:8" s="5" customFormat="1" ht="27.75" hidden="1" customHeight="1" outlineLevel="1" x14ac:dyDescent="0.25">
      <c r="A1975" s="42">
        <v>9708</v>
      </c>
      <c r="B1975" s="4" t="s">
        <v>117</v>
      </c>
      <c r="C1975" s="38" t="s">
        <v>1504</v>
      </c>
      <c r="D1975" s="4">
        <v>2021</v>
      </c>
      <c r="E1975" s="4" t="s">
        <v>21</v>
      </c>
      <c r="F1975" s="4">
        <v>130</v>
      </c>
      <c r="G1975" s="4" t="s">
        <v>1455</v>
      </c>
      <c r="H1975" s="4">
        <v>74</v>
      </c>
    </row>
    <row r="1976" spans="1:8" s="5" customFormat="1" ht="27.75" hidden="1" customHeight="1" outlineLevel="1" x14ac:dyDescent="0.25">
      <c r="A1976" s="42">
        <v>9701</v>
      </c>
      <c r="B1976" s="4" t="s">
        <v>117</v>
      </c>
      <c r="C1976" s="38" t="s">
        <v>1505</v>
      </c>
      <c r="D1976" s="4">
        <v>2021</v>
      </c>
      <c r="E1976" s="4" t="s">
        <v>21</v>
      </c>
      <c r="F1976" s="4">
        <v>192</v>
      </c>
      <c r="G1976" s="4" t="s">
        <v>1447</v>
      </c>
      <c r="H1976" s="4">
        <v>206</v>
      </c>
    </row>
    <row r="1977" spans="1:8" s="5" customFormat="1" ht="27.75" hidden="1" customHeight="1" outlineLevel="1" x14ac:dyDescent="0.25">
      <c r="A1977" s="42">
        <v>9726</v>
      </c>
      <c r="B1977" s="4" t="s">
        <v>117</v>
      </c>
      <c r="C1977" s="38" t="s">
        <v>1506</v>
      </c>
      <c r="D1977" s="4">
        <v>2021</v>
      </c>
      <c r="E1977" s="4" t="s">
        <v>21</v>
      </c>
      <c r="F1977" s="4">
        <v>26</v>
      </c>
      <c r="G1977" s="4" t="s">
        <v>1482</v>
      </c>
      <c r="H1977" s="4">
        <v>65</v>
      </c>
    </row>
    <row r="1978" spans="1:8" s="5" customFormat="1" ht="27.75" hidden="1" customHeight="1" outlineLevel="1" x14ac:dyDescent="0.25">
      <c r="A1978" s="43">
        <v>1205</v>
      </c>
      <c r="B1978" s="4" t="s">
        <v>117</v>
      </c>
      <c r="C1978" s="38" t="s">
        <v>1507</v>
      </c>
      <c r="D1978" s="4">
        <v>2021</v>
      </c>
      <c r="E1978" s="4" t="s">
        <v>21</v>
      </c>
      <c r="F1978" s="4">
        <v>561</v>
      </c>
      <c r="G1978" s="4" t="s">
        <v>1447</v>
      </c>
      <c r="H1978" s="4">
        <v>783</v>
      </c>
    </row>
    <row r="1979" spans="1:8" s="5" customFormat="1" ht="27.75" hidden="1" customHeight="1" outlineLevel="1" x14ac:dyDescent="0.25">
      <c r="A1979" s="43">
        <v>1225</v>
      </c>
      <c r="B1979" s="4" t="s">
        <v>117</v>
      </c>
      <c r="C1979" s="38" t="s">
        <v>1508</v>
      </c>
      <c r="D1979" s="4">
        <v>2021</v>
      </c>
      <c r="E1979" s="4" t="s">
        <v>21</v>
      </c>
      <c r="F1979" s="4">
        <v>277</v>
      </c>
      <c r="G1979" s="4" t="s">
        <v>1447</v>
      </c>
      <c r="H1979" s="4">
        <v>485</v>
      </c>
    </row>
    <row r="1980" spans="1:8" s="5" customFormat="1" ht="27.75" hidden="1" customHeight="1" outlineLevel="1" x14ac:dyDescent="0.25">
      <c r="A1980" s="43">
        <v>760</v>
      </c>
      <c r="B1980" s="4" t="s">
        <v>117</v>
      </c>
      <c r="C1980" s="38" t="s">
        <v>1509</v>
      </c>
      <c r="D1980" s="4">
        <v>2021</v>
      </c>
      <c r="E1980" s="4" t="s">
        <v>21</v>
      </c>
      <c r="F1980" s="4">
        <v>13</v>
      </c>
      <c r="G1980" s="4">
        <v>25</v>
      </c>
      <c r="H1980" s="4">
        <v>153.68600000000001</v>
      </c>
    </row>
    <row r="1981" spans="1:8" s="5" customFormat="1" ht="27.75" hidden="1" customHeight="1" outlineLevel="1" x14ac:dyDescent="0.25">
      <c r="A1981" s="43">
        <v>736</v>
      </c>
      <c r="B1981" s="4" t="s">
        <v>117</v>
      </c>
      <c r="C1981" s="38" t="s">
        <v>1510</v>
      </c>
      <c r="D1981" s="4">
        <v>2021</v>
      </c>
      <c r="E1981" s="4" t="s">
        <v>21</v>
      </c>
      <c r="F1981" s="4">
        <v>203</v>
      </c>
      <c r="G1981" s="4">
        <v>15</v>
      </c>
      <c r="H1981" s="4">
        <v>309.64699999999999</v>
      </c>
    </row>
    <row r="1982" spans="1:8" s="5" customFormat="1" ht="27.75" hidden="1" customHeight="1" outlineLevel="1" x14ac:dyDescent="0.25">
      <c r="A1982" s="42">
        <v>9465</v>
      </c>
      <c r="B1982" s="4" t="s">
        <v>117</v>
      </c>
      <c r="C1982" s="38" t="s">
        <v>1511</v>
      </c>
      <c r="D1982" s="4">
        <v>2021</v>
      </c>
      <c r="E1982" s="4" t="s">
        <v>21</v>
      </c>
      <c r="F1982" s="4">
        <v>40</v>
      </c>
      <c r="G1982" s="4">
        <v>15</v>
      </c>
      <c r="H1982" s="4">
        <v>100.774</v>
      </c>
    </row>
    <row r="1983" spans="1:8" s="5" customFormat="1" ht="27.75" hidden="1" customHeight="1" outlineLevel="1" x14ac:dyDescent="0.25">
      <c r="A1983" s="42">
        <v>9477</v>
      </c>
      <c r="B1983" s="4" t="s">
        <v>117</v>
      </c>
      <c r="C1983" s="38" t="s">
        <v>1512</v>
      </c>
      <c r="D1983" s="4">
        <v>2021</v>
      </c>
      <c r="E1983" s="4" t="s">
        <v>21</v>
      </c>
      <c r="F1983" s="4">
        <v>990</v>
      </c>
      <c r="G1983" s="4">
        <v>30</v>
      </c>
      <c r="H1983" s="4">
        <v>1079.586</v>
      </c>
    </row>
    <row r="1984" spans="1:8" s="5" customFormat="1" ht="27.75" hidden="1" customHeight="1" outlineLevel="1" x14ac:dyDescent="0.25">
      <c r="A1984" s="42">
        <v>9507</v>
      </c>
      <c r="B1984" s="4" t="s">
        <v>117</v>
      </c>
      <c r="C1984" s="38" t="s">
        <v>1513</v>
      </c>
      <c r="D1984" s="4">
        <v>2021</v>
      </c>
      <c r="E1984" s="4" t="s">
        <v>21</v>
      </c>
      <c r="F1984" s="4">
        <v>10</v>
      </c>
      <c r="G1984" s="4">
        <v>10</v>
      </c>
      <c r="H1984" s="4">
        <v>76.349000000000004</v>
      </c>
    </row>
    <row r="1985" spans="1:8" s="5" customFormat="1" ht="27.75" hidden="1" customHeight="1" outlineLevel="1" x14ac:dyDescent="0.25">
      <c r="A1985" s="42">
        <v>9520</v>
      </c>
      <c r="B1985" s="4" t="s">
        <v>117</v>
      </c>
      <c r="C1985" s="38" t="s">
        <v>1514</v>
      </c>
      <c r="D1985" s="4">
        <v>2021</v>
      </c>
      <c r="E1985" s="4" t="s">
        <v>21</v>
      </c>
      <c r="F1985" s="4">
        <v>10</v>
      </c>
      <c r="G1985" s="4">
        <v>50</v>
      </c>
      <c r="H1985" s="4">
        <v>60.868000000000002</v>
      </c>
    </row>
    <row r="1986" spans="1:8" s="5" customFormat="1" ht="27.75" hidden="1" customHeight="1" outlineLevel="1" x14ac:dyDescent="0.25">
      <c r="A1986" s="42">
        <v>9519</v>
      </c>
      <c r="B1986" s="4" t="s">
        <v>117</v>
      </c>
      <c r="C1986" s="38" t="s">
        <v>1515</v>
      </c>
      <c r="D1986" s="4">
        <v>2021</v>
      </c>
      <c r="E1986" s="4" t="s">
        <v>21</v>
      </c>
      <c r="F1986" s="4">
        <v>10</v>
      </c>
      <c r="G1986" s="4">
        <v>15</v>
      </c>
      <c r="H1986" s="4">
        <v>87.656000000000006</v>
      </c>
    </row>
    <row r="1987" spans="1:8" s="5" customFormat="1" ht="27.75" hidden="1" customHeight="1" outlineLevel="1" x14ac:dyDescent="0.25">
      <c r="A1987" s="42">
        <v>9457</v>
      </c>
      <c r="B1987" s="4" t="s">
        <v>117</v>
      </c>
      <c r="C1987" s="38" t="s">
        <v>1516</v>
      </c>
      <c r="D1987" s="4">
        <v>2021</v>
      </c>
      <c r="E1987" s="4" t="s">
        <v>21</v>
      </c>
      <c r="F1987" s="4">
        <v>47</v>
      </c>
      <c r="G1987" s="4">
        <v>15</v>
      </c>
      <c r="H1987" s="4">
        <v>116.73</v>
      </c>
    </row>
    <row r="1988" spans="1:8" s="5" customFormat="1" ht="27.75" hidden="1" customHeight="1" outlineLevel="1" x14ac:dyDescent="0.25">
      <c r="A1988" s="42">
        <v>9464</v>
      </c>
      <c r="B1988" s="4" t="s">
        <v>117</v>
      </c>
      <c r="C1988" s="38" t="s">
        <v>1517</v>
      </c>
      <c r="D1988" s="4">
        <v>2021</v>
      </c>
      <c r="E1988" s="4" t="s">
        <v>21</v>
      </c>
      <c r="F1988" s="4">
        <v>125</v>
      </c>
      <c r="G1988" s="4">
        <v>100</v>
      </c>
      <c r="H1988" s="4">
        <v>227.95</v>
      </c>
    </row>
    <row r="1989" spans="1:8" s="5" customFormat="1" ht="27.75" hidden="1" customHeight="1" outlineLevel="1" x14ac:dyDescent="0.25">
      <c r="A1989" s="42">
        <v>9467</v>
      </c>
      <c r="B1989" s="4" t="s">
        <v>117</v>
      </c>
      <c r="C1989" s="38" t="s">
        <v>1518</v>
      </c>
      <c r="D1989" s="4">
        <v>2021</v>
      </c>
      <c r="E1989" s="4" t="s">
        <v>21</v>
      </c>
      <c r="F1989" s="4">
        <v>170</v>
      </c>
      <c r="G1989" s="4">
        <v>15</v>
      </c>
      <c r="H1989" s="4">
        <v>149.49700000000001</v>
      </c>
    </row>
    <row r="1990" spans="1:8" s="5" customFormat="1" ht="27.75" hidden="1" customHeight="1" outlineLevel="1" x14ac:dyDescent="0.25">
      <c r="A1990" s="42">
        <v>9470</v>
      </c>
      <c r="B1990" s="4" t="s">
        <v>117</v>
      </c>
      <c r="C1990" s="38" t="s">
        <v>1519</v>
      </c>
      <c r="D1990" s="4">
        <v>2021</v>
      </c>
      <c r="E1990" s="4" t="s">
        <v>21</v>
      </c>
      <c r="F1990" s="4">
        <v>100</v>
      </c>
      <c r="G1990" s="4">
        <v>15</v>
      </c>
      <c r="H1990" s="4">
        <v>144.62700000000001</v>
      </c>
    </row>
    <row r="1991" spans="1:8" s="5" customFormat="1" ht="27.75" hidden="1" customHeight="1" outlineLevel="1" x14ac:dyDescent="0.25">
      <c r="A1991" s="4">
        <v>3</v>
      </c>
      <c r="B1991" s="4" t="s">
        <v>117</v>
      </c>
      <c r="C1991" s="38" t="s">
        <v>1520</v>
      </c>
      <c r="D1991" s="4">
        <v>2021</v>
      </c>
      <c r="E1991" s="4" t="s">
        <v>21</v>
      </c>
      <c r="F1991" s="4">
        <v>170</v>
      </c>
      <c r="G1991" s="4">
        <v>15</v>
      </c>
      <c r="H1991" s="4">
        <v>215.91399999999999</v>
      </c>
    </row>
    <row r="1992" spans="1:8" s="5" customFormat="1" ht="27.75" hidden="1" customHeight="1" outlineLevel="1" x14ac:dyDescent="0.25">
      <c r="A1992" s="42">
        <v>9515</v>
      </c>
      <c r="B1992" s="4" t="s">
        <v>117</v>
      </c>
      <c r="C1992" s="38" t="s">
        <v>1521</v>
      </c>
      <c r="D1992" s="4">
        <v>2021</v>
      </c>
      <c r="E1992" s="4" t="s">
        <v>21</v>
      </c>
      <c r="F1992" s="4">
        <v>10</v>
      </c>
      <c r="G1992" s="4">
        <v>15</v>
      </c>
      <c r="H1992" s="4">
        <v>72.613</v>
      </c>
    </row>
    <row r="1993" spans="1:8" s="5" customFormat="1" ht="27.75" hidden="1" customHeight="1" outlineLevel="1" x14ac:dyDescent="0.25">
      <c r="A1993" s="42">
        <v>9516</v>
      </c>
      <c r="B1993" s="4" t="s">
        <v>117</v>
      </c>
      <c r="C1993" s="38" t="s">
        <v>1522</v>
      </c>
      <c r="D1993" s="4">
        <v>2021</v>
      </c>
      <c r="E1993" s="4" t="s">
        <v>21</v>
      </c>
      <c r="F1993" s="4">
        <v>5</v>
      </c>
      <c r="G1993" s="4">
        <v>120</v>
      </c>
      <c r="H1993" s="4">
        <v>56.134999999999998</v>
      </c>
    </row>
    <row r="1994" spans="1:8" s="5" customFormat="1" ht="27.75" hidden="1" customHeight="1" outlineLevel="1" x14ac:dyDescent="0.25">
      <c r="A1994" s="42">
        <v>9463</v>
      </c>
      <c r="B1994" s="4" t="s">
        <v>117</v>
      </c>
      <c r="C1994" s="38" t="s">
        <v>1523</v>
      </c>
      <c r="D1994" s="4">
        <v>2021</v>
      </c>
      <c r="E1994" s="4" t="s">
        <v>21</v>
      </c>
      <c r="F1994" s="4">
        <v>130</v>
      </c>
      <c r="G1994" s="4">
        <v>15</v>
      </c>
      <c r="H1994" s="4">
        <v>193.703</v>
      </c>
    </row>
    <row r="1995" spans="1:8" s="5" customFormat="1" ht="27.75" hidden="1" customHeight="1" outlineLevel="1" x14ac:dyDescent="0.25">
      <c r="A1995" s="42">
        <v>9461</v>
      </c>
      <c r="B1995" s="4" t="s">
        <v>117</v>
      </c>
      <c r="C1995" s="38" t="s">
        <v>1524</v>
      </c>
      <c r="D1995" s="4">
        <v>2021</v>
      </c>
      <c r="E1995" s="4" t="s">
        <v>21</v>
      </c>
      <c r="F1995" s="4">
        <v>100</v>
      </c>
      <c r="G1995" s="4">
        <v>15</v>
      </c>
      <c r="H1995" s="4">
        <v>204.346</v>
      </c>
    </row>
    <row r="1996" spans="1:8" s="5" customFormat="1" ht="27.75" hidden="1" customHeight="1" outlineLevel="1" x14ac:dyDescent="0.25">
      <c r="A1996" s="42">
        <v>9496</v>
      </c>
      <c r="B1996" s="4" t="s">
        <v>117</v>
      </c>
      <c r="C1996" s="38" t="s">
        <v>1525</v>
      </c>
      <c r="D1996" s="4">
        <v>2021</v>
      </c>
      <c r="E1996" s="4" t="s">
        <v>21</v>
      </c>
      <c r="F1996" s="4">
        <v>30</v>
      </c>
      <c r="G1996" s="4">
        <v>15</v>
      </c>
      <c r="H1996" s="4">
        <v>82.022999999999996</v>
      </c>
    </row>
    <row r="1997" spans="1:8" s="5" customFormat="1" ht="27.75" hidden="1" customHeight="1" outlineLevel="1" x14ac:dyDescent="0.25">
      <c r="A1997" s="42">
        <v>9462</v>
      </c>
      <c r="B1997" s="4" t="s">
        <v>117</v>
      </c>
      <c r="C1997" s="38" t="s">
        <v>1526</v>
      </c>
      <c r="D1997" s="4">
        <v>2021</v>
      </c>
      <c r="E1997" s="4" t="s">
        <v>21</v>
      </c>
      <c r="F1997" s="4">
        <v>60</v>
      </c>
      <c r="G1997" s="4">
        <v>15</v>
      </c>
      <c r="H1997" s="4">
        <v>91.489000000000004</v>
      </c>
    </row>
    <row r="1998" spans="1:8" s="5" customFormat="1" ht="27.75" hidden="1" customHeight="1" outlineLevel="1" x14ac:dyDescent="0.25">
      <c r="A1998" s="42">
        <v>9473</v>
      </c>
      <c r="B1998" s="4" t="s">
        <v>117</v>
      </c>
      <c r="C1998" s="38" t="s">
        <v>1527</v>
      </c>
      <c r="D1998" s="4">
        <v>2021</v>
      </c>
      <c r="E1998" s="4" t="s">
        <v>21</v>
      </c>
      <c r="F1998" s="4">
        <v>360</v>
      </c>
      <c r="G1998" s="4">
        <v>15</v>
      </c>
      <c r="H1998" s="4">
        <v>422.01100000000002</v>
      </c>
    </row>
    <row r="1999" spans="1:8" s="5" customFormat="1" ht="27.75" hidden="1" customHeight="1" outlineLevel="1" x14ac:dyDescent="0.25">
      <c r="A1999" s="42">
        <v>9472</v>
      </c>
      <c r="B1999" s="4" t="s">
        <v>117</v>
      </c>
      <c r="C1999" s="38" t="s">
        <v>1528</v>
      </c>
      <c r="D1999" s="4">
        <v>2021</v>
      </c>
      <c r="E1999" s="4" t="s">
        <v>21</v>
      </c>
      <c r="F1999" s="4">
        <v>55</v>
      </c>
      <c r="G1999" s="4">
        <v>15</v>
      </c>
      <c r="H1999" s="4">
        <v>85.796999999999997</v>
      </c>
    </row>
    <row r="2000" spans="1:8" s="5" customFormat="1" ht="27.75" hidden="1" customHeight="1" outlineLevel="1" x14ac:dyDescent="0.25">
      <c r="A2000" s="42">
        <v>9474</v>
      </c>
      <c r="B2000" s="4" t="s">
        <v>117</v>
      </c>
      <c r="C2000" s="38" t="s">
        <v>1529</v>
      </c>
      <c r="D2000" s="4">
        <v>2021</v>
      </c>
      <c r="E2000" s="4" t="s">
        <v>21</v>
      </c>
      <c r="F2000" s="4">
        <v>310</v>
      </c>
      <c r="G2000" s="4">
        <v>15</v>
      </c>
      <c r="H2000" s="4">
        <v>362.63299999999998</v>
      </c>
    </row>
    <row r="2001" spans="1:8" s="5" customFormat="1" ht="27.75" hidden="1" customHeight="1" outlineLevel="1" x14ac:dyDescent="0.25">
      <c r="A2001" s="42">
        <v>9505</v>
      </c>
      <c r="B2001" s="4" t="s">
        <v>117</v>
      </c>
      <c r="C2001" s="38" t="s">
        <v>1530</v>
      </c>
      <c r="D2001" s="4">
        <v>2021</v>
      </c>
      <c r="E2001" s="4" t="s">
        <v>21</v>
      </c>
      <c r="F2001" s="4">
        <v>14</v>
      </c>
      <c r="G2001" s="4">
        <v>15</v>
      </c>
      <c r="H2001" s="4">
        <v>73.537000000000006</v>
      </c>
    </row>
    <row r="2002" spans="1:8" s="5" customFormat="1" ht="27.75" hidden="1" customHeight="1" outlineLevel="1" x14ac:dyDescent="0.25">
      <c r="A2002" s="42">
        <v>9460</v>
      </c>
      <c r="B2002" s="4" t="s">
        <v>117</v>
      </c>
      <c r="C2002" s="35" t="s">
        <v>1531</v>
      </c>
      <c r="D2002" s="4">
        <v>2021</v>
      </c>
      <c r="E2002" s="4" t="s">
        <v>21</v>
      </c>
      <c r="F2002" s="4">
        <v>50</v>
      </c>
      <c r="G2002" s="4">
        <v>15</v>
      </c>
      <c r="H2002" s="4">
        <v>93.593999999999994</v>
      </c>
    </row>
    <row r="2003" spans="1:8" s="5" customFormat="1" ht="27.75" hidden="1" customHeight="1" outlineLevel="1" x14ac:dyDescent="0.25">
      <c r="A2003" s="4">
        <v>10901</v>
      </c>
      <c r="B2003" s="4" t="s">
        <v>117</v>
      </c>
      <c r="C2003" s="35" t="s">
        <v>1532</v>
      </c>
      <c r="D2003" s="4">
        <v>2021</v>
      </c>
      <c r="E2003" s="4" t="s">
        <v>21</v>
      </c>
      <c r="F2003" s="4">
        <v>120</v>
      </c>
      <c r="G2003" s="4">
        <v>15</v>
      </c>
      <c r="H2003" s="4">
        <v>161.36099999999999</v>
      </c>
    </row>
    <row r="2004" spans="1:8" s="5" customFormat="1" ht="27.75" hidden="1" customHeight="1" outlineLevel="1" x14ac:dyDescent="0.25">
      <c r="A2004" s="42">
        <v>9469</v>
      </c>
      <c r="B2004" s="4" t="s">
        <v>117</v>
      </c>
      <c r="C2004" s="35" t="s">
        <v>1533</v>
      </c>
      <c r="D2004" s="4">
        <v>2021</v>
      </c>
      <c r="E2004" s="4" t="s">
        <v>21</v>
      </c>
      <c r="F2004" s="4">
        <v>75</v>
      </c>
      <c r="G2004" s="4">
        <v>15</v>
      </c>
      <c r="H2004" s="4">
        <v>134.70599999999999</v>
      </c>
    </row>
    <row r="2005" spans="1:8" s="5" customFormat="1" ht="27.75" hidden="1" customHeight="1" outlineLevel="1" x14ac:dyDescent="0.25">
      <c r="A2005" s="42">
        <v>9459</v>
      </c>
      <c r="B2005" s="4" t="s">
        <v>117</v>
      </c>
      <c r="C2005" s="35" t="s">
        <v>1534</v>
      </c>
      <c r="D2005" s="4">
        <v>2021</v>
      </c>
      <c r="E2005" s="4" t="s">
        <v>21</v>
      </c>
      <c r="F2005" s="4">
        <v>85</v>
      </c>
      <c r="G2005" s="4">
        <v>15</v>
      </c>
      <c r="H2005" s="4">
        <v>158.35599999999999</v>
      </c>
    </row>
    <row r="2006" spans="1:8" s="5" customFormat="1" ht="27.75" hidden="1" customHeight="1" outlineLevel="1" x14ac:dyDescent="0.25">
      <c r="A2006" s="42">
        <v>9497</v>
      </c>
      <c r="B2006" s="4" t="s">
        <v>117</v>
      </c>
      <c r="C2006" s="38" t="s">
        <v>1535</v>
      </c>
      <c r="D2006" s="4">
        <v>2021</v>
      </c>
      <c r="E2006" s="4" t="s">
        <v>21</v>
      </c>
      <c r="F2006" s="4">
        <v>312</v>
      </c>
      <c r="G2006" s="4">
        <v>45</v>
      </c>
      <c r="H2006" s="4">
        <v>386.99</v>
      </c>
    </row>
    <row r="2007" spans="1:8" s="5" customFormat="1" ht="27.75" hidden="1" customHeight="1" outlineLevel="1" x14ac:dyDescent="0.25">
      <c r="A2007" s="43">
        <v>735</v>
      </c>
      <c r="B2007" s="4" t="s">
        <v>117</v>
      </c>
      <c r="C2007" s="38" t="s">
        <v>1536</v>
      </c>
      <c r="D2007" s="4">
        <v>2021</v>
      </c>
      <c r="E2007" s="4" t="s">
        <v>21</v>
      </c>
      <c r="F2007" s="4">
        <v>5</v>
      </c>
      <c r="G2007" s="4">
        <v>100</v>
      </c>
      <c r="H2007" s="4">
        <v>61.618000000000002</v>
      </c>
    </row>
    <row r="2008" spans="1:8" s="5" customFormat="1" ht="27.75" hidden="1" customHeight="1" outlineLevel="1" x14ac:dyDescent="0.25">
      <c r="A2008" s="42">
        <v>9471</v>
      </c>
      <c r="B2008" s="4" t="s">
        <v>117</v>
      </c>
      <c r="C2008" s="38" t="s">
        <v>1537</v>
      </c>
      <c r="D2008" s="4">
        <v>2021</v>
      </c>
      <c r="E2008" s="4" t="s">
        <v>21</v>
      </c>
      <c r="F2008" s="4">
        <v>160</v>
      </c>
      <c r="G2008" s="4">
        <v>7.5</v>
      </c>
      <c r="H2008" s="4">
        <v>160.88</v>
      </c>
    </row>
    <row r="2009" spans="1:8" s="5" customFormat="1" ht="27.75" hidden="1" customHeight="1" outlineLevel="1" x14ac:dyDescent="0.25">
      <c r="A2009" s="43">
        <v>690</v>
      </c>
      <c r="B2009" s="4" t="s">
        <v>117</v>
      </c>
      <c r="C2009" s="38" t="s">
        <v>1538</v>
      </c>
      <c r="D2009" s="4">
        <v>2021</v>
      </c>
      <c r="E2009" s="4" t="s">
        <v>21</v>
      </c>
      <c r="F2009" s="4">
        <v>66</v>
      </c>
      <c r="G2009" s="4">
        <v>15</v>
      </c>
      <c r="H2009" s="4">
        <v>112.30800000000001</v>
      </c>
    </row>
    <row r="2010" spans="1:8" s="5" customFormat="1" ht="27.75" hidden="1" customHeight="1" outlineLevel="1" x14ac:dyDescent="0.25">
      <c r="A2010" s="42">
        <v>9503</v>
      </c>
      <c r="B2010" s="4" t="s">
        <v>117</v>
      </c>
      <c r="C2010" s="38" t="s">
        <v>1539</v>
      </c>
      <c r="D2010" s="4">
        <v>2021</v>
      </c>
      <c r="E2010" s="4" t="s">
        <v>21</v>
      </c>
      <c r="F2010" s="4">
        <v>135</v>
      </c>
      <c r="G2010" s="4">
        <v>100</v>
      </c>
      <c r="H2010" s="4">
        <v>177.47</v>
      </c>
    </row>
    <row r="2011" spans="1:8" s="5" customFormat="1" ht="27.75" hidden="1" customHeight="1" outlineLevel="1" x14ac:dyDescent="0.25">
      <c r="A2011" s="42">
        <v>9468</v>
      </c>
      <c r="B2011" s="4" t="s">
        <v>117</v>
      </c>
      <c r="C2011" s="38" t="s">
        <v>1540</v>
      </c>
      <c r="D2011" s="4">
        <v>2021</v>
      </c>
      <c r="E2011" s="4" t="s">
        <v>21</v>
      </c>
      <c r="F2011" s="4">
        <v>30</v>
      </c>
      <c r="G2011" s="4">
        <v>15</v>
      </c>
      <c r="H2011" s="4">
        <v>80.103999999999999</v>
      </c>
    </row>
    <row r="2012" spans="1:8" s="5" customFormat="1" ht="27.75" hidden="1" customHeight="1" outlineLevel="1" x14ac:dyDescent="0.25">
      <c r="A2012" s="42">
        <v>9502</v>
      </c>
      <c r="B2012" s="4" t="s">
        <v>117</v>
      </c>
      <c r="C2012" s="38" t="s">
        <v>1541</v>
      </c>
      <c r="D2012" s="4">
        <v>2021</v>
      </c>
      <c r="E2012" s="4" t="s">
        <v>21</v>
      </c>
      <c r="F2012" s="4">
        <v>29</v>
      </c>
      <c r="G2012" s="4">
        <v>15</v>
      </c>
      <c r="H2012" s="4">
        <v>198.166</v>
      </c>
    </row>
    <row r="2013" spans="1:8" s="5" customFormat="1" ht="27.75" hidden="1" customHeight="1" outlineLevel="1" x14ac:dyDescent="0.25">
      <c r="A2013" s="42">
        <v>9495</v>
      </c>
      <c r="B2013" s="4" t="s">
        <v>117</v>
      </c>
      <c r="C2013" s="38" t="s">
        <v>1542</v>
      </c>
      <c r="D2013" s="4">
        <v>2021</v>
      </c>
      <c r="E2013" s="4" t="s">
        <v>21</v>
      </c>
      <c r="F2013" s="4">
        <v>11</v>
      </c>
      <c r="G2013" s="4">
        <v>15</v>
      </c>
      <c r="H2013" s="4">
        <v>176.50399999999999</v>
      </c>
    </row>
    <row r="2014" spans="1:8" s="5" customFormat="1" ht="27.75" hidden="1" customHeight="1" outlineLevel="1" x14ac:dyDescent="0.25">
      <c r="A2014" s="42">
        <v>9499</v>
      </c>
      <c r="B2014" s="4" t="s">
        <v>117</v>
      </c>
      <c r="C2014" s="38" t="s">
        <v>1543</v>
      </c>
      <c r="D2014" s="4">
        <v>2021</v>
      </c>
      <c r="E2014" s="4" t="s">
        <v>21</v>
      </c>
      <c r="F2014" s="4">
        <v>22</v>
      </c>
      <c r="G2014" s="4">
        <v>15</v>
      </c>
      <c r="H2014" s="4">
        <v>159.58600000000001</v>
      </c>
    </row>
    <row r="2015" spans="1:8" s="5" customFormat="1" ht="27.75" hidden="1" customHeight="1" outlineLevel="1" x14ac:dyDescent="0.25">
      <c r="A2015" s="42">
        <v>9500</v>
      </c>
      <c r="B2015" s="4" t="s">
        <v>117</v>
      </c>
      <c r="C2015" s="38" t="s">
        <v>1544</v>
      </c>
      <c r="D2015" s="4">
        <v>2021</v>
      </c>
      <c r="E2015" s="4" t="s">
        <v>21</v>
      </c>
      <c r="F2015" s="4">
        <v>5</v>
      </c>
      <c r="G2015" s="4">
        <v>15</v>
      </c>
      <c r="H2015" s="4">
        <v>112.509</v>
      </c>
    </row>
    <row r="2016" spans="1:8" s="5" customFormat="1" ht="27.75" hidden="1" customHeight="1" outlineLevel="1" x14ac:dyDescent="0.25">
      <c r="A2016" s="42">
        <v>9478</v>
      </c>
      <c r="B2016" s="4" t="s">
        <v>117</v>
      </c>
      <c r="C2016" s="38" t="s">
        <v>1545</v>
      </c>
      <c r="D2016" s="4">
        <v>2021</v>
      </c>
      <c r="E2016" s="4" t="s">
        <v>21</v>
      </c>
      <c r="F2016" s="4">
        <v>875</v>
      </c>
      <c r="G2016" s="4">
        <v>15</v>
      </c>
      <c r="H2016" s="4">
        <v>983.21600000000001</v>
      </c>
    </row>
    <row r="2017" spans="1:8" s="5" customFormat="1" ht="27.75" hidden="1" customHeight="1" outlineLevel="1" x14ac:dyDescent="0.25">
      <c r="A2017" s="42">
        <v>9498</v>
      </c>
      <c r="B2017" s="4" t="s">
        <v>117</v>
      </c>
      <c r="C2017" s="38" t="s">
        <v>1546</v>
      </c>
      <c r="D2017" s="4">
        <v>2021</v>
      </c>
      <c r="E2017" s="4" t="s">
        <v>21</v>
      </c>
      <c r="F2017" s="4">
        <v>126</v>
      </c>
      <c r="G2017" s="4">
        <v>155</v>
      </c>
      <c r="H2017" s="4">
        <v>332.79599999999999</v>
      </c>
    </row>
    <row r="2018" spans="1:8" s="5" customFormat="1" ht="27.75" hidden="1" customHeight="1" outlineLevel="1" x14ac:dyDescent="0.25">
      <c r="A2018" s="42">
        <v>9524</v>
      </c>
      <c r="B2018" s="4" t="s">
        <v>117</v>
      </c>
      <c r="C2018" s="38" t="s">
        <v>1547</v>
      </c>
      <c r="D2018" s="4">
        <v>2021</v>
      </c>
      <c r="E2018" s="4" t="s">
        <v>21</v>
      </c>
      <c r="F2018" s="4">
        <v>14</v>
      </c>
      <c r="G2018" s="4">
        <v>10</v>
      </c>
      <c r="H2018" s="4">
        <v>146.83000000000001</v>
      </c>
    </row>
    <row r="2019" spans="1:8" s="5" customFormat="1" ht="27.75" hidden="1" customHeight="1" outlineLevel="1" x14ac:dyDescent="0.25">
      <c r="A2019" s="43">
        <v>362</v>
      </c>
      <c r="B2019" s="4" t="s">
        <v>117</v>
      </c>
      <c r="C2019" s="38" t="s">
        <v>1548</v>
      </c>
      <c r="D2019" s="4">
        <v>2021</v>
      </c>
      <c r="E2019" s="4" t="s">
        <v>21</v>
      </c>
      <c r="F2019" s="4">
        <v>30</v>
      </c>
      <c r="G2019" s="4">
        <v>15</v>
      </c>
      <c r="H2019" s="4">
        <v>50</v>
      </c>
    </row>
    <row r="2020" spans="1:8" s="5" customFormat="1" ht="27.75" hidden="1" customHeight="1" outlineLevel="1" x14ac:dyDescent="0.25">
      <c r="A2020" s="42">
        <v>9433</v>
      </c>
      <c r="B2020" s="4" t="s">
        <v>117</v>
      </c>
      <c r="C2020" s="38" t="s">
        <v>1549</v>
      </c>
      <c r="D2020" s="4">
        <v>2021</v>
      </c>
      <c r="E2020" s="4" t="s">
        <v>21</v>
      </c>
      <c r="F2020" s="4">
        <v>97</v>
      </c>
      <c r="G2020" s="4">
        <v>15</v>
      </c>
      <c r="H2020" s="4">
        <v>115</v>
      </c>
    </row>
    <row r="2021" spans="1:8" s="5" customFormat="1" ht="27.75" hidden="1" customHeight="1" outlineLevel="1" x14ac:dyDescent="0.25">
      <c r="A2021" s="42">
        <v>9321</v>
      </c>
      <c r="B2021" s="4" t="s">
        <v>117</v>
      </c>
      <c r="C2021" s="38" t="s">
        <v>1550</v>
      </c>
      <c r="D2021" s="4">
        <v>2021</v>
      </c>
      <c r="E2021" s="4" t="s">
        <v>21</v>
      </c>
      <c r="F2021" s="4">
        <v>55</v>
      </c>
      <c r="G2021" s="4">
        <v>15</v>
      </c>
      <c r="H2021" s="4">
        <v>90</v>
      </c>
    </row>
    <row r="2022" spans="1:8" s="5" customFormat="1" ht="27.75" hidden="1" customHeight="1" outlineLevel="1" x14ac:dyDescent="0.25">
      <c r="A2022" s="43">
        <v>1124</v>
      </c>
      <c r="B2022" s="4" t="s">
        <v>117</v>
      </c>
      <c r="C2022" s="38" t="s">
        <v>1551</v>
      </c>
      <c r="D2022" s="4">
        <v>2021</v>
      </c>
      <c r="E2022" s="4" t="s">
        <v>21</v>
      </c>
      <c r="F2022" s="4">
        <v>85</v>
      </c>
      <c r="G2022" s="4">
        <v>150</v>
      </c>
      <c r="H2022" s="4">
        <v>118</v>
      </c>
    </row>
    <row r="2023" spans="1:8" s="5" customFormat="1" ht="27.75" hidden="1" customHeight="1" outlineLevel="1" x14ac:dyDescent="0.25">
      <c r="A2023" s="42">
        <v>9076</v>
      </c>
      <c r="B2023" s="4" t="s">
        <v>117</v>
      </c>
      <c r="C2023" s="38" t="s">
        <v>1552</v>
      </c>
      <c r="D2023" s="4">
        <v>2021</v>
      </c>
      <c r="E2023" s="4" t="s">
        <v>21</v>
      </c>
      <c r="F2023" s="4">
        <v>90</v>
      </c>
      <c r="G2023" s="4">
        <v>15</v>
      </c>
      <c r="H2023" s="4">
        <v>124</v>
      </c>
    </row>
    <row r="2024" spans="1:8" s="5" customFormat="1" ht="27.75" hidden="1" customHeight="1" outlineLevel="1" x14ac:dyDescent="0.25">
      <c r="A2024" s="42">
        <v>9283</v>
      </c>
      <c r="B2024" s="4" t="s">
        <v>117</v>
      </c>
      <c r="C2024" s="38" t="s">
        <v>1553</v>
      </c>
      <c r="D2024" s="4">
        <v>2021</v>
      </c>
      <c r="E2024" s="4" t="s">
        <v>21</v>
      </c>
      <c r="F2024" s="4">
        <v>208</v>
      </c>
      <c r="G2024" s="4">
        <v>67</v>
      </c>
      <c r="H2024" s="4">
        <v>300</v>
      </c>
    </row>
    <row r="2025" spans="1:8" s="5" customFormat="1" ht="27.75" hidden="1" customHeight="1" outlineLevel="1" x14ac:dyDescent="0.25">
      <c r="A2025" s="42">
        <v>9087</v>
      </c>
      <c r="B2025" s="4" t="s">
        <v>117</v>
      </c>
      <c r="C2025" s="38" t="s">
        <v>1554</v>
      </c>
      <c r="D2025" s="4">
        <v>2021</v>
      </c>
      <c r="E2025" s="4" t="s">
        <v>21</v>
      </c>
      <c r="F2025" s="4">
        <v>76</v>
      </c>
      <c r="G2025" s="4">
        <v>15</v>
      </c>
      <c r="H2025" s="4">
        <v>120</v>
      </c>
    </row>
    <row r="2026" spans="1:8" s="5" customFormat="1" ht="27.75" hidden="1" customHeight="1" outlineLevel="1" x14ac:dyDescent="0.25">
      <c r="A2026" s="42">
        <v>9300</v>
      </c>
      <c r="B2026" s="4" t="s">
        <v>117</v>
      </c>
      <c r="C2026" s="38" t="s">
        <v>1555</v>
      </c>
      <c r="D2026" s="4">
        <v>2021</v>
      </c>
      <c r="E2026" s="4" t="s">
        <v>21</v>
      </c>
      <c r="F2026" s="4">
        <v>85</v>
      </c>
      <c r="G2026" s="4">
        <v>15</v>
      </c>
      <c r="H2026" s="4">
        <v>79</v>
      </c>
    </row>
    <row r="2027" spans="1:8" s="5" customFormat="1" ht="27.75" hidden="1" customHeight="1" outlineLevel="1" x14ac:dyDescent="0.25">
      <c r="A2027" s="43">
        <v>541</v>
      </c>
      <c r="B2027" s="4" t="s">
        <v>117</v>
      </c>
      <c r="C2027" s="38" t="s">
        <v>1556</v>
      </c>
      <c r="D2027" s="4">
        <v>2021</v>
      </c>
      <c r="E2027" s="4" t="s">
        <v>21</v>
      </c>
      <c r="F2027" s="4">
        <v>254</v>
      </c>
      <c r="G2027" s="4">
        <v>15</v>
      </c>
      <c r="H2027" s="4">
        <v>407</v>
      </c>
    </row>
    <row r="2028" spans="1:8" s="5" customFormat="1" ht="27.75" hidden="1" customHeight="1" outlineLevel="1" x14ac:dyDescent="0.25">
      <c r="A2028" s="43">
        <v>543</v>
      </c>
      <c r="B2028" s="4" t="s">
        <v>117</v>
      </c>
      <c r="C2028" s="38" t="s">
        <v>1557</v>
      </c>
      <c r="D2028" s="4">
        <v>2021</v>
      </c>
      <c r="E2028" s="4" t="s">
        <v>21</v>
      </c>
      <c r="F2028" s="4">
        <v>200</v>
      </c>
      <c r="G2028" s="4">
        <v>40</v>
      </c>
      <c r="H2028" s="4">
        <v>80</v>
      </c>
    </row>
    <row r="2029" spans="1:8" s="5" customFormat="1" ht="27.75" hidden="1" customHeight="1" outlineLevel="1" x14ac:dyDescent="0.25">
      <c r="A2029" s="42">
        <v>9285</v>
      </c>
      <c r="B2029" s="4" t="s">
        <v>117</v>
      </c>
      <c r="C2029" s="38" t="s">
        <v>1558</v>
      </c>
      <c r="D2029" s="4">
        <v>2021</v>
      </c>
      <c r="E2029" s="4" t="s">
        <v>21</v>
      </c>
      <c r="F2029" s="4">
        <v>208</v>
      </c>
      <c r="G2029" s="4">
        <v>50</v>
      </c>
      <c r="H2029" s="4">
        <v>247</v>
      </c>
    </row>
    <row r="2030" spans="1:8" s="5" customFormat="1" ht="27.75" hidden="1" customHeight="1" outlineLevel="1" x14ac:dyDescent="0.25">
      <c r="A2030" s="42">
        <v>9318</v>
      </c>
      <c r="B2030" s="4" t="s">
        <v>117</v>
      </c>
      <c r="C2030" s="38" t="s">
        <v>1559</v>
      </c>
      <c r="D2030" s="4">
        <v>2021</v>
      </c>
      <c r="E2030" s="4" t="s">
        <v>21</v>
      </c>
      <c r="F2030" s="4">
        <v>145</v>
      </c>
      <c r="G2030" s="4">
        <v>15</v>
      </c>
      <c r="H2030" s="4">
        <v>131</v>
      </c>
    </row>
    <row r="2031" spans="1:8" s="5" customFormat="1" ht="27.75" hidden="1" customHeight="1" outlineLevel="1" x14ac:dyDescent="0.25">
      <c r="A2031" s="42">
        <v>9284</v>
      </c>
      <c r="B2031" s="4" t="s">
        <v>117</v>
      </c>
      <c r="C2031" s="38" t="s">
        <v>1560</v>
      </c>
      <c r="D2031" s="4">
        <v>2021</v>
      </c>
      <c r="E2031" s="4" t="s">
        <v>21</v>
      </c>
      <c r="F2031" s="4">
        <v>85</v>
      </c>
      <c r="G2031" s="4">
        <v>5</v>
      </c>
      <c r="H2031" s="4">
        <v>141</v>
      </c>
    </row>
    <row r="2032" spans="1:8" s="5" customFormat="1" ht="27.75" hidden="1" customHeight="1" outlineLevel="1" x14ac:dyDescent="0.25">
      <c r="A2032" s="42">
        <v>9378</v>
      </c>
      <c r="B2032" s="4" t="s">
        <v>117</v>
      </c>
      <c r="C2032" s="38" t="s">
        <v>1561</v>
      </c>
      <c r="D2032" s="4">
        <v>2021</v>
      </c>
      <c r="E2032" s="4" t="s">
        <v>21</v>
      </c>
      <c r="F2032" s="4">
        <v>30</v>
      </c>
      <c r="G2032" s="4">
        <v>8</v>
      </c>
      <c r="H2032" s="4">
        <v>72</v>
      </c>
    </row>
    <row r="2033" spans="1:8" s="5" customFormat="1" ht="27.75" hidden="1" customHeight="1" outlineLevel="1" x14ac:dyDescent="0.25">
      <c r="A2033" s="42">
        <v>9393</v>
      </c>
      <c r="B2033" s="4" t="s">
        <v>117</v>
      </c>
      <c r="C2033" s="38" t="s">
        <v>1562</v>
      </c>
      <c r="D2033" s="4">
        <v>2021</v>
      </c>
      <c r="E2033" s="4" t="s">
        <v>21</v>
      </c>
      <c r="F2033" s="4">
        <v>159</v>
      </c>
      <c r="G2033" s="4">
        <v>30</v>
      </c>
      <c r="H2033" s="4">
        <v>344</v>
      </c>
    </row>
    <row r="2034" spans="1:8" s="5" customFormat="1" ht="27.75" hidden="1" customHeight="1" outlineLevel="1" x14ac:dyDescent="0.25">
      <c r="A2034" s="42">
        <v>9290</v>
      </c>
      <c r="B2034" s="4" t="s">
        <v>117</v>
      </c>
      <c r="C2034" s="38" t="s">
        <v>1563</v>
      </c>
      <c r="D2034" s="4">
        <v>2021</v>
      </c>
      <c r="E2034" s="4" t="s">
        <v>21</v>
      </c>
      <c r="F2034" s="4">
        <v>115</v>
      </c>
      <c r="G2034" s="4">
        <v>30</v>
      </c>
      <c r="H2034" s="4">
        <v>157</v>
      </c>
    </row>
    <row r="2035" spans="1:8" s="5" customFormat="1" ht="27.75" hidden="1" customHeight="1" outlineLevel="1" x14ac:dyDescent="0.25">
      <c r="A2035" s="42">
        <v>9282</v>
      </c>
      <c r="B2035" s="4" t="s">
        <v>117</v>
      </c>
      <c r="C2035" s="38" t="s">
        <v>1564</v>
      </c>
      <c r="D2035" s="4">
        <v>2021</v>
      </c>
      <c r="E2035" s="4" t="s">
        <v>21</v>
      </c>
      <c r="F2035" s="4">
        <v>302</v>
      </c>
      <c r="G2035" s="4">
        <v>4</v>
      </c>
      <c r="H2035" s="4">
        <v>445</v>
      </c>
    </row>
    <row r="2036" spans="1:8" s="5" customFormat="1" ht="27.75" hidden="1" customHeight="1" outlineLevel="1" x14ac:dyDescent="0.25">
      <c r="A2036" s="4">
        <v>10900</v>
      </c>
      <c r="B2036" s="4" t="s">
        <v>117</v>
      </c>
      <c r="C2036" s="38" t="s">
        <v>1565</v>
      </c>
      <c r="D2036" s="4">
        <v>2021</v>
      </c>
      <c r="E2036" s="4" t="s">
        <v>21</v>
      </c>
      <c r="F2036" s="4">
        <v>100</v>
      </c>
      <c r="G2036" s="4">
        <v>15</v>
      </c>
      <c r="H2036" s="4">
        <v>110</v>
      </c>
    </row>
    <row r="2037" spans="1:8" s="5" customFormat="1" ht="27.75" hidden="1" customHeight="1" outlineLevel="1" x14ac:dyDescent="0.25">
      <c r="A2037" s="42">
        <v>9898</v>
      </c>
      <c r="B2037" s="4" t="s">
        <v>117</v>
      </c>
      <c r="C2037" s="38" t="s">
        <v>1566</v>
      </c>
      <c r="D2037" s="4">
        <v>2021</v>
      </c>
      <c r="E2037" s="4" t="s">
        <v>21</v>
      </c>
      <c r="F2037" s="4">
        <v>176</v>
      </c>
      <c r="G2037" s="4">
        <v>15</v>
      </c>
      <c r="H2037" s="4">
        <v>335</v>
      </c>
    </row>
    <row r="2038" spans="1:8" s="5" customFormat="1" ht="27.75" hidden="1" customHeight="1" outlineLevel="1" x14ac:dyDescent="0.25">
      <c r="A2038" s="43">
        <v>3757</v>
      </c>
      <c r="B2038" s="4" t="s">
        <v>117</v>
      </c>
      <c r="C2038" s="38" t="s">
        <v>1567</v>
      </c>
      <c r="D2038" s="4">
        <v>2021</v>
      </c>
      <c r="E2038" s="4" t="s">
        <v>21</v>
      </c>
      <c r="F2038" s="4">
        <v>12</v>
      </c>
      <c r="G2038" s="4">
        <v>5</v>
      </c>
      <c r="H2038" s="4">
        <v>57</v>
      </c>
    </row>
    <row r="2039" spans="1:8" s="5" customFormat="1" ht="27.75" hidden="1" customHeight="1" outlineLevel="1" x14ac:dyDescent="0.25">
      <c r="A2039" s="42">
        <v>9884</v>
      </c>
      <c r="B2039" s="4" t="s">
        <v>117</v>
      </c>
      <c r="C2039" s="38" t="s">
        <v>1568</v>
      </c>
      <c r="D2039" s="4">
        <v>2021</v>
      </c>
      <c r="E2039" s="4" t="s">
        <v>21</v>
      </c>
      <c r="F2039" s="4">
        <v>322</v>
      </c>
      <c r="G2039" s="4">
        <v>30</v>
      </c>
      <c r="H2039" s="4">
        <v>438</v>
      </c>
    </row>
    <row r="2040" spans="1:8" s="5" customFormat="1" ht="27.75" hidden="1" customHeight="1" outlineLevel="1" x14ac:dyDescent="0.25">
      <c r="A2040" s="42">
        <v>9480</v>
      </c>
      <c r="B2040" s="4" t="s">
        <v>117</v>
      </c>
      <c r="C2040" s="38" t="s">
        <v>1569</v>
      </c>
      <c r="D2040" s="4">
        <v>2021</v>
      </c>
      <c r="E2040" s="4" t="s">
        <v>21</v>
      </c>
      <c r="F2040" s="4">
        <v>30</v>
      </c>
      <c r="G2040" s="4">
        <v>15</v>
      </c>
      <c r="H2040" s="4">
        <v>36</v>
      </c>
    </row>
    <row r="2041" spans="1:8" s="5" customFormat="1" ht="27.75" hidden="1" customHeight="1" outlineLevel="1" x14ac:dyDescent="0.25">
      <c r="A2041" s="42">
        <v>9409</v>
      </c>
      <c r="B2041" s="4" t="s">
        <v>117</v>
      </c>
      <c r="C2041" s="38" t="s">
        <v>1570</v>
      </c>
      <c r="D2041" s="4">
        <v>2021</v>
      </c>
      <c r="E2041" s="4" t="s">
        <v>21</v>
      </c>
      <c r="F2041" s="4">
        <v>120</v>
      </c>
      <c r="G2041" s="4">
        <v>15</v>
      </c>
      <c r="H2041" s="4">
        <v>125</v>
      </c>
    </row>
    <row r="2042" spans="1:8" s="5" customFormat="1" ht="27.75" hidden="1" customHeight="1" outlineLevel="1" x14ac:dyDescent="0.25">
      <c r="A2042" s="42">
        <v>9090</v>
      </c>
      <c r="B2042" s="4" t="s">
        <v>117</v>
      </c>
      <c r="C2042" s="38" t="s">
        <v>1571</v>
      </c>
      <c r="D2042" s="4">
        <v>2021</v>
      </c>
      <c r="E2042" s="4" t="s">
        <v>21</v>
      </c>
      <c r="F2042" s="4">
        <v>40</v>
      </c>
      <c r="G2042" s="4">
        <v>15</v>
      </c>
      <c r="H2042" s="4">
        <v>56</v>
      </c>
    </row>
    <row r="2043" spans="1:8" s="5" customFormat="1" ht="27.75" hidden="1" customHeight="1" outlineLevel="1" x14ac:dyDescent="0.25">
      <c r="A2043" s="42">
        <v>9662</v>
      </c>
      <c r="B2043" s="4" t="s">
        <v>117</v>
      </c>
      <c r="C2043" s="38" t="s">
        <v>1572</v>
      </c>
      <c r="D2043" s="4">
        <v>2021</v>
      </c>
      <c r="E2043" s="4" t="s">
        <v>21</v>
      </c>
      <c r="F2043" s="4">
        <v>137</v>
      </c>
      <c r="G2043" s="4">
        <v>15</v>
      </c>
      <c r="H2043" s="4">
        <v>193</v>
      </c>
    </row>
    <row r="2044" spans="1:8" s="5" customFormat="1" ht="27.75" hidden="1" customHeight="1" outlineLevel="1" x14ac:dyDescent="0.25">
      <c r="A2044" s="42">
        <v>9317</v>
      </c>
      <c r="B2044" s="4" t="s">
        <v>117</v>
      </c>
      <c r="C2044" s="38" t="s">
        <v>1573</v>
      </c>
      <c r="D2044" s="4">
        <v>2021</v>
      </c>
      <c r="E2044" s="4" t="s">
        <v>21</v>
      </c>
      <c r="F2044" s="4">
        <v>35</v>
      </c>
      <c r="G2044" s="4">
        <v>5</v>
      </c>
      <c r="H2044" s="4">
        <v>75</v>
      </c>
    </row>
    <row r="2045" spans="1:8" s="5" customFormat="1" ht="27.75" hidden="1" customHeight="1" outlineLevel="1" x14ac:dyDescent="0.25">
      <c r="A2045" s="42">
        <v>9656</v>
      </c>
      <c r="B2045" s="4" t="s">
        <v>117</v>
      </c>
      <c r="C2045" s="38" t="s">
        <v>1574</v>
      </c>
      <c r="D2045" s="4">
        <v>2021</v>
      </c>
      <c r="E2045" s="4" t="s">
        <v>21</v>
      </c>
      <c r="F2045" s="4">
        <v>10</v>
      </c>
      <c r="G2045" s="4">
        <v>140</v>
      </c>
      <c r="H2045" s="4">
        <v>27</v>
      </c>
    </row>
    <row r="2046" spans="1:8" s="5" customFormat="1" ht="27.75" hidden="1" customHeight="1" outlineLevel="1" x14ac:dyDescent="0.25">
      <c r="A2046" s="42">
        <v>9412</v>
      </c>
      <c r="B2046" s="4" t="s">
        <v>117</v>
      </c>
      <c r="C2046" s="38" t="s">
        <v>1575</v>
      </c>
      <c r="D2046" s="4">
        <v>2021</v>
      </c>
      <c r="E2046" s="4" t="s">
        <v>21</v>
      </c>
      <c r="F2046" s="4">
        <v>283</v>
      </c>
      <c r="G2046" s="4">
        <v>30</v>
      </c>
      <c r="H2046" s="4">
        <v>428</v>
      </c>
    </row>
    <row r="2047" spans="1:8" s="5" customFormat="1" ht="27.75" hidden="1" customHeight="1" outlineLevel="1" x14ac:dyDescent="0.25">
      <c r="A2047" s="43">
        <v>360</v>
      </c>
      <c r="B2047" s="4" t="s">
        <v>117</v>
      </c>
      <c r="C2047" s="38" t="s">
        <v>1576</v>
      </c>
      <c r="D2047" s="4">
        <v>2021</v>
      </c>
      <c r="E2047" s="4" t="s">
        <v>21</v>
      </c>
      <c r="F2047" s="4">
        <v>50</v>
      </c>
      <c r="G2047" s="4">
        <v>2</v>
      </c>
      <c r="H2047" s="4">
        <v>124</v>
      </c>
    </row>
    <row r="2048" spans="1:8" s="5" customFormat="1" ht="27.75" hidden="1" customHeight="1" outlineLevel="1" x14ac:dyDescent="0.25">
      <c r="A2048" s="42">
        <v>9438</v>
      </c>
      <c r="B2048" s="4" t="s">
        <v>117</v>
      </c>
      <c r="C2048" s="38" t="s">
        <v>1577</v>
      </c>
      <c r="D2048" s="4">
        <v>2021</v>
      </c>
      <c r="E2048" s="4" t="s">
        <v>21</v>
      </c>
      <c r="F2048" s="4">
        <v>90</v>
      </c>
      <c r="G2048" s="4">
        <v>15</v>
      </c>
      <c r="H2048" s="4">
        <v>175</v>
      </c>
    </row>
    <row r="2049" spans="1:8" s="5" customFormat="1" ht="27.75" hidden="1" customHeight="1" outlineLevel="1" x14ac:dyDescent="0.25">
      <c r="A2049" s="42">
        <v>9310</v>
      </c>
      <c r="B2049" s="4" t="s">
        <v>117</v>
      </c>
      <c r="C2049" s="38" t="s">
        <v>1578</v>
      </c>
      <c r="D2049" s="4">
        <v>2021</v>
      </c>
      <c r="E2049" s="4" t="s">
        <v>21</v>
      </c>
      <c r="F2049" s="4">
        <v>45</v>
      </c>
      <c r="G2049" s="4">
        <v>5</v>
      </c>
      <c r="H2049" s="4">
        <v>82</v>
      </c>
    </row>
    <row r="2050" spans="1:8" s="5" customFormat="1" ht="27.75" hidden="1" customHeight="1" outlineLevel="1" x14ac:dyDescent="0.25">
      <c r="A2050" s="42">
        <v>9665</v>
      </c>
      <c r="B2050" s="4" t="s">
        <v>117</v>
      </c>
      <c r="C2050" s="38" t="s">
        <v>1579</v>
      </c>
      <c r="D2050" s="4">
        <v>2021</v>
      </c>
      <c r="E2050" s="4" t="s">
        <v>21</v>
      </c>
      <c r="F2050" s="4">
        <v>5</v>
      </c>
      <c r="G2050" s="4">
        <v>100</v>
      </c>
      <c r="H2050" s="4">
        <v>42</v>
      </c>
    </row>
    <row r="2051" spans="1:8" s="5" customFormat="1" ht="27.75" hidden="1" customHeight="1" outlineLevel="1" x14ac:dyDescent="0.25">
      <c r="A2051" s="42">
        <v>9099</v>
      </c>
      <c r="B2051" s="4" t="s">
        <v>117</v>
      </c>
      <c r="C2051" s="38" t="s">
        <v>1580</v>
      </c>
      <c r="D2051" s="4">
        <v>2021</v>
      </c>
      <c r="E2051" s="4" t="s">
        <v>21</v>
      </c>
      <c r="F2051" s="4">
        <v>62</v>
      </c>
      <c r="G2051" s="4">
        <v>15</v>
      </c>
      <c r="H2051" s="4">
        <v>169</v>
      </c>
    </row>
    <row r="2052" spans="1:8" s="5" customFormat="1" ht="27.75" hidden="1" customHeight="1" outlineLevel="1" x14ac:dyDescent="0.25">
      <c r="A2052" s="42">
        <v>9417</v>
      </c>
      <c r="B2052" s="4" t="s">
        <v>117</v>
      </c>
      <c r="C2052" s="38" t="s">
        <v>1581</v>
      </c>
      <c r="D2052" s="4">
        <v>2021</v>
      </c>
      <c r="E2052" s="4" t="s">
        <v>21</v>
      </c>
      <c r="F2052" s="4">
        <v>246</v>
      </c>
      <c r="G2052" s="4">
        <v>35</v>
      </c>
      <c r="H2052" s="4">
        <v>420</v>
      </c>
    </row>
    <row r="2053" spans="1:8" s="5" customFormat="1" ht="27.75" hidden="1" customHeight="1" outlineLevel="1" x14ac:dyDescent="0.25">
      <c r="A2053" s="42">
        <v>9882</v>
      </c>
      <c r="B2053" s="4" t="s">
        <v>117</v>
      </c>
      <c r="C2053" s="38" t="s">
        <v>1582</v>
      </c>
      <c r="D2053" s="4">
        <v>2021</v>
      </c>
      <c r="E2053" s="4" t="s">
        <v>21</v>
      </c>
      <c r="F2053" s="4">
        <v>84</v>
      </c>
      <c r="G2053" s="4">
        <v>14</v>
      </c>
      <c r="H2053" s="4">
        <v>181</v>
      </c>
    </row>
    <row r="2054" spans="1:8" s="5" customFormat="1" ht="27.75" hidden="1" customHeight="1" outlineLevel="1" x14ac:dyDescent="0.25">
      <c r="A2054" s="42">
        <v>9602</v>
      </c>
      <c r="B2054" s="4" t="s">
        <v>117</v>
      </c>
      <c r="C2054" s="38" t="s">
        <v>1583</v>
      </c>
      <c r="D2054" s="4">
        <v>2021</v>
      </c>
      <c r="E2054" s="4" t="s">
        <v>21</v>
      </c>
      <c r="F2054" s="4">
        <v>14</v>
      </c>
      <c r="G2054" s="4">
        <v>15</v>
      </c>
      <c r="H2054" s="4">
        <v>57</v>
      </c>
    </row>
    <row r="2055" spans="1:8" s="5" customFormat="1" ht="27.75" hidden="1" customHeight="1" outlineLevel="1" x14ac:dyDescent="0.25">
      <c r="A2055" s="42">
        <v>9392</v>
      </c>
      <c r="B2055" s="4" t="s">
        <v>117</v>
      </c>
      <c r="C2055" s="38" t="s">
        <v>1584</v>
      </c>
      <c r="D2055" s="4">
        <v>2021</v>
      </c>
      <c r="E2055" s="4" t="s">
        <v>21</v>
      </c>
      <c r="F2055" s="4">
        <v>30</v>
      </c>
      <c r="G2055" s="4">
        <v>15</v>
      </c>
      <c r="H2055" s="4">
        <v>35</v>
      </c>
    </row>
    <row r="2056" spans="1:8" s="5" customFormat="1" ht="27.75" hidden="1" customHeight="1" outlineLevel="1" x14ac:dyDescent="0.25">
      <c r="A2056" s="42">
        <v>9332</v>
      </c>
      <c r="B2056" s="4" t="s">
        <v>117</v>
      </c>
      <c r="C2056" s="38" t="s">
        <v>1585</v>
      </c>
      <c r="D2056" s="4">
        <v>2021</v>
      </c>
      <c r="E2056" s="4" t="s">
        <v>21</v>
      </c>
      <c r="F2056" s="4">
        <v>105</v>
      </c>
      <c r="G2056" s="4">
        <v>14</v>
      </c>
      <c r="H2056" s="4">
        <v>76</v>
      </c>
    </row>
    <row r="2057" spans="1:8" s="5" customFormat="1" ht="27.75" hidden="1" customHeight="1" outlineLevel="1" x14ac:dyDescent="0.25">
      <c r="A2057" s="42">
        <v>9086</v>
      </c>
      <c r="B2057" s="4" t="s">
        <v>117</v>
      </c>
      <c r="C2057" s="38" t="s">
        <v>1586</v>
      </c>
      <c r="D2057" s="4">
        <v>2021</v>
      </c>
      <c r="E2057" s="4" t="s">
        <v>21</v>
      </c>
      <c r="F2057" s="4">
        <v>150</v>
      </c>
      <c r="G2057" s="4">
        <v>30</v>
      </c>
      <c r="H2057" s="4">
        <v>140</v>
      </c>
    </row>
    <row r="2058" spans="1:8" s="5" customFormat="1" ht="27.75" hidden="1" customHeight="1" outlineLevel="1" x14ac:dyDescent="0.25">
      <c r="A2058" s="42">
        <v>9323</v>
      </c>
      <c r="B2058" s="4" t="s">
        <v>117</v>
      </c>
      <c r="C2058" s="38" t="s">
        <v>1587</v>
      </c>
      <c r="D2058" s="4">
        <v>2021</v>
      </c>
      <c r="E2058" s="4" t="s">
        <v>21</v>
      </c>
      <c r="F2058" s="4">
        <v>75</v>
      </c>
      <c r="G2058" s="4">
        <v>15</v>
      </c>
      <c r="H2058" s="4">
        <v>71</v>
      </c>
    </row>
    <row r="2059" spans="1:8" s="5" customFormat="1" ht="27.75" hidden="1" customHeight="1" outlineLevel="1" x14ac:dyDescent="0.25">
      <c r="A2059" s="42">
        <v>9397</v>
      </c>
      <c r="B2059" s="4" t="s">
        <v>117</v>
      </c>
      <c r="C2059" s="38" t="s">
        <v>1588</v>
      </c>
      <c r="D2059" s="4">
        <v>2021</v>
      </c>
      <c r="E2059" s="4" t="s">
        <v>21</v>
      </c>
      <c r="F2059" s="4">
        <v>70</v>
      </c>
      <c r="G2059" s="4">
        <v>15</v>
      </c>
      <c r="H2059" s="4">
        <v>64</v>
      </c>
    </row>
    <row r="2060" spans="1:8" s="5" customFormat="1" ht="27.75" hidden="1" customHeight="1" outlineLevel="1" x14ac:dyDescent="0.25">
      <c r="A2060" s="42">
        <v>9674</v>
      </c>
      <c r="B2060" s="4" t="s">
        <v>117</v>
      </c>
      <c r="C2060" s="38" t="s">
        <v>1589</v>
      </c>
      <c r="D2060" s="4">
        <v>2021</v>
      </c>
      <c r="E2060" s="4" t="s">
        <v>21</v>
      </c>
      <c r="F2060" s="4">
        <v>30</v>
      </c>
      <c r="G2060" s="4">
        <v>50</v>
      </c>
      <c r="H2060" s="4">
        <v>69</v>
      </c>
    </row>
    <row r="2061" spans="1:8" s="5" customFormat="1" ht="27.75" hidden="1" customHeight="1" outlineLevel="1" x14ac:dyDescent="0.25">
      <c r="A2061" s="43">
        <v>351</v>
      </c>
      <c r="B2061" s="4" t="s">
        <v>117</v>
      </c>
      <c r="C2061" s="38" t="s">
        <v>1590</v>
      </c>
      <c r="D2061" s="4">
        <v>2021</v>
      </c>
      <c r="E2061" s="4" t="s">
        <v>21</v>
      </c>
      <c r="F2061" s="4">
        <v>25</v>
      </c>
      <c r="G2061" s="4">
        <v>15</v>
      </c>
      <c r="H2061" s="4">
        <v>63</v>
      </c>
    </row>
    <row r="2062" spans="1:8" s="5" customFormat="1" ht="27.75" hidden="1" customHeight="1" outlineLevel="1" x14ac:dyDescent="0.25">
      <c r="A2062" s="42">
        <v>9331</v>
      </c>
      <c r="B2062" s="4" t="s">
        <v>117</v>
      </c>
      <c r="C2062" s="38" t="s">
        <v>1591</v>
      </c>
      <c r="D2062" s="4">
        <v>2021</v>
      </c>
      <c r="E2062" s="4" t="s">
        <v>21</v>
      </c>
      <c r="F2062" s="4">
        <v>65</v>
      </c>
      <c r="G2062" s="4">
        <v>25</v>
      </c>
      <c r="H2062" s="4">
        <v>78</v>
      </c>
    </row>
    <row r="2063" spans="1:8" s="5" customFormat="1" ht="27.75" hidden="1" customHeight="1" outlineLevel="1" x14ac:dyDescent="0.25">
      <c r="A2063" s="42">
        <v>9270</v>
      </c>
      <c r="B2063" s="4" t="s">
        <v>117</v>
      </c>
      <c r="C2063" s="38" t="s">
        <v>1592</v>
      </c>
      <c r="D2063" s="4">
        <v>2021</v>
      </c>
      <c r="E2063" s="4" t="s">
        <v>21</v>
      </c>
      <c r="F2063" s="4">
        <v>100</v>
      </c>
      <c r="G2063" s="4">
        <v>30</v>
      </c>
      <c r="H2063" s="4">
        <v>48</v>
      </c>
    </row>
    <row r="2064" spans="1:8" s="5" customFormat="1" ht="27.75" hidden="1" customHeight="1" outlineLevel="1" x14ac:dyDescent="0.25">
      <c r="A2064" s="43">
        <v>526</v>
      </c>
      <c r="B2064" s="4" t="s">
        <v>117</v>
      </c>
      <c r="C2064" s="38" t="s">
        <v>1593</v>
      </c>
      <c r="D2064" s="4">
        <v>2021</v>
      </c>
      <c r="E2064" s="4" t="s">
        <v>21</v>
      </c>
      <c r="F2064" s="4">
        <v>30</v>
      </c>
      <c r="G2064" s="4">
        <v>15</v>
      </c>
      <c r="H2064" s="4">
        <v>63</v>
      </c>
    </row>
    <row r="2065" spans="1:8" s="5" customFormat="1" ht="27.75" hidden="1" customHeight="1" outlineLevel="1" x14ac:dyDescent="0.25">
      <c r="A2065" s="43">
        <v>603</v>
      </c>
      <c r="B2065" s="4" t="s">
        <v>117</v>
      </c>
      <c r="C2065" s="38" t="s">
        <v>1594</v>
      </c>
      <c r="D2065" s="4">
        <v>2021</v>
      </c>
      <c r="E2065" s="4" t="s">
        <v>21</v>
      </c>
      <c r="F2065" s="4">
        <v>35</v>
      </c>
      <c r="G2065" s="4">
        <v>15</v>
      </c>
      <c r="H2065" s="4">
        <v>48</v>
      </c>
    </row>
    <row r="2066" spans="1:8" s="5" customFormat="1" ht="27.75" hidden="1" customHeight="1" outlineLevel="1" x14ac:dyDescent="0.25">
      <c r="A2066" s="42">
        <v>9653</v>
      </c>
      <c r="B2066" s="4" t="s">
        <v>117</v>
      </c>
      <c r="C2066" s="38" t="s">
        <v>1595</v>
      </c>
      <c r="D2066" s="4">
        <v>2021</v>
      </c>
      <c r="E2066" s="4" t="s">
        <v>21</v>
      </c>
      <c r="F2066" s="4">
        <v>10</v>
      </c>
      <c r="G2066" s="4">
        <v>150</v>
      </c>
      <c r="H2066" s="4">
        <v>32</v>
      </c>
    </row>
    <row r="2067" spans="1:8" s="5" customFormat="1" ht="27.75" hidden="1" customHeight="1" outlineLevel="1" x14ac:dyDescent="0.25">
      <c r="A2067" s="42">
        <v>9296</v>
      </c>
      <c r="B2067" s="4" t="s">
        <v>117</v>
      </c>
      <c r="C2067" s="38" t="s">
        <v>1596</v>
      </c>
      <c r="D2067" s="4">
        <v>2021</v>
      </c>
      <c r="E2067" s="4" t="s">
        <v>21</v>
      </c>
      <c r="F2067" s="4">
        <v>170</v>
      </c>
      <c r="G2067" s="4">
        <v>15</v>
      </c>
      <c r="H2067" s="4">
        <v>173</v>
      </c>
    </row>
    <row r="2068" spans="1:8" s="5" customFormat="1" ht="27.75" hidden="1" customHeight="1" outlineLevel="1" x14ac:dyDescent="0.25">
      <c r="A2068" s="42">
        <v>9413</v>
      </c>
      <c r="B2068" s="4" t="s">
        <v>117</v>
      </c>
      <c r="C2068" s="38" t="s">
        <v>1597</v>
      </c>
      <c r="D2068" s="4">
        <v>2021</v>
      </c>
      <c r="E2068" s="4" t="s">
        <v>21</v>
      </c>
      <c r="F2068" s="4">
        <v>160</v>
      </c>
      <c r="G2068" s="4">
        <v>150</v>
      </c>
      <c r="H2068" s="4">
        <v>62</v>
      </c>
    </row>
    <row r="2069" spans="1:8" s="5" customFormat="1" ht="27.75" hidden="1" customHeight="1" outlineLevel="1" x14ac:dyDescent="0.25">
      <c r="A2069" s="42">
        <v>9320</v>
      </c>
      <c r="B2069" s="4" t="s">
        <v>117</v>
      </c>
      <c r="C2069" s="38" t="s">
        <v>1598</v>
      </c>
      <c r="D2069" s="4">
        <v>2021</v>
      </c>
      <c r="E2069" s="4" t="s">
        <v>21</v>
      </c>
      <c r="F2069" s="4">
        <v>45</v>
      </c>
      <c r="G2069" s="4">
        <v>15</v>
      </c>
      <c r="H2069" s="4">
        <v>55</v>
      </c>
    </row>
    <row r="2070" spans="1:8" s="5" customFormat="1" ht="27.75" hidden="1" customHeight="1" outlineLevel="1" x14ac:dyDescent="0.25">
      <c r="A2070" s="42">
        <v>9411</v>
      </c>
      <c r="B2070" s="4" t="s">
        <v>117</v>
      </c>
      <c r="C2070" s="38" t="s">
        <v>1599</v>
      </c>
      <c r="D2070" s="4">
        <v>2021</v>
      </c>
      <c r="E2070" s="4" t="s">
        <v>21</v>
      </c>
      <c r="F2070" s="4">
        <v>100</v>
      </c>
      <c r="G2070" s="4">
        <v>15</v>
      </c>
      <c r="H2070" s="4">
        <v>96</v>
      </c>
    </row>
    <row r="2071" spans="1:8" s="5" customFormat="1" ht="27.75" hidden="1" customHeight="1" outlineLevel="1" x14ac:dyDescent="0.25">
      <c r="A2071" s="42">
        <v>9416</v>
      </c>
      <c r="B2071" s="4" t="s">
        <v>117</v>
      </c>
      <c r="C2071" s="38" t="s">
        <v>1600</v>
      </c>
      <c r="D2071" s="4">
        <v>2021</v>
      </c>
      <c r="E2071" s="4" t="s">
        <v>21</v>
      </c>
      <c r="F2071" s="4">
        <v>30</v>
      </c>
      <c r="G2071" s="4">
        <v>20</v>
      </c>
      <c r="H2071" s="4">
        <v>55</v>
      </c>
    </row>
    <row r="2072" spans="1:8" s="5" customFormat="1" ht="27.75" hidden="1" customHeight="1" outlineLevel="1" x14ac:dyDescent="0.25">
      <c r="A2072" s="42">
        <v>9405</v>
      </c>
      <c r="B2072" s="4" t="s">
        <v>117</v>
      </c>
      <c r="C2072" s="38" t="s">
        <v>1601</v>
      </c>
      <c r="D2072" s="4">
        <v>2021</v>
      </c>
      <c r="E2072" s="4" t="s">
        <v>21</v>
      </c>
      <c r="F2072" s="4">
        <v>30</v>
      </c>
      <c r="G2072" s="4">
        <v>15</v>
      </c>
      <c r="H2072" s="4">
        <v>36</v>
      </c>
    </row>
    <row r="2073" spans="1:8" s="5" customFormat="1" ht="27.75" hidden="1" customHeight="1" outlineLevel="1" x14ac:dyDescent="0.25">
      <c r="A2073" s="42">
        <v>9327</v>
      </c>
      <c r="B2073" s="4" t="s">
        <v>117</v>
      </c>
      <c r="C2073" s="38" t="s">
        <v>1602</v>
      </c>
      <c r="D2073" s="4">
        <v>2021</v>
      </c>
      <c r="E2073" s="4" t="s">
        <v>21</v>
      </c>
      <c r="F2073" s="4">
        <v>60</v>
      </c>
      <c r="G2073" s="4">
        <v>15</v>
      </c>
      <c r="H2073" s="4">
        <v>57</v>
      </c>
    </row>
    <row r="2074" spans="1:8" s="5" customFormat="1" ht="27.75" hidden="1" customHeight="1" outlineLevel="1" x14ac:dyDescent="0.25">
      <c r="A2074" s="42">
        <v>9293</v>
      </c>
      <c r="B2074" s="4" t="s">
        <v>117</v>
      </c>
      <c r="C2074" s="38" t="s">
        <v>1603</v>
      </c>
      <c r="D2074" s="4">
        <v>2021</v>
      </c>
      <c r="E2074" s="4" t="s">
        <v>21</v>
      </c>
      <c r="F2074" s="4">
        <v>30</v>
      </c>
      <c r="G2074" s="4">
        <v>15</v>
      </c>
      <c r="H2074" s="4">
        <v>39</v>
      </c>
    </row>
    <row r="2075" spans="1:8" s="5" customFormat="1" ht="27.75" hidden="1" customHeight="1" outlineLevel="1" x14ac:dyDescent="0.25">
      <c r="A2075" s="42">
        <v>9453</v>
      </c>
      <c r="B2075" s="4" t="s">
        <v>117</v>
      </c>
      <c r="C2075" s="38" t="s">
        <v>1604</v>
      </c>
      <c r="D2075" s="4">
        <v>2021</v>
      </c>
      <c r="E2075" s="4" t="s">
        <v>21</v>
      </c>
      <c r="F2075" s="4">
        <v>5</v>
      </c>
      <c r="G2075" s="4">
        <v>20</v>
      </c>
      <c r="H2075" s="4">
        <v>34</v>
      </c>
    </row>
    <row r="2076" spans="1:8" s="5" customFormat="1" ht="27.75" hidden="1" customHeight="1" outlineLevel="1" x14ac:dyDescent="0.25">
      <c r="A2076" s="42">
        <v>9080</v>
      </c>
      <c r="B2076" s="4" t="s">
        <v>117</v>
      </c>
      <c r="C2076" s="38" t="s">
        <v>1605</v>
      </c>
      <c r="D2076" s="4">
        <v>2021</v>
      </c>
      <c r="E2076" s="4" t="s">
        <v>21</v>
      </c>
      <c r="F2076" s="4">
        <v>176</v>
      </c>
      <c r="G2076" s="4">
        <v>15</v>
      </c>
      <c r="H2076" s="4">
        <v>304</v>
      </c>
    </row>
    <row r="2077" spans="1:8" s="5" customFormat="1" ht="27.75" hidden="1" customHeight="1" outlineLevel="1" x14ac:dyDescent="0.25">
      <c r="A2077" s="42">
        <v>9353</v>
      </c>
      <c r="B2077" s="4" t="s">
        <v>117</v>
      </c>
      <c r="C2077" s="38" t="s">
        <v>1606</v>
      </c>
      <c r="D2077" s="4">
        <v>2021</v>
      </c>
      <c r="E2077" s="4" t="s">
        <v>21</v>
      </c>
      <c r="F2077" s="4">
        <v>300</v>
      </c>
      <c r="G2077" s="4">
        <v>30</v>
      </c>
      <c r="H2077" s="4">
        <v>125</v>
      </c>
    </row>
    <row r="2078" spans="1:8" s="5" customFormat="1" ht="27.75" hidden="1" customHeight="1" outlineLevel="1" x14ac:dyDescent="0.25">
      <c r="A2078" s="42">
        <v>9379</v>
      </c>
      <c r="B2078" s="4" t="s">
        <v>117</v>
      </c>
      <c r="C2078" s="38" t="s">
        <v>1607</v>
      </c>
      <c r="D2078" s="4">
        <v>2021</v>
      </c>
      <c r="E2078" s="4" t="s">
        <v>21</v>
      </c>
      <c r="F2078" s="4">
        <v>40</v>
      </c>
      <c r="G2078" s="4">
        <v>10</v>
      </c>
      <c r="H2078" s="4">
        <v>54</v>
      </c>
    </row>
    <row r="2079" spans="1:8" s="5" customFormat="1" ht="27.75" hidden="1" customHeight="1" outlineLevel="1" x14ac:dyDescent="0.25">
      <c r="A2079" s="42">
        <v>9649</v>
      </c>
      <c r="B2079" s="4" t="s">
        <v>117</v>
      </c>
      <c r="C2079" s="38" t="s">
        <v>1608</v>
      </c>
      <c r="D2079" s="4">
        <v>2021</v>
      </c>
      <c r="E2079" s="4" t="s">
        <v>21</v>
      </c>
      <c r="F2079" s="4">
        <v>10</v>
      </c>
      <c r="G2079" s="4">
        <v>15</v>
      </c>
      <c r="H2079" s="4">
        <v>29</v>
      </c>
    </row>
    <row r="2080" spans="1:8" s="5" customFormat="1" ht="27.75" hidden="1" customHeight="1" outlineLevel="1" x14ac:dyDescent="0.25">
      <c r="A2080" s="43">
        <v>909</v>
      </c>
      <c r="B2080" s="4" t="s">
        <v>117</v>
      </c>
      <c r="C2080" s="38" t="s">
        <v>1609</v>
      </c>
      <c r="D2080" s="4">
        <v>2021</v>
      </c>
      <c r="E2080" s="4" t="s">
        <v>21</v>
      </c>
      <c r="F2080" s="4">
        <v>5</v>
      </c>
      <c r="G2080" s="4">
        <v>15</v>
      </c>
      <c r="H2080" s="4">
        <v>43</v>
      </c>
    </row>
    <row r="2081" spans="1:8" s="5" customFormat="1" ht="27.75" hidden="1" customHeight="1" outlineLevel="1" x14ac:dyDescent="0.25">
      <c r="A2081" s="43">
        <v>3699</v>
      </c>
      <c r="B2081" s="4" t="s">
        <v>117</v>
      </c>
      <c r="C2081" s="38" t="s">
        <v>1610</v>
      </c>
      <c r="D2081" s="4">
        <v>2021</v>
      </c>
      <c r="E2081" s="4" t="s">
        <v>21</v>
      </c>
      <c r="F2081" s="4">
        <v>137</v>
      </c>
      <c r="G2081" s="4">
        <v>15</v>
      </c>
      <c r="H2081" s="4">
        <v>419</v>
      </c>
    </row>
    <row r="2082" spans="1:8" s="5" customFormat="1" ht="27.75" hidden="1" customHeight="1" outlineLevel="1" x14ac:dyDescent="0.25">
      <c r="A2082" s="43">
        <v>920</v>
      </c>
      <c r="B2082" s="4" t="s">
        <v>117</v>
      </c>
      <c r="C2082" s="38" t="s">
        <v>1611</v>
      </c>
      <c r="D2082" s="4">
        <v>2021</v>
      </c>
      <c r="E2082" s="4" t="s">
        <v>21</v>
      </c>
      <c r="F2082" s="4">
        <v>78</v>
      </c>
      <c r="G2082" s="4">
        <v>15</v>
      </c>
      <c r="H2082" s="4">
        <v>180</v>
      </c>
    </row>
    <row r="2083" spans="1:8" s="5" customFormat="1" ht="27.75" hidden="1" customHeight="1" outlineLevel="1" x14ac:dyDescent="0.25">
      <c r="A2083" s="42">
        <v>9426</v>
      </c>
      <c r="B2083" s="4" t="s">
        <v>117</v>
      </c>
      <c r="C2083" s="38" t="s">
        <v>1612</v>
      </c>
      <c r="D2083" s="4">
        <v>2021</v>
      </c>
      <c r="E2083" s="4" t="s">
        <v>21</v>
      </c>
      <c r="F2083" s="4">
        <v>316</v>
      </c>
      <c r="G2083" s="4">
        <v>14</v>
      </c>
      <c r="H2083" s="4">
        <v>559</v>
      </c>
    </row>
    <row r="2084" spans="1:8" s="5" customFormat="1" ht="27.75" hidden="1" customHeight="1" outlineLevel="1" x14ac:dyDescent="0.25">
      <c r="A2084" s="43">
        <v>3750</v>
      </c>
      <c r="B2084" s="4" t="s">
        <v>117</v>
      </c>
      <c r="C2084" s="38" t="s">
        <v>1613</v>
      </c>
      <c r="D2084" s="4">
        <v>2021</v>
      </c>
      <c r="E2084" s="4" t="s">
        <v>21</v>
      </c>
      <c r="F2084" s="4">
        <v>15</v>
      </c>
      <c r="G2084" s="4">
        <v>15</v>
      </c>
      <c r="H2084" s="4">
        <v>38</v>
      </c>
    </row>
    <row r="2085" spans="1:8" s="5" customFormat="1" ht="27.75" hidden="1" customHeight="1" outlineLevel="1" x14ac:dyDescent="0.25">
      <c r="A2085" s="42">
        <v>9590</v>
      </c>
      <c r="B2085" s="4" t="s">
        <v>117</v>
      </c>
      <c r="C2085" s="38" t="s">
        <v>1614</v>
      </c>
      <c r="D2085" s="4">
        <v>2021</v>
      </c>
      <c r="E2085" s="4" t="s">
        <v>21</v>
      </c>
      <c r="F2085" s="4">
        <v>32</v>
      </c>
      <c r="G2085" s="4">
        <v>15</v>
      </c>
      <c r="H2085" s="4">
        <v>96</v>
      </c>
    </row>
    <row r="2086" spans="1:8" s="5" customFormat="1" ht="27.75" hidden="1" customHeight="1" outlineLevel="1" x14ac:dyDescent="0.25">
      <c r="A2086" s="42">
        <v>9644</v>
      </c>
      <c r="B2086" s="4" t="s">
        <v>117</v>
      </c>
      <c r="C2086" s="38" t="s">
        <v>1615</v>
      </c>
      <c r="D2086" s="4">
        <v>2021</v>
      </c>
      <c r="E2086" s="4" t="s">
        <v>21</v>
      </c>
      <c r="F2086" s="4">
        <v>29</v>
      </c>
      <c r="G2086" s="4">
        <v>100</v>
      </c>
      <c r="H2086" s="4">
        <v>53</v>
      </c>
    </row>
    <row r="2087" spans="1:8" s="5" customFormat="1" ht="27.75" hidden="1" customHeight="1" outlineLevel="1" x14ac:dyDescent="0.25">
      <c r="A2087" s="42">
        <v>9425</v>
      </c>
      <c r="B2087" s="4" t="s">
        <v>117</v>
      </c>
      <c r="C2087" s="38" t="s">
        <v>1616</v>
      </c>
      <c r="D2087" s="4">
        <v>2021</v>
      </c>
      <c r="E2087" s="4" t="s">
        <v>21</v>
      </c>
      <c r="F2087" s="4">
        <v>60</v>
      </c>
      <c r="G2087" s="4">
        <v>30</v>
      </c>
      <c r="H2087" s="4">
        <v>80</v>
      </c>
    </row>
    <row r="2088" spans="1:8" s="5" customFormat="1" ht="27.75" hidden="1" customHeight="1" outlineLevel="1" x14ac:dyDescent="0.25">
      <c r="A2088" s="42">
        <v>9642</v>
      </c>
      <c r="B2088" s="4" t="s">
        <v>117</v>
      </c>
      <c r="C2088" s="22" t="s">
        <v>1828</v>
      </c>
      <c r="D2088" s="4">
        <v>2021</v>
      </c>
      <c r="E2088" s="4" t="s">
        <v>21</v>
      </c>
      <c r="F2088" s="4">
        <v>20</v>
      </c>
      <c r="G2088" s="4">
        <v>100</v>
      </c>
      <c r="H2088" s="4">
        <v>44</v>
      </c>
    </row>
    <row r="2089" spans="1:8" s="5" customFormat="1" ht="27.75" hidden="1" customHeight="1" outlineLevel="1" x14ac:dyDescent="0.25">
      <c r="A2089" s="42">
        <v>9596</v>
      </c>
      <c r="B2089" s="4" t="s">
        <v>117</v>
      </c>
      <c r="C2089" s="38" t="s">
        <v>1617</v>
      </c>
      <c r="D2089" s="4">
        <v>2021</v>
      </c>
      <c r="E2089" s="4" t="s">
        <v>21</v>
      </c>
      <c r="F2089" s="4">
        <v>10</v>
      </c>
      <c r="G2089" s="4">
        <v>60</v>
      </c>
      <c r="H2089" s="4">
        <v>52</v>
      </c>
    </row>
    <row r="2090" spans="1:8" s="5" customFormat="1" ht="27.75" hidden="1" customHeight="1" outlineLevel="1" x14ac:dyDescent="0.25">
      <c r="A2090" s="42">
        <v>9092</v>
      </c>
      <c r="B2090" s="4" t="s">
        <v>117</v>
      </c>
      <c r="C2090" s="38" t="s">
        <v>1618</v>
      </c>
      <c r="D2090" s="4">
        <v>2021</v>
      </c>
      <c r="E2090" s="4" t="s">
        <v>21</v>
      </c>
      <c r="F2090" s="4">
        <v>385</v>
      </c>
      <c r="G2090" s="4">
        <v>14</v>
      </c>
      <c r="H2090" s="4">
        <v>275</v>
      </c>
    </row>
    <row r="2091" spans="1:8" s="5" customFormat="1" ht="27.75" hidden="1" customHeight="1" outlineLevel="1" x14ac:dyDescent="0.25">
      <c r="A2091" s="43">
        <v>1132</v>
      </c>
      <c r="B2091" s="4" t="s">
        <v>117</v>
      </c>
      <c r="C2091" s="38" t="s">
        <v>1619</v>
      </c>
      <c r="D2091" s="4">
        <v>2021</v>
      </c>
      <c r="E2091" s="4" t="s">
        <v>21</v>
      </c>
      <c r="F2091" s="4">
        <v>30</v>
      </c>
      <c r="G2091" s="4">
        <v>145</v>
      </c>
      <c r="H2091" s="4">
        <v>45</v>
      </c>
    </row>
    <row r="2092" spans="1:8" s="5" customFormat="1" ht="27.75" hidden="1" customHeight="1" outlineLevel="1" x14ac:dyDescent="0.25">
      <c r="A2092" s="42">
        <v>9380</v>
      </c>
      <c r="B2092" s="4" t="s">
        <v>117</v>
      </c>
      <c r="C2092" s="38" t="s">
        <v>1620</v>
      </c>
      <c r="D2092" s="4">
        <v>2021</v>
      </c>
      <c r="E2092" s="4" t="s">
        <v>21</v>
      </c>
      <c r="F2092" s="4">
        <v>60</v>
      </c>
      <c r="G2092" s="4">
        <v>15</v>
      </c>
      <c r="H2092" s="4">
        <v>55</v>
      </c>
    </row>
    <row r="2093" spans="1:8" s="5" customFormat="1" ht="27.75" hidden="1" customHeight="1" outlineLevel="1" x14ac:dyDescent="0.25">
      <c r="A2093" s="42">
        <v>9085</v>
      </c>
      <c r="B2093" s="4" t="s">
        <v>117</v>
      </c>
      <c r="C2093" s="38" t="s">
        <v>1621</v>
      </c>
      <c r="D2093" s="4">
        <v>2021</v>
      </c>
      <c r="E2093" s="4" t="s">
        <v>21</v>
      </c>
      <c r="F2093" s="4">
        <v>130</v>
      </c>
      <c r="G2093" s="4">
        <v>15</v>
      </c>
      <c r="H2093" s="4">
        <v>105</v>
      </c>
    </row>
    <row r="2094" spans="1:8" s="5" customFormat="1" ht="27.75" hidden="1" customHeight="1" outlineLevel="1" x14ac:dyDescent="0.25">
      <c r="A2094" s="42">
        <v>9673</v>
      </c>
      <c r="B2094" s="4" t="s">
        <v>117</v>
      </c>
      <c r="C2094" s="38" t="s">
        <v>1622</v>
      </c>
      <c r="D2094" s="4">
        <v>2021</v>
      </c>
      <c r="E2094" s="4" t="s">
        <v>21</v>
      </c>
      <c r="F2094" s="4">
        <v>10</v>
      </c>
      <c r="G2094" s="4">
        <v>50</v>
      </c>
      <c r="H2094" s="4">
        <v>37</v>
      </c>
    </row>
    <row r="2095" spans="1:8" s="5" customFormat="1" ht="27.75" hidden="1" customHeight="1" outlineLevel="1" x14ac:dyDescent="0.25">
      <c r="A2095" s="42">
        <v>9578</v>
      </c>
      <c r="B2095" s="4" t="s">
        <v>117</v>
      </c>
      <c r="C2095" s="38" t="s">
        <v>1623</v>
      </c>
      <c r="D2095" s="4">
        <v>2021</v>
      </c>
      <c r="E2095" s="4" t="s">
        <v>21</v>
      </c>
      <c r="F2095" s="4">
        <v>350</v>
      </c>
      <c r="G2095" s="4">
        <v>15</v>
      </c>
      <c r="H2095" s="4">
        <v>114</v>
      </c>
    </row>
    <row r="2096" spans="1:8" s="5" customFormat="1" ht="27.75" hidden="1" customHeight="1" outlineLevel="1" x14ac:dyDescent="0.25">
      <c r="A2096" s="43">
        <v>373</v>
      </c>
      <c r="B2096" s="4" t="s">
        <v>117</v>
      </c>
      <c r="C2096" s="38" t="s">
        <v>1624</v>
      </c>
      <c r="D2096" s="4">
        <v>2021</v>
      </c>
      <c r="E2096" s="4" t="s">
        <v>21</v>
      </c>
      <c r="F2096" s="4">
        <v>25</v>
      </c>
      <c r="G2096" s="4">
        <v>15</v>
      </c>
      <c r="H2096" s="4">
        <v>21</v>
      </c>
    </row>
    <row r="2097" spans="1:8" s="5" customFormat="1" ht="27.75" hidden="1" customHeight="1" outlineLevel="1" x14ac:dyDescent="0.25">
      <c r="A2097" s="42">
        <v>9576</v>
      </c>
      <c r="B2097" s="4" t="s">
        <v>117</v>
      </c>
      <c r="C2097" s="38" t="s">
        <v>1625</v>
      </c>
      <c r="D2097" s="4">
        <v>2021</v>
      </c>
      <c r="E2097" s="4" t="s">
        <v>21</v>
      </c>
      <c r="F2097" s="4">
        <v>879</v>
      </c>
      <c r="G2097" s="4">
        <v>390</v>
      </c>
      <c r="H2097" s="4">
        <v>1286</v>
      </c>
    </row>
    <row r="2098" spans="1:8" s="5" customFormat="1" ht="27.75" hidden="1" customHeight="1" outlineLevel="1" x14ac:dyDescent="0.25">
      <c r="A2098" s="43">
        <v>374</v>
      </c>
      <c r="B2098" s="4" t="s">
        <v>117</v>
      </c>
      <c r="C2098" s="38" t="s">
        <v>1626</v>
      </c>
      <c r="D2098" s="4">
        <v>2021</v>
      </c>
      <c r="E2098" s="4" t="s">
        <v>21</v>
      </c>
      <c r="F2098" s="4">
        <v>55</v>
      </c>
      <c r="G2098" s="4">
        <v>15</v>
      </c>
      <c r="H2098" s="4">
        <v>105</v>
      </c>
    </row>
    <row r="2099" spans="1:8" s="5" customFormat="1" ht="27.75" hidden="1" customHeight="1" outlineLevel="1" x14ac:dyDescent="0.25">
      <c r="A2099" s="42">
        <v>9278</v>
      </c>
      <c r="B2099" s="4" t="s">
        <v>117</v>
      </c>
      <c r="C2099" s="38" t="s">
        <v>1627</v>
      </c>
      <c r="D2099" s="4">
        <v>2021</v>
      </c>
      <c r="E2099" s="4" t="s">
        <v>21</v>
      </c>
      <c r="F2099" s="4">
        <v>80</v>
      </c>
      <c r="G2099" s="4">
        <v>15</v>
      </c>
      <c r="H2099" s="4">
        <v>34</v>
      </c>
    </row>
    <row r="2100" spans="1:8" s="5" customFormat="1" ht="27.75" hidden="1" customHeight="1" outlineLevel="1" x14ac:dyDescent="0.25">
      <c r="A2100" s="42">
        <v>9657</v>
      </c>
      <c r="B2100" s="4" t="s">
        <v>117</v>
      </c>
      <c r="C2100" s="38" t="s">
        <v>1628</v>
      </c>
      <c r="D2100" s="4">
        <v>2021</v>
      </c>
      <c r="E2100" s="4" t="s">
        <v>21</v>
      </c>
      <c r="F2100" s="4">
        <v>20</v>
      </c>
      <c r="G2100" s="4">
        <v>15</v>
      </c>
      <c r="H2100" s="4">
        <v>64</v>
      </c>
    </row>
    <row r="2101" spans="1:8" s="5" customFormat="1" ht="27.75" hidden="1" customHeight="1" outlineLevel="1" x14ac:dyDescent="0.25">
      <c r="A2101" s="42">
        <v>9381</v>
      </c>
      <c r="B2101" s="4" t="s">
        <v>117</v>
      </c>
      <c r="C2101" s="38" t="s">
        <v>1629</v>
      </c>
      <c r="D2101" s="4">
        <v>2021</v>
      </c>
      <c r="E2101" s="4" t="s">
        <v>21</v>
      </c>
      <c r="F2101" s="4">
        <v>20</v>
      </c>
      <c r="G2101" s="4">
        <v>8</v>
      </c>
      <c r="H2101" s="4">
        <v>34</v>
      </c>
    </row>
    <row r="2102" spans="1:8" s="5" customFormat="1" ht="27.75" hidden="1" customHeight="1" outlineLevel="1" x14ac:dyDescent="0.25">
      <c r="A2102" s="42">
        <v>9594</v>
      </c>
      <c r="B2102" s="4" t="s">
        <v>117</v>
      </c>
      <c r="C2102" s="38" t="s">
        <v>1630</v>
      </c>
      <c r="D2102" s="4">
        <v>2021</v>
      </c>
      <c r="E2102" s="4" t="s">
        <v>21</v>
      </c>
      <c r="F2102" s="4">
        <v>30</v>
      </c>
      <c r="G2102" s="4">
        <v>15</v>
      </c>
      <c r="H2102" s="4">
        <v>46</v>
      </c>
    </row>
    <row r="2103" spans="1:8" s="5" customFormat="1" ht="27.75" hidden="1" customHeight="1" outlineLevel="1" x14ac:dyDescent="0.25">
      <c r="A2103" s="42">
        <v>9592</v>
      </c>
      <c r="B2103" s="4" t="s">
        <v>117</v>
      </c>
      <c r="C2103" s="38" t="s">
        <v>1631</v>
      </c>
      <c r="D2103" s="4">
        <v>2021</v>
      </c>
      <c r="E2103" s="4" t="s">
        <v>21</v>
      </c>
      <c r="F2103" s="4">
        <v>362</v>
      </c>
      <c r="G2103" s="4">
        <v>90</v>
      </c>
      <c r="H2103" s="4">
        <v>478</v>
      </c>
    </row>
    <row r="2104" spans="1:8" s="5" customFormat="1" ht="27.75" hidden="1" customHeight="1" outlineLevel="1" x14ac:dyDescent="0.25">
      <c r="A2104" s="42">
        <v>9303</v>
      </c>
      <c r="B2104" s="4" t="s">
        <v>117</v>
      </c>
      <c r="C2104" s="38" t="s">
        <v>1632</v>
      </c>
      <c r="D2104" s="4">
        <v>2021</v>
      </c>
      <c r="E2104" s="4" t="s">
        <v>21</v>
      </c>
      <c r="F2104" s="4">
        <v>90</v>
      </c>
      <c r="G2104" s="4">
        <v>15</v>
      </c>
      <c r="H2104" s="4">
        <v>99</v>
      </c>
    </row>
    <row r="2105" spans="1:8" s="5" customFormat="1" ht="27.75" hidden="1" customHeight="1" outlineLevel="1" x14ac:dyDescent="0.25">
      <c r="A2105" s="42">
        <v>9608</v>
      </c>
      <c r="B2105" s="4" t="s">
        <v>117</v>
      </c>
      <c r="C2105" s="38" t="s">
        <v>1633</v>
      </c>
      <c r="D2105" s="4">
        <v>2021</v>
      </c>
      <c r="E2105" s="4" t="s">
        <v>21</v>
      </c>
      <c r="F2105" s="4">
        <v>23</v>
      </c>
      <c r="G2105" s="4">
        <v>15</v>
      </c>
      <c r="H2105" s="4">
        <v>73</v>
      </c>
    </row>
    <row r="2106" spans="1:8" s="5" customFormat="1" ht="27.75" hidden="1" customHeight="1" outlineLevel="1" x14ac:dyDescent="0.25">
      <c r="A2106" s="42">
        <v>9305</v>
      </c>
      <c r="B2106" s="4" t="s">
        <v>117</v>
      </c>
      <c r="C2106" s="38" t="s">
        <v>1634</v>
      </c>
      <c r="D2106" s="4">
        <v>2021</v>
      </c>
      <c r="E2106" s="4" t="s">
        <v>21</v>
      </c>
      <c r="F2106" s="4">
        <v>116</v>
      </c>
      <c r="G2106" s="4">
        <v>15</v>
      </c>
      <c r="H2106" s="4">
        <v>109</v>
      </c>
    </row>
    <row r="2107" spans="1:8" s="5" customFormat="1" ht="27.75" hidden="1" customHeight="1" outlineLevel="1" x14ac:dyDescent="0.25">
      <c r="A2107" s="42">
        <v>9083</v>
      </c>
      <c r="B2107" s="4" t="s">
        <v>117</v>
      </c>
      <c r="C2107" s="38" t="s">
        <v>1635</v>
      </c>
      <c r="D2107" s="4">
        <v>2021</v>
      </c>
      <c r="E2107" s="4" t="s">
        <v>21</v>
      </c>
      <c r="F2107" s="4">
        <v>40</v>
      </c>
      <c r="G2107" s="4">
        <v>5</v>
      </c>
      <c r="H2107" s="4">
        <v>51</v>
      </c>
    </row>
    <row r="2108" spans="1:8" s="5" customFormat="1" ht="27.75" hidden="1" customHeight="1" outlineLevel="1" x14ac:dyDescent="0.25">
      <c r="A2108" s="42">
        <v>9307</v>
      </c>
      <c r="B2108" s="4" t="s">
        <v>117</v>
      </c>
      <c r="C2108" s="38" t="s">
        <v>1636</v>
      </c>
      <c r="D2108" s="4">
        <v>2021</v>
      </c>
      <c r="E2108" s="4" t="s">
        <v>21</v>
      </c>
      <c r="F2108" s="4">
        <v>54</v>
      </c>
      <c r="G2108" s="4">
        <v>7</v>
      </c>
      <c r="H2108" s="4">
        <v>55</v>
      </c>
    </row>
    <row r="2109" spans="1:8" s="5" customFormat="1" ht="27.75" hidden="1" customHeight="1" outlineLevel="1" x14ac:dyDescent="0.25">
      <c r="A2109" s="42">
        <v>9584</v>
      </c>
      <c r="B2109" s="4" t="s">
        <v>117</v>
      </c>
      <c r="C2109" s="38" t="s">
        <v>1637</v>
      </c>
      <c r="D2109" s="4">
        <v>2021</v>
      </c>
      <c r="E2109" s="4" t="s">
        <v>21</v>
      </c>
      <c r="F2109" s="4">
        <v>50</v>
      </c>
      <c r="G2109" s="4">
        <v>14</v>
      </c>
      <c r="H2109" s="4">
        <v>43</v>
      </c>
    </row>
    <row r="2110" spans="1:8" s="5" customFormat="1" ht="27.75" hidden="1" customHeight="1" outlineLevel="1" x14ac:dyDescent="0.25">
      <c r="A2110" s="42">
        <v>9329</v>
      </c>
      <c r="B2110" s="4" t="s">
        <v>117</v>
      </c>
      <c r="C2110" s="38" t="s">
        <v>1638</v>
      </c>
      <c r="D2110" s="4">
        <v>2021</v>
      </c>
      <c r="E2110" s="4" t="s">
        <v>21</v>
      </c>
      <c r="F2110" s="4">
        <v>130</v>
      </c>
      <c r="G2110" s="4">
        <v>15</v>
      </c>
      <c r="H2110" s="4">
        <v>74</v>
      </c>
    </row>
    <row r="2111" spans="1:8" s="5" customFormat="1" ht="27.75" hidden="1" customHeight="1" outlineLevel="1" x14ac:dyDescent="0.25">
      <c r="A2111" s="42">
        <v>9084</v>
      </c>
      <c r="B2111" s="4" t="s">
        <v>117</v>
      </c>
      <c r="C2111" s="38" t="s">
        <v>1639</v>
      </c>
      <c r="D2111" s="4">
        <v>2021</v>
      </c>
      <c r="E2111" s="4" t="s">
        <v>21</v>
      </c>
      <c r="F2111" s="4">
        <v>85</v>
      </c>
      <c r="G2111" s="4">
        <v>14</v>
      </c>
      <c r="H2111" s="4">
        <v>84</v>
      </c>
    </row>
    <row r="2112" spans="1:8" s="5" customFormat="1" ht="27.75" hidden="1" customHeight="1" outlineLevel="1" x14ac:dyDescent="0.25">
      <c r="A2112" s="42">
        <v>9582</v>
      </c>
      <c r="B2112" s="4" t="s">
        <v>117</v>
      </c>
      <c r="C2112" s="38" t="s">
        <v>1640</v>
      </c>
      <c r="D2112" s="4">
        <v>2021</v>
      </c>
      <c r="E2112" s="4" t="s">
        <v>21</v>
      </c>
      <c r="F2112" s="4">
        <v>21</v>
      </c>
      <c r="G2112" s="4">
        <v>14</v>
      </c>
      <c r="H2112" s="4">
        <v>37</v>
      </c>
    </row>
    <row r="2113" spans="1:8" s="5" customFormat="1" ht="27.75" hidden="1" customHeight="1" outlineLevel="1" x14ac:dyDescent="0.25">
      <c r="A2113" s="42">
        <v>9593</v>
      </c>
      <c r="B2113" s="4" t="s">
        <v>117</v>
      </c>
      <c r="C2113" s="38" t="s">
        <v>1641</v>
      </c>
      <c r="D2113" s="4">
        <v>2021</v>
      </c>
      <c r="E2113" s="4" t="s">
        <v>21</v>
      </c>
      <c r="F2113" s="4">
        <v>30</v>
      </c>
      <c r="G2113" s="4">
        <v>15</v>
      </c>
      <c r="H2113" s="4">
        <v>34</v>
      </c>
    </row>
    <row r="2114" spans="1:8" s="5" customFormat="1" ht="27.75" hidden="1" customHeight="1" outlineLevel="1" x14ac:dyDescent="0.25">
      <c r="A2114" s="42">
        <v>9587</v>
      </c>
      <c r="B2114" s="4" t="s">
        <v>117</v>
      </c>
      <c r="C2114" s="38" t="s">
        <v>1642</v>
      </c>
      <c r="D2114" s="4">
        <v>2021</v>
      </c>
      <c r="E2114" s="4" t="s">
        <v>21</v>
      </c>
      <c r="F2114" s="4">
        <v>4</v>
      </c>
      <c r="G2114" s="4">
        <v>1</v>
      </c>
      <c r="H2114" s="4">
        <v>71</v>
      </c>
    </row>
    <row r="2115" spans="1:8" s="5" customFormat="1" ht="27.75" hidden="1" customHeight="1" outlineLevel="1" x14ac:dyDescent="0.25">
      <c r="A2115" s="42">
        <v>9288</v>
      </c>
      <c r="B2115" s="4" t="s">
        <v>117</v>
      </c>
      <c r="C2115" s="38" t="s">
        <v>1643</v>
      </c>
      <c r="D2115" s="4">
        <v>2021</v>
      </c>
      <c r="E2115" s="4" t="s">
        <v>21</v>
      </c>
      <c r="F2115" s="4">
        <v>225</v>
      </c>
      <c r="G2115" s="4">
        <v>10</v>
      </c>
      <c r="H2115" s="4">
        <v>306</v>
      </c>
    </row>
    <row r="2116" spans="1:8" s="5" customFormat="1" ht="27.75" hidden="1" customHeight="1" outlineLevel="1" x14ac:dyDescent="0.25">
      <c r="A2116" s="42">
        <v>9655</v>
      </c>
      <c r="B2116" s="4" t="s">
        <v>117</v>
      </c>
      <c r="C2116" s="38" t="s">
        <v>1644</v>
      </c>
      <c r="D2116" s="4">
        <v>2021</v>
      </c>
      <c r="E2116" s="4" t="s">
        <v>21</v>
      </c>
      <c r="F2116" s="4">
        <v>225</v>
      </c>
      <c r="G2116" s="4">
        <v>100</v>
      </c>
      <c r="H2116" s="4">
        <v>198</v>
      </c>
    </row>
    <row r="2117" spans="1:8" s="5" customFormat="1" ht="27.75" hidden="1" customHeight="1" outlineLevel="1" x14ac:dyDescent="0.25">
      <c r="A2117" s="42">
        <v>9597</v>
      </c>
      <c r="B2117" s="4" t="s">
        <v>117</v>
      </c>
      <c r="C2117" s="38" t="s">
        <v>1645</v>
      </c>
      <c r="D2117" s="4">
        <v>2021</v>
      </c>
      <c r="E2117" s="4" t="s">
        <v>21</v>
      </c>
      <c r="F2117" s="4">
        <v>30</v>
      </c>
      <c r="G2117" s="4">
        <v>150</v>
      </c>
      <c r="H2117" s="4">
        <v>37</v>
      </c>
    </row>
    <row r="2118" spans="1:8" s="5" customFormat="1" ht="27.75" hidden="1" customHeight="1" outlineLevel="1" x14ac:dyDescent="0.25">
      <c r="A2118" s="43">
        <v>1130</v>
      </c>
      <c r="B2118" s="4" t="s">
        <v>117</v>
      </c>
      <c r="C2118" s="38" t="s">
        <v>1646</v>
      </c>
      <c r="D2118" s="4">
        <v>2021</v>
      </c>
      <c r="E2118" s="4" t="s">
        <v>21</v>
      </c>
      <c r="F2118" s="4">
        <v>45</v>
      </c>
      <c r="G2118" s="4">
        <v>110</v>
      </c>
      <c r="H2118" s="4">
        <v>42</v>
      </c>
    </row>
    <row r="2119" spans="1:8" s="5" customFormat="1" ht="27.75" hidden="1" customHeight="1" outlineLevel="1" x14ac:dyDescent="0.25">
      <c r="A2119" s="42">
        <v>9606</v>
      </c>
      <c r="B2119" s="4" t="s">
        <v>117</v>
      </c>
      <c r="C2119" s="38" t="s">
        <v>1647</v>
      </c>
      <c r="D2119" s="4">
        <v>2021</v>
      </c>
      <c r="E2119" s="4" t="s">
        <v>21</v>
      </c>
      <c r="F2119" s="4">
        <v>5</v>
      </c>
      <c r="G2119" s="4">
        <v>15</v>
      </c>
      <c r="H2119" s="4">
        <v>35</v>
      </c>
    </row>
    <row r="2120" spans="1:8" s="5" customFormat="1" ht="27.75" hidden="1" customHeight="1" outlineLevel="1" x14ac:dyDescent="0.25">
      <c r="A2120" s="42">
        <v>9586</v>
      </c>
      <c r="B2120" s="4" t="s">
        <v>117</v>
      </c>
      <c r="C2120" s="38" t="s">
        <v>1648</v>
      </c>
      <c r="D2120" s="4">
        <v>2021</v>
      </c>
      <c r="E2120" s="4" t="s">
        <v>21</v>
      </c>
      <c r="F2120" s="4">
        <v>252</v>
      </c>
      <c r="G2120" s="4">
        <v>45</v>
      </c>
      <c r="H2120" s="4">
        <v>203</v>
      </c>
    </row>
    <row r="2121" spans="1:8" s="5" customFormat="1" ht="27.75" hidden="1" customHeight="1" outlineLevel="1" x14ac:dyDescent="0.25">
      <c r="A2121" s="42">
        <v>9667</v>
      </c>
      <c r="B2121" s="4" t="s">
        <v>117</v>
      </c>
      <c r="C2121" s="38" t="s">
        <v>1649</v>
      </c>
      <c r="D2121" s="4">
        <v>2021</v>
      </c>
      <c r="E2121" s="4" t="s">
        <v>21</v>
      </c>
      <c r="F2121" s="4">
        <v>15</v>
      </c>
      <c r="G2121" s="4">
        <v>70</v>
      </c>
      <c r="H2121" s="4">
        <v>76</v>
      </c>
    </row>
    <row r="2122" spans="1:8" s="5" customFormat="1" ht="27.75" hidden="1" customHeight="1" outlineLevel="1" x14ac:dyDescent="0.25">
      <c r="A2122" s="43">
        <v>1147</v>
      </c>
      <c r="B2122" s="4" t="s">
        <v>117</v>
      </c>
      <c r="C2122" s="38" t="s">
        <v>1650</v>
      </c>
      <c r="D2122" s="4">
        <v>2021</v>
      </c>
      <c r="E2122" s="4" t="s">
        <v>21</v>
      </c>
      <c r="F2122" s="4">
        <v>15</v>
      </c>
      <c r="G2122" s="4">
        <v>104</v>
      </c>
      <c r="H2122" s="4">
        <v>41</v>
      </c>
    </row>
    <row r="2123" spans="1:8" s="5" customFormat="1" ht="27.75" hidden="1" customHeight="1" outlineLevel="1" x14ac:dyDescent="0.25">
      <c r="A2123" s="42">
        <v>9651</v>
      </c>
      <c r="B2123" s="4" t="s">
        <v>117</v>
      </c>
      <c r="C2123" s="38" t="s">
        <v>1651</v>
      </c>
      <c r="D2123" s="4">
        <v>2021</v>
      </c>
      <c r="E2123" s="4" t="s">
        <v>21</v>
      </c>
      <c r="F2123" s="4">
        <v>10</v>
      </c>
      <c r="G2123" s="4">
        <v>5</v>
      </c>
      <c r="H2123" s="4">
        <v>33</v>
      </c>
    </row>
    <row r="2124" spans="1:8" s="5" customFormat="1" ht="27.75" hidden="1" customHeight="1" outlineLevel="1" x14ac:dyDescent="0.25">
      <c r="A2124" s="42">
        <v>9375</v>
      </c>
      <c r="B2124" s="4" t="s">
        <v>117</v>
      </c>
      <c r="C2124" s="38" t="s">
        <v>1652</v>
      </c>
      <c r="D2124" s="4">
        <v>2021</v>
      </c>
      <c r="E2124" s="4" t="s">
        <v>21</v>
      </c>
      <c r="F2124" s="4">
        <v>25</v>
      </c>
      <c r="G2124" s="4">
        <v>5</v>
      </c>
      <c r="H2124" s="4">
        <v>30</v>
      </c>
    </row>
    <row r="2125" spans="1:8" s="5" customFormat="1" ht="27.75" hidden="1" customHeight="1" outlineLevel="1" x14ac:dyDescent="0.25">
      <c r="A2125" s="42">
        <v>9428</v>
      </c>
      <c r="B2125" s="4" t="s">
        <v>117</v>
      </c>
      <c r="C2125" s="38" t="s">
        <v>1653</v>
      </c>
      <c r="D2125" s="4">
        <v>2021</v>
      </c>
      <c r="E2125" s="4" t="s">
        <v>21</v>
      </c>
      <c r="F2125" s="4">
        <v>155</v>
      </c>
      <c r="G2125" s="4">
        <v>150</v>
      </c>
      <c r="H2125" s="4">
        <v>148</v>
      </c>
    </row>
    <row r="2126" spans="1:8" s="5" customFormat="1" ht="27.75" hidden="1" customHeight="1" outlineLevel="1" x14ac:dyDescent="0.25">
      <c r="A2126" s="43">
        <v>3883</v>
      </c>
      <c r="B2126" s="4" t="s">
        <v>117</v>
      </c>
      <c r="C2126" s="38" t="s">
        <v>1654</v>
      </c>
      <c r="D2126" s="4">
        <v>2021</v>
      </c>
      <c r="E2126" s="4" t="s">
        <v>21</v>
      </c>
      <c r="F2126" s="4">
        <v>33</v>
      </c>
      <c r="G2126" s="4">
        <v>15</v>
      </c>
      <c r="H2126" s="4">
        <v>124.5214</v>
      </c>
    </row>
    <row r="2127" spans="1:8" s="5" customFormat="1" ht="27.75" hidden="1" customHeight="1" outlineLevel="1" x14ac:dyDescent="0.25">
      <c r="A2127" s="42">
        <v>9714</v>
      </c>
      <c r="B2127" s="4" t="s">
        <v>117</v>
      </c>
      <c r="C2127" s="38" t="s">
        <v>1655</v>
      </c>
      <c r="D2127" s="4">
        <v>2021</v>
      </c>
      <c r="E2127" s="4" t="s">
        <v>21</v>
      </c>
      <c r="F2127" s="4">
        <v>6</v>
      </c>
      <c r="G2127" s="4">
        <v>15</v>
      </c>
      <c r="H2127" s="4">
        <v>141.51003</v>
      </c>
    </row>
    <row r="2128" spans="1:8" s="5" customFormat="1" ht="27.75" hidden="1" customHeight="1" outlineLevel="1" x14ac:dyDescent="0.25">
      <c r="A2128" s="42">
        <v>9863</v>
      </c>
      <c r="B2128" s="4" t="s">
        <v>117</v>
      </c>
      <c r="C2128" s="38" t="s">
        <v>1656</v>
      </c>
      <c r="D2128" s="4">
        <v>2021</v>
      </c>
      <c r="E2128" s="4" t="s">
        <v>21</v>
      </c>
      <c r="F2128" s="4">
        <v>60</v>
      </c>
      <c r="G2128" s="4">
        <v>15</v>
      </c>
      <c r="H2128" s="4">
        <v>163.07760999999999</v>
      </c>
    </row>
    <row r="2129" spans="1:8" s="5" customFormat="1" ht="27.75" hidden="1" customHeight="1" outlineLevel="1" x14ac:dyDescent="0.25">
      <c r="A2129" s="42">
        <v>9811</v>
      </c>
      <c r="B2129" s="4" t="s">
        <v>117</v>
      </c>
      <c r="C2129" s="38" t="s">
        <v>1657</v>
      </c>
      <c r="D2129" s="4">
        <v>2021</v>
      </c>
      <c r="E2129" s="4" t="s">
        <v>21</v>
      </c>
      <c r="F2129" s="4">
        <v>80</v>
      </c>
      <c r="G2129" s="4">
        <v>15</v>
      </c>
      <c r="H2129" s="4">
        <v>155.86415</v>
      </c>
    </row>
    <row r="2130" spans="1:8" s="5" customFormat="1" ht="27.75" hidden="1" customHeight="1" outlineLevel="1" x14ac:dyDescent="0.25">
      <c r="A2130" s="42">
        <v>9829</v>
      </c>
      <c r="B2130" s="4" t="s">
        <v>117</v>
      </c>
      <c r="C2130" s="38" t="s">
        <v>1658</v>
      </c>
      <c r="D2130" s="4">
        <v>2021</v>
      </c>
      <c r="E2130" s="4" t="s">
        <v>21</v>
      </c>
      <c r="F2130" s="4">
        <v>100</v>
      </c>
      <c r="G2130" s="4">
        <v>8</v>
      </c>
      <c r="H2130" s="4">
        <v>103.056</v>
      </c>
    </row>
    <row r="2131" spans="1:8" s="5" customFormat="1" ht="27.75" hidden="1" customHeight="1" outlineLevel="1" x14ac:dyDescent="0.25">
      <c r="A2131" s="42">
        <v>9845</v>
      </c>
      <c r="B2131" s="4" t="s">
        <v>117</v>
      </c>
      <c r="C2131" s="38" t="s">
        <v>1659</v>
      </c>
      <c r="D2131" s="4">
        <v>2021</v>
      </c>
      <c r="E2131" s="4" t="s">
        <v>21</v>
      </c>
      <c r="F2131" s="4">
        <v>60</v>
      </c>
      <c r="G2131" s="4">
        <v>15</v>
      </c>
      <c r="H2131" s="4">
        <v>115.29628</v>
      </c>
    </row>
    <row r="2132" spans="1:8" s="5" customFormat="1" ht="27.75" hidden="1" customHeight="1" outlineLevel="1" x14ac:dyDescent="0.25">
      <c r="A2132" s="42">
        <v>9805</v>
      </c>
      <c r="B2132" s="4" t="s">
        <v>117</v>
      </c>
      <c r="C2132" s="38" t="s">
        <v>1660</v>
      </c>
      <c r="D2132" s="4">
        <v>2021</v>
      </c>
      <c r="E2132" s="4" t="s">
        <v>21</v>
      </c>
      <c r="F2132" s="4">
        <v>80</v>
      </c>
      <c r="G2132" s="4">
        <v>15</v>
      </c>
      <c r="H2132" s="4">
        <v>119.78367</v>
      </c>
    </row>
    <row r="2133" spans="1:8" s="5" customFormat="1" ht="27.75" hidden="1" customHeight="1" outlineLevel="1" x14ac:dyDescent="0.25">
      <c r="A2133" s="42">
        <v>9848</v>
      </c>
      <c r="B2133" s="4" t="s">
        <v>117</v>
      </c>
      <c r="C2133" s="38" t="s">
        <v>1661</v>
      </c>
      <c r="D2133" s="4">
        <v>2021</v>
      </c>
      <c r="E2133" s="4" t="s">
        <v>21</v>
      </c>
      <c r="F2133" s="4">
        <v>60</v>
      </c>
      <c r="G2133" s="4">
        <v>15</v>
      </c>
      <c r="H2133" s="4">
        <v>109.9451</v>
      </c>
    </row>
    <row r="2134" spans="1:8" s="5" customFormat="1" ht="27.75" hidden="1" customHeight="1" outlineLevel="1" x14ac:dyDescent="0.25">
      <c r="A2134" s="42">
        <v>9821</v>
      </c>
      <c r="B2134" s="4" t="s">
        <v>117</v>
      </c>
      <c r="C2134" s="38" t="s">
        <v>1662</v>
      </c>
      <c r="D2134" s="4">
        <v>2021</v>
      </c>
      <c r="E2134" s="4" t="s">
        <v>21</v>
      </c>
      <c r="F2134" s="4">
        <v>180</v>
      </c>
      <c r="G2134" s="4">
        <v>22</v>
      </c>
      <c r="H2134" s="4">
        <v>167.40890999999999</v>
      </c>
    </row>
    <row r="2135" spans="1:8" s="5" customFormat="1" ht="27.75" hidden="1" customHeight="1" outlineLevel="1" x14ac:dyDescent="0.25">
      <c r="A2135" s="43">
        <v>1360</v>
      </c>
      <c r="B2135" s="4" t="s">
        <v>117</v>
      </c>
      <c r="C2135" s="38" t="s">
        <v>1663</v>
      </c>
      <c r="D2135" s="4">
        <v>2021</v>
      </c>
      <c r="E2135" s="4" t="s">
        <v>21</v>
      </c>
      <c r="F2135" s="4">
        <v>350</v>
      </c>
      <c r="G2135" s="4">
        <v>30</v>
      </c>
      <c r="H2135" s="4">
        <v>232.52203</v>
      </c>
    </row>
    <row r="2136" spans="1:8" s="5" customFormat="1" ht="27.75" hidden="1" customHeight="1" outlineLevel="1" x14ac:dyDescent="0.25">
      <c r="A2136" s="43">
        <v>1482</v>
      </c>
      <c r="B2136" s="4" t="s">
        <v>117</v>
      </c>
      <c r="C2136" s="38" t="s">
        <v>1664</v>
      </c>
      <c r="D2136" s="4">
        <v>2021</v>
      </c>
      <c r="E2136" s="4" t="s">
        <v>21</v>
      </c>
      <c r="F2136" s="4">
        <v>100</v>
      </c>
      <c r="G2136" s="4">
        <v>15</v>
      </c>
      <c r="H2136" s="4">
        <v>90.38073</v>
      </c>
    </row>
    <row r="2137" spans="1:8" s="5" customFormat="1" ht="27.75" hidden="1" customHeight="1" outlineLevel="1" x14ac:dyDescent="0.25">
      <c r="A2137" s="42">
        <v>9798</v>
      </c>
      <c r="B2137" s="4" t="s">
        <v>117</v>
      </c>
      <c r="C2137" s="38" t="s">
        <v>1665</v>
      </c>
      <c r="D2137" s="4">
        <v>2021</v>
      </c>
      <c r="E2137" s="4" t="s">
        <v>21</v>
      </c>
      <c r="F2137" s="4">
        <v>130</v>
      </c>
      <c r="G2137" s="4">
        <v>15</v>
      </c>
      <c r="H2137" s="4">
        <v>151.46764999999999</v>
      </c>
    </row>
    <row r="2138" spans="1:8" s="5" customFormat="1" ht="27.75" hidden="1" customHeight="1" outlineLevel="1" x14ac:dyDescent="0.25">
      <c r="A2138" s="42">
        <v>9851</v>
      </c>
      <c r="B2138" s="4" t="s">
        <v>117</v>
      </c>
      <c r="C2138" s="38" t="s">
        <v>1666</v>
      </c>
      <c r="D2138" s="4">
        <v>2021</v>
      </c>
      <c r="E2138" s="4" t="s">
        <v>21</v>
      </c>
      <c r="F2138" s="4">
        <v>30</v>
      </c>
      <c r="G2138" s="4">
        <v>8</v>
      </c>
      <c r="H2138" s="4">
        <v>91.181190000000001</v>
      </c>
    </row>
    <row r="2139" spans="1:8" s="5" customFormat="1" ht="27.75" hidden="1" customHeight="1" outlineLevel="1" x14ac:dyDescent="0.25">
      <c r="A2139" s="42">
        <v>9842</v>
      </c>
      <c r="B2139" s="4" t="s">
        <v>117</v>
      </c>
      <c r="C2139" s="38" t="s">
        <v>1667</v>
      </c>
      <c r="D2139" s="4">
        <v>2021</v>
      </c>
      <c r="E2139" s="4" t="s">
        <v>21</v>
      </c>
      <c r="F2139" s="4">
        <v>100</v>
      </c>
      <c r="G2139" s="4">
        <v>15</v>
      </c>
      <c r="H2139" s="4">
        <v>100.06368000000001</v>
      </c>
    </row>
    <row r="2140" spans="1:8" s="5" customFormat="1" ht="27.75" hidden="1" customHeight="1" outlineLevel="1" x14ac:dyDescent="0.25">
      <c r="A2140" s="42">
        <v>9810</v>
      </c>
      <c r="B2140" s="4" t="s">
        <v>117</v>
      </c>
      <c r="C2140" s="38" t="s">
        <v>1668</v>
      </c>
      <c r="D2140" s="4">
        <v>2021</v>
      </c>
      <c r="E2140" s="4" t="s">
        <v>21</v>
      </c>
      <c r="F2140" s="4">
        <v>180</v>
      </c>
      <c r="G2140" s="4">
        <v>29</v>
      </c>
      <c r="H2140" s="4">
        <v>210.72644</v>
      </c>
    </row>
    <row r="2141" spans="1:8" s="5" customFormat="1" ht="27.75" hidden="1" customHeight="1" outlineLevel="1" x14ac:dyDescent="0.25">
      <c r="A2141" s="43">
        <v>1518</v>
      </c>
      <c r="B2141" s="4" t="s">
        <v>117</v>
      </c>
      <c r="C2141" s="38" t="s">
        <v>1669</v>
      </c>
      <c r="D2141" s="4">
        <v>2021</v>
      </c>
      <c r="E2141" s="4" t="s">
        <v>21</v>
      </c>
      <c r="F2141" s="4">
        <v>360</v>
      </c>
      <c r="G2141" s="4">
        <v>15</v>
      </c>
      <c r="H2141" s="4">
        <v>487.22561999999999</v>
      </c>
    </row>
    <row r="2142" spans="1:8" s="5" customFormat="1" ht="27.75" hidden="1" customHeight="1" outlineLevel="1" x14ac:dyDescent="0.25">
      <c r="A2142" s="42">
        <v>9816</v>
      </c>
      <c r="B2142" s="4" t="s">
        <v>117</v>
      </c>
      <c r="C2142" s="38" t="s">
        <v>1670</v>
      </c>
      <c r="D2142" s="4">
        <v>2021</v>
      </c>
      <c r="E2142" s="4" t="s">
        <v>21</v>
      </c>
      <c r="F2142" s="4">
        <v>150</v>
      </c>
      <c r="G2142" s="4">
        <v>15</v>
      </c>
      <c r="H2142" s="4">
        <v>104.86706</v>
      </c>
    </row>
    <row r="2143" spans="1:8" s="5" customFormat="1" ht="27.75" hidden="1" customHeight="1" outlineLevel="1" x14ac:dyDescent="0.25">
      <c r="A2143" s="42">
        <v>9835</v>
      </c>
      <c r="B2143" s="4" t="s">
        <v>117</v>
      </c>
      <c r="C2143" s="38" t="s">
        <v>1671</v>
      </c>
      <c r="D2143" s="4">
        <v>2021</v>
      </c>
      <c r="E2143" s="4" t="s">
        <v>21</v>
      </c>
      <c r="F2143" s="4">
        <v>250</v>
      </c>
      <c r="G2143" s="4">
        <v>15</v>
      </c>
      <c r="H2143" s="4">
        <v>262.64254</v>
      </c>
    </row>
    <row r="2144" spans="1:8" s="5" customFormat="1" ht="27.75" hidden="1" customHeight="1" outlineLevel="1" x14ac:dyDescent="0.25">
      <c r="A2144" s="42">
        <v>9732</v>
      </c>
      <c r="B2144" s="4" t="s">
        <v>117</v>
      </c>
      <c r="C2144" s="38" t="s">
        <v>1672</v>
      </c>
      <c r="D2144" s="4">
        <v>2021</v>
      </c>
      <c r="E2144" s="4" t="s">
        <v>21</v>
      </c>
      <c r="F2144" s="4">
        <v>30</v>
      </c>
      <c r="G2144" s="4">
        <v>150</v>
      </c>
      <c r="H2144" s="4">
        <v>72.806120000000007</v>
      </c>
    </row>
    <row r="2145" spans="1:8" s="5" customFormat="1" ht="27.75" hidden="1" customHeight="1" outlineLevel="1" x14ac:dyDescent="0.25">
      <c r="A2145" s="42">
        <v>9832</v>
      </c>
      <c r="B2145" s="4" t="s">
        <v>117</v>
      </c>
      <c r="C2145" s="38" t="s">
        <v>1673</v>
      </c>
      <c r="D2145" s="4">
        <v>2021</v>
      </c>
      <c r="E2145" s="4" t="s">
        <v>21</v>
      </c>
      <c r="F2145" s="4">
        <v>80</v>
      </c>
      <c r="G2145" s="4">
        <v>15</v>
      </c>
      <c r="H2145" s="4">
        <v>129.79141000000001</v>
      </c>
    </row>
    <row r="2146" spans="1:8" s="5" customFormat="1" ht="27.75" hidden="1" customHeight="1" outlineLevel="1" x14ac:dyDescent="0.25">
      <c r="A2146" s="43">
        <v>1454</v>
      </c>
      <c r="B2146" s="4" t="s">
        <v>117</v>
      </c>
      <c r="C2146" s="38" t="s">
        <v>1674</v>
      </c>
      <c r="D2146" s="4">
        <v>2021</v>
      </c>
      <c r="E2146" s="4" t="s">
        <v>21</v>
      </c>
      <c r="F2146" s="4">
        <v>75</v>
      </c>
      <c r="G2146" s="4">
        <v>15</v>
      </c>
      <c r="H2146" s="4">
        <v>127.32725000000001</v>
      </c>
    </row>
    <row r="2147" spans="1:8" s="5" customFormat="1" ht="27.75" hidden="1" customHeight="1" outlineLevel="1" x14ac:dyDescent="0.25">
      <c r="A2147" s="42">
        <v>9854</v>
      </c>
      <c r="B2147" s="4" t="s">
        <v>117</v>
      </c>
      <c r="C2147" s="38" t="s">
        <v>1675</v>
      </c>
      <c r="D2147" s="4">
        <v>2021</v>
      </c>
      <c r="E2147" s="4" t="s">
        <v>21</v>
      </c>
      <c r="F2147" s="4">
        <v>150</v>
      </c>
      <c r="G2147" s="4">
        <v>15</v>
      </c>
      <c r="H2147" s="4">
        <v>132.79984999999999</v>
      </c>
    </row>
    <row r="2148" spans="1:8" s="5" customFormat="1" ht="27.75" hidden="1" customHeight="1" outlineLevel="1" x14ac:dyDescent="0.25">
      <c r="A2148" s="43">
        <v>1476</v>
      </c>
      <c r="B2148" s="4" t="s">
        <v>117</v>
      </c>
      <c r="C2148" s="38" t="s">
        <v>1676</v>
      </c>
      <c r="D2148" s="4">
        <v>2021</v>
      </c>
      <c r="E2148" s="4" t="s">
        <v>21</v>
      </c>
      <c r="F2148" s="4">
        <v>100</v>
      </c>
      <c r="G2148" s="4">
        <v>15</v>
      </c>
      <c r="H2148" s="4">
        <v>139.93108000000001</v>
      </c>
    </row>
    <row r="2149" spans="1:8" s="5" customFormat="1" ht="27.75" hidden="1" customHeight="1" outlineLevel="1" x14ac:dyDescent="0.25">
      <c r="A2149" s="42">
        <v>9831</v>
      </c>
      <c r="B2149" s="4" t="s">
        <v>117</v>
      </c>
      <c r="C2149" s="38" t="s">
        <v>1677</v>
      </c>
      <c r="D2149" s="4">
        <v>2021</v>
      </c>
      <c r="E2149" s="4" t="s">
        <v>21</v>
      </c>
      <c r="F2149" s="4">
        <v>190</v>
      </c>
      <c r="G2149" s="4">
        <v>15</v>
      </c>
      <c r="H2149" s="4">
        <v>195.15574000000001</v>
      </c>
    </row>
    <row r="2150" spans="1:8" s="5" customFormat="1" ht="27.75" hidden="1" customHeight="1" outlineLevel="1" x14ac:dyDescent="0.25">
      <c r="A2150" s="42">
        <v>9096</v>
      </c>
      <c r="B2150" s="4" t="s">
        <v>117</v>
      </c>
      <c r="C2150" s="38" t="s">
        <v>1678</v>
      </c>
      <c r="D2150" s="4">
        <v>2021</v>
      </c>
      <c r="E2150" s="4" t="s">
        <v>21</v>
      </c>
      <c r="F2150" s="4">
        <v>148</v>
      </c>
      <c r="G2150" s="4">
        <v>60</v>
      </c>
      <c r="H2150" s="4">
        <v>226.90029000000001</v>
      </c>
    </row>
    <row r="2151" spans="1:8" s="5" customFormat="1" ht="27.75" hidden="1" customHeight="1" outlineLevel="1" x14ac:dyDescent="0.25">
      <c r="A2151" s="43">
        <v>3881</v>
      </c>
      <c r="B2151" s="4" t="s">
        <v>117</v>
      </c>
      <c r="C2151" s="38" t="s">
        <v>1679</v>
      </c>
      <c r="D2151" s="4">
        <v>2021</v>
      </c>
      <c r="E2151" s="4" t="s">
        <v>21</v>
      </c>
      <c r="F2151" s="4">
        <v>30</v>
      </c>
      <c r="G2151" s="4">
        <v>1.4</v>
      </c>
      <c r="H2151" s="4">
        <v>62.575769999999999</v>
      </c>
    </row>
    <row r="2152" spans="1:8" s="5" customFormat="1" ht="27.75" hidden="1" customHeight="1" outlineLevel="1" x14ac:dyDescent="0.25">
      <c r="A2152" s="42">
        <v>9475</v>
      </c>
      <c r="B2152" s="4" t="s">
        <v>117</v>
      </c>
      <c r="C2152" s="38" t="s">
        <v>1680</v>
      </c>
      <c r="D2152" s="4">
        <v>2021</v>
      </c>
      <c r="E2152" s="4" t="s">
        <v>21</v>
      </c>
      <c r="F2152" s="4">
        <v>160</v>
      </c>
      <c r="G2152" s="4">
        <v>7</v>
      </c>
      <c r="H2152" s="4">
        <v>241.8826</v>
      </c>
    </row>
    <row r="2153" spans="1:8" s="5" customFormat="1" ht="27.75" hidden="1" customHeight="1" outlineLevel="1" x14ac:dyDescent="0.25">
      <c r="A2153" s="43">
        <v>3887</v>
      </c>
      <c r="B2153" s="4" t="s">
        <v>117</v>
      </c>
      <c r="C2153" s="38" t="s">
        <v>1681</v>
      </c>
      <c r="D2153" s="4">
        <v>2021</v>
      </c>
      <c r="E2153" s="4" t="s">
        <v>21</v>
      </c>
      <c r="F2153" s="4">
        <v>230</v>
      </c>
      <c r="G2153" s="4">
        <v>10</v>
      </c>
      <c r="H2153" s="4">
        <v>252.43436</v>
      </c>
    </row>
    <row r="2154" spans="1:8" s="5" customFormat="1" ht="27.75" hidden="1" customHeight="1" outlineLevel="1" x14ac:dyDescent="0.25">
      <c r="A2154" s="42">
        <v>9476</v>
      </c>
      <c r="B2154" s="4" t="s">
        <v>117</v>
      </c>
      <c r="C2154" s="38" t="s">
        <v>1682</v>
      </c>
      <c r="D2154" s="4">
        <v>2021</v>
      </c>
      <c r="E2154" s="4" t="s">
        <v>21</v>
      </c>
      <c r="F2154" s="4">
        <v>160</v>
      </c>
      <c r="G2154" s="4">
        <v>15</v>
      </c>
      <c r="H2154" s="4">
        <v>199.47807</v>
      </c>
    </row>
    <row r="2155" spans="1:8" s="5" customFormat="1" ht="27.75" hidden="1" customHeight="1" outlineLevel="1" x14ac:dyDescent="0.25">
      <c r="A2155" s="43">
        <v>1478</v>
      </c>
      <c r="B2155" s="4" t="s">
        <v>117</v>
      </c>
      <c r="C2155" s="38" t="s">
        <v>1683</v>
      </c>
      <c r="D2155" s="4">
        <v>2021</v>
      </c>
      <c r="E2155" s="4" t="s">
        <v>21</v>
      </c>
      <c r="F2155" s="4">
        <v>30</v>
      </c>
      <c r="G2155" s="4">
        <v>5</v>
      </c>
      <c r="H2155" s="4">
        <v>86.566820000000007</v>
      </c>
    </row>
    <row r="2156" spans="1:8" s="5" customFormat="1" ht="27.75" hidden="1" customHeight="1" outlineLevel="1" x14ac:dyDescent="0.25">
      <c r="A2156" s="43">
        <v>1465</v>
      </c>
      <c r="B2156" s="4" t="s">
        <v>117</v>
      </c>
      <c r="C2156" s="38" t="s">
        <v>1684</v>
      </c>
      <c r="D2156" s="4">
        <v>2021</v>
      </c>
      <c r="E2156" s="4" t="s">
        <v>21</v>
      </c>
      <c r="F2156" s="4">
        <v>20</v>
      </c>
      <c r="G2156" s="4">
        <v>15</v>
      </c>
      <c r="H2156" s="4">
        <v>66.948920000000001</v>
      </c>
    </row>
    <row r="2157" spans="1:8" s="5" customFormat="1" ht="27.75" hidden="1" customHeight="1" outlineLevel="1" x14ac:dyDescent="0.25">
      <c r="A2157" s="42">
        <v>9511</v>
      </c>
      <c r="B2157" s="4" t="s">
        <v>117</v>
      </c>
      <c r="C2157" s="38" t="s">
        <v>1685</v>
      </c>
      <c r="D2157" s="4">
        <v>2021</v>
      </c>
      <c r="E2157" s="4" t="s">
        <v>21</v>
      </c>
      <c r="F2157" s="4">
        <v>5</v>
      </c>
      <c r="G2157" s="4">
        <v>15</v>
      </c>
      <c r="H2157" s="4">
        <v>38.22092</v>
      </c>
    </row>
    <row r="2158" spans="1:8" s="5" customFormat="1" ht="27.75" hidden="1" customHeight="1" outlineLevel="1" x14ac:dyDescent="0.25">
      <c r="A2158" s="42">
        <v>9860</v>
      </c>
      <c r="B2158" s="4" t="s">
        <v>117</v>
      </c>
      <c r="C2158" s="38" t="s">
        <v>1686</v>
      </c>
      <c r="D2158" s="4">
        <v>2021</v>
      </c>
      <c r="E2158" s="4" t="s">
        <v>21</v>
      </c>
      <c r="F2158" s="4">
        <v>30</v>
      </c>
      <c r="G2158" s="4">
        <v>15</v>
      </c>
      <c r="H2158" s="4">
        <v>98.825609999999998</v>
      </c>
    </row>
    <row r="2159" spans="1:8" s="5" customFormat="1" ht="27.75" hidden="1" customHeight="1" outlineLevel="1" x14ac:dyDescent="0.25">
      <c r="A2159" s="42">
        <v>9830</v>
      </c>
      <c r="B2159" s="4" t="s">
        <v>117</v>
      </c>
      <c r="C2159" s="38" t="s">
        <v>1687</v>
      </c>
      <c r="D2159" s="4">
        <v>2021</v>
      </c>
      <c r="E2159" s="4" t="s">
        <v>21</v>
      </c>
      <c r="F2159" s="4">
        <v>45</v>
      </c>
      <c r="G2159" s="4">
        <v>15</v>
      </c>
      <c r="H2159" s="4">
        <v>104.75371</v>
      </c>
    </row>
    <row r="2160" spans="1:8" s="5" customFormat="1" ht="27.75" hidden="1" customHeight="1" outlineLevel="1" x14ac:dyDescent="0.25">
      <c r="A2160" s="43">
        <v>1505</v>
      </c>
      <c r="B2160" s="4" t="s">
        <v>117</v>
      </c>
      <c r="C2160" s="38" t="s">
        <v>1688</v>
      </c>
      <c r="D2160" s="4">
        <v>2021</v>
      </c>
      <c r="E2160" s="4" t="s">
        <v>21</v>
      </c>
      <c r="F2160" s="4">
        <v>436</v>
      </c>
      <c r="G2160" s="4">
        <v>15</v>
      </c>
      <c r="H2160" s="4">
        <v>507.37144999999998</v>
      </c>
    </row>
    <row r="2161" spans="1:8" s="5" customFormat="1" ht="27.75" hidden="1" customHeight="1" outlineLevel="1" x14ac:dyDescent="0.25">
      <c r="A2161" s="42">
        <v>9773</v>
      </c>
      <c r="B2161" s="4" t="s">
        <v>117</v>
      </c>
      <c r="C2161" s="38" t="s">
        <v>1689</v>
      </c>
      <c r="D2161" s="4">
        <v>2021</v>
      </c>
      <c r="E2161" s="4" t="s">
        <v>21</v>
      </c>
      <c r="F2161" s="4">
        <v>164</v>
      </c>
      <c r="G2161" s="4">
        <v>5</v>
      </c>
      <c r="H2161" s="4">
        <v>414.48545999999999</v>
      </c>
    </row>
    <row r="2162" spans="1:8" s="5" customFormat="1" ht="27.75" hidden="1" customHeight="1" outlineLevel="1" x14ac:dyDescent="0.25">
      <c r="A2162" s="43">
        <v>1502</v>
      </c>
      <c r="B2162" s="4" t="s">
        <v>117</v>
      </c>
      <c r="C2162" s="38" t="s">
        <v>1690</v>
      </c>
      <c r="D2162" s="4">
        <v>2021</v>
      </c>
      <c r="E2162" s="4" t="s">
        <v>21</v>
      </c>
      <c r="F2162" s="4">
        <v>140</v>
      </c>
      <c r="G2162" s="4">
        <v>15</v>
      </c>
      <c r="H2162" s="4">
        <v>143.57565</v>
      </c>
    </row>
    <row r="2163" spans="1:8" s="5" customFormat="1" ht="27.75" hidden="1" customHeight="1" outlineLevel="1" x14ac:dyDescent="0.25">
      <c r="A2163" s="43">
        <v>1503</v>
      </c>
      <c r="B2163" s="4" t="s">
        <v>117</v>
      </c>
      <c r="C2163" s="38" t="s">
        <v>1691</v>
      </c>
      <c r="D2163" s="4">
        <v>2021</v>
      </c>
      <c r="E2163" s="4" t="s">
        <v>21</v>
      </c>
      <c r="F2163" s="4">
        <v>80</v>
      </c>
      <c r="G2163" s="4">
        <v>30</v>
      </c>
      <c r="H2163" s="4">
        <v>129.21652</v>
      </c>
    </row>
    <row r="2164" spans="1:8" s="5" customFormat="1" ht="27.75" hidden="1" customHeight="1" outlineLevel="1" x14ac:dyDescent="0.25">
      <c r="A2164" s="43">
        <v>3879</v>
      </c>
      <c r="B2164" s="4" t="s">
        <v>117</v>
      </c>
      <c r="C2164" s="38" t="s">
        <v>1692</v>
      </c>
      <c r="D2164" s="4">
        <v>2021</v>
      </c>
      <c r="E2164" s="4" t="s">
        <v>21</v>
      </c>
      <c r="F2164" s="4">
        <v>5</v>
      </c>
      <c r="G2164" s="4">
        <v>40</v>
      </c>
      <c r="H2164" s="4">
        <v>54.829329999999999</v>
      </c>
    </row>
    <row r="2165" spans="1:8" s="5" customFormat="1" ht="27.75" hidden="1" customHeight="1" outlineLevel="1" x14ac:dyDescent="0.25">
      <c r="A2165" s="42">
        <v>9855</v>
      </c>
      <c r="B2165" s="4" t="s">
        <v>117</v>
      </c>
      <c r="C2165" s="59" t="s">
        <v>1693</v>
      </c>
      <c r="D2165" s="4">
        <v>2021</v>
      </c>
      <c r="E2165" s="4" t="s">
        <v>21</v>
      </c>
      <c r="F2165" s="4">
        <v>30</v>
      </c>
      <c r="G2165" s="4">
        <v>15</v>
      </c>
      <c r="H2165" s="4">
        <v>88.058520000000001</v>
      </c>
    </row>
    <row r="2166" spans="1:8" s="5" customFormat="1" ht="27.75" hidden="1" customHeight="1" outlineLevel="1" x14ac:dyDescent="0.25">
      <c r="A2166" s="43">
        <v>1490</v>
      </c>
      <c r="B2166" s="4" t="s">
        <v>117</v>
      </c>
      <c r="C2166" s="38" t="s">
        <v>1694</v>
      </c>
      <c r="D2166" s="4">
        <v>2021</v>
      </c>
      <c r="E2166" s="4" t="s">
        <v>21</v>
      </c>
      <c r="F2166" s="4">
        <v>30</v>
      </c>
      <c r="G2166" s="4">
        <v>15</v>
      </c>
      <c r="H2166" s="4">
        <v>18.920280000000002</v>
      </c>
    </row>
    <row r="2167" spans="1:8" s="5" customFormat="1" ht="27.75" hidden="1" customHeight="1" outlineLevel="1" x14ac:dyDescent="0.25">
      <c r="A2167" s="42">
        <v>9862</v>
      </c>
      <c r="B2167" s="4" t="s">
        <v>117</v>
      </c>
      <c r="C2167" s="59" t="s">
        <v>1695</v>
      </c>
      <c r="D2167" s="4">
        <v>2021</v>
      </c>
      <c r="E2167" s="4" t="s">
        <v>21</v>
      </c>
      <c r="F2167" s="4">
        <v>50</v>
      </c>
      <c r="G2167" s="4">
        <v>15</v>
      </c>
      <c r="H2167" s="4">
        <v>66.222560000000001</v>
      </c>
    </row>
    <row r="2168" spans="1:8" s="5" customFormat="1" ht="27.75" hidden="1" customHeight="1" outlineLevel="1" x14ac:dyDescent="0.25">
      <c r="A2168" s="43">
        <v>1121</v>
      </c>
      <c r="B2168" s="4" t="s">
        <v>117</v>
      </c>
      <c r="C2168" s="38" t="s">
        <v>1696</v>
      </c>
      <c r="D2168" s="4">
        <v>2021</v>
      </c>
      <c r="E2168" s="4" t="s">
        <v>21</v>
      </c>
      <c r="F2168" s="4">
        <v>20</v>
      </c>
      <c r="G2168" s="4">
        <v>25</v>
      </c>
      <c r="H2168" s="4">
        <v>85.354339999999993</v>
      </c>
    </row>
    <row r="2169" spans="1:8" s="5" customFormat="1" ht="27.75" hidden="1" customHeight="1" outlineLevel="1" x14ac:dyDescent="0.25">
      <c r="A2169" s="42">
        <v>9494</v>
      </c>
      <c r="B2169" s="4" t="s">
        <v>117</v>
      </c>
      <c r="C2169" s="38" t="s">
        <v>1697</v>
      </c>
      <c r="D2169" s="4">
        <v>2021</v>
      </c>
      <c r="E2169" s="4" t="s">
        <v>21</v>
      </c>
      <c r="F2169" s="4">
        <v>40</v>
      </c>
      <c r="G2169" s="4">
        <v>8</v>
      </c>
      <c r="H2169" s="4">
        <v>87.018929999999997</v>
      </c>
    </row>
    <row r="2170" spans="1:8" s="5" customFormat="1" ht="27.75" hidden="1" customHeight="1" outlineLevel="1" x14ac:dyDescent="0.25">
      <c r="A2170" s="43">
        <v>9833</v>
      </c>
      <c r="B2170" s="4" t="s">
        <v>117</v>
      </c>
      <c r="C2170" s="38" t="s">
        <v>1698</v>
      </c>
      <c r="D2170" s="4">
        <v>2021</v>
      </c>
      <c r="E2170" s="4" t="s">
        <v>21</v>
      </c>
      <c r="F2170" s="4">
        <v>30</v>
      </c>
      <c r="G2170" s="4">
        <v>15</v>
      </c>
      <c r="H2170" s="4">
        <v>30.558050000000001</v>
      </c>
    </row>
    <row r="2171" spans="1:8" s="5" customFormat="1" ht="27.75" hidden="1" customHeight="1" outlineLevel="1" x14ac:dyDescent="0.25">
      <c r="A2171" s="42">
        <v>9814</v>
      </c>
      <c r="B2171" s="4" t="s">
        <v>117</v>
      </c>
      <c r="C2171" s="38" t="s">
        <v>1699</v>
      </c>
      <c r="D2171" s="4">
        <v>2021</v>
      </c>
      <c r="E2171" s="4" t="s">
        <v>21</v>
      </c>
      <c r="F2171" s="4">
        <v>410</v>
      </c>
      <c r="G2171" s="4">
        <v>15</v>
      </c>
      <c r="H2171" s="4">
        <v>40.265500000000003</v>
      </c>
    </row>
    <row r="2172" spans="1:8" s="5" customFormat="1" ht="27.75" hidden="1" customHeight="1" outlineLevel="1" x14ac:dyDescent="0.25">
      <c r="A2172" s="42">
        <v>9813</v>
      </c>
      <c r="B2172" s="4" t="s">
        <v>117</v>
      </c>
      <c r="C2172" s="38" t="s">
        <v>1700</v>
      </c>
      <c r="D2172" s="4">
        <v>2021</v>
      </c>
      <c r="E2172" s="4" t="s">
        <v>21</v>
      </c>
      <c r="F2172" s="4">
        <v>80</v>
      </c>
      <c r="G2172" s="4">
        <v>15</v>
      </c>
      <c r="H2172" s="4">
        <v>91.351380000000006</v>
      </c>
    </row>
    <row r="2173" spans="1:8" s="5" customFormat="1" ht="27.75" hidden="1" customHeight="1" outlineLevel="1" x14ac:dyDescent="0.25">
      <c r="A2173" s="42">
        <v>9820</v>
      </c>
      <c r="B2173" s="4" t="s">
        <v>117</v>
      </c>
      <c r="C2173" s="38" t="s">
        <v>1701</v>
      </c>
      <c r="D2173" s="4">
        <v>2021</v>
      </c>
      <c r="E2173" s="4" t="s">
        <v>21</v>
      </c>
      <c r="F2173" s="4">
        <v>25</v>
      </c>
      <c r="G2173" s="4">
        <v>15</v>
      </c>
      <c r="H2173" s="4">
        <v>25.133120000000002</v>
      </c>
    </row>
    <row r="2174" spans="1:8" s="5" customFormat="1" ht="27.75" hidden="1" customHeight="1" outlineLevel="1" x14ac:dyDescent="0.25">
      <c r="A2174" s="42">
        <v>9837</v>
      </c>
      <c r="B2174" s="4" t="s">
        <v>117</v>
      </c>
      <c r="C2174" s="38" t="s">
        <v>1702</v>
      </c>
      <c r="D2174" s="4">
        <v>2021</v>
      </c>
      <c r="E2174" s="4" t="s">
        <v>21</v>
      </c>
      <c r="F2174" s="4">
        <v>30</v>
      </c>
      <c r="G2174" s="4">
        <v>15</v>
      </c>
      <c r="H2174" s="4">
        <v>27.88355</v>
      </c>
    </row>
    <row r="2175" spans="1:8" s="5" customFormat="1" ht="27.75" hidden="1" customHeight="1" outlineLevel="1" x14ac:dyDescent="0.25">
      <c r="A2175" s="42">
        <v>9822</v>
      </c>
      <c r="B2175" s="4" t="s">
        <v>117</v>
      </c>
      <c r="C2175" s="38" t="s">
        <v>1703</v>
      </c>
      <c r="D2175" s="4">
        <v>2021</v>
      </c>
      <c r="E2175" s="4" t="s">
        <v>21</v>
      </c>
      <c r="F2175" s="4">
        <v>60</v>
      </c>
      <c r="G2175" s="4">
        <v>15</v>
      </c>
      <c r="H2175" s="4">
        <v>158.43727000000001</v>
      </c>
    </row>
    <row r="2176" spans="1:8" s="5" customFormat="1" ht="27.75" hidden="1" customHeight="1" outlineLevel="1" x14ac:dyDescent="0.25">
      <c r="A2176" s="42">
        <v>9098</v>
      </c>
      <c r="B2176" s="4" t="s">
        <v>117</v>
      </c>
      <c r="C2176" s="38" t="s">
        <v>1704</v>
      </c>
      <c r="D2176" s="4">
        <v>2021</v>
      </c>
      <c r="E2176" s="4" t="s">
        <v>21</v>
      </c>
      <c r="F2176" s="4">
        <v>55</v>
      </c>
      <c r="G2176" s="4">
        <v>15</v>
      </c>
      <c r="H2176" s="4">
        <v>32.779859999999999</v>
      </c>
    </row>
    <row r="2177" spans="1:8" s="5" customFormat="1" ht="27.75" hidden="1" customHeight="1" outlineLevel="1" x14ac:dyDescent="0.25">
      <c r="A2177" s="42">
        <v>9809</v>
      </c>
      <c r="B2177" s="4" t="s">
        <v>117</v>
      </c>
      <c r="C2177" s="38" t="s">
        <v>1705</v>
      </c>
      <c r="D2177" s="4">
        <v>2021</v>
      </c>
      <c r="E2177" s="4" t="s">
        <v>21</v>
      </c>
      <c r="F2177" s="4">
        <v>30</v>
      </c>
      <c r="G2177" s="4">
        <v>10</v>
      </c>
      <c r="H2177" s="4">
        <v>46.228839999999998</v>
      </c>
    </row>
    <row r="2178" spans="1:8" s="5" customFormat="1" ht="27.75" hidden="1" customHeight="1" outlineLevel="1" x14ac:dyDescent="0.25">
      <c r="A2178" s="42">
        <v>9867</v>
      </c>
      <c r="B2178" s="4" t="s">
        <v>117</v>
      </c>
      <c r="C2178" s="38" t="s">
        <v>1706</v>
      </c>
      <c r="D2178" s="4">
        <v>2021</v>
      </c>
      <c r="E2178" s="4" t="s">
        <v>21</v>
      </c>
      <c r="F2178" s="4">
        <v>100</v>
      </c>
      <c r="G2178" s="4">
        <v>33</v>
      </c>
      <c r="H2178" s="4">
        <v>90.593630000000005</v>
      </c>
    </row>
    <row r="2179" spans="1:8" s="5" customFormat="1" ht="27.75" hidden="1" customHeight="1" outlineLevel="1" x14ac:dyDescent="0.25">
      <c r="A2179" s="42">
        <v>9834</v>
      </c>
      <c r="B2179" s="4" t="s">
        <v>117</v>
      </c>
      <c r="C2179" s="38" t="s">
        <v>1707</v>
      </c>
      <c r="D2179" s="4">
        <v>2021</v>
      </c>
      <c r="E2179" s="4" t="s">
        <v>21</v>
      </c>
      <c r="F2179" s="4">
        <v>80</v>
      </c>
      <c r="G2179" s="4">
        <v>15</v>
      </c>
      <c r="H2179" s="4">
        <v>100.05513999999999</v>
      </c>
    </row>
    <row r="2180" spans="1:8" s="5" customFormat="1" ht="27.75" hidden="1" customHeight="1" outlineLevel="1" x14ac:dyDescent="0.25">
      <c r="A2180" s="42">
        <v>9852</v>
      </c>
      <c r="B2180" s="4" t="s">
        <v>117</v>
      </c>
      <c r="C2180" s="38" t="s">
        <v>1708</v>
      </c>
      <c r="D2180" s="4">
        <v>2021</v>
      </c>
      <c r="E2180" s="4" t="s">
        <v>21</v>
      </c>
      <c r="F2180" s="4">
        <v>140</v>
      </c>
      <c r="G2180" s="4">
        <v>15</v>
      </c>
      <c r="H2180" s="4">
        <v>123.70686000000001</v>
      </c>
    </row>
    <row r="2181" spans="1:8" s="5" customFormat="1" ht="27.75" hidden="1" customHeight="1" outlineLevel="1" x14ac:dyDescent="0.25">
      <c r="A2181" s="42">
        <v>9804</v>
      </c>
      <c r="B2181" s="4" t="s">
        <v>117</v>
      </c>
      <c r="C2181" s="38" t="s">
        <v>1709</v>
      </c>
      <c r="D2181" s="4">
        <v>2021</v>
      </c>
      <c r="E2181" s="4" t="s">
        <v>21</v>
      </c>
      <c r="F2181" s="4">
        <v>70</v>
      </c>
      <c r="G2181" s="4">
        <v>30</v>
      </c>
      <c r="H2181" s="4">
        <v>60.712949999999999</v>
      </c>
    </row>
    <row r="2182" spans="1:8" s="5" customFormat="1" ht="27.75" hidden="1" customHeight="1" outlineLevel="1" x14ac:dyDescent="0.25">
      <c r="A2182" s="42">
        <v>9802</v>
      </c>
      <c r="B2182" s="4" t="s">
        <v>117</v>
      </c>
      <c r="C2182" s="38" t="s">
        <v>1710</v>
      </c>
      <c r="D2182" s="4">
        <v>2021</v>
      </c>
      <c r="E2182" s="4" t="s">
        <v>21</v>
      </c>
      <c r="F2182" s="4">
        <v>200</v>
      </c>
      <c r="G2182" s="4">
        <v>15</v>
      </c>
      <c r="H2182" s="4">
        <v>164.87682000000001</v>
      </c>
    </row>
    <row r="2183" spans="1:8" s="5" customFormat="1" ht="27.75" hidden="1" customHeight="1" outlineLevel="1" x14ac:dyDescent="0.25">
      <c r="A2183" s="42">
        <v>9483</v>
      </c>
      <c r="B2183" s="4" t="s">
        <v>117</v>
      </c>
      <c r="C2183" s="38" t="s">
        <v>1711</v>
      </c>
      <c r="D2183" s="4">
        <v>2021</v>
      </c>
      <c r="E2183" s="4" t="s">
        <v>21</v>
      </c>
      <c r="F2183" s="4">
        <v>30</v>
      </c>
      <c r="G2183" s="4">
        <v>15</v>
      </c>
      <c r="H2183" s="4">
        <v>45.380519999999997</v>
      </c>
    </row>
    <row r="2184" spans="1:8" s="5" customFormat="1" ht="27.75" hidden="1" customHeight="1" outlineLevel="1" x14ac:dyDescent="0.25">
      <c r="A2184" s="42">
        <v>9808</v>
      </c>
      <c r="B2184" s="4" t="s">
        <v>117</v>
      </c>
      <c r="C2184" s="38" t="s">
        <v>1712</v>
      </c>
      <c r="D2184" s="4">
        <v>2021</v>
      </c>
      <c r="E2184" s="4" t="s">
        <v>21</v>
      </c>
      <c r="F2184" s="4">
        <v>80</v>
      </c>
      <c r="G2184" s="4">
        <v>15</v>
      </c>
      <c r="H2184" s="4">
        <v>68.584450000000004</v>
      </c>
    </row>
    <row r="2185" spans="1:8" s="5" customFormat="1" ht="27.75" hidden="1" customHeight="1" outlineLevel="1" x14ac:dyDescent="0.25">
      <c r="A2185" s="42">
        <v>9772</v>
      </c>
      <c r="B2185" s="4" t="s">
        <v>117</v>
      </c>
      <c r="C2185" s="38" t="s">
        <v>1713</v>
      </c>
      <c r="D2185" s="4">
        <v>2021</v>
      </c>
      <c r="E2185" s="4" t="s">
        <v>21</v>
      </c>
      <c r="F2185" s="4">
        <v>797</v>
      </c>
      <c r="G2185" s="4">
        <v>15</v>
      </c>
      <c r="H2185" s="4">
        <v>932.04075</v>
      </c>
    </row>
    <row r="2186" spans="1:8" s="5" customFormat="1" ht="27.75" hidden="1" customHeight="1" outlineLevel="1" x14ac:dyDescent="0.25">
      <c r="A2186" s="42">
        <v>9870</v>
      </c>
      <c r="B2186" s="4" t="s">
        <v>117</v>
      </c>
      <c r="C2186" s="38" t="s">
        <v>1714</v>
      </c>
      <c r="D2186" s="4">
        <v>2021</v>
      </c>
      <c r="E2186" s="4" t="s">
        <v>21</v>
      </c>
      <c r="F2186" s="4">
        <v>278</v>
      </c>
      <c r="G2186" s="4">
        <v>10</v>
      </c>
      <c r="H2186" s="4">
        <v>465.15955000000002</v>
      </c>
    </row>
    <row r="2187" spans="1:8" s="5" customFormat="1" ht="27.75" hidden="1" customHeight="1" outlineLevel="1" x14ac:dyDescent="0.25">
      <c r="A2187" s="42">
        <v>9826</v>
      </c>
      <c r="B2187" s="4" t="s">
        <v>117</v>
      </c>
      <c r="C2187" s="38" t="s">
        <v>1715</v>
      </c>
      <c r="D2187" s="4">
        <v>2021</v>
      </c>
      <c r="E2187" s="4" t="s">
        <v>21</v>
      </c>
      <c r="F2187" s="4">
        <v>137</v>
      </c>
      <c r="G2187" s="4">
        <v>80</v>
      </c>
      <c r="H2187" s="4">
        <v>302.85971999999998</v>
      </c>
    </row>
    <row r="2188" spans="1:8" s="5" customFormat="1" ht="27.75" hidden="1" customHeight="1" outlineLevel="1" x14ac:dyDescent="0.25">
      <c r="A2188" s="42">
        <v>9819</v>
      </c>
      <c r="B2188" s="4" t="s">
        <v>117</v>
      </c>
      <c r="C2188" s="38" t="s">
        <v>1716</v>
      </c>
      <c r="D2188" s="4">
        <v>2021</v>
      </c>
      <c r="E2188" s="4" t="s">
        <v>21</v>
      </c>
      <c r="F2188" s="4">
        <v>25</v>
      </c>
      <c r="G2188" s="4">
        <v>5</v>
      </c>
      <c r="H2188" s="4">
        <v>92.143590000000003</v>
      </c>
    </row>
    <row r="2189" spans="1:8" s="5" customFormat="1" ht="27.75" hidden="1" customHeight="1" outlineLevel="1" x14ac:dyDescent="0.25">
      <c r="A2189" s="43">
        <v>726</v>
      </c>
      <c r="B2189" s="4" t="s">
        <v>117</v>
      </c>
      <c r="C2189" s="38" t="s">
        <v>1717</v>
      </c>
      <c r="D2189" s="4">
        <v>2021</v>
      </c>
      <c r="E2189" s="4" t="s">
        <v>21</v>
      </c>
      <c r="F2189" s="4">
        <v>25</v>
      </c>
      <c r="G2189" s="4">
        <v>15</v>
      </c>
      <c r="H2189" s="4">
        <v>43.527830000000002</v>
      </c>
    </row>
    <row r="2190" spans="1:8" s="5" customFormat="1" ht="27.75" hidden="1" customHeight="1" outlineLevel="1" x14ac:dyDescent="0.25">
      <c r="A2190" s="43">
        <v>9844</v>
      </c>
      <c r="B2190" s="4" t="s">
        <v>117</v>
      </c>
      <c r="C2190" s="38" t="s">
        <v>1718</v>
      </c>
      <c r="D2190" s="4">
        <v>2021</v>
      </c>
      <c r="E2190" s="4" t="s">
        <v>21</v>
      </c>
      <c r="F2190" s="4">
        <v>30</v>
      </c>
      <c r="G2190" s="4">
        <v>15</v>
      </c>
      <c r="H2190" s="4">
        <v>12.928660000000001</v>
      </c>
    </row>
    <row r="2191" spans="1:8" s="5" customFormat="1" ht="27.75" hidden="1" customHeight="1" outlineLevel="1" x14ac:dyDescent="0.25">
      <c r="A2191" s="42">
        <v>9843</v>
      </c>
      <c r="B2191" s="4" t="s">
        <v>117</v>
      </c>
      <c r="C2191" s="38" t="s">
        <v>1719</v>
      </c>
      <c r="D2191" s="4">
        <v>2021</v>
      </c>
      <c r="E2191" s="4" t="s">
        <v>21</v>
      </c>
      <c r="F2191" s="4">
        <v>252</v>
      </c>
      <c r="G2191" s="4">
        <v>15</v>
      </c>
      <c r="H2191" s="4">
        <v>455.06044000000003</v>
      </c>
    </row>
    <row r="2192" spans="1:8" s="5" customFormat="1" ht="27.75" hidden="1" customHeight="1" outlineLevel="1" x14ac:dyDescent="0.25">
      <c r="A2192" s="42">
        <v>9801</v>
      </c>
      <c r="B2192" s="4" t="s">
        <v>117</v>
      </c>
      <c r="C2192" s="38" t="s">
        <v>1720</v>
      </c>
      <c r="D2192" s="4">
        <v>2021</v>
      </c>
      <c r="E2192" s="4" t="s">
        <v>21</v>
      </c>
      <c r="F2192" s="4">
        <v>367</v>
      </c>
      <c r="G2192" s="4">
        <v>15</v>
      </c>
      <c r="H2192" s="4">
        <v>593.21896000000004</v>
      </c>
    </row>
    <row r="2193" spans="1:8" s="5" customFormat="1" ht="27.75" hidden="1" customHeight="1" outlineLevel="1" x14ac:dyDescent="0.25">
      <c r="A2193" s="42">
        <v>9493</v>
      </c>
      <c r="B2193" s="4" t="s">
        <v>117</v>
      </c>
      <c r="C2193" s="38" t="s">
        <v>1721</v>
      </c>
      <c r="D2193" s="4">
        <v>2021</v>
      </c>
      <c r="E2193" s="4" t="s">
        <v>21</v>
      </c>
      <c r="F2193" s="4">
        <v>80</v>
      </c>
      <c r="G2193" s="4">
        <v>60</v>
      </c>
      <c r="H2193" s="4">
        <v>166.57001</v>
      </c>
    </row>
    <row r="2194" spans="1:8" s="5" customFormat="1" ht="27.75" hidden="1" customHeight="1" outlineLevel="1" x14ac:dyDescent="0.25">
      <c r="A2194" s="42">
        <v>9849</v>
      </c>
      <c r="B2194" s="4" t="s">
        <v>117</v>
      </c>
      <c r="C2194" s="38" t="s">
        <v>1722</v>
      </c>
      <c r="D2194" s="4">
        <v>2021</v>
      </c>
      <c r="E2194" s="4" t="s">
        <v>21</v>
      </c>
      <c r="F2194" s="4">
        <v>30</v>
      </c>
      <c r="G2194" s="4">
        <v>15</v>
      </c>
      <c r="H2194" s="4">
        <v>97.529989999999998</v>
      </c>
    </row>
    <row r="2195" spans="1:8" s="5" customFormat="1" ht="27.75" hidden="1" customHeight="1" outlineLevel="1" x14ac:dyDescent="0.25">
      <c r="A2195" s="42">
        <v>9807</v>
      </c>
      <c r="B2195" s="4" t="s">
        <v>117</v>
      </c>
      <c r="C2195" s="38" t="s">
        <v>1723</v>
      </c>
      <c r="D2195" s="4">
        <v>2021</v>
      </c>
      <c r="E2195" s="4" t="s">
        <v>21</v>
      </c>
      <c r="F2195" s="4">
        <v>120</v>
      </c>
      <c r="G2195" s="4">
        <v>30</v>
      </c>
      <c r="H2195" s="4">
        <v>159.09326999999999</v>
      </c>
    </row>
    <row r="2196" spans="1:8" s="5" customFormat="1" ht="27.75" hidden="1" customHeight="1" outlineLevel="1" x14ac:dyDescent="0.25">
      <c r="A2196" s="42">
        <v>9817</v>
      </c>
      <c r="B2196" s="4" t="s">
        <v>117</v>
      </c>
      <c r="C2196" s="38" t="s">
        <v>1724</v>
      </c>
      <c r="D2196" s="4">
        <v>2021</v>
      </c>
      <c r="E2196" s="4" t="s">
        <v>21</v>
      </c>
      <c r="F2196" s="4">
        <v>40</v>
      </c>
      <c r="G2196" s="4">
        <v>10</v>
      </c>
      <c r="H2196" s="4">
        <v>139.40110000000001</v>
      </c>
    </row>
    <row r="2197" spans="1:8" s="5" customFormat="1" ht="27.75" hidden="1" customHeight="1" outlineLevel="1" x14ac:dyDescent="0.25">
      <c r="A2197" s="42">
        <v>9828</v>
      </c>
      <c r="B2197" s="4" t="s">
        <v>117</v>
      </c>
      <c r="C2197" s="38" t="s">
        <v>1725</v>
      </c>
      <c r="D2197" s="4">
        <v>2021</v>
      </c>
      <c r="E2197" s="4" t="s">
        <v>21</v>
      </c>
      <c r="F2197" s="4">
        <v>65</v>
      </c>
      <c r="G2197" s="4">
        <v>15</v>
      </c>
      <c r="H2197" s="4">
        <v>123.21812</v>
      </c>
    </row>
    <row r="2198" spans="1:8" s="5" customFormat="1" ht="27.75" hidden="1" customHeight="1" outlineLevel="1" x14ac:dyDescent="0.25">
      <c r="A2198" s="43">
        <v>9799</v>
      </c>
      <c r="B2198" s="4" t="s">
        <v>117</v>
      </c>
      <c r="C2198" s="38" t="s">
        <v>1726</v>
      </c>
      <c r="D2198" s="4">
        <v>2021</v>
      </c>
      <c r="E2198" s="4" t="s">
        <v>21</v>
      </c>
      <c r="F2198" s="4">
        <v>170</v>
      </c>
      <c r="G2198" s="4">
        <v>15</v>
      </c>
      <c r="H2198" s="4">
        <v>99.564250000000001</v>
      </c>
    </row>
    <row r="2199" spans="1:8" s="5" customFormat="1" ht="27.75" hidden="1" customHeight="1" outlineLevel="1" x14ac:dyDescent="0.25">
      <c r="A2199" s="43">
        <v>9818</v>
      </c>
      <c r="B2199" s="4" t="s">
        <v>117</v>
      </c>
      <c r="C2199" s="38" t="s">
        <v>1727</v>
      </c>
      <c r="D2199" s="4">
        <v>2021</v>
      </c>
      <c r="E2199" s="4" t="s">
        <v>21</v>
      </c>
      <c r="F2199" s="4">
        <v>50</v>
      </c>
      <c r="G2199" s="4">
        <v>15</v>
      </c>
      <c r="H2199" s="4">
        <v>82.782510000000002</v>
      </c>
    </row>
    <row r="2200" spans="1:8" s="5" customFormat="1" ht="27.75" hidden="1" customHeight="1" outlineLevel="1" x14ac:dyDescent="0.25">
      <c r="A2200" s="42">
        <v>9865</v>
      </c>
      <c r="B2200" s="4" t="s">
        <v>117</v>
      </c>
      <c r="C2200" s="38" t="s">
        <v>1728</v>
      </c>
      <c r="D2200" s="4">
        <v>2021</v>
      </c>
      <c r="E2200" s="4" t="s">
        <v>21</v>
      </c>
      <c r="F2200" s="4">
        <v>100</v>
      </c>
      <c r="G2200" s="4">
        <v>15</v>
      </c>
      <c r="H2200" s="4">
        <v>140.92005</v>
      </c>
    </row>
    <row r="2201" spans="1:8" s="5" customFormat="1" ht="27.75" hidden="1" customHeight="1" outlineLevel="1" x14ac:dyDescent="0.25">
      <c r="A2201" s="42">
        <v>9841</v>
      </c>
      <c r="B2201" s="4" t="s">
        <v>117</v>
      </c>
      <c r="C2201" s="38" t="s">
        <v>1729</v>
      </c>
      <c r="D2201" s="4">
        <v>2021</v>
      </c>
      <c r="E2201" s="4" t="s">
        <v>21</v>
      </c>
      <c r="F2201" s="4">
        <v>223</v>
      </c>
      <c r="G2201" s="4">
        <v>15</v>
      </c>
      <c r="H2201" s="4">
        <v>369.84964000000002</v>
      </c>
    </row>
    <row r="2202" spans="1:8" s="5" customFormat="1" ht="27.75" hidden="1" customHeight="1" outlineLevel="1" x14ac:dyDescent="0.25">
      <c r="A2202" s="42">
        <v>9850</v>
      </c>
      <c r="B2202" s="4" t="s">
        <v>117</v>
      </c>
      <c r="C2202" s="38" t="s">
        <v>1730</v>
      </c>
      <c r="D2202" s="4">
        <v>2021</v>
      </c>
      <c r="E2202" s="4" t="s">
        <v>21</v>
      </c>
      <c r="F2202" s="4">
        <v>30</v>
      </c>
      <c r="G2202" s="4">
        <v>45</v>
      </c>
      <c r="H2202" s="4">
        <v>146.23423</v>
      </c>
    </row>
    <row r="2203" spans="1:8" s="5" customFormat="1" ht="27.75" hidden="1" customHeight="1" outlineLevel="1" x14ac:dyDescent="0.25">
      <c r="A2203" s="42">
        <v>9856</v>
      </c>
      <c r="B2203" s="4" t="s">
        <v>117</v>
      </c>
      <c r="C2203" s="38" t="s">
        <v>1731</v>
      </c>
      <c r="D2203" s="4">
        <v>2021</v>
      </c>
      <c r="E2203" s="4" t="s">
        <v>21</v>
      </c>
      <c r="F2203" s="4">
        <v>40</v>
      </c>
      <c r="G2203" s="4">
        <v>30</v>
      </c>
      <c r="H2203" s="4">
        <v>70.646060000000006</v>
      </c>
    </row>
    <row r="2204" spans="1:8" s="5" customFormat="1" ht="27.75" hidden="1" customHeight="1" outlineLevel="1" x14ac:dyDescent="0.25">
      <c r="A2204" s="42">
        <v>9868</v>
      </c>
      <c r="B2204" s="4" t="s">
        <v>117</v>
      </c>
      <c r="C2204" s="38" t="s">
        <v>1732</v>
      </c>
      <c r="D2204" s="4">
        <v>2021</v>
      </c>
      <c r="E2204" s="4" t="s">
        <v>21</v>
      </c>
      <c r="F2204" s="4">
        <v>90</v>
      </c>
      <c r="G2204" s="4">
        <v>30</v>
      </c>
      <c r="H2204" s="4">
        <v>138.43224000000001</v>
      </c>
    </row>
    <row r="2205" spans="1:8" s="5" customFormat="1" ht="27.75" hidden="1" customHeight="1" outlineLevel="1" x14ac:dyDescent="0.25">
      <c r="A2205" s="42">
        <v>9759</v>
      </c>
      <c r="B2205" s="4" t="s">
        <v>117</v>
      </c>
      <c r="C2205" s="38" t="s">
        <v>1733</v>
      </c>
      <c r="D2205" s="4">
        <v>2021</v>
      </c>
      <c r="E2205" s="4" t="s">
        <v>21</v>
      </c>
      <c r="F2205" s="4">
        <v>60</v>
      </c>
      <c r="G2205" s="4">
        <v>10</v>
      </c>
      <c r="H2205" s="4">
        <v>78.046999999999997</v>
      </c>
    </row>
    <row r="2206" spans="1:8" s="5" customFormat="1" ht="27.75" hidden="1" customHeight="1" outlineLevel="1" x14ac:dyDescent="0.25">
      <c r="A2206" s="42">
        <v>9758</v>
      </c>
      <c r="B2206" s="4" t="s">
        <v>117</v>
      </c>
      <c r="C2206" s="38" t="s">
        <v>1734</v>
      </c>
      <c r="D2206" s="4">
        <v>2021</v>
      </c>
      <c r="E2206" s="4" t="s">
        <v>21</v>
      </c>
      <c r="F2206" s="4">
        <v>40</v>
      </c>
      <c r="G2206" s="4">
        <v>15</v>
      </c>
      <c r="H2206" s="4">
        <v>69.237219999999994</v>
      </c>
    </row>
    <row r="2207" spans="1:8" s="5" customFormat="1" ht="27.75" hidden="1" customHeight="1" outlineLevel="1" x14ac:dyDescent="0.25">
      <c r="A2207" s="42">
        <v>9517</v>
      </c>
      <c r="B2207" s="4" t="s">
        <v>117</v>
      </c>
      <c r="C2207" s="38" t="s">
        <v>1735</v>
      </c>
      <c r="D2207" s="4">
        <v>2021</v>
      </c>
      <c r="E2207" s="4" t="s">
        <v>21</v>
      </c>
      <c r="F2207" s="4">
        <v>431</v>
      </c>
      <c r="G2207" s="4">
        <v>105</v>
      </c>
      <c r="H2207" s="4">
        <v>436.17964000000001</v>
      </c>
    </row>
    <row r="2208" spans="1:8" s="5" customFormat="1" ht="27.75" hidden="1" customHeight="1" outlineLevel="1" x14ac:dyDescent="0.25">
      <c r="A2208" s="42">
        <v>9527</v>
      </c>
      <c r="B2208" s="4" t="s">
        <v>117</v>
      </c>
      <c r="C2208" s="38" t="s">
        <v>1736</v>
      </c>
      <c r="D2208" s="4">
        <v>2021</v>
      </c>
      <c r="E2208" s="4" t="s">
        <v>21</v>
      </c>
      <c r="F2208" s="4">
        <v>37</v>
      </c>
      <c r="G2208" s="4">
        <v>15</v>
      </c>
      <c r="H2208" s="4">
        <v>124.25194</v>
      </c>
    </row>
    <row r="2209" spans="1:8" s="5" customFormat="1" ht="27.75" hidden="1" customHeight="1" outlineLevel="1" x14ac:dyDescent="0.25">
      <c r="A2209" s="42">
        <v>9840</v>
      </c>
      <c r="B2209" s="4" t="s">
        <v>117</v>
      </c>
      <c r="C2209" s="38" t="s">
        <v>1737</v>
      </c>
      <c r="D2209" s="4">
        <v>2021</v>
      </c>
      <c r="E2209" s="4" t="s">
        <v>21</v>
      </c>
      <c r="F2209" s="4">
        <v>30</v>
      </c>
      <c r="G2209" s="4">
        <v>20</v>
      </c>
      <c r="H2209" s="4">
        <v>41.455959999999997</v>
      </c>
    </row>
    <row r="2210" spans="1:8" s="5" customFormat="1" ht="27.75" hidden="1" customHeight="1" outlineLevel="1" x14ac:dyDescent="0.25">
      <c r="A2210" s="42">
        <v>9754</v>
      </c>
      <c r="B2210" s="4" t="s">
        <v>117</v>
      </c>
      <c r="C2210" s="38" t="s">
        <v>1738</v>
      </c>
      <c r="D2210" s="4">
        <v>2021</v>
      </c>
      <c r="E2210" s="4" t="s">
        <v>21</v>
      </c>
      <c r="F2210" s="4">
        <v>70</v>
      </c>
      <c r="G2210" s="4">
        <v>15</v>
      </c>
      <c r="H2210" s="4">
        <v>94.334530000000001</v>
      </c>
    </row>
    <row r="2211" spans="1:8" s="5" customFormat="1" ht="27.75" hidden="1" customHeight="1" outlineLevel="1" x14ac:dyDescent="0.25">
      <c r="A2211" s="42">
        <v>9750</v>
      </c>
      <c r="B2211" s="4" t="s">
        <v>117</v>
      </c>
      <c r="C2211" s="38" t="s">
        <v>1739</v>
      </c>
      <c r="D2211" s="4">
        <v>2021</v>
      </c>
      <c r="E2211" s="4" t="s">
        <v>21</v>
      </c>
      <c r="F2211" s="4">
        <v>65</v>
      </c>
      <c r="G2211" s="4">
        <v>15</v>
      </c>
      <c r="H2211" s="4">
        <v>85.463220000000007</v>
      </c>
    </row>
    <row r="2212" spans="1:8" s="5" customFormat="1" ht="27.75" hidden="1" customHeight="1" outlineLevel="1" x14ac:dyDescent="0.25">
      <c r="A2212" s="43">
        <v>969</v>
      </c>
      <c r="B2212" s="4" t="s">
        <v>117</v>
      </c>
      <c r="C2212" s="38" t="s">
        <v>1740</v>
      </c>
      <c r="D2212" s="4">
        <v>2021</v>
      </c>
      <c r="E2212" s="4" t="s">
        <v>21</v>
      </c>
      <c r="F2212" s="4">
        <v>3</v>
      </c>
      <c r="G2212" s="4">
        <v>15</v>
      </c>
      <c r="H2212" s="4">
        <v>140.13737</v>
      </c>
    </row>
    <row r="2213" spans="1:8" s="5" customFormat="1" ht="27.75" hidden="1" customHeight="1" outlineLevel="1" x14ac:dyDescent="0.25">
      <c r="A2213" s="42">
        <v>9622</v>
      </c>
      <c r="B2213" s="4" t="s">
        <v>117</v>
      </c>
      <c r="C2213" s="38" t="s">
        <v>1741</v>
      </c>
      <c r="D2213" s="4">
        <v>2021</v>
      </c>
      <c r="E2213" s="4" t="s">
        <v>21</v>
      </c>
      <c r="F2213" s="4">
        <v>5</v>
      </c>
      <c r="G2213" s="4">
        <v>1</v>
      </c>
      <c r="H2213" s="4">
        <v>44.097499999999997</v>
      </c>
    </row>
    <row r="2214" spans="1:8" s="5" customFormat="1" ht="27.75" hidden="1" customHeight="1" outlineLevel="1" x14ac:dyDescent="0.25">
      <c r="A2214" s="42">
        <v>9627</v>
      </c>
      <c r="B2214" s="4" t="s">
        <v>117</v>
      </c>
      <c r="C2214" s="38" t="s">
        <v>1742</v>
      </c>
      <c r="D2214" s="4">
        <v>2021</v>
      </c>
      <c r="E2214" s="4" t="s">
        <v>21</v>
      </c>
      <c r="F2214" s="4">
        <v>162</v>
      </c>
      <c r="G2214" s="4">
        <v>150</v>
      </c>
      <c r="H2214" s="4">
        <v>341.02643</v>
      </c>
    </row>
    <row r="2215" spans="1:8" s="5" customFormat="1" ht="27.75" hidden="1" customHeight="1" outlineLevel="1" x14ac:dyDescent="0.25">
      <c r="A2215" s="43">
        <v>9853</v>
      </c>
      <c r="B2215" s="4" t="s">
        <v>117</v>
      </c>
      <c r="C2215" s="38" t="s">
        <v>1743</v>
      </c>
      <c r="D2215" s="4">
        <v>2021</v>
      </c>
      <c r="E2215" s="4" t="s">
        <v>21</v>
      </c>
      <c r="F2215" s="4">
        <v>55</v>
      </c>
      <c r="G2215" s="4">
        <v>30</v>
      </c>
      <c r="H2215" s="4">
        <v>96.436179999999993</v>
      </c>
    </row>
    <row r="2216" spans="1:8" s="5" customFormat="1" ht="27.75" hidden="1" customHeight="1" outlineLevel="1" x14ac:dyDescent="0.25">
      <c r="A2216" s="42">
        <v>9858</v>
      </c>
      <c r="B2216" s="4" t="s">
        <v>117</v>
      </c>
      <c r="C2216" s="38" t="s">
        <v>1744</v>
      </c>
      <c r="D2216" s="4">
        <v>2021</v>
      </c>
      <c r="E2216" s="4" t="s">
        <v>21</v>
      </c>
      <c r="F2216" s="4">
        <v>165</v>
      </c>
      <c r="G2216" s="4">
        <v>14</v>
      </c>
      <c r="H2216" s="4">
        <v>152.95061000000001</v>
      </c>
    </row>
    <row r="2217" spans="1:8" s="5" customFormat="1" ht="27.75" hidden="1" customHeight="1" outlineLevel="1" x14ac:dyDescent="0.25">
      <c r="A2217" s="43">
        <v>1358</v>
      </c>
      <c r="B2217" s="4" t="s">
        <v>117</v>
      </c>
      <c r="C2217" s="38" t="s">
        <v>1745</v>
      </c>
      <c r="D2217" s="4">
        <v>2021</v>
      </c>
      <c r="E2217" s="4" t="s">
        <v>21</v>
      </c>
      <c r="F2217" s="4">
        <v>75</v>
      </c>
      <c r="G2217" s="4">
        <v>15</v>
      </c>
      <c r="H2217" s="4">
        <v>75.788939999999997</v>
      </c>
    </row>
    <row r="2218" spans="1:8" s="5" customFormat="1" ht="27.75" hidden="1" customHeight="1" outlineLevel="1" x14ac:dyDescent="0.25">
      <c r="A2218" s="42">
        <v>9621</v>
      </c>
      <c r="B2218" s="4" t="s">
        <v>117</v>
      </c>
      <c r="C2218" s="38" t="s">
        <v>1746</v>
      </c>
      <c r="D2218" s="4">
        <v>2021</v>
      </c>
      <c r="E2218" s="4" t="s">
        <v>21</v>
      </c>
      <c r="F2218" s="4">
        <v>38</v>
      </c>
      <c r="G2218" s="4">
        <v>15</v>
      </c>
      <c r="H2218" s="4">
        <v>115.37439000000001</v>
      </c>
    </row>
    <row r="2219" spans="1:8" s="5" customFormat="1" ht="27.75" hidden="1" customHeight="1" outlineLevel="1" x14ac:dyDescent="0.25">
      <c r="A2219" s="42">
        <v>9839</v>
      </c>
      <c r="B2219" s="4" t="s">
        <v>117</v>
      </c>
      <c r="C2219" s="38" t="s">
        <v>1747</v>
      </c>
      <c r="D2219" s="4">
        <v>2021</v>
      </c>
      <c r="E2219" s="4" t="s">
        <v>21</v>
      </c>
      <c r="F2219" s="4">
        <v>132</v>
      </c>
      <c r="G2219" s="4">
        <v>15</v>
      </c>
      <c r="H2219" s="4">
        <v>297.20033999999998</v>
      </c>
    </row>
    <row r="2220" spans="1:8" s="5" customFormat="1" ht="27.75" hidden="1" customHeight="1" outlineLevel="1" x14ac:dyDescent="0.25">
      <c r="A2220" s="42">
        <v>9617</v>
      </c>
      <c r="B2220" s="4" t="s">
        <v>117</v>
      </c>
      <c r="C2220" s="38" t="s">
        <v>1748</v>
      </c>
      <c r="D2220" s="4">
        <v>2021</v>
      </c>
      <c r="E2220" s="4" t="s">
        <v>21</v>
      </c>
      <c r="F2220" s="4">
        <v>38</v>
      </c>
      <c r="G2220" s="4">
        <v>15</v>
      </c>
      <c r="H2220" s="4">
        <v>43.39217</v>
      </c>
    </row>
    <row r="2221" spans="1:8" s="5" customFormat="1" ht="27.75" hidden="1" customHeight="1" outlineLevel="1" x14ac:dyDescent="0.25">
      <c r="A2221" s="42">
        <v>9620</v>
      </c>
      <c r="B2221" s="4" t="s">
        <v>117</v>
      </c>
      <c r="C2221" s="38" t="s">
        <v>1749</v>
      </c>
      <c r="D2221" s="4">
        <v>2021</v>
      </c>
      <c r="E2221" s="4" t="s">
        <v>21</v>
      </c>
      <c r="F2221" s="4">
        <v>5</v>
      </c>
      <c r="G2221" s="4">
        <v>15</v>
      </c>
      <c r="H2221" s="4">
        <v>41.63006</v>
      </c>
    </row>
    <row r="2222" spans="1:8" s="5" customFormat="1" ht="27.75" hidden="1" customHeight="1" outlineLevel="1" x14ac:dyDescent="0.25">
      <c r="A2222" s="42">
        <v>9484</v>
      </c>
      <c r="B2222" s="4" t="s">
        <v>117</v>
      </c>
      <c r="C2222" s="38" t="s">
        <v>1750</v>
      </c>
      <c r="D2222" s="4">
        <v>2021</v>
      </c>
      <c r="E2222" s="4" t="s">
        <v>21</v>
      </c>
      <c r="F2222" s="4">
        <v>223</v>
      </c>
      <c r="G2222" s="4">
        <v>15</v>
      </c>
      <c r="H2222" s="4">
        <v>472.13198</v>
      </c>
    </row>
    <row r="2223" spans="1:8" s="5" customFormat="1" ht="27.75" hidden="1" customHeight="1" outlineLevel="1" x14ac:dyDescent="0.25">
      <c r="A2223" s="42">
        <v>9529</v>
      </c>
      <c r="B2223" s="4" t="s">
        <v>117</v>
      </c>
      <c r="C2223" s="38" t="s">
        <v>1751</v>
      </c>
      <c r="D2223" s="4">
        <v>2021</v>
      </c>
      <c r="E2223" s="4" t="s">
        <v>21</v>
      </c>
      <c r="F2223" s="4">
        <v>300</v>
      </c>
      <c r="G2223" s="4">
        <v>30</v>
      </c>
      <c r="H2223" s="4">
        <v>110.54195</v>
      </c>
    </row>
    <row r="2224" spans="1:8" s="5" customFormat="1" ht="27.75" hidden="1" customHeight="1" outlineLevel="1" x14ac:dyDescent="0.25">
      <c r="A2224" s="42">
        <v>9827</v>
      </c>
      <c r="B2224" s="4" t="s">
        <v>117</v>
      </c>
      <c r="C2224" s="38" t="s">
        <v>1752</v>
      </c>
      <c r="D2224" s="4">
        <v>2021</v>
      </c>
      <c r="E2224" s="4" t="s">
        <v>21</v>
      </c>
      <c r="F2224" s="4">
        <v>50</v>
      </c>
      <c r="G2224" s="4">
        <v>50</v>
      </c>
      <c r="H2224" s="4">
        <v>83.956569999999999</v>
      </c>
    </row>
    <row r="2225" spans="1:8" s="5" customFormat="1" ht="27.75" hidden="1" customHeight="1" outlineLevel="1" x14ac:dyDescent="0.25">
      <c r="A2225" s="42">
        <v>9486</v>
      </c>
      <c r="B2225" s="4" t="s">
        <v>117</v>
      </c>
      <c r="C2225" s="38" t="s">
        <v>1753</v>
      </c>
      <c r="D2225" s="4">
        <v>2021</v>
      </c>
      <c r="E2225" s="4" t="s">
        <v>21</v>
      </c>
      <c r="F2225" s="4">
        <v>5</v>
      </c>
      <c r="G2225" s="4">
        <v>15</v>
      </c>
      <c r="H2225" s="4">
        <v>53.215229999999998</v>
      </c>
    </row>
    <row r="2226" spans="1:8" s="5" customFormat="1" ht="27.75" hidden="1" customHeight="1" outlineLevel="1" x14ac:dyDescent="0.25">
      <c r="A2226" s="42">
        <v>9767</v>
      </c>
      <c r="B2226" s="4" t="s">
        <v>117</v>
      </c>
      <c r="C2226" s="38" t="s">
        <v>1754</v>
      </c>
      <c r="D2226" s="4">
        <v>2021</v>
      </c>
      <c r="E2226" s="4" t="s">
        <v>21</v>
      </c>
      <c r="F2226" s="4">
        <v>30</v>
      </c>
      <c r="G2226" s="4">
        <v>15</v>
      </c>
      <c r="H2226" s="4">
        <v>73.856999999999999</v>
      </c>
    </row>
    <row r="2227" spans="1:8" s="5" customFormat="1" ht="27.75" hidden="1" customHeight="1" outlineLevel="1" x14ac:dyDescent="0.25">
      <c r="A2227" s="42">
        <v>9765</v>
      </c>
      <c r="B2227" s="4" t="s">
        <v>117</v>
      </c>
      <c r="C2227" s="38" t="s">
        <v>1755</v>
      </c>
      <c r="D2227" s="4">
        <v>2021</v>
      </c>
      <c r="E2227" s="4" t="s">
        <v>21</v>
      </c>
      <c r="F2227" s="4">
        <v>65</v>
      </c>
      <c r="G2227" s="4">
        <v>15</v>
      </c>
      <c r="H2227" s="4">
        <v>80.188090000000003</v>
      </c>
    </row>
    <row r="2228" spans="1:8" s="5" customFormat="1" ht="27.75" hidden="1" customHeight="1" outlineLevel="1" x14ac:dyDescent="0.25">
      <c r="A2228" s="42">
        <v>9761</v>
      </c>
      <c r="B2228" s="4" t="s">
        <v>117</v>
      </c>
      <c r="C2228" s="38" t="s">
        <v>1756</v>
      </c>
      <c r="D2228" s="4">
        <v>2021</v>
      </c>
      <c r="E2228" s="4" t="s">
        <v>21</v>
      </c>
      <c r="F2228" s="4">
        <v>150</v>
      </c>
      <c r="G2228" s="4">
        <v>15</v>
      </c>
      <c r="H2228" s="4">
        <v>141.34809000000001</v>
      </c>
    </row>
    <row r="2229" spans="1:8" s="5" customFormat="1" ht="27.75" hidden="1" customHeight="1" outlineLevel="1" x14ac:dyDescent="0.25">
      <c r="A2229" s="43">
        <v>1346</v>
      </c>
      <c r="B2229" s="4" t="s">
        <v>117</v>
      </c>
      <c r="C2229" s="38" t="s">
        <v>1757</v>
      </c>
      <c r="D2229" s="4">
        <v>2021</v>
      </c>
      <c r="E2229" s="4" t="s">
        <v>21</v>
      </c>
      <c r="F2229" s="4">
        <v>60</v>
      </c>
      <c r="G2229" s="4">
        <v>15</v>
      </c>
      <c r="H2229" s="4">
        <v>89.751450000000006</v>
      </c>
    </row>
    <row r="2230" spans="1:8" s="5" customFormat="1" ht="27.75" hidden="1" customHeight="1" outlineLevel="1" x14ac:dyDescent="0.25">
      <c r="A2230" s="43">
        <v>1347</v>
      </c>
      <c r="B2230" s="4" t="s">
        <v>117</v>
      </c>
      <c r="C2230" s="38" t="s">
        <v>1758</v>
      </c>
      <c r="D2230" s="4">
        <v>2021</v>
      </c>
      <c r="E2230" s="4" t="s">
        <v>21</v>
      </c>
      <c r="F2230" s="4">
        <v>100</v>
      </c>
      <c r="G2230" s="4">
        <v>15</v>
      </c>
      <c r="H2230" s="4">
        <v>142.41451000000001</v>
      </c>
    </row>
    <row r="2231" spans="1:8" s="5" customFormat="1" ht="27.75" hidden="1" customHeight="1" outlineLevel="1" x14ac:dyDescent="0.25">
      <c r="A2231" s="43">
        <v>1340</v>
      </c>
      <c r="B2231" s="4" t="s">
        <v>117</v>
      </c>
      <c r="C2231" s="38" t="s">
        <v>1759</v>
      </c>
      <c r="D2231" s="4">
        <v>2021</v>
      </c>
      <c r="E2231" s="4" t="s">
        <v>21</v>
      </c>
      <c r="F2231" s="4">
        <v>30</v>
      </c>
      <c r="G2231" s="4">
        <v>15</v>
      </c>
      <c r="H2231" s="4">
        <v>61.087040000000002</v>
      </c>
    </row>
    <row r="2232" spans="1:8" s="5" customFormat="1" ht="27.75" hidden="1" customHeight="1" outlineLevel="1" x14ac:dyDescent="0.25">
      <c r="A2232" s="43">
        <v>781</v>
      </c>
      <c r="B2232" s="4" t="s">
        <v>117</v>
      </c>
      <c r="C2232" s="38" t="s">
        <v>1760</v>
      </c>
      <c r="D2232" s="4">
        <v>2021</v>
      </c>
      <c r="E2232" s="4" t="s">
        <v>21</v>
      </c>
      <c r="F2232" s="4">
        <v>51</v>
      </c>
      <c r="G2232" s="4">
        <v>15</v>
      </c>
      <c r="H2232" s="4">
        <v>176.80512999999999</v>
      </c>
    </row>
    <row r="2233" spans="1:8" s="5" customFormat="1" ht="27.75" hidden="1" customHeight="1" outlineLevel="1" x14ac:dyDescent="0.25">
      <c r="A2233" s="43">
        <v>1521</v>
      </c>
      <c r="B2233" s="4" t="s">
        <v>117</v>
      </c>
      <c r="C2233" s="38" t="s">
        <v>1761</v>
      </c>
      <c r="D2233" s="4">
        <v>2021</v>
      </c>
      <c r="E2233" s="4" t="s">
        <v>21</v>
      </c>
      <c r="F2233" s="4">
        <v>20</v>
      </c>
      <c r="G2233" s="4">
        <v>15</v>
      </c>
      <c r="H2233" s="4">
        <v>70.152789999999996</v>
      </c>
    </row>
    <row r="2234" spans="1:8" s="5" customFormat="1" ht="27.75" hidden="1" customHeight="1" outlineLevel="1" x14ac:dyDescent="0.25">
      <c r="A2234" s="43">
        <v>1489</v>
      </c>
      <c r="B2234" s="4" t="s">
        <v>117</v>
      </c>
      <c r="C2234" s="38" t="s">
        <v>1762</v>
      </c>
      <c r="D2234" s="4">
        <v>2021</v>
      </c>
      <c r="E2234" s="4" t="s">
        <v>21</v>
      </c>
      <c r="F2234" s="4">
        <v>253</v>
      </c>
      <c r="G2234" s="4">
        <v>15</v>
      </c>
      <c r="H2234" s="4">
        <v>477.41198000000003</v>
      </c>
    </row>
    <row r="2235" spans="1:8" s="5" customFormat="1" ht="27.75" hidden="1" customHeight="1" outlineLevel="1" x14ac:dyDescent="0.25">
      <c r="A2235" s="42">
        <v>9869</v>
      </c>
      <c r="B2235" s="4" t="s">
        <v>117</v>
      </c>
      <c r="C2235" s="38" t="s">
        <v>1763</v>
      </c>
      <c r="D2235" s="4">
        <v>2021</v>
      </c>
      <c r="E2235" s="4" t="s">
        <v>21</v>
      </c>
      <c r="F2235" s="4">
        <v>100</v>
      </c>
      <c r="G2235" s="4">
        <v>15</v>
      </c>
      <c r="H2235" s="4">
        <v>160.73772</v>
      </c>
    </row>
    <row r="2236" spans="1:8" s="5" customFormat="1" ht="27.75" hidden="1" customHeight="1" outlineLevel="1" x14ac:dyDescent="0.25">
      <c r="A2236" s="42">
        <v>9748</v>
      </c>
      <c r="B2236" s="4" t="s">
        <v>117</v>
      </c>
      <c r="C2236" s="38" t="s">
        <v>1764</v>
      </c>
      <c r="D2236" s="4">
        <v>2021</v>
      </c>
      <c r="E2236" s="4" t="s">
        <v>21</v>
      </c>
      <c r="F2236" s="4">
        <v>80</v>
      </c>
      <c r="G2236" s="4">
        <v>15</v>
      </c>
      <c r="H2236" s="4">
        <v>115.24428</v>
      </c>
    </row>
    <row r="2237" spans="1:8" s="5" customFormat="1" ht="27.75" hidden="1" customHeight="1" outlineLevel="1" x14ac:dyDescent="0.25">
      <c r="A2237" s="42">
        <v>9447</v>
      </c>
      <c r="B2237" s="4" t="s">
        <v>117</v>
      </c>
      <c r="C2237" s="38" t="s">
        <v>1765</v>
      </c>
      <c r="D2237" s="4">
        <v>2021</v>
      </c>
      <c r="E2237" s="4" t="s">
        <v>21</v>
      </c>
      <c r="F2237" s="4">
        <v>70</v>
      </c>
      <c r="G2237" s="4">
        <v>10</v>
      </c>
      <c r="H2237" s="4">
        <v>131.59376</v>
      </c>
    </row>
    <row r="2238" spans="1:8" s="5" customFormat="1" ht="27.75" hidden="1" customHeight="1" outlineLevel="1" x14ac:dyDescent="0.25">
      <c r="A2238" s="43">
        <v>1355</v>
      </c>
      <c r="B2238" s="4" t="s">
        <v>117</v>
      </c>
      <c r="C2238" s="38" t="s">
        <v>1766</v>
      </c>
      <c r="D2238" s="4">
        <v>2021</v>
      </c>
      <c r="E2238" s="4" t="s">
        <v>21</v>
      </c>
      <c r="F2238" s="4">
        <v>60</v>
      </c>
      <c r="G2238" s="4">
        <v>15</v>
      </c>
      <c r="H2238" s="4">
        <v>123.34695000000001</v>
      </c>
    </row>
    <row r="2239" spans="1:8" s="5" customFormat="1" ht="27.75" hidden="1" customHeight="1" outlineLevel="1" x14ac:dyDescent="0.25">
      <c r="A2239" s="42">
        <v>9456</v>
      </c>
      <c r="B2239" s="4" t="s">
        <v>117</v>
      </c>
      <c r="C2239" s="38" t="s">
        <v>1767</v>
      </c>
      <c r="D2239" s="4">
        <v>2021</v>
      </c>
      <c r="E2239" s="4" t="s">
        <v>21</v>
      </c>
      <c r="F2239" s="4">
        <v>90</v>
      </c>
      <c r="G2239" s="4">
        <v>15</v>
      </c>
      <c r="H2239" s="4">
        <v>192.17934</v>
      </c>
    </row>
    <row r="2240" spans="1:8" s="5" customFormat="1" ht="27.75" hidden="1" customHeight="1" outlineLevel="1" x14ac:dyDescent="0.25">
      <c r="A2240" s="42">
        <v>9512</v>
      </c>
      <c r="B2240" s="4" t="s">
        <v>117</v>
      </c>
      <c r="C2240" s="38" t="s">
        <v>1768</v>
      </c>
      <c r="D2240" s="4">
        <v>2021</v>
      </c>
      <c r="E2240" s="4" t="s">
        <v>21</v>
      </c>
      <c r="F2240" s="4">
        <v>256</v>
      </c>
      <c r="G2240" s="4">
        <v>15</v>
      </c>
      <c r="H2240" s="4">
        <v>350.25900999999999</v>
      </c>
    </row>
    <row r="2241" spans="1:8" s="5" customFormat="1" ht="27.75" hidden="1" customHeight="1" outlineLevel="1" x14ac:dyDescent="0.25">
      <c r="A2241" s="43">
        <v>1356</v>
      </c>
      <c r="B2241" s="4" t="s">
        <v>117</v>
      </c>
      <c r="C2241" s="38" t="s">
        <v>1769</v>
      </c>
      <c r="D2241" s="4">
        <v>2021</v>
      </c>
      <c r="E2241" s="4" t="s">
        <v>21</v>
      </c>
      <c r="F2241" s="4">
        <v>85</v>
      </c>
      <c r="G2241" s="4">
        <v>15</v>
      </c>
      <c r="H2241" s="4">
        <v>119.98927</v>
      </c>
    </row>
    <row r="2242" spans="1:8" s="5" customFormat="1" ht="27.75" hidden="1" customHeight="1" outlineLevel="1" x14ac:dyDescent="0.25">
      <c r="A2242" s="42">
        <v>9766</v>
      </c>
      <c r="B2242" s="4" t="s">
        <v>117</v>
      </c>
      <c r="C2242" s="38" t="s">
        <v>1770</v>
      </c>
      <c r="D2242" s="4">
        <v>2021</v>
      </c>
      <c r="E2242" s="4" t="s">
        <v>21</v>
      </c>
      <c r="F2242" s="4">
        <v>60</v>
      </c>
      <c r="G2242" s="4">
        <v>15</v>
      </c>
      <c r="H2242" s="4">
        <v>91.161439999999999</v>
      </c>
    </row>
    <row r="2243" spans="1:8" s="5" customFormat="1" ht="27.75" hidden="1" customHeight="1" outlineLevel="1" x14ac:dyDescent="0.25">
      <c r="A2243" s="43">
        <v>1341</v>
      </c>
      <c r="B2243" s="4" t="s">
        <v>117</v>
      </c>
      <c r="C2243" s="38" t="s">
        <v>1771</v>
      </c>
      <c r="D2243" s="4">
        <v>2021</v>
      </c>
      <c r="E2243" s="4" t="s">
        <v>21</v>
      </c>
      <c r="F2243" s="4">
        <v>85</v>
      </c>
      <c r="G2243" s="4">
        <v>29</v>
      </c>
      <c r="H2243" s="4">
        <v>114.23748999999999</v>
      </c>
    </row>
    <row r="2244" spans="1:8" s="5" customFormat="1" ht="27.75" hidden="1" customHeight="1" outlineLevel="1" x14ac:dyDescent="0.25">
      <c r="A2244" s="43">
        <v>1348</v>
      </c>
      <c r="B2244" s="4" t="s">
        <v>117</v>
      </c>
      <c r="C2244" s="38" t="s">
        <v>1772</v>
      </c>
      <c r="D2244" s="4">
        <v>2021</v>
      </c>
      <c r="E2244" s="4" t="s">
        <v>21</v>
      </c>
      <c r="F2244" s="4">
        <v>140</v>
      </c>
      <c r="G2244" s="4">
        <v>24</v>
      </c>
      <c r="H2244" s="4">
        <v>156.03694999999999</v>
      </c>
    </row>
    <row r="2245" spans="1:8" s="5" customFormat="1" ht="27.75" hidden="1" customHeight="1" outlineLevel="1" x14ac:dyDescent="0.25">
      <c r="A2245" s="42">
        <v>9873</v>
      </c>
      <c r="B2245" s="4" t="s">
        <v>117</v>
      </c>
      <c r="C2245" s="38" t="s">
        <v>1773</v>
      </c>
      <c r="D2245" s="4">
        <v>2021</v>
      </c>
      <c r="E2245" s="4" t="s">
        <v>21</v>
      </c>
      <c r="F2245" s="4">
        <v>239</v>
      </c>
      <c r="G2245" s="4">
        <v>10</v>
      </c>
      <c r="H2245" s="4">
        <v>397.15627999999998</v>
      </c>
    </row>
    <row r="2246" spans="1:8" s="5" customFormat="1" ht="27.75" hidden="1" customHeight="1" outlineLevel="1" x14ac:dyDescent="0.25">
      <c r="A2246" s="43">
        <v>1339</v>
      </c>
      <c r="B2246" s="4" t="s">
        <v>117</v>
      </c>
      <c r="C2246" s="38" t="s">
        <v>1774</v>
      </c>
      <c r="D2246" s="4">
        <v>2021</v>
      </c>
      <c r="E2246" s="4" t="s">
        <v>21</v>
      </c>
      <c r="F2246" s="4">
        <v>60</v>
      </c>
      <c r="G2246" s="4">
        <v>10</v>
      </c>
      <c r="H2246" s="4">
        <v>67.381299999999996</v>
      </c>
    </row>
    <row r="2247" spans="1:8" s="5" customFormat="1" ht="27.75" hidden="1" customHeight="1" outlineLevel="1" x14ac:dyDescent="0.25">
      <c r="A2247" s="42">
        <v>9752</v>
      </c>
      <c r="B2247" s="4" t="s">
        <v>117</v>
      </c>
      <c r="C2247" s="38" t="s">
        <v>1775</v>
      </c>
      <c r="D2247" s="4">
        <v>2021</v>
      </c>
      <c r="E2247" s="4" t="s">
        <v>21</v>
      </c>
      <c r="F2247" s="4">
        <v>30</v>
      </c>
      <c r="G2247" s="4">
        <v>5</v>
      </c>
      <c r="H2247" s="4">
        <v>36.614179999999998</v>
      </c>
    </row>
    <row r="2248" spans="1:8" s="5" customFormat="1" ht="27.75" hidden="1" customHeight="1" outlineLevel="1" x14ac:dyDescent="0.25">
      <c r="A2248" s="42">
        <v>9491</v>
      </c>
      <c r="B2248" s="4" t="s">
        <v>117</v>
      </c>
      <c r="C2248" s="38" t="s">
        <v>1776</v>
      </c>
      <c r="D2248" s="4">
        <v>2021</v>
      </c>
      <c r="E2248" s="4" t="s">
        <v>21</v>
      </c>
      <c r="F2248" s="4">
        <v>30</v>
      </c>
      <c r="G2248" s="4">
        <v>10</v>
      </c>
      <c r="H2248" s="4">
        <v>159.68848</v>
      </c>
    </row>
    <row r="2249" spans="1:8" s="5" customFormat="1" ht="27.75" hidden="1" customHeight="1" outlineLevel="1" x14ac:dyDescent="0.25">
      <c r="A2249" s="43">
        <v>722</v>
      </c>
      <c r="B2249" s="4" t="s">
        <v>117</v>
      </c>
      <c r="C2249" s="38" t="s">
        <v>1777</v>
      </c>
      <c r="D2249" s="4">
        <v>2021</v>
      </c>
      <c r="E2249" s="4" t="s">
        <v>21</v>
      </c>
      <c r="F2249" s="4">
        <v>30</v>
      </c>
      <c r="G2249" s="4">
        <v>15</v>
      </c>
      <c r="H2249" s="4">
        <v>28.879370000000002</v>
      </c>
    </row>
    <row r="2250" spans="1:8" s="5" customFormat="1" ht="27.75" hidden="1" customHeight="1" outlineLevel="1" x14ac:dyDescent="0.25">
      <c r="A2250" s="42">
        <v>9269</v>
      </c>
      <c r="B2250" s="4" t="s">
        <v>117</v>
      </c>
      <c r="C2250" s="38" t="s">
        <v>1778</v>
      </c>
      <c r="D2250" s="4">
        <v>2021</v>
      </c>
      <c r="E2250" s="4" t="s">
        <v>21</v>
      </c>
      <c r="F2250" s="4">
        <v>180</v>
      </c>
      <c r="G2250" s="4">
        <v>15</v>
      </c>
      <c r="H2250" s="4">
        <v>113.03068</v>
      </c>
    </row>
    <row r="2251" spans="1:8" s="5" customFormat="1" ht="27.75" hidden="1" customHeight="1" outlineLevel="1" x14ac:dyDescent="0.25">
      <c r="A2251" s="42">
        <v>9753</v>
      </c>
      <c r="B2251" s="4" t="s">
        <v>117</v>
      </c>
      <c r="C2251" s="38" t="s">
        <v>1779</v>
      </c>
      <c r="D2251" s="4">
        <v>2021</v>
      </c>
      <c r="E2251" s="4" t="s">
        <v>21</v>
      </c>
      <c r="F2251" s="4">
        <v>85</v>
      </c>
      <c r="G2251" s="4">
        <v>10</v>
      </c>
      <c r="H2251" s="4">
        <v>102.84502000000001</v>
      </c>
    </row>
    <row r="2252" spans="1:8" s="5" customFormat="1" ht="27.75" hidden="1" customHeight="1" outlineLevel="1" x14ac:dyDescent="0.25">
      <c r="A2252" s="42">
        <v>9762</v>
      </c>
      <c r="B2252" s="4" t="s">
        <v>117</v>
      </c>
      <c r="C2252" s="38" t="s">
        <v>1780</v>
      </c>
      <c r="D2252" s="4">
        <v>2021</v>
      </c>
      <c r="E2252" s="4" t="s">
        <v>21</v>
      </c>
      <c r="F2252" s="4">
        <v>90</v>
      </c>
      <c r="G2252" s="4">
        <v>14</v>
      </c>
      <c r="H2252" s="4">
        <v>101.32062999999999</v>
      </c>
    </row>
    <row r="2253" spans="1:8" s="5" customFormat="1" ht="27.75" hidden="1" customHeight="1" outlineLevel="1" x14ac:dyDescent="0.25">
      <c r="A2253" s="42">
        <v>9755</v>
      </c>
      <c r="B2253" s="4" t="s">
        <v>117</v>
      </c>
      <c r="C2253" s="38" t="s">
        <v>1781</v>
      </c>
      <c r="D2253" s="4">
        <v>2021</v>
      </c>
      <c r="E2253" s="4" t="s">
        <v>21</v>
      </c>
      <c r="F2253" s="4">
        <v>130</v>
      </c>
      <c r="G2253" s="4">
        <v>15</v>
      </c>
      <c r="H2253" s="4">
        <v>151.89248000000001</v>
      </c>
    </row>
    <row r="2254" spans="1:8" s="5" customFormat="1" ht="27.75" hidden="1" customHeight="1" outlineLevel="1" x14ac:dyDescent="0.25">
      <c r="A2254" s="42">
        <v>9756</v>
      </c>
      <c r="B2254" s="4" t="s">
        <v>117</v>
      </c>
      <c r="C2254" s="38" t="s">
        <v>1782</v>
      </c>
      <c r="D2254" s="4">
        <v>2021</v>
      </c>
      <c r="E2254" s="4" t="s">
        <v>21</v>
      </c>
      <c r="F2254" s="4">
        <v>283</v>
      </c>
      <c r="G2254" s="4">
        <v>15</v>
      </c>
      <c r="H2254" s="4">
        <v>489.16971000000001</v>
      </c>
    </row>
    <row r="2255" spans="1:8" s="5" customFormat="1" ht="27.75" hidden="1" customHeight="1" outlineLevel="1" x14ac:dyDescent="0.25">
      <c r="A2255" s="42">
        <v>9876</v>
      </c>
      <c r="B2255" s="4" t="s">
        <v>117</v>
      </c>
      <c r="C2255" s="38" t="s">
        <v>1783</v>
      </c>
      <c r="D2255" s="4">
        <v>2021</v>
      </c>
      <c r="E2255" s="4" t="s">
        <v>21</v>
      </c>
      <c r="F2255" s="4">
        <v>868</v>
      </c>
      <c r="G2255" s="4">
        <v>15</v>
      </c>
      <c r="H2255" s="4">
        <v>1860.1391100000001</v>
      </c>
    </row>
    <row r="2256" spans="1:8" s="5" customFormat="1" ht="27.75" hidden="1" customHeight="1" outlineLevel="1" x14ac:dyDescent="0.25">
      <c r="A2256" s="42">
        <v>9763</v>
      </c>
      <c r="B2256" s="4" t="s">
        <v>117</v>
      </c>
      <c r="C2256" s="38" t="s">
        <v>1784</v>
      </c>
      <c r="D2256" s="4">
        <v>2021</v>
      </c>
      <c r="E2256" s="4" t="s">
        <v>21</v>
      </c>
      <c r="F2256" s="4">
        <v>194</v>
      </c>
      <c r="G2256" s="4">
        <v>30</v>
      </c>
      <c r="H2256" s="4">
        <v>283.66816999999998</v>
      </c>
    </row>
    <row r="2257" spans="1:8" s="5" customFormat="1" ht="27.75" hidden="1" customHeight="1" outlineLevel="1" x14ac:dyDescent="0.25">
      <c r="A2257" s="42">
        <v>9448</v>
      </c>
      <c r="B2257" s="4" t="s">
        <v>117</v>
      </c>
      <c r="C2257" s="38" t="s">
        <v>1785</v>
      </c>
      <c r="D2257" s="4">
        <v>2021</v>
      </c>
      <c r="E2257" s="4" t="s">
        <v>21</v>
      </c>
      <c r="F2257" s="4">
        <v>5</v>
      </c>
      <c r="G2257" s="4">
        <v>15</v>
      </c>
      <c r="H2257" s="4">
        <v>156.78088</v>
      </c>
    </row>
    <row r="2258" spans="1:8" s="5" customFormat="1" ht="27.75" hidden="1" customHeight="1" outlineLevel="1" x14ac:dyDescent="0.25">
      <c r="A2258" s="43">
        <v>1487</v>
      </c>
      <c r="B2258" s="4" t="s">
        <v>117</v>
      </c>
      <c r="C2258" s="38" t="s">
        <v>1786</v>
      </c>
      <c r="D2258" s="4">
        <v>2021</v>
      </c>
      <c r="E2258" s="4" t="s">
        <v>21</v>
      </c>
      <c r="F2258" s="4">
        <v>196</v>
      </c>
      <c r="G2258" s="4">
        <v>15</v>
      </c>
      <c r="H2258" s="4">
        <v>291.77053999999998</v>
      </c>
    </row>
    <row r="2259" spans="1:8" s="5" customFormat="1" ht="27.75" hidden="1" customHeight="1" outlineLevel="1" x14ac:dyDescent="0.25">
      <c r="A2259" s="42">
        <v>9836</v>
      </c>
      <c r="B2259" s="4" t="s">
        <v>117</v>
      </c>
      <c r="C2259" s="38" t="s">
        <v>1787</v>
      </c>
      <c r="D2259" s="4">
        <v>2021</v>
      </c>
      <c r="E2259" s="4" t="s">
        <v>21</v>
      </c>
      <c r="F2259" s="4">
        <v>162</v>
      </c>
      <c r="G2259" s="4">
        <v>29</v>
      </c>
      <c r="H2259" s="4">
        <v>282.45461</v>
      </c>
    </row>
    <row r="2260" spans="1:8" s="5" customFormat="1" ht="27.75" hidden="1" customHeight="1" outlineLevel="1" x14ac:dyDescent="0.25">
      <c r="A2260" s="42">
        <v>9859</v>
      </c>
      <c r="B2260" s="4" t="s">
        <v>117</v>
      </c>
      <c r="C2260" s="38" t="s">
        <v>1788</v>
      </c>
      <c r="D2260" s="4">
        <v>2021</v>
      </c>
      <c r="E2260" s="4" t="s">
        <v>21</v>
      </c>
      <c r="F2260" s="4">
        <v>114</v>
      </c>
      <c r="G2260" s="4">
        <v>7</v>
      </c>
      <c r="H2260" s="4">
        <v>165.20024000000001</v>
      </c>
    </row>
    <row r="2261" spans="1:8" s="5" customFormat="1" ht="27.75" hidden="1" customHeight="1" outlineLevel="1" x14ac:dyDescent="0.25">
      <c r="A2261" s="42">
        <v>9847</v>
      </c>
      <c r="B2261" s="4" t="s">
        <v>117</v>
      </c>
      <c r="C2261" s="38" t="s">
        <v>1789</v>
      </c>
      <c r="D2261" s="4">
        <v>2021</v>
      </c>
      <c r="E2261" s="4" t="s">
        <v>21</v>
      </c>
      <c r="F2261" s="4">
        <v>125</v>
      </c>
      <c r="G2261" s="4">
        <v>15</v>
      </c>
      <c r="H2261" s="4">
        <v>221.41701</v>
      </c>
    </row>
    <row r="2262" spans="1:8" s="5" customFormat="1" ht="27.75" hidden="1" customHeight="1" outlineLevel="1" x14ac:dyDescent="0.25">
      <c r="A2262" s="42">
        <v>9815</v>
      </c>
      <c r="B2262" s="4" t="s">
        <v>117</v>
      </c>
      <c r="C2262" s="38" t="s">
        <v>1790</v>
      </c>
      <c r="D2262" s="4">
        <v>2021</v>
      </c>
      <c r="E2262" s="4" t="s">
        <v>21</v>
      </c>
      <c r="F2262" s="4">
        <v>202</v>
      </c>
      <c r="G2262" s="4">
        <v>15</v>
      </c>
      <c r="H2262" s="4">
        <v>287.60156000000001</v>
      </c>
    </row>
    <row r="2263" spans="1:8" s="5" customFormat="1" ht="27.75" hidden="1" customHeight="1" outlineLevel="1" x14ac:dyDescent="0.25">
      <c r="A2263" s="43">
        <v>9581</v>
      </c>
      <c r="B2263" s="4" t="s">
        <v>117</v>
      </c>
      <c r="C2263" s="38" t="s">
        <v>1791</v>
      </c>
      <c r="D2263" s="4">
        <v>2021</v>
      </c>
      <c r="E2263" s="4" t="s">
        <v>21</v>
      </c>
      <c r="F2263" s="4">
        <v>3</v>
      </c>
      <c r="G2263" s="4">
        <v>15</v>
      </c>
      <c r="H2263" s="4">
        <v>43.139879999999998</v>
      </c>
    </row>
    <row r="2264" spans="1:8" s="5" customFormat="1" ht="27.75" hidden="1" customHeight="1" outlineLevel="1" x14ac:dyDescent="0.25">
      <c r="A2264" s="42">
        <v>9825</v>
      </c>
      <c r="B2264" s="4" t="s">
        <v>117</v>
      </c>
      <c r="C2264" s="38" t="s">
        <v>1792</v>
      </c>
      <c r="D2264" s="4">
        <v>2021</v>
      </c>
      <c r="E2264" s="4" t="s">
        <v>21</v>
      </c>
      <c r="F2264" s="4">
        <v>70</v>
      </c>
      <c r="G2264" s="4">
        <v>15</v>
      </c>
      <c r="H2264" s="4">
        <v>133.73886999999999</v>
      </c>
    </row>
    <row r="2265" spans="1:8" s="5" customFormat="1" ht="27.75" hidden="1" customHeight="1" outlineLevel="1" x14ac:dyDescent="0.25">
      <c r="A2265" s="42">
        <v>9715</v>
      </c>
      <c r="B2265" s="4" t="s">
        <v>117</v>
      </c>
      <c r="C2265" s="59" t="s">
        <v>1793</v>
      </c>
      <c r="D2265" s="4">
        <v>2021</v>
      </c>
      <c r="E2265" s="4" t="s">
        <v>21</v>
      </c>
      <c r="F2265" s="4">
        <v>180</v>
      </c>
      <c r="G2265" s="4">
        <v>15</v>
      </c>
      <c r="H2265" s="4">
        <v>253.58369999999999</v>
      </c>
    </row>
    <row r="2266" spans="1:8" s="5" customFormat="1" ht="27.75" hidden="1" customHeight="1" outlineLevel="1" x14ac:dyDescent="0.25">
      <c r="A2266" s="42">
        <v>9871</v>
      </c>
      <c r="B2266" s="4" t="s">
        <v>117</v>
      </c>
      <c r="C2266" s="38" t="s">
        <v>1794</v>
      </c>
      <c r="D2266" s="4">
        <v>2021</v>
      </c>
      <c r="E2266" s="4" t="s">
        <v>21</v>
      </c>
      <c r="F2266" s="4">
        <v>100</v>
      </c>
      <c r="G2266" s="4">
        <v>15</v>
      </c>
      <c r="H2266" s="4">
        <v>192.09135000000001</v>
      </c>
    </row>
    <row r="2267" spans="1:8" s="5" customFormat="1" ht="27.75" hidden="1" customHeight="1" outlineLevel="1" x14ac:dyDescent="0.25">
      <c r="A2267" s="43">
        <v>1516</v>
      </c>
      <c r="B2267" s="4" t="s">
        <v>117</v>
      </c>
      <c r="C2267" s="38" t="s">
        <v>1795</v>
      </c>
      <c r="D2267" s="4">
        <v>2021</v>
      </c>
      <c r="E2267" s="4" t="s">
        <v>21</v>
      </c>
      <c r="F2267" s="4">
        <v>384</v>
      </c>
      <c r="G2267" s="4">
        <v>15</v>
      </c>
      <c r="H2267" s="4">
        <v>531.68168000000003</v>
      </c>
    </row>
    <row r="2268" spans="1:8" s="5" customFormat="1" ht="27.75" hidden="1" customHeight="1" outlineLevel="1" x14ac:dyDescent="0.25">
      <c r="A2268" s="42">
        <v>9857</v>
      </c>
      <c r="B2268" s="4" t="s">
        <v>117</v>
      </c>
      <c r="C2268" s="38" t="s">
        <v>1796</v>
      </c>
      <c r="D2268" s="4">
        <v>2021</v>
      </c>
      <c r="E2268" s="4" t="s">
        <v>21</v>
      </c>
      <c r="F2268" s="4">
        <v>160</v>
      </c>
      <c r="G2268" s="4">
        <v>15</v>
      </c>
      <c r="H2268" s="4">
        <v>164.72433000000001</v>
      </c>
    </row>
    <row r="2269" spans="1:8" s="5" customFormat="1" ht="27.75" hidden="1" customHeight="1" outlineLevel="1" x14ac:dyDescent="0.25">
      <c r="A2269" s="42">
        <v>9824</v>
      </c>
      <c r="B2269" s="4" t="s">
        <v>117</v>
      </c>
      <c r="C2269" s="38" t="s">
        <v>1797</v>
      </c>
      <c r="D2269" s="4">
        <v>2021</v>
      </c>
      <c r="E2269" s="4" t="s">
        <v>21</v>
      </c>
      <c r="F2269" s="4">
        <v>30</v>
      </c>
      <c r="G2269" s="4">
        <v>15</v>
      </c>
      <c r="H2269" s="4">
        <v>49.721457999999998</v>
      </c>
    </row>
    <row r="2270" spans="1:8" s="5" customFormat="1" ht="27.75" hidden="1" customHeight="1" outlineLevel="1" x14ac:dyDescent="0.25">
      <c r="A2270" s="43">
        <v>9823</v>
      </c>
      <c r="B2270" s="4" t="s">
        <v>117</v>
      </c>
      <c r="C2270" s="38" t="s">
        <v>1798</v>
      </c>
      <c r="D2270" s="4">
        <v>2021</v>
      </c>
      <c r="E2270" s="4" t="s">
        <v>21</v>
      </c>
      <c r="F2270" s="4">
        <v>40</v>
      </c>
      <c r="G2270" s="4">
        <v>24</v>
      </c>
      <c r="H2270" s="4">
        <v>51.271850000000001</v>
      </c>
    </row>
    <row r="2271" spans="1:8" s="5" customFormat="1" ht="27.75" hidden="1" customHeight="1" outlineLevel="1" x14ac:dyDescent="0.25">
      <c r="A2271" s="43">
        <v>1458</v>
      </c>
      <c r="B2271" s="4" t="s">
        <v>117</v>
      </c>
      <c r="C2271" s="38" t="s">
        <v>1799</v>
      </c>
      <c r="D2271" s="4">
        <v>2021</v>
      </c>
      <c r="E2271" s="4" t="s">
        <v>21</v>
      </c>
      <c r="F2271" s="4">
        <v>30</v>
      </c>
      <c r="G2271" s="4">
        <v>10</v>
      </c>
      <c r="H2271" s="4">
        <v>40.193959999999997</v>
      </c>
    </row>
    <row r="2272" spans="1:8" s="5" customFormat="1" ht="27.75" hidden="1" customHeight="1" outlineLevel="1" x14ac:dyDescent="0.25">
      <c r="A2272" s="43">
        <v>9764</v>
      </c>
      <c r="B2272" s="4" t="s">
        <v>117</v>
      </c>
      <c r="C2272" s="38" t="s">
        <v>1800</v>
      </c>
      <c r="D2272" s="4">
        <v>2021</v>
      </c>
      <c r="E2272" s="4" t="s">
        <v>21</v>
      </c>
      <c r="F2272" s="4">
        <v>85</v>
      </c>
      <c r="G2272" s="4">
        <v>15</v>
      </c>
      <c r="H2272" s="4">
        <v>114.75641</v>
      </c>
    </row>
    <row r="2273" spans="1:8" s="5" customFormat="1" ht="27.75" hidden="1" customHeight="1" outlineLevel="1" x14ac:dyDescent="0.25">
      <c r="A2273" s="42">
        <v>9751</v>
      </c>
      <c r="B2273" s="4" t="s">
        <v>117</v>
      </c>
      <c r="C2273" s="38" t="s">
        <v>1801</v>
      </c>
      <c r="D2273" s="4">
        <v>2021</v>
      </c>
      <c r="E2273" s="4" t="s">
        <v>21</v>
      </c>
      <c r="F2273" s="4">
        <v>100</v>
      </c>
      <c r="G2273" s="4">
        <v>12</v>
      </c>
      <c r="H2273" s="4">
        <v>75.21114</v>
      </c>
    </row>
    <row r="2274" spans="1:8" s="5" customFormat="1" ht="27.75" hidden="1" customHeight="1" outlineLevel="1" x14ac:dyDescent="0.25">
      <c r="A2274" s="42">
        <v>9760</v>
      </c>
      <c r="B2274" s="4" t="s">
        <v>117</v>
      </c>
      <c r="C2274" s="38" t="s">
        <v>1802</v>
      </c>
      <c r="D2274" s="4">
        <v>2021</v>
      </c>
      <c r="E2274" s="4" t="s">
        <v>21</v>
      </c>
      <c r="F2274" s="4">
        <v>35</v>
      </c>
      <c r="G2274" s="4">
        <v>30</v>
      </c>
      <c r="H2274" s="4">
        <v>73.574330000000003</v>
      </c>
    </row>
    <row r="2275" spans="1:8" s="5" customFormat="1" ht="27.75" hidden="1" customHeight="1" outlineLevel="1" x14ac:dyDescent="0.25">
      <c r="A2275" s="42">
        <v>9872</v>
      </c>
      <c r="B2275" s="4" t="s">
        <v>117</v>
      </c>
      <c r="C2275" s="38" t="s">
        <v>1803</v>
      </c>
      <c r="D2275" s="4">
        <v>2021</v>
      </c>
      <c r="E2275" s="4" t="s">
        <v>21</v>
      </c>
      <c r="F2275" s="4">
        <v>102</v>
      </c>
      <c r="G2275" s="4">
        <v>15</v>
      </c>
      <c r="H2275" s="4">
        <v>276.12</v>
      </c>
    </row>
    <row r="2276" spans="1:8" s="5" customFormat="1" ht="27.75" hidden="1" customHeight="1" outlineLevel="1" x14ac:dyDescent="0.25">
      <c r="A2276" s="42">
        <v>9749</v>
      </c>
      <c r="B2276" s="4" t="s">
        <v>117</v>
      </c>
      <c r="C2276" s="38" t="s">
        <v>1804</v>
      </c>
      <c r="D2276" s="4">
        <v>2021</v>
      </c>
      <c r="E2276" s="4" t="s">
        <v>21</v>
      </c>
      <c r="F2276" s="4">
        <v>30</v>
      </c>
      <c r="G2276" s="4">
        <v>15</v>
      </c>
      <c r="H2276" s="4">
        <v>44.851390000000002</v>
      </c>
    </row>
    <row r="2277" spans="1:8" s="5" customFormat="1" ht="78.75" hidden="1" outlineLevel="1" x14ac:dyDescent="0.25">
      <c r="A2277" s="4">
        <v>1867</v>
      </c>
      <c r="B2277" s="4" t="s">
        <v>117</v>
      </c>
      <c r="C2277" s="38" t="s">
        <v>619</v>
      </c>
      <c r="D2277" s="4">
        <v>2020</v>
      </c>
      <c r="E2277" s="4" t="s">
        <v>21</v>
      </c>
      <c r="F2277" s="4">
        <v>55</v>
      </c>
      <c r="G2277" s="4">
        <v>15</v>
      </c>
      <c r="H2277" s="4">
        <v>204</v>
      </c>
    </row>
    <row r="2278" spans="1:8" s="5" customFormat="1" ht="173.25" hidden="1" outlineLevel="1" x14ac:dyDescent="0.25">
      <c r="A2278" s="4">
        <v>1837</v>
      </c>
      <c r="B2278" s="4" t="s">
        <v>117</v>
      </c>
      <c r="C2278" s="38" t="s">
        <v>620</v>
      </c>
      <c r="D2278" s="4">
        <v>2020</v>
      </c>
      <c r="E2278" s="4" t="s">
        <v>21</v>
      </c>
      <c r="F2278" s="4">
        <v>90</v>
      </c>
      <c r="G2278" s="4">
        <v>24</v>
      </c>
      <c r="H2278" s="4">
        <v>252</v>
      </c>
    </row>
    <row r="2279" spans="1:8" s="5" customFormat="1" ht="94.5" hidden="1" outlineLevel="1" x14ac:dyDescent="0.25">
      <c r="A2279" s="4">
        <v>1851</v>
      </c>
      <c r="B2279" s="4" t="s">
        <v>117</v>
      </c>
      <c r="C2279" s="38" t="s">
        <v>621</v>
      </c>
      <c r="D2279" s="4">
        <v>2020</v>
      </c>
      <c r="E2279" s="4" t="s">
        <v>21</v>
      </c>
      <c r="F2279" s="4">
        <v>17</v>
      </c>
      <c r="G2279" s="4">
        <v>5</v>
      </c>
      <c r="H2279" s="4">
        <v>139</v>
      </c>
    </row>
    <row r="2280" spans="1:8" s="5" customFormat="1" ht="94.5" hidden="1" outlineLevel="1" x14ac:dyDescent="0.25">
      <c r="A2280" s="4">
        <v>1852</v>
      </c>
      <c r="B2280" s="4" t="s">
        <v>117</v>
      </c>
      <c r="C2280" s="38" t="s">
        <v>622</v>
      </c>
      <c r="D2280" s="4">
        <v>2020</v>
      </c>
      <c r="E2280" s="4" t="s">
        <v>21</v>
      </c>
      <c r="F2280" s="4">
        <v>15</v>
      </c>
      <c r="G2280" s="4">
        <v>15</v>
      </c>
      <c r="H2280" s="4">
        <v>95</v>
      </c>
    </row>
    <row r="2281" spans="1:8" s="5" customFormat="1" ht="78.75" hidden="1" outlineLevel="1" x14ac:dyDescent="0.25">
      <c r="A2281" s="4">
        <v>1865</v>
      </c>
      <c r="B2281" s="4" t="s">
        <v>117</v>
      </c>
      <c r="C2281" s="38" t="s">
        <v>623</v>
      </c>
      <c r="D2281" s="4">
        <v>2020</v>
      </c>
      <c r="E2281" s="4" t="s">
        <v>21</v>
      </c>
      <c r="F2281" s="4">
        <v>60</v>
      </c>
      <c r="G2281" s="4">
        <v>3</v>
      </c>
      <c r="H2281" s="4">
        <v>170</v>
      </c>
    </row>
    <row r="2282" spans="1:8" s="5" customFormat="1" ht="78.75" hidden="1" outlineLevel="1" x14ac:dyDescent="0.25">
      <c r="A2282" s="4">
        <v>161</v>
      </c>
      <c r="B2282" s="4" t="s">
        <v>117</v>
      </c>
      <c r="C2282" s="38" t="s">
        <v>495</v>
      </c>
      <c r="D2282" s="4">
        <v>2020</v>
      </c>
      <c r="E2282" s="4" t="s">
        <v>21</v>
      </c>
      <c r="F2282" s="4">
        <v>66</v>
      </c>
      <c r="G2282" s="4">
        <v>45</v>
      </c>
      <c r="H2282" s="4">
        <v>143</v>
      </c>
    </row>
    <row r="2283" spans="1:8" s="5" customFormat="1" ht="63" hidden="1" outlineLevel="1" x14ac:dyDescent="0.25">
      <c r="A2283" s="4">
        <v>139</v>
      </c>
      <c r="B2283" s="4" t="s">
        <v>117</v>
      </c>
      <c r="C2283" s="38" t="s">
        <v>624</v>
      </c>
      <c r="D2283" s="4">
        <v>2020</v>
      </c>
      <c r="E2283" s="4" t="s">
        <v>21</v>
      </c>
      <c r="F2283" s="4">
        <v>109</v>
      </c>
      <c r="G2283" s="4">
        <v>15</v>
      </c>
      <c r="H2283" s="4">
        <v>264</v>
      </c>
    </row>
    <row r="2284" spans="1:8" s="5" customFormat="1" ht="78.75" hidden="1" outlineLevel="1" x14ac:dyDescent="0.25">
      <c r="A2284" s="4">
        <v>1848</v>
      </c>
      <c r="B2284" s="4" t="s">
        <v>117</v>
      </c>
      <c r="C2284" s="38" t="s">
        <v>625</v>
      </c>
      <c r="D2284" s="4">
        <v>2020</v>
      </c>
      <c r="E2284" s="4" t="s">
        <v>21</v>
      </c>
      <c r="F2284" s="4">
        <v>95</v>
      </c>
      <c r="G2284" s="4">
        <v>15</v>
      </c>
      <c r="H2284" s="4">
        <v>227</v>
      </c>
    </row>
    <row r="2285" spans="1:8" s="5" customFormat="1" ht="78.75" hidden="1" outlineLevel="1" x14ac:dyDescent="0.25">
      <c r="A2285" s="4">
        <v>1857</v>
      </c>
      <c r="B2285" s="4" t="s">
        <v>117</v>
      </c>
      <c r="C2285" s="38" t="s">
        <v>626</v>
      </c>
      <c r="D2285" s="4">
        <v>2020</v>
      </c>
      <c r="E2285" s="4" t="s">
        <v>21</v>
      </c>
      <c r="F2285" s="4">
        <v>26</v>
      </c>
      <c r="G2285" s="4">
        <v>15</v>
      </c>
      <c r="H2285" s="4">
        <v>166</v>
      </c>
    </row>
    <row r="2286" spans="1:8" s="5" customFormat="1" ht="78.75" hidden="1" outlineLevel="1" x14ac:dyDescent="0.25">
      <c r="A2286" s="4">
        <v>1861</v>
      </c>
      <c r="B2286" s="4" t="s">
        <v>117</v>
      </c>
      <c r="C2286" s="38" t="s">
        <v>627</v>
      </c>
      <c r="D2286" s="4">
        <v>2020</v>
      </c>
      <c r="E2286" s="4" t="s">
        <v>21</v>
      </c>
      <c r="F2286" s="4">
        <v>308</v>
      </c>
      <c r="G2286" s="4">
        <v>15</v>
      </c>
      <c r="H2286" s="4">
        <v>489</v>
      </c>
    </row>
    <row r="2287" spans="1:8" s="5" customFormat="1" ht="47.25" hidden="1" outlineLevel="1" x14ac:dyDescent="0.25">
      <c r="A2287" s="4">
        <v>1898</v>
      </c>
      <c r="B2287" s="4" t="s">
        <v>117</v>
      </c>
      <c r="C2287" s="38" t="s">
        <v>628</v>
      </c>
      <c r="D2287" s="4">
        <v>2020</v>
      </c>
      <c r="E2287" s="4" t="s">
        <v>21</v>
      </c>
      <c r="F2287" s="4">
        <v>14</v>
      </c>
      <c r="G2287" s="4">
        <v>6</v>
      </c>
      <c r="H2287" s="4">
        <v>185</v>
      </c>
    </row>
    <row r="2288" spans="1:8" s="5" customFormat="1" ht="78.75" hidden="1" outlineLevel="1" x14ac:dyDescent="0.25">
      <c r="A2288" s="4">
        <v>363</v>
      </c>
      <c r="B2288" s="4" t="s">
        <v>117</v>
      </c>
      <c r="C2288" s="38" t="s">
        <v>629</v>
      </c>
      <c r="D2288" s="4">
        <v>2020</v>
      </c>
      <c r="E2288" s="4" t="s">
        <v>21</v>
      </c>
      <c r="F2288" s="4">
        <v>100</v>
      </c>
      <c r="G2288" s="4">
        <v>15</v>
      </c>
      <c r="H2288" s="4">
        <v>245</v>
      </c>
    </row>
    <row r="2289" spans="1:8" s="5" customFormat="1" ht="94.5" hidden="1" outlineLevel="1" x14ac:dyDescent="0.25">
      <c r="A2289" s="4">
        <v>606</v>
      </c>
      <c r="B2289" s="4" t="s">
        <v>117</v>
      </c>
      <c r="C2289" s="38" t="s">
        <v>630</v>
      </c>
      <c r="D2289" s="4">
        <v>2020</v>
      </c>
      <c r="E2289" s="4" t="s">
        <v>21</v>
      </c>
      <c r="F2289" s="4">
        <v>150</v>
      </c>
      <c r="G2289" s="4">
        <v>10</v>
      </c>
      <c r="H2289" s="4">
        <v>311</v>
      </c>
    </row>
    <row r="2290" spans="1:8" s="5" customFormat="1" ht="78.75" hidden="1" outlineLevel="1" x14ac:dyDescent="0.25">
      <c r="A2290" s="4">
        <v>1853</v>
      </c>
      <c r="B2290" s="4" t="s">
        <v>117</v>
      </c>
      <c r="C2290" s="38" t="s">
        <v>631</v>
      </c>
      <c r="D2290" s="4">
        <v>2020</v>
      </c>
      <c r="E2290" s="4" t="s">
        <v>21</v>
      </c>
      <c r="F2290" s="4">
        <v>17</v>
      </c>
      <c r="G2290" s="4">
        <v>5</v>
      </c>
      <c r="H2290" s="4">
        <v>173</v>
      </c>
    </row>
    <row r="2291" spans="1:8" s="5" customFormat="1" ht="94.5" hidden="1" outlineLevel="1" x14ac:dyDescent="0.25">
      <c r="A2291" s="4">
        <v>1868</v>
      </c>
      <c r="B2291" s="4" t="s">
        <v>117</v>
      </c>
      <c r="C2291" s="38" t="s">
        <v>632</v>
      </c>
      <c r="D2291" s="4">
        <v>2020</v>
      </c>
      <c r="E2291" s="4" t="s">
        <v>21</v>
      </c>
      <c r="F2291" s="4">
        <v>23</v>
      </c>
      <c r="G2291" s="4">
        <v>15</v>
      </c>
      <c r="H2291" s="4">
        <v>147</v>
      </c>
    </row>
    <row r="2292" spans="1:8" s="5" customFormat="1" ht="78.75" hidden="1" outlineLevel="1" x14ac:dyDescent="0.25">
      <c r="A2292" s="4">
        <v>1871</v>
      </c>
      <c r="B2292" s="4" t="s">
        <v>117</v>
      </c>
      <c r="C2292" s="38" t="s">
        <v>633</v>
      </c>
      <c r="D2292" s="4">
        <v>2020</v>
      </c>
      <c r="E2292" s="4" t="s">
        <v>21</v>
      </c>
      <c r="F2292" s="4">
        <v>160</v>
      </c>
      <c r="G2292" s="4">
        <v>10</v>
      </c>
      <c r="H2292" s="4">
        <v>271</v>
      </c>
    </row>
    <row r="2293" spans="1:8" s="5" customFormat="1" ht="78.75" hidden="1" outlineLevel="1" x14ac:dyDescent="0.25">
      <c r="A2293" s="4">
        <v>559</v>
      </c>
      <c r="B2293" s="4" t="s">
        <v>117</v>
      </c>
      <c r="C2293" s="38" t="s">
        <v>634</v>
      </c>
      <c r="D2293" s="4">
        <v>2020</v>
      </c>
      <c r="E2293" s="4" t="s">
        <v>21</v>
      </c>
      <c r="F2293" s="4">
        <v>26</v>
      </c>
      <c r="G2293" s="4">
        <v>15</v>
      </c>
      <c r="H2293" s="4">
        <v>133</v>
      </c>
    </row>
    <row r="2294" spans="1:8" s="5" customFormat="1" ht="78.75" hidden="1" outlineLevel="1" x14ac:dyDescent="0.25">
      <c r="A2294" s="4">
        <v>1862</v>
      </c>
      <c r="B2294" s="4" t="s">
        <v>117</v>
      </c>
      <c r="C2294" s="38" t="s">
        <v>635</v>
      </c>
      <c r="D2294" s="4">
        <v>2020</v>
      </c>
      <c r="E2294" s="4" t="s">
        <v>21</v>
      </c>
      <c r="F2294" s="4">
        <v>15</v>
      </c>
      <c r="G2294" s="4">
        <v>5</v>
      </c>
      <c r="H2294" s="4">
        <v>127</v>
      </c>
    </row>
    <row r="2295" spans="1:8" s="5" customFormat="1" ht="78.75" hidden="1" outlineLevel="1" x14ac:dyDescent="0.25">
      <c r="A2295" s="4">
        <v>1855</v>
      </c>
      <c r="B2295" s="4" t="s">
        <v>117</v>
      </c>
      <c r="C2295" s="38" t="s">
        <v>636</v>
      </c>
      <c r="D2295" s="4">
        <v>2020</v>
      </c>
      <c r="E2295" s="4" t="s">
        <v>21</v>
      </c>
      <c r="F2295" s="4">
        <v>10</v>
      </c>
      <c r="G2295" s="4">
        <v>5</v>
      </c>
      <c r="H2295" s="4">
        <v>135</v>
      </c>
    </row>
    <row r="2296" spans="1:8" s="5" customFormat="1" ht="47.25" hidden="1" outlineLevel="1" x14ac:dyDescent="0.25">
      <c r="A2296" s="4">
        <v>1844</v>
      </c>
      <c r="B2296" s="4" t="s">
        <v>117</v>
      </c>
      <c r="C2296" s="38" t="s">
        <v>637</v>
      </c>
      <c r="D2296" s="4">
        <v>2020</v>
      </c>
      <c r="E2296" s="4" t="s">
        <v>21</v>
      </c>
      <c r="F2296" s="4">
        <v>198</v>
      </c>
      <c r="G2296" s="4">
        <v>15</v>
      </c>
      <c r="H2296" s="4">
        <v>334</v>
      </c>
    </row>
    <row r="2297" spans="1:8" s="5" customFormat="1" ht="94.5" hidden="1" outlineLevel="1" x14ac:dyDescent="0.25">
      <c r="A2297" s="4">
        <v>1819</v>
      </c>
      <c r="B2297" s="4" t="s">
        <v>117</v>
      </c>
      <c r="C2297" s="38" t="s">
        <v>587</v>
      </c>
      <c r="D2297" s="4">
        <v>2020</v>
      </c>
      <c r="E2297" s="4" t="s">
        <v>21</v>
      </c>
      <c r="F2297" s="4">
        <v>124</v>
      </c>
      <c r="G2297" s="4">
        <v>45</v>
      </c>
      <c r="H2297" s="4">
        <v>332</v>
      </c>
    </row>
    <row r="2298" spans="1:8" s="5" customFormat="1" ht="78.75" hidden="1" outlineLevel="1" x14ac:dyDescent="0.25">
      <c r="A2298" s="4">
        <v>1875</v>
      </c>
      <c r="B2298" s="4" t="s">
        <v>117</v>
      </c>
      <c r="C2298" s="38" t="s">
        <v>638</v>
      </c>
      <c r="D2298" s="4">
        <v>2020</v>
      </c>
      <c r="E2298" s="4" t="s">
        <v>21</v>
      </c>
      <c r="F2298" s="4">
        <v>60</v>
      </c>
      <c r="G2298" s="4">
        <v>10</v>
      </c>
      <c r="H2298" s="4">
        <v>222</v>
      </c>
    </row>
    <row r="2299" spans="1:8" s="5" customFormat="1" ht="78.75" hidden="1" outlineLevel="1" x14ac:dyDescent="0.25">
      <c r="A2299" s="4">
        <v>1869</v>
      </c>
      <c r="B2299" s="4" t="s">
        <v>117</v>
      </c>
      <c r="C2299" s="38" t="s">
        <v>639</v>
      </c>
      <c r="D2299" s="4">
        <v>2020</v>
      </c>
      <c r="E2299" s="4" t="s">
        <v>21</v>
      </c>
      <c r="F2299" s="4">
        <v>38</v>
      </c>
      <c r="G2299" s="4">
        <v>10</v>
      </c>
      <c r="H2299" s="4">
        <v>164</v>
      </c>
    </row>
    <row r="2300" spans="1:8" s="5" customFormat="1" ht="47.25" hidden="1" outlineLevel="1" x14ac:dyDescent="0.25">
      <c r="A2300" s="4">
        <v>125</v>
      </c>
      <c r="B2300" s="4" t="s">
        <v>117</v>
      </c>
      <c r="C2300" s="38" t="s">
        <v>640</v>
      </c>
      <c r="D2300" s="4">
        <v>2020</v>
      </c>
      <c r="E2300" s="4" t="s">
        <v>21</v>
      </c>
      <c r="F2300" s="4">
        <v>418</v>
      </c>
      <c r="G2300" s="4">
        <v>14</v>
      </c>
      <c r="H2300" s="4">
        <v>694</v>
      </c>
    </row>
    <row r="2301" spans="1:8" s="5" customFormat="1" ht="110.25" hidden="1" outlineLevel="1" x14ac:dyDescent="0.25">
      <c r="A2301" s="4">
        <v>600</v>
      </c>
      <c r="B2301" s="4" t="s">
        <v>117</v>
      </c>
      <c r="C2301" s="38" t="s">
        <v>641</v>
      </c>
      <c r="D2301" s="4">
        <v>2020</v>
      </c>
      <c r="E2301" s="4" t="s">
        <v>21</v>
      </c>
      <c r="F2301" s="4">
        <v>8</v>
      </c>
      <c r="G2301" s="4">
        <v>65</v>
      </c>
      <c r="H2301" s="4">
        <v>40</v>
      </c>
    </row>
    <row r="2302" spans="1:8" s="5" customFormat="1" ht="78.75" hidden="1" outlineLevel="1" x14ac:dyDescent="0.25">
      <c r="A2302" s="4">
        <v>461</v>
      </c>
      <c r="B2302" s="4" t="s">
        <v>117</v>
      </c>
      <c r="C2302" s="38" t="s">
        <v>642</v>
      </c>
      <c r="D2302" s="4">
        <v>2020</v>
      </c>
      <c r="E2302" s="4" t="s">
        <v>21</v>
      </c>
      <c r="F2302" s="4">
        <v>25</v>
      </c>
      <c r="G2302" s="4">
        <v>15</v>
      </c>
      <c r="H2302" s="4">
        <v>155</v>
      </c>
    </row>
    <row r="2303" spans="1:8" s="5" customFormat="1" ht="78.75" hidden="1" outlineLevel="1" x14ac:dyDescent="0.25">
      <c r="A2303" s="4">
        <v>455</v>
      </c>
      <c r="B2303" s="4" t="s">
        <v>117</v>
      </c>
      <c r="C2303" s="38" t="s">
        <v>643</v>
      </c>
      <c r="D2303" s="4">
        <v>2020</v>
      </c>
      <c r="E2303" s="4" t="s">
        <v>21</v>
      </c>
      <c r="F2303" s="4">
        <v>95</v>
      </c>
      <c r="G2303" s="4">
        <v>13</v>
      </c>
      <c r="H2303" s="4">
        <v>186</v>
      </c>
    </row>
    <row r="2304" spans="1:8" s="5" customFormat="1" ht="47.25" hidden="1" outlineLevel="1" x14ac:dyDescent="0.25">
      <c r="A2304" s="4">
        <v>150</v>
      </c>
      <c r="B2304" s="4" t="s">
        <v>117</v>
      </c>
      <c r="C2304" s="38" t="s">
        <v>644</v>
      </c>
      <c r="D2304" s="4">
        <v>2020</v>
      </c>
      <c r="E2304" s="4" t="s">
        <v>21</v>
      </c>
      <c r="F2304" s="4">
        <v>480</v>
      </c>
      <c r="G2304" s="4">
        <v>15</v>
      </c>
      <c r="H2304" s="4">
        <v>503</v>
      </c>
    </row>
    <row r="2305" spans="1:8" s="5" customFormat="1" ht="78.75" hidden="1" outlineLevel="1" x14ac:dyDescent="0.25">
      <c r="A2305" s="4">
        <v>616</v>
      </c>
      <c r="B2305" s="4" t="s">
        <v>117</v>
      </c>
      <c r="C2305" s="38" t="s">
        <v>645</v>
      </c>
      <c r="D2305" s="4">
        <v>2020</v>
      </c>
      <c r="E2305" s="4" t="s">
        <v>21</v>
      </c>
      <c r="F2305" s="4">
        <v>145</v>
      </c>
      <c r="G2305" s="4">
        <v>15</v>
      </c>
      <c r="H2305" s="4">
        <v>367</v>
      </c>
    </row>
    <row r="2306" spans="1:8" s="5" customFormat="1" ht="78.75" hidden="1" outlineLevel="1" x14ac:dyDescent="0.25">
      <c r="A2306" s="4">
        <v>681</v>
      </c>
      <c r="B2306" s="4" t="s">
        <v>117</v>
      </c>
      <c r="C2306" s="38" t="s">
        <v>646</v>
      </c>
      <c r="D2306" s="4">
        <v>2020</v>
      </c>
      <c r="E2306" s="4" t="s">
        <v>21</v>
      </c>
      <c r="F2306" s="4">
        <v>65</v>
      </c>
      <c r="G2306" s="4">
        <v>5</v>
      </c>
      <c r="H2306" s="4">
        <v>226</v>
      </c>
    </row>
    <row r="2307" spans="1:8" s="5" customFormat="1" ht="126" hidden="1" outlineLevel="1" x14ac:dyDescent="0.25">
      <c r="A2307" s="4">
        <v>717</v>
      </c>
      <c r="B2307" s="4" t="s">
        <v>117</v>
      </c>
      <c r="C2307" s="38" t="s">
        <v>498</v>
      </c>
      <c r="D2307" s="4">
        <v>2020</v>
      </c>
      <c r="E2307" s="4" t="s">
        <v>21</v>
      </c>
      <c r="F2307" s="4">
        <v>8</v>
      </c>
      <c r="G2307" s="4">
        <v>50</v>
      </c>
      <c r="H2307" s="4">
        <v>57</v>
      </c>
    </row>
    <row r="2308" spans="1:8" s="5" customFormat="1" ht="78.75" hidden="1" outlineLevel="1" x14ac:dyDescent="0.25">
      <c r="A2308" s="4">
        <v>566</v>
      </c>
      <c r="B2308" s="4" t="s">
        <v>117</v>
      </c>
      <c r="C2308" s="38" t="s">
        <v>647</v>
      </c>
      <c r="D2308" s="4">
        <v>2020</v>
      </c>
      <c r="E2308" s="4" t="s">
        <v>21</v>
      </c>
      <c r="F2308" s="4">
        <v>24</v>
      </c>
      <c r="G2308" s="4">
        <v>10</v>
      </c>
      <c r="H2308" s="4">
        <v>170</v>
      </c>
    </row>
    <row r="2309" spans="1:8" s="5" customFormat="1" ht="78.75" hidden="1" outlineLevel="1" x14ac:dyDescent="0.25">
      <c r="A2309" s="4">
        <v>599</v>
      </c>
      <c r="B2309" s="4" t="s">
        <v>117</v>
      </c>
      <c r="C2309" s="38" t="s">
        <v>648</v>
      </c>
      <c r="D2309" s="4">
        <v>2020</v>
      </c>
      <c r="E2309" s="4" t="s">
        <v>21</v>
      </c>
      <c r="F2309" s="4">
        <v>9</v>
      </c>
      <c r="G2309" s="4">
        <v>13</v>
      </c>
      <c r="H2309" s="4">
        <v>159</v>
      </c>
    </row>
    <row r="2310" spans="1:8" s="5" customFormat="1" ht="78.75" hidden="1" outlineLevel="1" x14ac:dyDescent="0.25">
      <c r="A2310" s="4">
        <v>463</v>
      </c>
      <c r="B2310" s="4" t="s">
        <v>117</v>
      </c>
      <c r="C2310" s="38" t="s">
        <v>649</v>
      </c>
      <c r="D2310" s="4">
        <v>2020</v>
      </c>
      <c r="E2310" s="4" t="s">
        <v>21</v>
      </c>
      <c r="F2310" s="4">
        <v>310</v>
      </c>
      <c r="G2310" s="4">
        <v>13</v>
      </c>
      <c r="H2310" s="4">
        <v>678</v>
      </c>
    </row>
    <row r="2311" spans="1:8" s="5" customFormat="1" ht="78.75" hidden="1" outlineLevel="1" x14ac:dyDescent="0.25">
      <c r="A2311" s="4">
        <v>468</v>
      </c>
      <c r="B2311" s="4" t="s">
        <v>117</v>
      </c>
      <c r="C2311" s="38" t="s">
        <v>650</v>
      </c>
      <c r="D2311" s="4">
        <v>2020</v>
      </c>
      <c r="E2311" s="4" t="s">
        <v>21</v>
      </c>
      <c r="F2311" s="4">
        <v>350</v>
      </c>
      <c r="G2311" s="4">
        <v>15</v>
      </c>
      <c r="H2311" s="4">
        <v>544</v>
      </c>
    </row>
    <row r="2312" spans="1:8" s="5" customFormat="1" ht="78.75" hidden="1" outlineLevel="1" x14ac:dyDescent="0.25">
      <c r="A2312" s="4">
        <v>459</v>
      </c>
      <c r="B2312" s="4" t="s">
        <v>117</v>
      </c>
      <c r="C2312" s="38" t="s">
        <v>651</v>
      </c>
      <c r="D2312" s="4">
        <v>2020</v>
      </c>
      <c r="E2312" s="4" t="s">
        <v>21</v>
      </c>
      <c r="F2312" s="4">
        <v>160</v>
      </c>
      <c r="G2312" s="4">
        <v>15</v>
      </c>
      <c r="H2312" s="4">
        <v>308</v>
      </c>
    </row>
    <row r="2313" spans="1:8" s="5" customFormat="1" ht="126" hidden="1" outlineLevel="1" x14ac:dyDescent="0.25">
      <c r="A2313" s="4">
        <v>365</v>
      </c>
      <c r="B2313" s="4" t="s">
        <v>117</v>
      </c>
      <c r="C2313" s="38" t="s">
        <v>499</v>
      </c>
      <c r="D2313" s="4">
        <v>2020</v>
      </c>
      <c r="E2313" s="4" t="s">
        <v>21</v>
      </c>
      <c r="F2313" s="4">
        <v>8</v>
      </c>
      <c r="G2313" s="4">
        <v>15</v>
      </c>
      <c r="H2313" s="4">
        <v>65</v>
      </c>
    </row>
    <row r="2314" spans="1:8" s="5" customFormat="1" ht="78.75" hidden="1" outlineLevel="1" x14ac:dyDescent="0.25">
      <c r="A2314" s="4">
        <v>1866</v>
      </c>
      <c r="B2314" s="4" t="s">
        <v>117</v>
      </c>
      <c r="C2314" s="38" t="s">
        <v>652</v>
      </c>
      <c r="D2314" s="4">
        <v>2020</v>
      </c>
      <c r="E2314" s="4" t="s">
        <v>21</v>
      </c>
      <c r="F2314" s="4">
        <v>18</v>
      </c>
      <c r="G2314" s="4">
        <v>15</v>
      </c>
      <c r="H2314" s="4">
        <v>114</v>
      </c>
    </row>
    <row r="2315" spans="1:8" s="5" customFormat="1" ht="78.75" hidden="1" outlineLevel="1" x14ac:dyDescent="0.25">
      <c r="A2315" s="4">
        <v>719</v>
      </c>
      <c r="B2315" s="4" t="s">
        <v>117</v>
      </c>
      <c r="C2315" s="38" t="s">
        <v>653</v>
      </c>
      <c r="D2315" s="4">
        <v>2020</v>
      </c>
      <c r="E2315" s="4" t="s">
        <v>21</v>
      </c>
      <c r="F2315" s="4">
        <v>41</v>
      </c>
      <c r="G2315" s="4">
        <v>15</v>
      </c>
      <c r="H2315" s="4">
        <v>174</v>
      </c>
    </row>
    <row r="2316" spans="1:8" s="5" customFormat="1" ht="78.75" hidden="1" outlineLevel="1" x14ac:dyDescent="0.25">
      <c r="A2316" s="4">
        <v>662</v>
      </c>
      <c r="B2316" s="4" t="s">
        <v>117</v>
      </c>
      <c r="C2316" s="38" t="s">
        <v>654</v>
      </c>
      <c r="D2316" s="4">
        <v>2020</v>
      </c>
      <c r="E2316" s="4" t="s">
        <v>21</v>
      </c>
      <c r="F2316" s="4">
        <v>24</v>
      </c>
      <c r="G2316" s="4">
        <v>10</v>
      </c>
      <c r="H2316" s="4">
        <v>109</v>
      </c>
    </row>
    <row r="2317" spans="1:8" s="5" customFormat="1" ht="47.25" hidden="1" outlineLevel="1" x14ac:dyDescent="0.25">
      <c r="A2317" s="4">
        <v>1858</v>
      </c>
      <c r="B2317" s="4" t="s">
        <v>117</v>
      </c>
      <c r="C2317" s="38" t="s">
        <v>655</v>
      </c>
      <c r="D2317" s="4">
        <v>2020</v>
      </c>
      <c r="E2317" s="4" t="s">
        <v>21</v>
      </c>
      <c r="F2317" s="4">
        <v>102</v>
      </c>
      <c r="G2317" s="4">
        <v>5</v>
      </c>
      <c r="H2317" s="4">
        <v>231</v>
      </c>
    </row>
    <row r="2318" spans="1:8" s="5" customFormat="1" ht="78.75" hidden="1" outlineLevel="1" x14ac:dyDescent="0.25">
      <c r="A2318" s="4">
        <v>811</v>
      </c>
      <c r="B2318" s="4" t="s">
        <v>117</v>
      </c>
      <c r="C2318" s="38" t="s">
        <v>656</v>
      </c>
      <c r="D2318" s="4">
        <v>2020</v>
      </c>
      <c r="E2318" s="4" t="s">
        <v>21</v>
      </c>
      <c r="F2318" s="4">
        <v>25</v>
      </c>
      <c r="G2318" s="4">
        <v>6</v>
      </c>
      <c r="H2318" s="4">
        <v>105</v>
      </c>
    </row>
    <row r="2319" spans="1:8" s="5" customFormat="1" ht="94.5" hidden="1" outlineLevel="1" x14ac:dyDescent="0.25">
      <c r="A2319" s="4">
        <v>697</v>
      </c>
      <c r="B2319" s="4" t="s">
        <v>117</v>
      </c>
      <c r="C2319" s="38" t="s">
        <v>657</v>
      </c>
      <c r="D2319" s="4">
        <v>2020</v>
      </c>
      <c r="E2319" s="4" t="s">
        <v>21</v>
      </c>
      <c r="F2319" s="4">
        <v>102</v>
      </c>
      <c r="G2319" s="4">
        <v>15</v>
      </c>
      <c r="H2319" s="4">
        <v>220</v>
      </c>
    </row>
    <row r="2320" spans="1:8" s="5" customFormat="1" ht="78.75" hidden="1" outlineLevel="1" x14ac:dyDescent="0.25">
      <c r="A2320" s="4">
        <v>590</v>
      </c>
      <c r="B2320" s="4" t="s">
        <v>117</v>
      </c>
      <c r="C2320" s="38" t="s">
        <v>658</v>
      </c>
      <c r="D2320" s="4">
        <v>2020</v>
      </c>
      <c r="E2320" s="4" t="s">
        <v>21</v>
      </c>
      <c r="F2320" s="4">
        <v>172</v>
      </c>
      <c r="G2320" s="4">
        <v>15</v>
      </c>
      <c r="H2320" s="4">
        <v>239</v>
      </c>
    </row>
    <row r="2321" spans="1:8" s="5" customFormat="1" ht="78.75" hidden="1" outlineLevel="1" x14ac:dyDescent="0.25">
      <c r="A2321" s="4">
        <v>521</v>
      </c>
      <c r="B2321" s="4" t="s">
        <v>117</v>
      </c>
      <c r="C2321" s="38" t="s">
        <v>659</v>
      </c>
      <c r="D2321" s="4">
        <v>2020</v>
      </c>
      <c r="E2321" s="4" t="s">
        <v>21</v>
      </c>
      <c r="F2321" s="4">
        <v>16</v>
      </c>
      <c r="G2321" s="4">
        <v>15</v>
      </c>
      <c r="H2321" s="4">
        <v>131</v>
      </c>
    </row>
    <row r="2322" spans="1:8" s="5" customFormat="1" ht="110.25" hidden="1" outlineLevel="1" x14ac:dyDescent="0.25">
      <c r="A2322" s="4">
        <v>823</v>
      </c>
      <c r="B2322" s="4" t="s">
        <v>117</v>
      </c>
      <c r="C2322" s="38" t="s">
        <v>660</v>
      </c>
      <c r="D2322" s="4">
        <v>2020</v>
      </c>
      <c r="E2322" s="4" t="s">
        <v>21</v>
      </c>
      <c r="F2322" s="4">
        <v>70</v>
      </c>
      <c r="G2322" s="4">
        <v>5</v>
      </c>
      <c r="H2322" s="4">
        <v>205</v>
      </c>
    </row>
    <row r="2323" spans="1:8" s="5" customFormat="1" ht="78.75" hidden="1" outlineLevel="1" x14ac:dyDescent="0.25">
      <c r="A2323" s="4">
        <v>1860</v>
      </c>
      <c r="B2323" s="4" t="s">
        <v>117</v>
      </c>
      <c r="C2323" s="38" t="s">
        <v>661</v>
      </c>
      <c r="D2323" s="4">
        <v>2020</v>
      </c>
      <c r="E2323" s="4" t="s">
        <v>21</v>
      </c>
      <c r="F2323" s="4">
        <v>50</v>
      </c>
      <c r="G2323" s="4">
        <v>15</v>
      </c>
      <c r="H2323" s="4">
        <v>145</v>
      </c>
    </row>
    <row r="2324" spans="1:8" s="5" customFormat="1" ht="110.25" hidden="1" outlineLevel="1" x14ac:dyDescent="0.25">
      <c r="A2324" s="4">
        <v>922</v>
      </c>
      <c r="B2324" s="4" t="s">
        <v>117</v>
      </c>
      <c r="C2324" s="38" t="s">
        <v>662</v>
      </c>
      <c r="D2324" s="4">
        <v>2020</v>
      </c>
      <c r="E2324" s="4" t="s">
        <v>21</v>
      </c>
      <c r="F2324" s="4">
        <v>20</v>
      </c>
      <c r="G2324" s="4">
        <v>15</v>
      </c>
      <c r="H2324" s="4">
        <v>141</v>
      </c>
    </row>
    <row r="2325" spans="1:8" s="5" customFormat="1" ht="110.25" hidden="1" outlineLevel="1" x14ac:dyDescent="0.25">
      <c r="A2325" s="4">
        <v>851</v>
      </c>
      <c r="B2325" s="4" t="s">
        <v>117</v>
      </c>
      <c r="C2325" s="38" t="s">
        <v>663</v>
      </c>
      <c r="D2325" s="4">
        <v>2020</v>
      </c>
      <c r="E2325" s="4" t="s">
        <v>21</v>
      </c>
      <c r="F2325" s="4">
        <v>54</v>
      </c>
      <c r="G2325" s="4">
        <v>15</v>
      </c>
      <c r="H2325" s="4">
        <v>152</v>
      </c>
    </row>
    <row r="2326" spans="1:8" s="5" customFormat="1" ht="78.75" hidden="1" outlineLevel="1" x14ac:dyDescent="0.25">
      <c r="A2326" s="4">
        <v>1863</v>
      </c>
      <c r="B2326" s="4" t="s">
        <v>117</v>
      </c>
      <c r="C2326" s="38" t="s">
        <v>664</v>
      </c>
      <c r="D2326" s="4">
        <v>2020</v>
      </c>
      <c r="E2326" s="4" t="s">
        <v>21</v>
      </c>
      <c r="F2326" s="4">
        <v>26</v>
      </c>
      <c r="G2326" s="4">
        <v>10</v>
      </c>
      <c r="H2326" s="4">
        <v>104</v>
      </c>
    </row>
    <row r="2327" spans="1:8" s="5" customFormat="1" ht="94.5" hidden="1" outlineLevel="1" x14ac:dyDescent="0.25">
      <c r="A2327" s="4">
        <v>808</v>
      </c>
      <c r="B2327" s="4" t="s">
        <v>117</v>
      </c>
      <c r="C2327" s="38" t="s">
        <v>665</v>
      </c>
      <c r="D2327" s="4">
        <v>2020</v>
      </c>
      <c r="E2327" s="4" t="s">
        <v>21</v>
      </c>
      <c r="F2327" s="4">
        <v>224</v>
      </c>
      <c r="G2327" s="4">
        <v>10</v>
      </c>
      <c r="H2327" s="4">
        <v>269</v>
      </c>
    </row>
    <row r="2328" spans="1:8" s="5" customFormat="1" ht="78.75" hidden="1" outlineLevel="1" x14ac:dyDescent="0.25">
      <c r="A2328" s="4">
        <v>410</v>
      </c>
      <c r="B2328" s="4" t="s">
        <v>117</v>
      </c>
      <c r="C2328" s="38" t="s">
        <v>666</v>
      </c>
      <c r="D2328" s="4">
        <v>2020</v>
      </c>
      <c r="E2328" s="4" t="s">
        <v>21</v>
      </c>
      <c r="F2328" s="4">
        <v>126</v>
      </c>
      <c r="G2328" s="4">
        <v>15</v>
      </c>
      <c r="H2328" s="4">
        <v>158</v>
      </c>
    </row>
    <row r="2329" spans="1:8" s="5" customFormat="1" ht="78.75" hidden="1" outlineLevel="1" x14ac:dyDescent="0.25">
      <c r="A2329" s="4">
        <v>792</v>
      </c>
      <c r="B2329" s="4" t="s">
        <v>117</v>
      </c>
      <c r="C2329" s="38" t="s">
        <v>667</v>
      </c>
      <c r="D2329" s="4">
        <v>2020</v>
      </c>
      <c r="E2329" s="4" t="s">
        <v>21</v>
      </c>
      <c r="F2329" s="4">
        <v>142</v>
      </c>
      <c r="G2329" s="4">
        <v>15</v>
      </c>
      <c r="H2329" s="4">
        <v>265</v>
      </c>
    </row>
    <row r="2330" spans="1:8" s="5" customFormat="1" ht="78.75" hidden="1" outlineLevel="1" x14ac:dyDescent="0.25">
      <c r="A2330" s="4">
        <v>710</v>
      </c>
      <c r="B2330" s="4" t="s">
        <v>117</v>
      </c>
      <c r="C2330" s="38" t="s">
        <v>668</v>
      </c>
      <c r="D2330" s="4">
        <v>2020</v>
      </c>
      <c r="E2330" s="4" t="s">
        <v>21</v>
      </c>
      <c r="F2330" s="4">
        <v>19</v>
      </c>
      <c r="G2330" s="4">
        <v>15</v>
      </c>
      <c r="H2330" s="4">
        <v>126</v>
      </c>
    </row>
    <row r="2331" spans="1:8" s="5" customFormat="1" ht="94.5" hidden="1" outlineLevel="1" x14ac:dyDescent="0.25">
      <c r="A2331" s="4">
        <v>1825</v>
      </c>
      <c r="B2331" s="4" t="s">
        <v>117</v>
      </c>
      <c r="C2331" s="38" t="s">
        <v>500</v>
      </c>
      <c r="D2331" s="4">
        <v>2020</v>
      </c>
      <c r="E2331" s="4" t="s">
        <v>21</v>
      </c>
      <c r="F2331" s="4">
        <v>14</v>
      </c>
      <c r="G2331" s="4">
        <v>45</v>
      </c>
      <c r="H2331" s="4">
        <v>54</v>
      </c>
    </row>
    <row r="2332" spans="1:8" s="5" customFormat="1" ht="78.75" hidden="1" outlineLevel="1" x14ac:dyDescent="0.25">
      <c r="A2332" s="4">
        <v>483</v>
      </c>
      <c r="B2332" s="4" t="s">
        <v>117</v>
      </c>
      <c r="C2332" s="38" t="s">
        <v>669</v>
      </c>
      <c r="D2332" s="4">
        <v>2020</v>
      </c>
      <c r="E2332" s="4" t="s">
        <v>21</v>
      </c>
      <c r="F2332" s="4">
        <v>170</v>
      </c>
      <c r="G2332" s="4">
        <v>13</v>
      </c>
      <c r="H2332" s="4">
        <v>278</v>
      </c>
    </row>
    <row r="2333" spans="1:8" s="5" customFormat="1" ht="63" hidden="1" outlineLevel="1" x14ac:dyDescent="0.25">
      <c r="A2333" s="4">
        <v>239</v>
      </c>
      <c r="B2333" s="4" t="s">
        <v>117</v>
      </c>
      <c r="C2333" s="38" t="s">
        <v>670</v>
      </c>
      <c r="D2333" s="4">
        <v>2020</v>
      </c>
      <c r="E2333" s="4" t="s">
        <v>21</v>
      </c>
      <c r="F2333" s="4">
        <v>10</v>
      </c>
      <c r="G2333" s="4">
        <v>5</v>
      </c>
      <c r="H2333" s="4">
        <v>83</v>
      </c>
    </row>
    <row r="2334" spans="1:8" s="5" customFormat="1" ht="78.75" hidden="1" outlineLevel="1" x14ac:dyDescent="0.25">
      <c r="A2334" s="4">
        <v>868</v>
      </c>
      <c r="B2334" s="4" t="s">
        <v>117</v>
      </c>
      <c r="C2334" s="38" t="s">
        <v>671</v>
      </c>
      <c r="D2334" s="4">
        <v>2020</v>
      </c>
      <c r="E2334" s="4" t="s">
        <v>21</v>
      </c>
      <c r="F2334" s="4">
        <v>32</v>
      </c>
      <c r="G2334" s="4">
        <v>10</v>
      </c>
      <c r="H2334" s="4">
        <v>102</v>
      </c>
    </row>
    <row r="2335" spans="1:8" s="5" customFormat="1" ht="78.75" hidden="1" outlineLevel="1" x14ac:dyDescent="0.25">
      <c r="A2335" s="4">
        <v>957</v>
      </c>
      <c r="B2335" s="4" t="s">
        <v>117</v>
      </c>
      <c r="C2335" s="38" t="s">
        <v>672</v>
      </c>
      <c r="D2335" s="4">
        <v>2020</v>
      </c>
      <c r="E2335" s="4" t="s">
        <v>21</v>
      </c>
      <c r="F2335" s="4">
        <v>30</v>
      </c>
      <c r="G2335" s="4">
        <v>10</v>
      </c>
      <c r="H2335" s="4">
        <v>89</v>
      </c>
    </row>
    <row r="2336" spans="1:8" s="5" customFormat="1" ht="78.75" hidden="1" outlineLevel="1" x14ac:dyDescent="0.25">
      <c r="A2336" s="4">
        <v>997</v>
      </c>
      <c r="B2336" s="4" t="s">
        <v>117</v>
      </c>
      <c r="C2336" s="38" t="s">
        <v>673</v>
      </c>
      <c r="D2336" s="4">
        <v>2020</v>
      </c>
      <c r="E2336" s="4" t="s">
        <v>21</v>
      </c>
      <c r="F2336" s="4">
        <v>70</v>
      </c>
      <c r="G2336" s="4">
        <v>15</v>
      </c>
      <c r="H2336" s="4">
        <v>111</v>
      </c>
    </row>
    <row r="2337" spans="1:8" s="5" customFormat="1" ht="47.25" hidden="1" outlineLevel="1" x14ac:dyDescent="0.25">
      <c r="A2337" s="4">
        <v>163</v>
      </c>
      <c r="B2337" s="4" t="s">
        <v>117</v>
      </c>
      <c r="C2337" s="38" t="s">
        <v>674</v>
      </c>
      <c r="D2337" s="4">
        <v>2020</v>
      </c>
      <c r="E2337" s="4" t="s">
        <v>21</v>
      </c>
      <c r="F2337" s="4">
        <v>132</v>
      </c>
      <c r="G2337" s="4">
        <v>15</v>
      </c>
      <c r="H2337" s="4">
        <v>181</v>
      </c>
    </row>
    <row r="2338" spans="1:8" s="5" customFormat="1" ht="63" hidden="1" outlineLevel="1" x14ac:dyDescent="0.25">
      <c r="A2338" s="4">
        <v>1805</v>
      </c>
      <c r="B2338" s="4" t="s">
        <v>117</v>
      </c>
      <c r="C2338" s="38" t="s">
        <v>501</v>
      </c>
      <c r="D2338" s="4">
        <v>2020</v>
      </c>
      <c r="E2338" s="4" t="s">
        <v>21</v>
      </c>
      <c r="F2338" s="4">
        <v>127</v>
      </c>
      <c r="G2338" s="4">
        <v>100</v>
      </c>
      <c r="H2338" s="4">
        <v>149</v>
      </c>
    </row>
    <row r="2339" spans="1:8" s="5" customFormat="1" ht="78.75" hidden="1" outlineLevel="1" x14ac:dyDescent="0.25">
      <c r="A2339" s="4">
        <v>755</v>
      </c>
      <c r="B2339" s="4" t="s">
        <v>117</v>
      </c>
      <c r="C2339" s="38" t="s">
        <v>675</v>
      </c>
      <c r="D2339" s="4">
        <v>2020</v>
      </c>
      <c r="E2339" s="4" t="s">
        <v>21</v>
      </c>
      <c r="F2339" s="4">
        <v>214</v>
      </c>
      <c r="G2339" s="4">
        <v>15</v>
      </c>
      <c r="H2339" s="4">
        <v>355</v>
      </c>
    </row>
    <row r="2340" spans="1:8" s="5" customFormat="1" ht="157.5" hidden="1" outlineLevel="1" x14ac:dyDescent="0.25">
      <c r="A2340" s="4">
        <v>857</v>
      </c>
      <c r="B2340" s="4" t="s">
        <v>117</v>
      </c>
      <c r="C2340" s="38" t="s">
        <v>503</v>
      </c>
      <c r="D2340" s="4">
        <v>2020</v>
      </c>
      <c r="E2340" s="4" t="s">
        <v>21</v>
      </c>
      <c r="F2340" s="4">
        <v>6</v>
      </c>
      <c r="G2340" s="4">
        <v>15</v>
      </c>
      <c r="H2340" s="4">
        <v>42</v>
      </c>
    </row>
    <row r="2341" spans="1:8" s="5" customFormat="1" ht="78.75" hidden="1" outlineLevel="1" x14ac:dyDescent="0.25">
      <c r="A2341" s="4">
        <v>993</v>
      </c>
      <c r="B2341" s="4" t="s">
        <v>117</v>
      </c>
      <c r="C2341" s="38" t="s">
        <v>676</v>
      </c>
      <c r="D2341" s="4">
        <v>2020</v>
      </c>
      <c r="E2341" s="4" t="s">
        <v>21</v>
      </c>
      <c r="F2341" s="4">
        <v>128</v>
      </c>
      <c r="G2341" s="4">
        <v>10</v>
      </c>
      <c r="H2341" s="4">
        <v>211</v>
      </c>
    </row>
    <row r="2342" spans="1:8" s="5" customFormat="1" ht="78.75" hidden="1" outlineLevel="1" x14ac:dyDescent="0.25">
      <c r="A2342" s="4">
        <v>618</v>
      </c>
      <c r="B2342" s="4" t="s">
        <v>117</v>
      </c>
      <c r="C2342" s="38" t="s">
        <v>677</v>
      </c>
      <c r="D2342" s="4">
        <v>2020</v>
      </c>
      <c r="E2342" s="4" t="s">
        <v>21</v>
      </c>
      <c r="F2342" s="4">
        <v>232</v>
      </c>
      <c r="G2342" s="4">
        <v>15</v>
      </c>
      <c r="H2342" s="4">
        <v>349</v>
      </c>
    </row>
    <row r="2343" spans="1:8" s="5" customFormat="1" ht="78.75" hidden="1" outlineLevel="1" x14ac:dyDescent="0.25">
      <c r="A2343" s="4">
        <v>1870</v>
      </c>
      <c r="B2343" s="4" t="s">
        <v>117</v>
      </c>
      <c r="C2343" s="38" t="s">
        <v>678</v>
      </c>
      <c r="D2343" s="4">
        <v>2020</v>
      </c>
      <c r="E2343" s="4" t="s">
        <v>21</v>
      </c>
      <c r="F2343" s="4">
        <v>66</v>
      </c>
      <c r="G2343" s="4">
        <v>10</v>
      </c>
      <c r="H2343" s="4">
        <v>194</v>
      </c>
    </row>
    <row r="2344" spans="1:8" s="5" customFormat="1" ht="110.25" hidden="1" outlineLevel="1" x14ac:dyDescent="0.25">
      <c r="A2344" s="4">
        <v>582</v>
      </c>
      <c r="B2344" s="4" t="s">
        <v>117</v>
      </c>
      <c r="C2344" s="38" t="s">
        <v>679</v>
      </c>
      <c r="D2344" s="4">
        <v>2020</v>
      </c>
      <c r="E2344" s="4" t="s">
        <v>21</v>
      </c>
      <c r="F2344" s="4">
        <v>6</v>
      </c>
      <c r="G2344" s="4">
        <v>15</v>
      </c>
      <c r="H2344" s="4">
        <v>35</v>
      </c>
    </row>
    <row r="2345" spans="1:8" s="5" customFormat="1" ht="78.75" hidden="1" outlineLevel="1" x14ac:dyDescent="0.25">
      <c r="A2345" s="4">
        <v>758</v>
      </c>
      <c r="B2345" s="4" t="s">
        <v>117</v>
      </c>
      <c r="C2345" s="38" t="s">
        <v>680</v>
      </c>
      <c r="D2345" s="4">
        <v>2020</v>
      </c>
      <c r="E2345" s="4" t="s">
        <v>21</v>
      </c>
      <c r="F2345" s="4">
        <v>70</v>
      </c>
      <c r="G2345" s="4">
        <v>15</v>
      </c>
      <c r="H2345" s="4">
        <v>149</v>
      </c>
    </row>
    <row r="2346" spans="1:8" s="5" customFormat="1" ht="78.75" hidden="1" outlineLevel="1" x14ac:dyDescent="0.25">
      <c r="A2346" s="4">
        <v>837</v>
      </c>
      <c r="B2346" s="4" t="s">
        <v>117</v>
      </c>
      <c r="C2346" s="38" t="s">
        <v>681</v>
      </c>
      <c r="D2346" s="4">
        <v>2020</v>
      </c>
      <c r="E2346" s="4" t="s">
        <v>21</v>
      </c>
      <c r="F2346" s="4">
        <v>320</v>
      </c>
      <c r="G2346" s="4">
        <v>10</v>
      </c>
      <c r="H2346" s="4">
        <v>411</v>
      </c>
    </row>
    <row r="2347" spans="1:8" s="5" customFormat="1" ht="78.75" hidden="1" outlineLevel="1" x14ac:dyDescent="0.25">
      <c r="A2347" s="4">
        <v>850</v>
      </c>
      <c r="B2347" s="4" t="s">
        <v>117</v>
      </c>
      <c r="C2347" s="38" t="s">
        <v>682</v>
      </c>
      <c r="D2347" s="4">
        <v>2020</v>
      </c>
      <c r="E2347" s="4" t="s">
        <v>21</v>
      </c>
      <c r="F2347" s="4">
        <v>30</v>
      </c>
      <c r="G2347" s="4">
        <v>10</v>
      </c>
      <c r="H2347" s="4">
        <v>192</v>
      </c>
    </row>
    <row r="2348" spans="1:8" s="5" customFormat="1" ht="78.75" hidden="1" outlineLevel="1" x14ac:dyDescent="0.25">
      <c r="A2348" s="4">
        <v>1864</v>
      </c>
      <c r="B2348" s="4" t="s">
        <v>117</v>
      </c>
      <c r="C2348" s="38" t="s">
        <v>683</v>
      </c>
      <c r="D2348" s="4">
        <v>2020</v>
      </c>
      <c r="E2348" s="4" t="s">
        <v>21</v>
      </c>
      <c r="F2348" s="4">
        <v>60</v>
      </c>
      <c r="G2348" s="4">
        <v>5</v>
      </c>
      <c r="H2348" s="4">
        <v>136</v>
      </c>
    </row>
    <row r="2349" spans="1:8" s="5" customFormat="1" ht="78.75" hidden="1" outlineLevel="1" x14ac:dyDescent="0.25">
      <c r="A2349" s="4">
        <v>1005</v>
      </c>
      <c r="B2349" s="4" t="s">
        <v>117</v>
      </c>
      <c r="C2349" s="38" t="s">
        <v>684</v>
      </c>
      <c r="D2349" s="4">
        <v>2020</v>
      </c>
      <c r="E2349" s="4" t="s">
        <v>21</v>
      </c>
      <c r="F2349" s="4">
        <v>30</v>
      </c>
      <c r="G2349" s="4">
        <v>20</v>
      </c>
      <c r="H2349" s="4">
        <v>112</v>
      </c>
    </row>
    <row r="2350" spans="1:8" s="5" customFormat="1" ht="94.5" hidden="1" outlineLevel="1" x14ac:dyDescent="0.25">
      <c r="A2350" s="4">
        <v>1856</v>
      </c>
      <c r="B2350" s="4" t="s">
        <v>117</v>
      </c>
      <c r="C2350" s="38" t="s">
        <v>685</v>
      </c>
      <c r="D2350" s="4">
        <v>2020</v>
      </c>
      <c r="E2350" s="4" t="s">
        <v>21</v>
      </c>
      <c r="F2350" s="4">
        <v>130</v>
      </c>
      <c r="G2350" s="4">
        <v>15</v>
      </c>
      <c r="H2350" s="4">
        <v>218</v>
      </c>
    </row>
    <row r="2351" spans="1:8" s="5" customFormat="1" ht="78.75" hidden="1" outlineLevel="1" x14ac:dyDescent="0.25">
      <c r="A2351" s="4">
        <v>814</v>
      </c>
      <c r="B2351" s="4" t="s">
        <v>117</v>
      </c>
      <c r="C2351" s="38" t="s">
        <v>686</v>
      </c>
      <c r="D2351" s="4">
        <v>2020</v>
      </c>
      <c r="E2351" s="4" t="s">
        <v>21</v>
      </c>
      <c r="F2351" s="4">
        <v>29</v>
      </c>
      <c r="G2351" s="4">
        <v>5</v>
      </c>
      <c r="H2351" s="4">
        <v>118</v>
      </c>
    </row>
    <row r="2352" spans="1:8" s="5" customFormat="1" ht="110.25" hidden="1" outlineLevel="1" x14ac:dyDescent="0.25">
      <c r="A2352" s="4">
        <v>470</v>
      </c>
      <c r="B2352" s="4" t="s">
        <v>117</v>
      </c>
      <c r="C2352" s="38" t="s">
        <v>687</v>
      </c>
      <c r="D2352" s="4">
        <v>2020</v>
      </c>
      <c r="E2352" s="4" t="s">
        <v>21</v>
      </c>
      <c r="F2352" s="4">
        <v>8</v>
      </c>
      <c r="G2352" s="4">
        <v>15</v>
      </c>
      <c r="H2352" s="4">
        <v>60</v>
      </c>
    </row>
    <row r="2353" spans="1:8" s="5" customFormat="1" ht="78.75" hidden="1" outlineLevel="1" x14ac:dyDescent="0.25">
      <c r="A2353" s="4">
        <v>1037</v>
      </c>
      <c r="B2353" s="4" t="s">
        <v>117</v>
      </c>
      <c r="C2353" s="38" t="s">
        <v>688</v>
      </c>
      <c r="D2353" s="4">
        <v>2020</v>
      </c>
      <c r="E2353" s="4" t="s">
        <v>21</v>
      </c>
      <c r="F2353" s="4">
        <v>19</v>
      </c>
      <c r="G2353" s="4">
        <v>15</v>
      </c>
      <c r="H2353" s="4">
        <v>114</v>
      </c>
    </row>
    <row r="2354" spans="1:8" s="5" customFormat="1" ht="141.75" hidden="1" outlineLevel="1" x14ac:dyDescent="0.25">
      <c r="A2354" s="4">
        <v>693</v>
      </c>
      <c r="B2354" s="4" t="s">
        <v>117</v>
      </c>
      <c r="C2354" s="38" t="s">
        <v>689</v>
      </c>
      <c r="D2354" s="4">
        <v>2020</v>
      </c>
      <c r="E2354" s="4" t="s">
        <v>21</v>
      </c>
      <c r="F2354" s="4">
        <v>470</v>
      </c>
      <c r="G2354" s="4">
        <v>115</v>
      </c>
      <c r="H2354" s="4">
        <v>547</v>
      </c>
    </row>
    <row r="2355" spans="1:8" s="5" customFormat="1" ht="78.75" hidden="1" outlineLevel="1" x14ac:dyDescent="0.25">
      <c r="A2355" s="4">
        <v>393</v>
      </c>
      <c r="B2355" s="4" t="s">
        <v>117</v>
      </c>
      <c r="C2355" s="38" t="s">
        <v>690</v>
      </c>
      <c r="D2355" s="4">
        <v>2020</v>
      </c>
      <c r="E2355" s="4" t="s">
        <v>21</v>
      </c>
      <c r="F2355" s="4">
        <v>240</v>
      </c>
      <c r="G2355" s="4">
        <v>15</v>
      </c>
      <c r="H2355" s="4">
        <v>319</v>
      </c>
    </row>
    <row r="2356" spans="1:8" s="5" customFormat="1" ht="78.75" hidden="1" outlineLevel="1" x14ac:dyDescent="0.25">
      <c r="A2356" s="4">
        <v>1847</v>
      </c>
      <c r="B2356" s="4" t="s">
        <v>117</v>
      </c>
      <c r="C2356" s="38" t="s">
        <v>691</v>
      </c>
      <c r="D2356" s="4">
        <v>2020</v>
      </c>
      <c r="E2356" s="4" t="s">
        <v>21</v>
      </c>
      <c r="F2356" s="4">
        <v>390</v>
      </c>
      <c r="G2356" s="4">
        <v>5</v>
      </c>
      <c r="H2356" s="4">
        <v>500</v>
      </c>
    </row>
    <row r="2357" spans="1:8" s="5" customFormat="1" ht="110.25" hidden="1" outlineLevel="1" x14ac:dyDescent="0.25">
      <c r="A2357" s="4">
        <v>756</v>
      </c>
      <c r="B2357" s="4" t="s">
        <v>117</v>
      </c>
      <c r="C2357" s="38" t="s">
        <v>692</v>
      </c>
      <c r="D2357" s="4">
        <v>2020</v>
      </c>
      <c r="E2357" s="4" t="s">
        <v>21</v>
      </c>
      <c r="F2357" s="4">
        <v>30</v>
      </c>
      <c r="G2357" s="4">
        <v>15</v>
      </c>
      <c r="H2357" s="4">
        <v>131</v>
      </c>
    </row>
    <row r="2358" spans="1:8" s="5" customFormat="1" ht="78.75" hidden="1" outlineLevel="1" x14ac:dyDescent="0.25">
      <c r="A2358" s="4">
        <v>234</v>
      </c>
      <c r="B2358" s="4" t="s">
        <v>117</v>
      </c>
      <c r="C2358" s="38" t="s">
        <v>693</v>
      </c>
      <c r="D2358" s="4">
        <v>2020</v>
      </c>
      <c r="E2358" s="4" t="s">
        <v>21</v>
      </c>
      <c r="F2358" s="4">
        <v>402</v>
      </c>
      <c r="G2358" s="4">
        <v>5</v>
      </c>
      <c r="H2358" s="4">
        <v>474</v>
      </c>
    </row>
    <row r="2359" spans="1:8" s="5" customFormat="1" ht="110.25" hidden="1" outlineLevel="1" x14ac:dyDescent="0.25">
      <c r="A2359" s="4">
        <v>236</v>
      </c>
      <c r="B2359" s="4" t="s">
        <v>117</v>
      </c>
      <c r="C2359" s="38" t="s">
        <v>505</v>
      </c>
      <c r="D2359" s="4">
        <v>2020</v>
      </c>
      <c r="E2359" s="4" t="s">
        <v>21</v>
      </c>
      <c r="F2359" s="4">
        <v>6</v>
      </c>
      <c r="G2359" s="4">
        <v>20</v>
      </c>
      <c r="H2359" s="4">
        <v>63</v>
      </c>
    </row>
    <row r="2360" spans="1:8" s="5" customFormat="1" ht="78.75" hidden="1" outlineLevel="1" x14ac:dyDescent="0.25">
      <c r="A2360" s="4">
        <v>1044</v>
      </c>
      <c r="B2360" s="4" t="s">
        <v>117</v>
      </c>
      <c r="C2360" s="38" t="s">
        <v>694</v>
      </c>
      <c r="D2360" s="4">
        <v>2020</v>
      </c>
      <c r="E2360" s="4" t="s">
        <v>21</v>
      </c>
      <c r="F2360" s="4">
        <v>65</v>
      </c>
      <c r="G2360" s="4">
        <v>5</v>
      </c>
      <c r="H2360" s="4">
        <v>131</v>
      </c>
    </row>
    <row r="2361" spans="1:8" s="5" customFormat="1" ht="78.75" hidden="1" outlineLevel="1" x14ac:dyDescent="0.25">
      <c r="A2361" s="4">
        <v>796</v>
      </c>
      <c r="B2361" s="4" t="s">
        <v>117</v>
      </c>
      <c r="C2361" s="38" t="s">
        <v>695</v>
      </c>
      <c r="D2361" s="4">
        <v>2020</v>
      </c>
      <c r="E2361" s="4" t="s">
        <v>21</v>
      </c>
      <c r="F2361" s="4">
        <v>79</v>
      </c>
      <c r="G2361" s="4">
        <v>15</v>
      </c>
      <c r="H2361" s="4">
        <v>252</v>
      </c>
    </row>
    <row r="2362" spans="1:8" s="5" customFormat="1" ht="47.25" hidden="1" outlineLevel="1" x14ac:dyDescent="0.25">
      <c r="A2362" s="4">
        <v>1818</v>
      </c>
      <c r="B2362" s="4" t="s">
        <v>117</v>
      </c>
      <c r="C2362" s="38" t="s">
        <v>696</v>
      </c>
      <c r="D2362" s="4">
        <v>2020</v>
      </c>
      <c r="E2362" s="4" t="s">
        <v>21</v>
      </c>
      <c r="F2362" s="4">
        <v>6</v>
      </c>
      <c r="G2362" s="4">
        <v>50</v>
      </c>
      <c r="H2362" s="4">
        <v>68</v>
      </c>
    </row>
    <row r="2363" spans="1:8" s="5" customFormat="1" ht="94.5" hidden="1" outlineLevel="1" x14ac:dyDescent="0.25">
      <c r="A2363" s="4">
        <v>558</v>
      </c>
      <c r="B2363" s="4" t="s">
        <v>117</v>
      </c>
      <c r="C2363" s="38" t="s">
        <v>697</v>
      </c>
      <c r="D2363" s="4">
        <v>2020</v>
      </c>
      <c r="E2363" s="4" t="s">
        <v>21</v>
      </c>
      <c r="F2363" s="4">
        <v>240</v>
      </c>
      <c r="G2363" s="4">
        <v>15</v>
      </c>
      <c r="H2363" s="4">
        <v>450</v>
      </c>
    </row>
    <row r="2364" spans="1:8" s="5" customFormat="1" ht="110.25" hidden="1" outlineLevel="1" x14ac:dyDescent="0.25">
      <c r="A2364" s="4">
        <v>944</v>
      </c>
      <c r="B2364" s="4" t="s">
        <v>117</v>
      </c>
      <c r="C2364" s="38" t="s">
        <v>698</v>
      </c>
      <c r="D2364" s="4">
        <v>2020</v>
      </c>
      <c r="E2364" s="4" t="s">
        <v>21</v>
      </c>
      <c r="F2364" s="4">
        <v>6</v>
      </c>
      <c r="G2364" s="4">
        <v>16.5</v>
      </c>
      <c r="H2364" s="4">
        <v>68</v>
      </c>
    </row>
    <row r="2365" spans="1:8" s="5" customFormat="1" ht="78.75" hidden="1" outlineLevel="1" x14ac:dyDescent="0.25">
      <c r="A2365" s="4">
        <v>1085</v>
      </c>
      <c r="B2365" s="4" t="s">
        <v>117</v>
      </c>
      <c r="C2365" s="38" t="s">
        <v>699</v>
      </c>
      <c r="D2365" s="4">
        <v>2020</v>
      </c>
      <c r="E2365" s="4" t="s">
        <v>21</v>
      </c>
      <c r="F2365" s="4">
        <v>216</v>
      </c>
      <c r="G2365" s="4">
        <v>15</v>
      </c>
      <c r="H2365" s="4">
        <v>382</v>
      </c>
    </row>
    <row r="2366" spans="1:8" s="5" customFormat="1" ht="78.75" hidden="1" outlineLevel="1" x14ac:dyDescent="0.25">
      <c r="A2366" s="4">
        <v>1036</v>
      </c>
      <c r="B2366" s="4" t="s">
        <v>117</v>
      </c>
      <c r="C2366" s="38" t="s">
        <v>700</v>
      </c>
      <c r="D2366" s="4">
        <v>2020</v>
      </c>
      <c r="E2366" s="4" t="s">
        <v>21</v>
      </c>
      <c r="F2366" s="4">
        <v>204</v>
      </c>
      <c r="G2366" s="4">
        <v>10</v>
      </c>
      <c r="H2366" s="4">
        <v>315</v>
      </c>
    </row>
    <row r="2367" spans="1:8" s="5" customFormat="1" ht="78.75" hidden="1" outlineLevel="1" x14ac:dyDescent="0.25">
      <c r="A2367" s="4">
        <v>1048</v>
      </c>
      <c r="B2367" s="4" t="s">
        <v>117</v>
      </c>
      <c r="C2367" s="38" t="s">
        <v>701</v>
      </c>
      <c r="D2367" s="4">
        <v>2020</v>
      </c>
      <c r="E2367" s="4" t="s">
        <v>21</v>
      </c>
      <c r="F2367" s="4">
        <v>230</v>
      </c>
      <c r="G2367" s="4">
        <v>10</v>
      </c>
      <c r="H2367" s="4">
        <v>311</v>
      </c>
    </row>
    <row r="2368" spans="1:8" s="5" customFormat="1" ht="141.75" hidden="1" outlineLevel="1" x14ac:dyDescent="0.25">
      <c r="A2368" s="4">
        <v>763</v>
      </c>
      <c r="B2368" s="4" t="s">
        <v>117</v>
      </c>
      <c r="C2368" s="38" t="s">
        <v>702</v>
      </c>
      <c r="D2368" s="4">
        <v>2020</v>
      </c>
      <c r="E2368" s="4" t="s">
        <v>21</v>
      </c>
      <c r="F2368" s="4">
        <v>208</v>
      </c>
      <c r="G2368" s="4">
        <v>30</v>
      </c>
      <c r="H2368" s="4">
        <v>173</v>
      </c>
    </row>
    <row r="2369" spans="1:8" s="5" customFormat="1" ht="78.75" hidden="1" outlineLevel="1" x14ac:dyDescent="0.25">
      <c r="A2369" s="4">
        <v>508</v>
      </c>
      <c r="B2369" s="4" t="s">
        <v>117</v>
      </c>
      <c r="C2369" s="38" t="s">
        <v>703</v>
      </c>
      <c r="D2369" s="4">
        <v>2020</v>
      </c>
      <c r="E2369" s="4" t="s">
        <v>21</v>
      </c>
      <c r="F2369" s="4">
        <v>130</v>
      </c>
      <c r="G2369" s="4">
        <v>13</v>
      </c>
      <c r="H2369" s="4">
        <v>181</v>
      </c>
    </row>
    <row r="2370" spans="1:8" s="5" customFormat="1" ht="78.75" hidden="1" outlineLevel="1" x14ac:dyDescent="0.25">
      <c r="A2370" s="4">
        <v>93</v>
      </c>
      <c r="B2370" s="4" t="s">
        <v>117</v>
      </c>
      <c r="C2370" s="38" t="s">
        <v>507</v>
      </c>
      <c r="D2370" s="4">
        <v>2020</v>
      </c>
      <c r="E2370" s="4" t="s">
        <v>21</v>
      </c>
      <c r="F2370" s="4">
        <v>19</v>
      </c>
      <c r="G2370" s="4">
        <v>30</v>
      </c>
      <c r="H2370" s="4">
        <v>58</v>
      </c>
    </row>
    <row r="2371" spans="1:8" s="5" customFormat="1" ht="78.75" hidden="1" outlineLevel="1" x14ac:dyDescent="0.25">
      <c r="A2371" s="4">
        <v>1693</v>
      </c>
      <c r="B2371" s="4" t="s">
        <v>117</v>
      </c>
      <c r="C2371" s="38" t="s">
        <v>704</v>
      </c>
      <c r="D2371" s="4">
        <v>2020</v>
      </c>
      <c r="E2371" s="4" t="s">
        <v>21</v>
      </c>
      <c r="F2371" s="4">
        <v>239</v>
      </c>
      <c r="G2371" s="4">
        <v>15</v>
      </c>
      <c r="H2371" s="4">
        <v>226</v>
      </c>
    </row>
    <row r="2372" spans="1:8" s="5" customFormat="1" ht="78.75" hidden="1" outlineLevel="1" x14ac:dyDescent="0.25">
      <c r="A2372" s="4">
        <v>1055</v>
      </c>
      <c r="B2372" s="4" t="s">
        <v>117</v>
      </c>
      <c r="C2372" s="38" t="s">
        <v>705</v>
      </c>
      <c r="D2372" s="4">
        <v>2020</v>
      </c>
      <c r="E2372" s="4" t="s">
        <v>21</v>
      </c>
      <c r="F2372" s="4">
        <v>35</v>
      </c>
      <c r="G2372" s="4">
        <v>15</v>
      </c>
      <c r="H2372" s="4">
        <v>67</v>
      </c>
    </row>
    <row r="2373" spans="1:8" s="5" customFormat="1" ht="110.25" hidden="1" outlineLevel="1" x14ac:dyDescent="0.25">
      <c r="A2373" s="4">
        <v>1824</v>
      </c>
      <c r="B2373" s="4" t="s">
        <v>117</v>
      </c>
      <c r="C2373" s="38" t="s">
        <v>508</v>
      </c>
      <c r="D2373" s="4">
        <v>2020</v>
      </c>
      <c r="E2373" s="4" t="s">
        <v>21</v>
      </c>
      <c r="F2373" s="4">
        <v>85</v>
      </c>
      <c r="G2373" s="4">
        <v>15</v>
      </c>
      <c r="H2373" s="4">
        <v>133</v>
      </c>
    </row>
    <row r="2374" spans="1:8" s="5" customFormat="1" ht="110.25" hidden="1" outlineLevel="1" x14ac:dyDescent="0.25">
      <c r="A2374" s="4">
        <v>974</v>
      </c>
      <c r="B2374" s="4" t="s">
        <v>117</v>
      </c>
      <c r="C2374" s="38" t="s">
        <v>706</v>
      </c>
      <c r="D2374" s="4">
        <v>2020</v>
      </c>
      <c r="E2374" s="4" t="s">
        <v>21</v>
      </c>
      <c r="F2374" s="4">
        <v>188</v>
      </c>
      <c r="G2374" s="4">
        <v>5</v>
      </c>
      <c r="H2374" s="4">
        <v>237</v>
      </c>
    </row>
    <row r="2375" spans="1:8" s="5" customFormat="1" ht="94.5" hidden="1" outlineLevel="1" x14ac:dyDescent="0.25">
      <c r="A2375" s="4">
        <v>1149</v>
      </c>
      <c r="B2375" s="4" t="s">
        <v>117</v>
      </c>
      <c r="C2375" s="38" t="s">
        <v>707</v>
      </c>
      <c r="D2375" s="4">
        <v>2020</v>
      </c>
      <c r="E2375" s="4" t="s">
        <v>21</v>
      </c>
      <c r="F2375" s="4">
        <v>200</v>
      </c>
      <c r="G2375" s="4">
        <v>100</v>
      </c>
      <c r="H2375" s="4">
        <v>260</v>
      </c>
    </row>
    <row r="2376" spans="1:8" s="5" customFormat="1" ht="94.5" hidden="1" outlineLevel="1" x14ac:dyDescent="0.25">
      <c r="A2376" s="4">
        <v>555</v>
      </c>
      <c r="B2376" s="4" t="s">
        <v>117</v>
      </c>
      <c r="C2376" s="38" t="s">
        <v>708</v>
      </c>
      <c r="D2376" s="4">
        <v>2020</v>
      </c>
      <c r="E2376" s="4" t="s">
        <v>21</v>
      </c>
      <c r="F2376" s="4">
        <v>73</v>
      </c>
      <c r="G2376" s="4">
        <v>8</v>
      </c>
      <c r="H2376" s="4">
        <v>147</v>
      </c>
    </row>
    <row r="2377" spans="1:8" s="5" customFormat="1" ht="110.25" hidden="1" outlineLevel="1" x14ac:dyDescent="0.25">
      <c r="A2377" s="4">
        <v>954</v>
      </c>
      <c r="B2377" s="4" t="s">
        <v>117</v>
      </c>
      <c r="C2377" s="38" t="s">
        <v>709</v>
      </c>
      <c r="D2377" s="4">
        <v>2020</v>
      </c>
      <c r="E2377" s="4" t="s">
        <v>21</v>
      </c>
      <c r="F2377" s="4">
        <v>21</v>
      </c>
      <c r="G2377" s="4">
        <v>15</v>
      </c>
      <c r="H2377" s="4">
        <v>82</v>
      </c>
    </row>
    <row r="2378" spans="1:8" s="5" customFormat="1" ht="78.75" hidden="1" outlineLevel="1" x14ac:dyDescent="0.25">
      <c r="A2378" s="4">
        <v>1106</v>
      </c>
      <c r="B2378" s="4" t="s">
        <v>117</v>
      </c>
      <c r="C2378" s="38" t="s">
        <v>710</v>
      </c>
      <c r="D2378" s="4">
        <v>2020</v>
      </c>
      <c r="E2378" s="4" t="s">
        <v>21</v>
      </c>
      <c r="F2378" s="4">
        <v>36</v>
      </c>
      <c r="G2378" s="4">
        <v>10</v>
      </c>
      <c r="H2378" s="4">
        <v>94</v>
      </c>
    </row>
    <row r="2379" spans="1:8" s="5" customFormat="1" ht="94.5" hidden="1" outlineLevel="1" x14ac:dyDescent="0.25">
      <c r="A2379" s="4">
        <v>1141</v>
      </c>
      <c r="B2379" s="4" t="s">
        <v>117</v>
      </c>
      <c r="C2379" s="38" t="s">
        <v>711</v>
      </c>
      <c r="D2379" s="4">
        <v>2020</v>
      </c>
      <c r="E2379" s="4" t="s">
        <v>21</v>
      </c>
      <c r="F2379" s="4">
        <v>243</v>
      </c>
      <c r="G2379" s="4">
        <v>12</v>
      </c>
      <c r="H2379" s="4">
        <v>307</v>
      </c>
    </row>
    <row r="2380" spans="1:8" s="5" customFormat="1" ht="110.25" hidden="1" outlineLevel="1" x14ac:dyDescent="0.25">
      <c r="A2380" s="4">
        <v>516</v>
      </c>
      <c r="B2380" s="4" t="s">
        <v>117</v>
      </c>
      <c r="C2380" s="38" t="s">
        <v>510</v>
      </c>
      <c r="D2380" s="4">
        <v>2020</v>
      </c>
      <c r="E2380" s="4" t="s">
        <v>21</v>
      </c>
      <c r="F2380" s="4">
        <v>281</v>
      </c>
      <c r="G2380" s="4">
        <v>205</v>
      </c>
      <c r="H2380" s="4">
        <v>196</v>
      </c>
    </row>
    <row r="2381" spans="1:8" s="5" customFormat="1" ht="78.75" hidden="1" outlineLevel="1" x14ac:dyDescent="0.25">
      <c r="A2381" s="4">
        <v>571</v>
      </c>
      <c r="B2381" s="4" t="s">
        <v>117</v>
      </c>
      <c r="C2381" s="38" t="s">
        <v>712</v>
      </c>
      <c r="D2381" s="4">
        <v>2020</v>
      </c>
      <c r="E2381" s="4" t="s">
        <v>21</v>
      </c>
      <c r="F2381" s="4">
        <v>392</v>
      </c>
      <c r="G2381" s="4">
        <v>13</v>
      </c>
      <c r="H2381" s="4">
        <v>413</v>
      </c>
    </row>
    <row r="2382" spans="1:8" s="5" customFormat="1" ht="110.25" hidden="1" outlineLevel="1" x14ac:dyDescent="0.25">
      <c r="A2382" s="4">
        <v>1142</v>
      </c>
      <c r="B2382" s="4" t="s">
        <v>117</v>
      </c>
      <c r="C2382" s="38" t="s">
        <v>713</v>
      </c>
      <c r="D2382" s="4">
        <v>2020</v>
      </c>
      <c r="E2382" s="4" t="s">
        <v>21</v>
      </c>
      <c r="F2382" s="4">
        <v>288</v>
      </c>
      <c r="G2382" s="4">
        <v>50</v>
      </c>
      <c r="H2382" s="4">
        <v>428</v>
      </c>
    </row>
    <row r="2383" spans="1:8" s="5" customFormat="1" ht="78.75" hidden="1" outlineLevel="1" x14ac:dyDescent="0.25">
      <c r="A2383" s="4">
        <v>1009</v>
      </c>
      <c r="B2383" s="4" t="s">
        <v>117</v>
      </c>
      <c r="C2383" s="38" t="s">
        <v>714</v>
      </c>
      <c r="D2383" s="4">
        <v>2020</v>
      </c>
      <c r="E2383" s="4" t="s">
        <v>21</v>
      </c>
      <c r="F2383" s="4">
        <v>75</v>
      </c>
      <c r="G2383" s="4">
        <v>10</v>
      </c>
      <c r="H2383" s="4">
        <v>161</v>
      </c>
    </row>
    <row r="2384" spans="1:8" s="5" customFormat="1" ht="94.5" hidden="1" outlineLevel="1" x14ac:dyDescent="0.25">
      <c r="A2384" s="4">
        <v>1692</v>
      </c>
      <c r="B2384" s="4" t="s">
        <v>117</v>
      </c>
      <c r="C2384" s="38" t="s">
        <v>715</v>
      </c>
      <c r="D2384" s="4">
        <v>2020</v>
      </c>
      <c r="E2384" s="4" t="s">
        <v>21</v>
      </c>
      <c r="F2384" s="4">
        <v>118</v>
      </c>
      <c r="G2384" s="4">
        <v>15</v>
      </c>
      <c r="H2384" s="4">
        <v>446</v>
      </c>
    </row>
    <row r="2385" spans="1:8" s="5" customFormat="1" ht="110.25" hidden="1" outlineLevel="1" x14ac:dyDescent="0.25">
      <c r="A2385" s="4">
        <v>1815</v>
      </c>
      <c r="B2385" s="4" t="s">
        <v>117</v>
      </c>
      <c r="C2385" s="38" t="s">
        <v>511</v>
      </c>
      <c r="D2385" s="4">
        <v>2020</v>
      </c>
      <c r="E2385" s="4" t="s">
        <v>21</v>
      </c>
      <c r="F2385" s="4">
        <v>6</v>
      </c>
      <c r="G2385" s="4">
        <v>15</v>
      </c>
      <c r="H2385" s="4">
        <v>50</v>
      </c>
    </row>
    <row r="2386" spans="1:8" s="5" customFormat="1" ht="78.75" hidden="1" outlineLevel="1" x14ac:dyDescent="0.25">
      <c r="A2386" s="4">
        <v>1140</v>
      </c>
      <c r="B2386" s="4" t="s">
        <v>117</v>
      </c>
      <c r="C2386" s="38" t="s">
        <v>716</v>
      </c>
      <c r="D2386" s="4">
        <v>2020</v>
      </c>
      <c r="E2386" s="4" t="s">
        <v>21</v>
      </c>
      <c r="F2386" s="4">
        <v>22</v>
      </c>
      <c r="G2386" s="4">
        <v>10</v>
      </c>
      <c r="H2386" s="4">
        <v>114</v>
      </c>
    </row>
    <row r="2387" spans="1:8" s="5" customFormat="1" ht="110.25" hidden="1" outlineLevel="1" x14ac:dyDescent="0.25">
      <c r="A2387" s="4">
        <v>1011</v>
      </c>
      <c r="B2387" s="4" t="s">
        <v>117</v>
      </c>
      <c r="C2387" s="38" t="s">
        <v>717</v>
      </c>
      <c r="D2387" s="4">
        <v>2020</v>
      </c>
      <c r="E2387" s="4" t="s">
        <v>21</v>
      </c>
      <c r="F2387" s="4">
        <v>219</v>
      </c>
      <c r="G2387" s="4">
        <v>35</v>
      </c>
      <c r="H2387" s="4">
        <v>271</v>
      </c>
    </row>
    <row r="2388" spans="1:8" s="5" customFormat="1" ht="78.75" hidden="1" outlineLevel="1" x14ac:dyDescent="0.25">
      <c r="A2388" s="4">
        <v>1110</v>
      </c>
      <c r="B2388" s="4" t="s">
        <v>117</v>
      </c>
      <c r="C2388" s="38" t="s">
        <v>718</v>
      </c>
      <c r="D2388" s="4">
        <v>2020</v>
      </c>
      <c r="E2388" s="4" t="s">
        <v>21</v>
      </c>
      <c r="F2388" s="4">
        <v>16</v>
      </c>
      <c r="G2388" s="4">
        <v>5</v>
      </c>
      <c r="H2388" s="4">
        <v>118</v>
      </c>
    </row>
    <row r="2389" spans="1:8" s="5" customFormat="1" ht="78.75" hidden="1" outlineLevel="1" x14ac:dyDescent="0.25">
      <c r="A2389" s="4">
        <v>895</v>
      </c>
      <c r="B2389" s="4" t="s">
        <v>117</v>
      </c>
      <c r="C2389" s="38" t="s">
        <v>719</v>
      </c>
      <c r="D2389" s="4">
        <v>2020</v>
      </c>
      <c r="E2389" s="4" t="s">
        <v>21</v>
      </c>
      <c r="F2389" s="4">
        <v>13</v>
      </c>
      <c r="G2389" s="4">
        <v>5</v>
      </c>
      <c r="H2389" s="4">
        <v>100</v>
      </c>
    </row>
    <row r="2390" spans="1:8" s="5" customFormat="1" ht="78.75" hidden="1" outlineLevel="1" x14ac:dyDescent="0.25">
      <c r="A2390" s="4">
        <v>1138</v>
      </c>
      <c r="B2390" s="4" t="s">
        <v>117</v>
      </c>
      <c r="C2390" s="38" t="s">
        <v>720</v>
      </c>
      <c r="D2390" s="4">
        <v>2020</v>
      </c>
      <c r="E2390" s="4" t="s">
        <v>21</v>
      </c>
      <c r="F2390" s="4">
        <v>191</v>
      </c>
      <c r="G2390" s="4">
        <v>15</v>
      </c>
      <c r="H2390" s="4">
        <v>365</v>
      </c>
    </row>
    <row r="2391" spans="1:8" s="5" customFormat="1" ht="78.75" hidden="1" outlineLevel="1" x14ac:dyDescent="0.25">
      <c r="A2391" s="4">
        <v>998</v>
      </c>
      <c r="B2391" s="4" t="s">
        <v>117</v>
      </c>
      <c r="C2391" s="38" t="s">
        <v>721</v>
      </c>
      <c r="D2391" s="4">
        <v>2020</v>
      </c>
      <c r="E2391" s="4" t="s">
        <v>21</v>
      </c>
      <c r="F2391" s="4">
        <v>170</v>
      </c>
      <c r="G2391" s="4">
        <v>10</v>
      </c>
      <c r="H2391" s="4">
        <v>254</v>
      </c>
    </row>
    <row r="2392" spans="1:8" s="5" customFormat="1" ht="94.5" hidden="1" outlineLevel="1" x14ac:dyDescent="0.25">
      <c r="A2392" s="4">
        <v>1157</v>
      </c>
      <c r="B2392" s="4" t="s">
        <v>117</v>
      </c>
      <c r="C2392" s="38" t="s">
        <v>722</v>
      </c>
      <c r="D2392" s="4">
        <v>2020</v>
      </c>
      <c r="E2392" s="4" t="s">
        <v>21</v>
      </c>
      <c r="F2392" s="4">
        <v>170</v>
      </c>
      <c r="G2392" s="4">
        <v>0.3</v>
      </c>
      <c r="H2392" s="4">
        <v>234.363</v>
      </c>
    </row>
    <row r="2393" spans="1:8" s="5" customFormat="1" ht="78.75" hidden="1" outlineLevel="1" x14ac:dyDescent="0.25">
      <c r="A2393" s="4">
        <v>1491</v>
      </c>
      <c r="B2393" s="4" t="s">
        <v>117</v>
      </c>
      <c r="C2393" s="38" t="s">
        <v>723</v>
      </c>
      <c r="D2393" s="4">
        <v>2020</v>
      </c>
      <c r="E2393" s="4" t="s">
        <v>21</v>
      </c>
      <c r="F2393" s="4">
        <v>152</v>
      </c>
      <c r="G2393" s="4">
        <v>15</v>
      </c>
      <c r="H2393" s="4">
        <v>132.66542999999999</v>
      </c>
    </row>
    <row r="2394" spans="1:8" s="5" customFormat="1" ht="110.25" hidden="1" outlineLevel="1" x14ac:dyDescent="0.25">
      <c r="A2394" s="4">
        <v>1600</v>
      </c>
      <c r="B2394" s="4" t="s">
        <v>117</v>
      </c>
      <c r="C2394" s="38" t="s">
        <v>485</v>
      </c>
      <c r="D2394" s="4">
        <v>2020</v>
      </c>
      <c r="E2394" s="4" t="s">
        <v>21</v>
      </c>
      <c r="F2394" s="4">
        <v>7</v>
      </c>
      <c r="G2394" s="4">
        <v>15</v>
      </c>
      <c r="H2394" s="4">
        <v>88.790220000000005</v>
      </c>
    </row>
    <row r="2395" spans="1:8" s="5" customFormat="1" ht="78.75" hidden="1" outlineLevel="1" x14ac:dyDescent="0.25">
      <c r="A2395" s="4">
        <v>1783</v>
      </c>
      <c r="B2395" s="4" t="s">
        <v>117</v>
      </c>
      <c r="C2395" s="38" t="s">
        <v>724</v>
      </c>
      <c r="D2395" s="4">
        <v>2020</v>
      </c>
      <c r="E2395" s="4" t="s">
        <v>21</v>
      </c>
      <c r="F2395" s="4">
        <v>533</v>
      </c>
      <c r="G2395" s="4">
        <v>10</v>
      </c>
      <c r="H2395" s="4">
        <v>622</v>
      </c>
    </row>
    <row r="2396" spans="1:8" s="5" customFormat="1" ht="94.5" hidden="1" outlineLevel="1" x14ac:dyDescent="0.25">
      <c r="A2396" s="4">
        <v>1786</v>
      </c>
      <c r="B2396" s="4" t="s">
        <v>117</v>
      </c>
      <c r="C2396" s="38" t="s">
        <v>725</v>
      </c>
      <c r="D2396" s="4">
        <v>2020</v>
      </c>
      <c r="E2396" s="4" t="s">
        <v>21</v>
      </c>
      <c r="F2396" s="4">
        <v>262</v>
      </c>
      <c r="G2396" s="4">
        <v>30</v>
      </c>
      <c r="H2396" s="4">
        <v>434</v>
      </c>
    </row>
    <row r="2397" spans="1:8" s="5" customFormat="1" ht="63" hidden="1" outlineLevel="1" x14ac:dyDescent="0.25">
      <c r="A2397" s="4">
        <v>1782</v>
      </c>
      <c r="B2397" s="4" t="s">
        <v>117</v>
      </c>
      <c r="C2397" s="38" t="s">
        <v>726</v>
      </c>
      <c r="D2397" s="4">
        <v>2020</v>
      </c>
      <c r="E2397" s="4" t="s">
        <v>21</v>
      </c>
      <c r="F2397" s="4">
        <v>90</v>
      </c>
      <c r="G2397" s="4">
        <v>10</v>
      </c>
      <c r="H2397" s="4">
        <v>225</v>
      </c>
    </row>
    <row r="2398" spans="1:8" s="5" customFormat="1" ht="78.75" hidden="1" outlineLevel="1" x14ac:dyDescent="0.25">
      <c r="A2398" s="4">
        <v>1780</v>
      </c>
      <c r="B2398" s="4" t="s">
        <v>117</v>
      </c>
      <c r="C2398" s="38" t="s">
        <v>727</v>
      </c>
      <c r="D2398" s="4">
        <v>2020</v>
      </c>
      <c r="E2398" s="4" t="s">
        <v>21</v>
      </c>
      <c r="F2398" s="4">
        <v>350</v>
      </c>
      <c r="G2398" s="4">
        <v>15</v>
      </c>
      <c r="H2398" s="4">
        <v>504</v>
      </c>
    </row>
    <row r="2399" spans="1:8" s="5" customFormat="1" ht="78.75" hidden="1" outlineLevel="1" x14ac:dyDescent="0.25">
      <c r="A2399" s="4">
        <v>1897</v>
      </c>
      <c r="B2399" s="4" t="s">
        <v>117</v>
      </c>
      <c r="C2399" s="38" t="s">
        <v>728</v>
      </c>
      <c r="D2399" s="4">
        <v>2020</v>
      </c>
      <c r="E2399" s="4" t="s">
        <v>21</v>
      </c>
      <c r="F2399" s="4">
        <v>310</v>
      </c>
      <c r="G2399" s="4">
        <v>10</v>
      </c>
      <c r="H2399" s="4">
        <v>477</v>
      </c>
    </row>
    <row r="2400" spans="1:8" s="5" customFormat="1" ht="78.75" hidden="1" outlineLevel="1" x14ac:dyDescent="0.25">
      <c r="A2400" s="4">
        <v>467</v>
      </c>
      <c r="B2400" s="4" t="s">
        <v>117</v>
      </c>
      <c r="C2400" s="38" t="s">
        <v>729</v>
      </c>
      <c r="D2400" s="4">
        <v>2020</v>
      </c>
      <c r="E2400" s="4" t="s">
        <v>21</v>
      </c>
      <c r="F2400" s="4">
        <v>193</v>
      </c>
      <c r="G2400" s="4">
        <v>5</v>
      </c>
      <c r="H2400" s="4">
        <v>209</v>
      </c>
    </row>
    <row r="2401" spans="1:8" s="5" customFormat="1" ht="78.75" hidden="1" outlineLevel="1" x14ac:dyDescent="0.25">
      <c r="A2401" s="4">
        <v>1793</v>
      </c>
      <c r="B2401" s="4" t="s">
        <v>117</v>
      </c>
      <c r="C2401" s="38" t="s">
        <v>730</v>
      </c>
      <c r="D2401" s="4">
        <v>2020</v>
      </c>
      <c r="E2401" s="4" t="s">
        <v>21</v>
      </c>
      <c r="F2401" s="4">
        <v>225</v>
      </c>
      <c r="G2401" s="4">
        <v>10</v>
      </c>
      <c r="H2401" s="4">
        <v>367</v>
      </c>
    </row>
    <row r="2402" spans="1:8" s="5" customFormat="1" ht="78.75" hidden="1" outlineLevel="1" x14ac:dyDescent="0.25">
      <c r="A2402" s="4">
        <v>199</v>
      </c>
      <c r="B2402" s="4" t="s">
        <v>117</v>
      </c>
      <c r="C2402" s="38" t="s">
        <v>731</v>
      </c>
      <c r="D2402" s="4">
        <v>2020</v>
      </c>
      <c r="E2402" s="4" t="s">
        <v>21</v>
      </c>
      <c r="F2402" s="4">
        <v>165</v>
      </c>
      <c r="G2402" s="4">
        <v>25</v>
      </c>
      <c r="H2402" s="4">
        <v>258</v>
      </c>
    </row>
    <row r="2403" spans="1:8" s="5" customFormat="1" ht="94.5" hidden="1" outlineLevel="1" x14ac:dyDescent="0.25">
      <c r="A2403" s="4">
        <v>1806</v>
      </c>
      <c r="B2403" s="4" t="s">
        <v>117</v>
      </c>
      <c r="C2403" s="38" t="s">
        <v>168</v>
      </c>
      <c r="D2403" s="4">
        <v>2020</v>
      </c>
      <c r="E2403" s="4" t="s">
        <v>21</v>
      </c>
      <c r="F2403" s="4">
        <v>106</v>
      </c>
      <c r="G2403" s="4">
        <v>10</v>
      </c>
      <c r="H2403" s="4">
        <v>266</v>
      </c>
    </row>
    <row r="2404" spans="1:8" s="5" customFormat="1" ht="110.25" hidden="1" outlineLevel="1" x14ac:dyDescent="0.25">
      <c r="A2404" s="4">
        <v>711</v>
      </c>
      <c r="B2404" s="4" t="s">
        <v>117</v>
      </c>
      <c r="C2404" s="38" t="s">
        <v>193</v>
      </c>
      <c r="D2404" s="4">
        <v>2020</v>
      </c>
      <c r="E2404" s="4" t="s">
        <v>21</v>
      </c>
      <c r="F2404" s="4">
        <v>5</v>
      </c>
      <c r="G2404" s="4">
        <v>150</v>
      </c>
      <c r="H2404" s="4">
        <v>38</v>
      </c>
    </row>
    <row r="2405" spans="1:8" s="5" customFormat="1" ht="78.75" hidden="1" outlineLevel="1" x14ac:dyDescent="0.25">
      <c r="A2405" s="4">
        <v>259</v>
      </c>
      <c r="B2405" s="4" t="s">
        <v>117</v>
      </c>
      <c r="C2405" s="38" t="s">
        <v>732</v>
      </c>
      <c r="D2405" s="4">
        <v>2020</v>
      </c>
      <c r="E2405" s="4" t="s">
        <v>21</v>
      </c>
      <c r="F2405" s="4">
        <v>180</v>
      </c>
      <c r="G2405" s="4">
        <v>10</v>
      </c>
      <c r="H2405" s="4">
        <v>342</v>
      </c>
    </row>
    <row r="2406" spans="1:8" s="5" customFormat="1" ht="94.5" hidden="1" outlineLevel="1" x14ac:dyDescent="0.25">
      <c r="A2406" s="4">
        <v>389</v>
      </c>
      <c r="B2406" s="4" t="s">
        <v>117</v>
      </c>
      <c r="C2406" s="38" t="s">
        <v>194</v>
      </c>
      <c r="D2406" s="4">
        <v>2020</v>
      </c>
      <c r="E2406" s="4" t="s">
        <v>21</v>
      </c>
      <c r="F2406" s="4">
        <v>25</v>
      </c>
      <c r="G2406" s="4">
        <v>10</v>
      </c>
      <c r="H2406" s="4">
        <v>115</v>
      </c>
    </row>
    <row r="2407" spans="1:8" s="5" customFormat="1" ht="94.5" hidden="1" outlineLevel="1" x14ac:dyDescent="0.25">
      <c r="A2407" s="4">
        <v>458</v>
      </c>
      <c r="B2407" s="4" t="s">
        <v>117</v>
      </c>
      <c r="C2407" s="38" t="s">
        <v>195</v>
      </c>
      <c r="D2407" s="4">
        <v>2020</v>
      </c>
      <c r="E2407" s="4" t="s">
        <v>21</v>
      </c>
      <c r="F2407" s="4">
        <v>411</v>
      </c>
      <c r="G2407" s="4">
        <v>10</v>
      </c>
      <c r="H2407" s="4">
        <v>494</v>
      </c>
    </row>
    <row r="2408" spans="1:8" s="5" customFormat="1" ht="94.5" hidden="1" outlineLevel="1" x14ac:dyDescent="0.25">
      <c r="A2408" s="4">
        <v>262</v>
      </c>
      <c r="B2408" s="4" t="s">
        <v>117</v>
      </c>
      <c r="C2408" s="38" t="s">
        <v>169</v>
      </c>
      <c r="D2408" s="4">
        <v>2020</v>
      </c>
      <c r="E2408" s="4" t="s">
        <v>21</v>
      </c>
      <c r="F2408" s="4">
        <v>10</v>
      </c>
      <c r="G2408" s="4">
        <v>80</v>
      </c>
      <c r="H2408" s="4">
        <v>39</v>
      </c>
    </row>
    <row r="2409" spans="1:8" s="5" customFormat="1" ht="78.75" hidden="1" outlineLevel="1" x14ac:dyDescent="0.25">
      <c r="A2409" s="4">
        <v>205</v>
      </c>
      <c r="B2409" s="4" t="s">
        <v>117</v>
      </c>
      <c r="C2409" s="38" t="s">
        <v>733</v>
      </c>
      <c r="D2409" s="4">
        <v>2020</v>
      </c>
      <c r="E2409" s="4" t="s">
        <v>21</v>
      </c>
      <c r="F2409" s="4">
        <v>375</v>
      </c>
      <c r="G2409" s="4">
        <v>10</v>
      </c>
      <c r="H2409" s="4">
        <v>355</v>
      </c>
    </row>
    <row r="2410" spans="1:8" s="5" customFormat="1" ht="63" hidden="1" outlineLevel="1" x14ac:dyDescent="0.25">
      <c r="A2410" s="4">
        <v>178</v>
      </c>
      <c r="B2410" s="4" t="s">
        <v>117</v>
      </c>
      <c r="C2410" s="38" t="s">
        <v>734</v>
      </c>
      <c r="D2410" s="4">
        <v>2020</v>
      </c>
      <c r="E2410" s="4" t="s">
        <v>21</v>
      </c>
      <c r="F2410" s="4">
        <v>786</v>
      </c>
      <c r="G2410" s="4">
        <v>10</v>
      </c>
      <c r="H2410" s="4">
        <v>940</v>
      </c>
    </row>
    <row r="2411" spans="1:8" s="5" customFormat="1" ht="63" hidden="1" outlineLevel="1" x14ac:dyDescent="0.25">
      <c r="A2411" s="4">
        <v>686</v>
      </c>
      <c r="B2411" s="4" t="s">
        <v>117</v>
      </c>
      <c r="C2411" s="38" t="s">
        <v>735</v>
      </c>
      <c r="D2411" s="4">
        <v>2020</v>
      </c>
      <c r="E2411" s="4" t="s">
        <v>21</v>
      </c>
      <c r="F2411" s="4">
        <v>33</v>
      </c>
      <c r="G2411" s="4">
        <v>15</v>
      </c>
      <c r="H2411" s="4">
        <v>131</v>
      </c>
    </row>
    <row r="2412" spans="1:8" s="5" customFormat="1" ht="94.5" hidden="1" outlineLevel="1" x14ac:dyDescent="0.25">
      <c r="A2412" s="4">
        <v>488</v>
      </c>
      <c r="B2412" s="4" t="s">
        <v>117</v>
      </c>
      <c r="C2412" s="38" t="s">
        <v>197</v>
      </c>
      <c r="D2412" s="4">
        <v>2020</v>
      </c>
      <c r="E2412" s="4" t="s">
        <v>21</v>
      </c>
      <c r="F2412" s="4">
        <v>730</v>
      </c>
      <c r="G2412" s="4">
        <v>30</v>
      </c>
      <c r="H2412" s="4">
        <v>559</v>
      </c>
    </row>
    <row r="2413" spans="1:8" s="5" customFormat="1" ht="78.75" hidden="1" outlineLevel="1" x14ac:dyDescent="0.25">
      <c r="A2413" s="4">
        <v>490</v>
      </c>
      <c r="B2413" s="4" t="s">
        <v>117</v>
      </c>
      <c r="C2413" s="38" t="s">
        <v>736</v>
      </c>
      <c r="D2413" s="4">
        <v>2020</v>
      </c>
      <c r="E2413" s="4" t="s">
        <v>21</v>
      </c>
      <c r="F2413" s="4">
        <v>338</v>
      </c>
      <c r="G2413" s="4">
        <v>10</v>
      </c>
      <c r="H2413" s="4">
        <v>531</v>
      </c>
    </row>
    <row r="2414" spans="1:8" s="5" customFormat="1" ht="63" hidden="1" outlineLevel="1" x14ac:dyDescent="0.25">
      <c r="A2414" s="4">
        <v>245</v>
      </c>
      <c r="B2414" s="4" t="s">
        <v>117</v>
      </c>
      <c r="C2414" s="38" t="s">
        <v>737</v>
      </c>
      <c r="D2414" s="4">
        <v>2020</v>
      </c>
      <c r="E2414" s="4" t="s">
        <v>21</v>
      </c>
      <c r="F2414" s="4">
        <v>170</v>
      </c>
      <c r="G2414" s="4">
        <v>15</v>
      </c>
      <c r="H2414" s="4">
        <v>268</v>
      </c>
    </row>
    <row r="2415" spans="1:8" s="5" customFormat="1" ht="126" hidden="1" outlineLevel="1" x14ac:dyDescent="0.25">
      <c r="A2415" s="4">
        <v>741</v>
      </c>
      <c r="B2415" s="4" t="s">
        <v>117</v>
      </c>
      <c r="C2415" s="38" t="s">
        <v>198</v>
      </c>
      <c r="D2415" s="4">
        <v>2020</v>
      </c>
      <c r="E2415" s="4" t="s">
        <v>21</v>
      </c>
      <c r="F2415" s="4">
        <v>10</v>
      </c>
      <c r="G2415" s="4">
        <v>150</v>
      </c>
      <c r="H2415" s="4">
        <v>42</v>
      </c>
    </row>
    <row r="2416" spans="1:8" s="5" customFormat="1" ht="78.75" hidden="1" outlineLevel="1" x14ac:dyDescent="0.25">
      <c r="A2416" s="4">
        <v>422</v>
      </c>
      <c r="B2416" s="4" t="s">
        <v>117</v>
      </c>
      <c r="C2416" s="38" t="s">
        <v>738</v>
      </c>
      <c r="D2416" s="4">
        <v>2020</v>
      </c>
      <c r="E2416" s="4" t="s">
        <v>21</v>
      </c>
      <c r="F2416" s="4">
        <v>105</v>
      </c>
      <c r="G2416" s="4">
        <v>12</v>
      </c>
      <c r="H2416" s="4">
        <v>127</v>
      </c>
    </row>
    <row r="2417" spans="1:8" s="5" customFormat="1" ht="63" hidden="1" outlineLevel="1" x14ac:dyDescent="0.25">
      <c r="A2417" s="4">
        <v>428</v>
      </c>
      <c r="B2417" s="4" t="s">
        <v>117</v>
      </c>
      <c r="C2417" s="38" t="s">
        <v>739</v>
      </c>
      <c r="D2417" s="4">
        <v>2020</v>
      </c>
      <c r="E2417" s="4" t="s">
        <v>21</v>
      </c>
      <c r="F2417" s="4">
        <v>236</v>
      </c>
      <c r="G2417" s="4">
        <v>12</v>
      </c>
      <c r="H2417" s="4">
        <v>220</v>
      </c>
    </row>
    <row r="2418" spans="1:8" s="5" customFormat="1" ht="94.5" hidden="1" outlineLevel="1" x14ac:dyDescent="0.25">
      <c r="A2418" s="4">
        <v>934</v>
      </c>
      <c r="B2418" s="4" t="s">
        <v>117</v>
      </c>
      <c r="C2418" s="38" t="s">
        <v>170</v>
      </c>
      <c r="D2418" s="4">
        <v>2020</v>
      </c>
      <c r="E2418" s="4" t="s">
        <v>21</v>
      </c>
      <c r="F2418" s="4">
        <v>4</v>
      </c>
      <c r="G2418" s="4">
        <v>150</v>
      </c>
      <c r="H2418" s="4">
        <v>33</v>
      </c>
    </row>
    <row r="2419" spans="1:8" s="5" customFormat="1" ht="94.5" hidden="1" outlineLevel="1" x14ac:dyDescent="0.25">
      <c r="A2419" s="4">
        <v>933</v>
      </c>
      <c r="B2419" s="4" t="s">
        <v>117</v>
      </c>
      <c r="C2419" s="38" t="s">
        <v>199</v>
      </c>
      <c r="D2419" s="4">
        <v>2020</v>
      </c>
      <c r="E2419" s="4" t="s">
        <v>21</v>
      </c>
      <c r="F2419" s="4">
        <v>10</v>
      </c>
      <c r="G2419" s="4">
        <v>150</v>
      </c>
      <c r="H2419" s="4">
        <v>31</v>
      </c>
    </row>
    <row r="2420" spans="1:8" s="5" customFormat="1" ht="78.75" hidden="1" outlineLevel="1" x14ac:dyDescent="0.25">
      <c r="A2420" s="4">
        <v>1779</v>
      </c>
      <c r="B2420" s="4" t="s">
        <v>117</v>
      </c>
      <c r="C2420" s="38" t="s">
        <v>740</v>
      </c>
      <c r="D2420" s="4">
        <v>2020</v>
      </c>
      <c r="E2420" s="4" t="s">
        <v>21</v>
      </c>
      <c r="F2420" s="4">
        <v>30</v>
      </c>
      <c r="G2420" s="4">
        <v>5</v>
      </c>
      <c r="H2420" s="4">
        <v>54</v>
      </c>
    </row>
    <row r="2421" spans="1:8" s="5" customFormat="1" ht="78.75" hidden="1" outlineLevel="1" x14ac:dyDescent="0.25">
      <c r="A2421" s="4">
        <v>265</v>
      </c>
      <c r="B2421" s="4" t="s">
        <v>117</v>
      </c>
      <c r="C2421" s="38" t="s">
        <v>741</v>
      </c>
      <c r="D2421" s="4">
        <v>2020</v>
      </c>
      <c r="E2421" s="4" t="s">
        <v>21</v>
      </c>
      <c r="F2421" s="4">
        <v>300</v>
      </c>
      <c r="G2421" s="4">
        <v>12</v>
      </c>
      <c r="H2421" s="4">
        <v>307</v>
      </c>
    </row>
    <row r="2422" spans="1:8" s="5" customFormat="1" ht="110.25" hidden="1" outlineLevel="1" x14ac:dyDescent="0.25">
      <c r="A2422" s="4">
        <v>348</v>
      </c>
      <c r="B2422" s="4" t="s">
        <v>117</v>
      </c>
      <c r="C2422" s="38" t="s">
        <v>171</v>
      </c>
      <c r="D2422" s="4">
        <v>2020</v>
      </c>
      <c r="E2422" s="4" t="s">
        <v>21</v>
      </c>
      <c r="F2422" s="4">
        <v>5</v>
      </c>
      <c r="G2422" s="4">
        <v>30</v>
      </c>
      <c r="H2422" s="4">
        <v>61</v>
      </c>
    </row>
    <row r="2423" spans="1:8" s="5" customFormat="1" ht="94.5" hidden="1" outlineLevel="1" x14ac:dyDescent="0.25">
      <c r="A2423" s="4">
        <v>534</v>
      </c>
      <c r="B2423" s="4" t="s">
        <v>117</v>
      </c>
      <c r="C2423" s="38" t="s">
        <v>200</v>
      </c>
      <c r="D2423" s="4">
        <v>2020</v>
      </c>
      <c r="E2423" s="4" t="s">
        <v>21</v>
      </c>
      <c r="F2423" s="4">
        <v>5</v>
      </c>
      <c r="G2423" s="4">
        <v>150</v>
      </c>
      <c r="H2423" s="4">
        <v>82</v>
      </c>
    </row>
    <row r="2424" spans="1:8" s="5" customFormat="1" ht="94.5" hidden="1" outlineLevel="1" x14ac:dyDescent="0.25">
      <c r="A2424" s="4">
        <v>866</v>
      </c>
      <c r="B2424" s="4" t="s">
        <v>117</v>
      </c>
      <c r="C2424" s="38" t="s">
        <v>201</v>
      </c>
      <c r="D2424" s="4">
        <v>2020</v>
      </c>
      <c r="E2424" s="4" t="s">
        <v>21</v>
      </c>
      <c r="F2424" s="4">
        <v>10</v>
      </c>
      <c r="G2424" s="4">
        <v>40</v>
      </c>
      <c r="H2424" s="4">
        <v>34</v>
      </c>
    </row>
    <row r="2425" spans="1:8" s="5" customFormat="1" ht="78.75" hidden="1" outlineLevel="1" x14ac:dyDescent="0.25">
      <c r="A2425" s="4">
        <v>728</v>
      </c>
      <c r="B2425" s="4" t="s">
        <v>117</v>
      </c>
      <c r="C2425" s="38" t="s">
        <v>742</v>
      </c>
      <c r="D2425" s="4">
        <v>2020</v>
      </c>
      <c r="E2425" s="4" t="s">
        <v>21</v>
      </c>
      <c r="F2425" s="4">
        <v>40</v>
      </c>
      <c r="G2425" s="4">
        <v>10</v>
      </c>
      <c r="H2425" s="4">
        <v>136</v>
      </c>
    </row>
    <row r="2426" spans="1:8" s="5" customFormat="1" ht="78.75" hidden="1" outlineLevel="1" x14ac:dyDescent="0.25">
      <c r="A2426" s="4">
        <v>896</v>
      </c>
      <c r="B2426" s="4" t="s">
        <v>117</v>
      </c>
      <c r="C2426" s="38" t="s">
        <v>743</v>
      </c>
      <c r="D2426" s="4">
        <v>2020</v>
      </c>
      <c r="E2426" s="4" t="s">
        <v>21</v>
      </c>
      <c r="F2426" s="4">
        <v>15</v>
      </c>
      <c r="G2426" s="4">
        <v>5</v>
      </c>
      <c r="H2426" s="4">
        <v>81</v>
      </c>
    </row>
    <row r="2427" spans="1:8" s="5" customFormat="1" ht="78.75" hidden="1" outlineLevel="1" x14ac:dyDescent="0.25">
      <c r="A2427" s="4">
        <v>898</v>
      </c>
      <c r="B2427" s="4" t="s">
        <v>117</v>
      </c>
      <c r="C2427" s="38" t="s">
        <v>744</v>
      </c>
      <c r="D2427" s="4">
        <v>2020</v>
      </c>
      <c r="E2427" s="4" t="s">
        <v>21</v>
      </c>
      <c r="F2427" s="4">
        <v>15</v>
      </c>
      <c r="G2427" s="4">
        <v>15</v>
      </c>
      <c r="H2427" s="4">
        <v>81</v>
      </c>
    </row>
    <row r="2428" spans="1:8" s="5" customFormat="1" ht="78.75" hidden="1" outlineLevel="1" x14ac:dyDescent="0.25">
      <c r="A2428" s="4">
        <v>637</v>
      </c>
      <c r="B2428" s="4" t="s">
        <v>117</v>
      </c>
      <c r="C2428" s="38" t="s">
        <v>745</v>
      </c>
      <c r="D2428" s="4">
        <v>2020</v>
      </c>
      <c r="E2428" s="4" t="s">
        <v>21</v>
      </c>
      <c r="F2428" s="4">
        <v>15</v>
      </c>
      <c r="G2428" s="4">
        <v>15</v>
      </c>
      <c r="H2428" s="4">
        <v>90</v>
      </c>
    </row>
    <row r="2429" spans="1:8" s="5" customFormat="1" ht="110.25" hidden="1" outlineLevel="1" x14ac:dyDescent="0.25">
      <c r="A2429" s="4">
        <v>315</v>
      </c>
      <c r="B2429" s="4" t="s">
        <v>117</v>
      </c>
      <c r="C2429" s="38" t="s">
        <v>746</v>
      </c>
      <c r="D2429" s="4">
        <v>2020</v>
      </c>
      <c r="E2429" s="4" t="s">
        <v>21</v>
      </c>
      <c r="F2429" s="4">
        <v>2491</v>
      </c>
      <c r="G2429" s="4">
        <v>70</v>
      </c>
      <c r="H2429" s="4">
        <v>3574</v>
      </c>
    </row>
    <row r="2430" spans="1:8" s="5" customFormat="1" ht="94.5" hidden="1" outlineLevel="1" x14ac:dyDescent="0.25">
      <c r="A2430" s="4">
        <v>318</v>
      </c>
      <c r="B2430" s="4" t="s">
        <v>117</v>
      </c>
      <c r="C2430" s="38" t="s">
        <v>162</v>
      </c>
      <c r="D2430" s="4">
        <v>2020</v>
      </c>
      <c r="E2430" s="4" t="s">
        <v>21</v>
      </c>
      <c r="F2430" s="4">
        <v>316</v>
      </c>
      <c r="G2430" s="4">
        <v>15</v>
      </c>
      <c r="H2430" s="4">
        <v>534</v>
      </c>
    </row>
    <row r="2431" spans="1:8" s="5" customFormat="1" ht="110.25" hidden="1" outlineLevel="1" x14ac:dyDescent="0.25">
      <c r="A2431" s="4">
        <v>1804</v>
      </c>
      <c r="B2431" s="4" t="s">
        <v>117</v>
      </c>
      <c r="C2431" s="38" t="s">
        <v>163</v>
      </c>
      <c r="D2431" s="4">
        <v>2020</v>
      </c>
      <c r="E2431" s="4" t="s">
        <v>21</v>
      </c>
      <c r="F2431" s="4">
        <v>36</v>
      </c>
      <c r="G2431" s="4">
        <v>60</v>
      </c>
      <c r="H2431" s="4">
        <v>133</v>
      </c>
    </row>
    <row r="2432" spans="1:8" s="5" customFormat="1" ht="78.75" hidden="1" outlineLevel="1" x14ac:dyDescent="0.25">
      <c r="A2432" s="4">
        <v>350</v>
      </c>
      <c r="B2432" s="4" t="s">
        <v>117</v>
      </c>
      <c r="C2432" s="38" t="s">
        <v>747</v>
      </c>
      <c r="D2432" s="4">
        <v>2020</v>
      </c>
      <c r="E2432" s="4" t="s">
        <v>21</v>
      </c>
      <c r="F2432" s="4">
        <v>111</v>
      </c>
      <c r="G2432" s="4">
        <v>5</v>
      </c>
      <c r="H2432" s="4">
        <v>357</v>
      </c>
    </row>
    <row r="2433" spans="1:8" s="5" customFormat="1" ht="63" hidden="1" outlineLevel="1" x14ac:dyDescent="0.25">
      <c r="A2433" s="4">
        <v>111</v>
      </c>
      <c r="B2433" s="4" t="s">
        <v>117</v>
      </c>
      <c r="C2433" s="38" t="s">
        <v>748</v>
      </c>
      <c r="D2433" s="4">
        <v>2020</v>
      </c>
      <c r="E2433" s="4" t="s">
        <v>21</v>
      </c>
      <c r="F2433" s="4">
        <v>264</v>
      </c>
      <c r="G2433" s="4">
        <v>15</v>
      </c>
      <c r="H2433" s="4">
        <v>452</v>
      </c>
    </row>
    <row r="2434" spans="1:8" s="5" customFormat="1" ht="94.5" hidden="1" outlineLevel="1" x14ac:dyDescent="0.25">
      <c r="A2434" s="4">
        <v>212</v>
      </c>
      <c r="B2434" s="4" t="s">
        <v>117</v>
      </c>
      <c r="C2434" s="38" t="s">
        <v>749</v>
      </c>
      <c r="D2434" s="4">
        <v>2020</v>
      </c>
      <c r="E2434" s="4" t="s">
        <v>21</v>
      </c>
      <c r="F2434" s="4">
        <v>867</v>
      </c>
      <c r="G2434" s="4">
        <v>15</v>
      </c>
      <c r="H2434" s="4">
        <v>1124</v>
      </c>
    </row>
    <row r="2435" spans="1:8" s="5" customFormat="1" ht="63" hidden="1" outlineLevel="1" x14ac:dyDescent="0.25">
      <c r="A2435" s="4">
        <v>194</v>
      </c>
      <c r="B2435" s="4" t="s">
        <v>117</v>
      </c>
      <c r="C2435" s="38" t="s">
        <v>750</v>
      </c>
      <c r="D2435" s="4">
        <v>2020</v>
      </c>
      <c r="E2435" s="4" t="s">
        <v>21</v>
      </c>
      <c r="F2435" s="4">
        <v>624</v>
      </c>
      <c r="G2435" s="4">
        <v>15</v>
      </c>
      <c r="H2435" s="4">
        <v>816</v>
      </c>
    </row>
    <row r="2436" spans="1:8" s="5" customFormat="1" ht="110.25" hidden="1" outlineLevel="1" x14ac:dyDescent="0.25">
      <c r="A2436" s="4">
        <v>151</v>
      </c>
      <c r="B2436" s="4" t="s">
        <v>117</v>
      </c>
      <c r="C2436" s="38" t="s">
        <v>164</v>
      </c>
      <c r="D2436" s="4">
        <v>2020</v>
      </c>
      <c r="E2436" s="4" t="s">
        <v>21</v>
      </c>
      <c r="F2436" s="4">
        <v>7</v>
      </c>
      <c r="G2436" s="4">
        <v>100</v>
      </c>
      <c r="H2436" s="4">
        <v>59</v>
      </c>
    </row>
    <row r="2437" spans="1:8" s="5" customFormat="1" ht="78.75" hidden="1" outlineLevel="1" x14ac:dyDescent="0.25">
      <c r="A2437" s="4">
        <v>649</v>
      </c>
      <c r="B2437" s="4" t="s">
        <v>117</v>
      </c>
      <c r="C2437" s="38" t="s">
        <v>751</v>
      </c>
      <c r="D2437" s="4">
        <v>2020</v>
      </c>
      <c r="E2437" s="4" t="s">
        <v>21</v>
      </c>
      <c r="F2437" s="4">
        <v>15</v>
      </c>
      <c r="G2437" s="4">
        <v>15</v>
      </c>
      <c r="H2437" s="4">
        <v>60</v>
      </c>
    </row>
    <row r="2438" spans="1:8" s="5" customFormat="1" ht="94.5" hidden="1" outlineLevel="1" x14ac:dyDescent="0.25">
      <c r="A2438" s="4">
        <v>1803</v>
      </c>
      <c r="B2438" s="4" t="s">
        <v>117</v>
      </c>
      <c r="C2438" s="38" t="s">
        <v>204</v>
      </c>
      <c r="D2438" s="4">
        <v>2020</v>
      </c>
      <c r="E2438" s="4" t="s">
        <v>21</v>
      </c>
      <c r="F2438" s="4">
        <v>5</v>
      </c>
      <c r="G2438" s="4">
        <v>140</v>
      </c>
      <c r="H2438" s="4">
        <v>48</v>
      </c>
    </row>
    <row r="2439" spans="1:8" s="5" customFormat="1" ht="78.75" hidden="1" outlineLevel="1" x14ac:dyDescent="0.25">
      <c r="A2439" s="4">
        <v>227</v>
      </c>
      <c r="B2439" s="4" t="s">
        <v>117</v>
      </c>
      <c r="C2439" s="38" t="s">
        <v>752</v>
      </c>
      <c r="D2439" s="4">
        <v>2020</v>
      </c>
      <c r="E2439" s="4" t="s">
        <v>21</v>
      </c>
      <c r="F2439" s="4">
        <v>141</v>
      </c>
      <c r="G2439" s="4">
        <v>15</v>
      </c>
      <c r="H2439" s="4">
        <v>202</v>
      </c>
    </row>
    <row r="2440" spans="1:8" s="5" customFormat="1" ht="78.75" hidden="1" outlineLevel="1" x14ac:dyDescent="0.25">
      <c r="A2440" s="4">
        <v>819</v>
      </c>
      <c r="B2440" s="4" t="s">
        <v>117</v>
      </c>
      <c r="C2440" s="38" t="s">
        <v>753</v>
      </c>
      <c r="D2440" s="4">
        <v>2020</v>
      </c>
      <c r="E2440" s="4" t="s">
        <v>21</v>
      </c>
      <c r="F2440" s="4">
        <v>170</v>
      </c>
      <c r="G2440" s="4">
        <v>15</v>
      </c>
      <c r="H2440" s="4">
        <v>104</v>
      </c>
    </row>
    <row r="2441" spans="1:8" s="5" customFormat="1" ht="94.5" hidden="1" outlineLevel="1" x14ac:dyDescent="0.25">
      <c r="A2441" s="4">
        <v>1785</v>
      </c>
      <c r="B2441" s="4" t="s">
        <v>117</v>
      </c>
      <c r="C2441" s="38" t="s">
        <v>754</v>
      </c>
      <c r="D2441" s="4">
        <v>2020</v>
      </c>
      <c r="E2441" s="4" t="s">
        <v>21</v>
      </c>
      <c r="F2441" s="4">
        <v>577</v>
      </c>
      <c r="G2441" s="4">
        <v>16</v>
      </c>
      <c r="H2441" s="4">
        <v>463</v>
      </c>
    </row>
    <row r="2442" spans="1:8" s="5" customFormat="1" ht="78.75" hidden="1" outlineLevel="1" x14ac:dyDescent="0.25">
      <c r="A2442" s="4">
        <v>849</v>
      </c>
      <c r="B2442" s="4" t="s">
        <v>117</v>
      </c>
      <c r="C2442" s="38" t="s">
        <v>755</v>
      </c>
      <c r="D2442" s="4">
        <v>2020</v>
      </c>
      <c r="E2442" s="4" t="s">
        <v>21</v>
      </c>
      <c r="F2442" s="4">
        <v>390</v>
      </c>
      <c r="G2442" s="4">
        <v>15</v>
      </c>
      <c r="H2442" s="4">
        <v>170</v>
      </c>
    </row>
    <row r="2443" spans="1:8" s="5" customFormat="1" ht="126" hidden="1" outlineLevel="1" x14ac:dyDescent="0.25">
      <c r="A2443" s="4">
        <v>1116</v>
      </c>
      <c r="B2443" s="4" t="s">
        <v>117</v>
      </c>
      <c r="C2443" s="38" t="s">
        <v>205</v>
      </c>
      <c r="D2443" s="4">
        <v>2020</v>
      </c>
      <c r="E2443" s="4" t="s">
        <v>21</v>
      </c>
      <c r="F2443" s="4">
        <v>110</v>
      </c>
      <c r="G2443" s="4">
        <v>100</v>
      </c>
      <c r="H2443" s="4">
        <v>128</v>
      </c>
    </row>
    <row r="2444" spans="1:8" s="5" customFormat="1" ht="78.75" hidden="1" outlineLevel="1" x14ac:dyDescent="0.25">
      <c r="A2444" s="4">
        <v>688</v>
      </c>
      <c r="B2444" s="4" t="s">
        <v>117</v>
      </c>
      <c r="C2444" s="38" t="s">
        <v>756</v>
      </c>
      <c r="D2444" s="4">
        <v>2020</v>
      </c>
      <c r="E2444" s="4" t="s">
        <v>21</v>
      </c>
      <c r="F2444" s="4">
        <v>275</v>
      </c>
      <c r="G2444" s="4">
        <v>15</v>
      </c>
      <c r="H2444" s="4">
        <v>328</v>
      </c>
    </row>
    <row r="2445" spans="1:8" s="5" customFormat="1" ht="78.75" hidden="1" outlineLevel="1" x14ac:dyDescent="0.25">
      <c r="A2445" s="4">
        <v>274</v>
      </c>
      <c r="B2445" s="4" t="s">
        <v>117</v>
      </c>
      <c r="C2445" s="38" t="s">
        <v>757</v>
      </c>
      <c r="D2445" s="4">
        <v>2020</v>
      </c>
      <c r="E2445" s="4" t="s">
        <v>21</v>
      </c>
      <c r="F2445" s="4">
        <v>371</v>
      </c>
      <c r="G2445" s="4">
        <v>10</v>
      </c>
      <c r="H2445" s="4">
        <v>619</v>
      </c>
    </row>
    <row r="2446" spans="1:8" s="5" customFormat="1" ht="94.5" hidden="1" outlineLevel="1" x14ac:dyDescent="0.25">
      <c r="A2446" s="4">
        <v>1778</v>
      </c>
      <c r="B2446" s="4" t="s">
        <v>117</v>
      </c>
      <c r="C2446" s="38" t="s">
        <v>758</v>
      </c>
      <c r="D2446" s="4">
        <v>2020</v>
      </c>
      <c r="E2446" s="4" t="s">
        <v>21</v>
      </c>
      <c r="F2446" s="4">
        <v>194</v>
      </c>
      <c r="G2446" s="4">
        <v>1.2</v>
      </c>
      <c r="H2446" s="4">
        <v>283</v>
      </c>
    </row>
    <row r="2447" spans="1:8" s="5" customFormat="1" ht="78.75" hidden="1" outlineLevel="1" x14ac:dyDescent="0.25">
      <c r="A2447" s="4">
        <v>489</v>
      </c>
      <c r="B2447" s="4" t="s">
        <v>117</v>
      </c>
      <c r="C2447" s="38" t="s">
        <v>759</v>
      </c>
      <c r="D2447" s="4">
        <v>2020</v>
      </c>
      <c r="E2447" s="4" t="s">
        <v>21</v>
      </c>
      <c r="F2447" s="4">
        <v>470</v>
      </c>
      <c r="G2447" s="4">
        <v>10</v>
      </c>
      <c r="H2447" s="4">
        <v>655</v>
      </c>
    </row>
    <row r="2448" spans="1:8" s="5" customFormat="1" ht="78.75" hidden="1" outlineLevel="1" x14ac:dyDescent="0.25">
      <c r="A2448" s="4">
        <v>492</v>
      </c>
      <c r="B2448" s="4" t="s">
        <v>117</v>
      </c>
      <c r="C2448" s="38" t="s">
        <v>760</v>
      </c>
      <c r="D2448" s="4">
        <v>2020</v>
      </c>
      <c r="E2448" s="4" t="s">
        <v>21</v>
      </c>
      <c r="F2448" s="4">
        <v>285</v>
      </c>
      <c r="G2448" s="4">
        <v>10</v>
      </c>
      <c r="H2448" s="4">
        <v>376</v>
      </c>
    </row>
    <row r="2449" spans="1:8" s="5" customFormat="1" ht="94.5" hidden="1" outlineLevel="1" x14ac:dyDescent="0.25">
      <c r="A2449" s="4">
        <v>1790</v>
      </c>
      <c r="B2449" s="4" t="s">
        <v>117</v>
      </c>
      <c r="C2449" s="38" t="s">
        <v>761</v>
      </c>
      <c r="D2449" s="4">
        <v>2020</v>
      </c>
      <c r="E2449" s="4" t="s">
        <v>21</v>
      </c>
      <c r="F2449" s="4">
        <v>681</v>
      </c>
      <c r="G2449" s="4">
        <v>45</v>
      </c>
      <c r="H2449" s="4">
        <v>818</v>
      </c>
    </row>
    <row r="2450" spans="1:8" s="5" customFormat="1" ht="78.75" hidden="1" outlineLevel="1" x14ac:dyDescent="0.25">
      <c r="A2450" s="4">
        <v>381</v>
      </c>
      <c r="B2450" s="4" t="s">
        <v>117</v>
      </c>
      <c r="C2450" s="38" t="s">
        <v>762</v>
      </c>
      <c r="D2450" s="4">
        <v>2020</v>
      </c>
      <c r="E2450" s="4" t="s">
        <v>21</v>
      </c>
      <c r="F2450" s="4">
        <v>614</v>
      </c>
      <c r="G2450" s="4">
        <v>10</v>
      </c>
      <c r="H2450" s="4">
        <v>843</v>
      </c>
    </row>
    <row r="2451" spans="1:8" s="5" customFormat="1" ht="78.75" hidden="1" outlineLevel="1" x14ac:dyDescent="0.25">
      <c r="A2451" s="4">
        <v>1791</v>
      </c>
      <c r="B2451" s="4" t="s">
        <v>117</v>
      </c>
      <c r="C2451" s="38" t="s">
        <v>763</v>
      </c>
      <c r="D2451" s="4">
        <v>2020</v>
      </c>
      <c r="E2451" s="4" t="s">
        <v>21</v>
      </c>
      <c r="F2451" s="4">
        <v>363</v>
      </c>
      <c r="G2451" s="4">
        <v>30</v>
      </c>
      <c r="H2451" s="4">
        <v>572</v>
      </c>
    </row>
    <row r="2452" spans="1:8" s="5" customFormat="1" ht="63" hidden="1" outlineLevel="1" x14ac:dyDescent="0.25">
      <c r="A2452" s="4">
        <v>390</v>
      </c>
      <c r="B2452" s="4" t="s">
        <v>117</v>
      </c>
      <c r="C2452" s="38" t="s">
        <v>764</v>
      </c>
      <c r="D2452" s="4">
        <v>2020</v>
      </c>
      <c r="E2452" s="4" t="s">
        <v>21</v>
      </c>
      <c r="F2452" s="4">
        <v>181</v>
      </c>
      <c r="G2452" s="4">
        <v>10</v>
      </c>
      <c r="H2452" s="4">
        <v>333</v>
      </c>
    </row>
    <row r="2453" spans="1:8" s="5" customFormat="1" ht="78.75" hidden="1" outlineLevel="1" x14ac:dyDescent="0.25">
      <c r="A2453" s="4">
        <v>733</v>
      </c>
      <c r="B2453" s="4" t="s">
        <v>117</v>
      </c>
      <c r="C2453" s="38" t="s">
        <v>765</v>
      </c>
      <c r="D2453" s="4">
        <v>2020</v>
      </c>
      <c r="E2453" s="4" t="s">
        <v>21</v>
      </c>
      <c r="F2453" s="4">
        <v>240</v>
      </c>
      <c r="G2453" s="4">
        <v>10</v>
      </c>
      <c r="H2453" s="4">
        <v>274</v>
      </c>
    </row>
    <row r="2454" spans="1:8" s="5" customFormat="1" ht="78.75" hidden="1" outlineLevel="1" x14ac:dyDescent="0.25">
      <c r="A2454" s="4">
        <v>248</v>
      </c>
      <c r="B2454" s="4" t="s">
        <v>117</v>
      </c>
      <c r="C2454" s="38" t="s">
        <v>766</v>
      </c>
      <c r="D2454" s="4">
        <v>2020</v>
      </c>
      <c r="E2454" s="4" t="s">
        <v>21</v>
      </c>
      <c r="F2454" s="4">
        <v>120</v>
      </c>
      <c r="G2454" s="4">
        <v>10</v>
      </c>
      <c r="H2454" s="4">
        <v>203</v>
      </c>
    </row>
    <row r="2455" spans="1:8" s="5" customFormat="1" ht="94.5" hidden="1" outlineLevel="1" x14ac:dyDescent="0.25">
      <c r="A2455" s="4">
        <v>515</v>
      </c>
      <c r="B2455" s="4" t="s">
        <v>117</v>
      </c>
      <c r="C2455" s="38" t="s">
        <v>174</v>
      </c>
      <c r="D2455" s="4">
        <v>2020</v>
      </c>
      <c r="E2455" s="4" t="s">
        <v>21</v>
      </c>
      <c r="F2455" s="4">
        <v>804</v>
      </c>
      <c r="G2455" s="4">
        <v>145</v>
      </c>
      <c r="H2455" s="4">
        <v>924</v>
      </c>
    </row>
    <row r="2456" spans="1:8" s="5" customFormat="1" ht="94.5" hidden="1" outlineLevel="1" x14ac:dyDescent="0.25">
      <c r="A2456" s="4">
        <v>515</v>
      </c>
      <c r="B2456" s="4" t="s">
        <v>117</v>
      </c>
      <c r="C2456" s="38" t="s">
        <v>174</v>
      </c>
      <c r="D2456" s="4">
        <v>2020</v>
      </c>
      <c r="E2456" s="4" t="s">
        <v>21</v>
      </c>
      <c r="F2456" s="4">
        <v>23</v>
      </c>
      <c r="G2456" s="4">
        <v>145</v>
      </c>
      <c r="H2456" s="4">
        <v>47</v>
      </c>
    </row>
    <row r="2457" spans="1:8" s="5" customFormat="1" ht="78.75" hidden="1" outlineLevel="1" x14ac:dyDescent="0.25">
      <c r="A2457" s="4">
        <v>865</v>
      </c>
      <c r="B2457" s="4" t="s">
        <v>117</v>
      </c>
      <c r="C2457" s="38" t="s">
        <v>767</v>
      </c>
      <c r="D2457" s="4">
        <v>2020</v>
      </c>
      <c r="E2457" s="4" t="s">
        <v>21</v>
      </c>
      <c r="F2457" s="4">
        <v>521</v>
      </c>
      <c r="G2457" s="4">
        <v>15</v>
      </c>
      <c r="H2457" s="4">
        <v>737</v>
      </c>
    </row>
    <row r="2458" spans="1:8" s="5" customFormat="1" ht="78.75" hidden="1" outlineLevel="1" x14ac:dyDescent="0.25">
      <c r="A2458" s="4">
        <v>718</v>
      </c>
      <c r="B2458" s="4" t="s">
        <v>117</v>
      </c>
      <c r="C2458" s="38" t="s">
        <v>768</v>
      </c>
      <c r="D2458" s="4">
        <v>2020</v>
      </c>
      <c r="E2458" s="4" t="s">
        <v>21</v>
      </c>
      <c r="F2458" s="4">
        <v>689</v>
      </c>
      <c r="G2458" s="4">
        <v>15</v>
      </c>
      <c r="H2458" s="4">
        <v>801</v>
      </c>
    </row>
    <row r="2459" spans="1:8" s="5" customFormat="1" ht="157.5" hidden="1" outlineLevel="1" x14ac:dyDescent="0.25">
      <c r="A2459" s="4">
        <v>1809</v>
      </c>
      <c r="B2459" s="4" t="s">
        <v>117</v>
      </c>
      <c r="C2459" s="38" t="s">
        <v>175</v>
      </c>
      <c r="D2459" s="4">
        <v>2020</v>
      </c>
      <c r="E2459" s="4" t="s">
        <v>21</v>
      </c>
      <c r="F2459" s="4">
        <v>5</v>
      </c>
      <c r="G2459" s="4">
        <v>10</v>
      </c>
      <c r="H2459" s="4">
        <v>161</v>
      </c>
    </row>
    <row r="2460" spans="1:8" s="5" customFormat="1" ht="94.5" hidden="1" outlineLevel="1" x14ac:dyDescent="0.25">
      <c r="A2460" s="4">
        <v>435</v>
      </c>
      <c r="B2460" s="4" t="s">
        <v>117</v>
      </c>
      <c r="C2460" s="38" t="s">
        <v>207</v>
      </c>
      <c r="D2460" s="4">
        <v>2020</v>
      </c>
      <c r="E2460" s="4" t="s">
        <v>21</v>
      </c>
      <c r="F2460" s="4">
        <v>8</v>
      </c>
      <c r="G2460" s="4">
        <v>15</v>
      </c>
      <c r="H2460" s="4">
        <v>83</v>
      </c>
    </row>
    <row r="2461" spans="1:8" s="5" customFormat="1" ht="78.75" hidden="1" outlineLevel="1" x14ac:dyDescent="0.25">
      <c r="A2461" s="4">
        <v>523</v>
      </c>
      <c r="B2461" s="4" t="s">
        <v>117</v>
      </c>
      <c r="C2461" s="38" t="s">
        <v>769</v>
      </c>
      <c r="D2461" s="4">
        <v>2020</v>
      </c>
      <c r="E2461" s="4" t="s">
        <v>21</v>
      </c>
      <c r="F2461" s="4">
        <v>108</v>
      </c>
      <c r="G2461" s="4">
        <v>15</v>
      </c>
      <c r="H2461" s="4">
        <v>556</v>
      </c>
    </row>
    <row r="2462" spans="1:8" s="5" customFormat="1" ht="78.75" hidden="1" outlineLevel="1" x14ac:dyDescent="0.25">
      <c r="A2462" s="4">
        <v>372</v>
      </c>
      <c r="B2462" s="4" t="s">
        <v>117</v>
      </c>
      <c r="C2462" s="38" t="s">
        <v>770</v>
      </c>
      <c r="D2462" s="4">
        <v>2020</v>
      </c>
      <c r="E2462" s="4" t="s">
        <v>21</v>
      </c>
      <c r="F2462" s="4">
        <v>31</v>
      </c>
      <c r="G2462" s="4">
        <v>15</v>
      </c>
      <c r="H2462" s="4">
        <v>78</v>
      </c>
    </row>
    <row r="2463" spans="1:8" s="5" customFormat="1" ht="78.75" hidden="1" outlineLevel="1" x14ac:dyDescent="0.25">
      <c r="A2463" s="4">
        <v>383</v>
      </c>
      <c r="B2463" s="4" t="s">
        <v>117</v>
      </c>
      <c r="C2463" s="38" t="s">
        <v>771</v>
      </c>
      <c r="D2463" s="4">
        <v>2020</v>
      </c>
      <c r="E2463" s="4" t="s">
        <v>21</v>
      </c>
      <c r="F2463" s="4">
        <v>179</v>
      </c>
      <c r="G2463" s="4">
        <v>20</v>
      </c>
      <c r="H2463" s="4">
        <v>392</v>
      </c>
    </row>
    <row r="2464" spans="1:8" s="5" customFormat="1" ht="63" hidden="1" outlineLevel="1" x14ac:dyDescent="0.25">
      <c r="A2464" s="4">
        <v>379</v>
      </c>
      <c r="B2464" s="4" t="s">
        <v>117</v>
      </c>
      <c r="C2464" s="38" t="s">
        <v>772</v>
      </c>
      <c r="D2464" s="4">
        <v>2020</v>
      </c>
      <c r="E2464" s="4" t="s">
        <v>21</v>
      </c>
      <c r="F2464" s="4">
        <v>427</v>
      </c>
      <c r="G2464" s="4">
        <v>7</v>
      </c>
      <c r="H2464" s="4">
        <v>652</v>
      </c>
    </row>
    <row r="2465" spans="1:8" s="5" customFormat="1" ht="94.5" hidden="1" outlineLevel="1" x14ac:dyDescent="0.25">
      <c r="A2465" s="4">
        <v>388</v>
      </c>
      <c r="B2465" s="4" t="s">
        <v>117</v>
      </c>
      <c r="C2465" s="38" t="s">
        <v>208</v>
      </c>
      <c r="D2465" s="4">
        <v>2020</v>
      </c>
      <c r="E2465" s="4" t="s">
        <v>21</v>
      </c>
      <c r="F2465" s="4">
        <v>10</v>
      </c>
      <c r="G2465" s="4">
        <v>15</v>
      </c>
      <c r="H2465" s="4">
        <v>85</v>
      </c>
    </row>
    <row r="2466" spans="1:8" s="5" customFormat="1" ht="157.5" hidden="1" outlineLevel="1" x14ac:dyDescent="0.25">
      <c r="A2466" s="4">
        <v>263</v>
      </c>
      <c r="B2466" s="4" t="s">
        <v>117</v>
      </c>
      <c r="C2466" s="38" t="s">
        <v>176</v>
      </c>
      <c r="D2466" s="4">
        <v>2020</v>
      </c>
      <c r="E2466" s="4" t="s">
        <v>21</v>
      </c>
      <c r="F2466" s="4">
        <v>15</v>
      </c>
      <c r="G2466" s="4">
        <v>8</v>
      </c>
      <c r="H2466" s="4">
        <v>68</v>
      </c>
    </row>
    <row r="2467" spans="1:8" s="5" customFormat="1" ht="78.75" hidden="1" outlineLevel="1" x14ac:dyDescent="0.25">
      <c r="A2467" s="4">
        <v>546</v>
      </c>
      <c r="B2467" s="4" t="s">
        <v>117</v>
      </c>
      <c r="C2467" s="38" t="s">
        <v>773</v>
      </c>
      <c r="D2467" s="4">
        <v>2020</v>
      </c>
      <c r="E2467" s="4" t="s">
        <v>21</v>
      </c>
      <c r="F2467" s="4">
        <v>293</v>
      </c>
      <c r="G2467" s="4">
        <v>15</v>
      </c>
      <c r="H2467" s="4">
        <v>404</v>
      </c>
    </row>
    <row r="2468" spans="1:8" s="5" customFormat="1" ht="94.5" hidden="1" outlineLevel="1" x14ac:dyDescent="0.25">
      <c r="A2468" s="4">
        <v>1798</v>
      </c>
      <c r="B2468" s="4" t="s">
        <v>117</v>
      </c>
      <c r="C2468" s="38" t="s">
        <v>240</v>
      </c>
      <c r="D2468" s="4">
        <v>2020</v>
      </c>
      <c r="E2468" s="4" t="s">
        <v>21</v>
      </c>
      <c r="F2468" s="4">
        <v>25</v>
      </c>
      <c r="G2468" s="4">
        <v>63</v>
      </c>
      <c r="H2468" s="4">
        <v>78</v>
      </c>
    </row>
    <row r="2469" spans="1:8" s="5" customFormat="1" ht="110.25" hidden="1" outlineLevel="1" x14ac:dyDescent="0.25">
      <c r="A2469" s="4">
        <v>220</v>
      </c>
      <c r="B2469" s="4" t="s">
        <v>117</v>
      </c>
      <c r="C2469" s="38" t="s">
        <v>178</v>
      </c>
      <c r="D2469" s="4">
        <v>2020</v>
      </c>
      <c r="E2469" s="4" t="s">
        <v>21</v>
      </c>
      <c r="F2469" s="4">
        <v>204</v>
      </c>
      <c r="G2469" s="4">
        <v>15</v>
      </c>
      <c r="H2469" s="4">
        <v>366</v>
      </c>
    </row>
    <row r="2470" spans="1:8" s="5" customFormat="1" ht="110.25" hidden="1" outlineLevel="1" x14ac:dyDescent="0.25">
      <c r="A2470" s="4">
        <v>1788</v>
      </c>
      <c r="B2470" s="4" t="s">
        <v>117</v>
      </c>
      <c r="C2470" s="38" t="s">
        <v>774</v>
      </c>
      <c r="D2470" s="4">
        <v>2020</v>
      </c>
      <c r="E2470" s="4" t="s">
        <v>21</v>
      </c>
      <c r="F2470" s="4">
        <v>252</v>
      </c>
      <c r="G2470" s="4">
        <v>20</v>
      </c>
      <c r="H2470" s="4">
        <v>297</v>
      </c>
    </row>
    <row r="2471" spans="1:8" s="5" customFormat="1" ht="94.5" hidden="1" outlineLevel="1" x14ac:dyDescent="0.25">
      <c r="A2471" s="4">
        <v>801</v>
      </c>
      <c r="B2471" s="4" t="s">
        <v>117</v>
      </c>
      <c r="C2471" s="38" t="s">
        <v>775</v>
      </c>
      <c r="D2471" s="4">
        <v>2020</v>
      </c>
      <c r="E2471" s="4" t="s">
        <v>21</v>
      </c>
      <c r="F2471" s="4">
        <v>64</v>
      </c>
      <c r="G2471" s="4">
        <v>15</v>
      </c>
      <c r="H2471" s="4">
        <v>138</v>
      </c>
    </row>
    <row r="2472" spans="1:8" s="5" customFormat="1" ht="78.75" hidden="1" outlineLevel="1" x14ac:dyDescent="0.25">
      <c r="A2472" s="4">
        <v>1792</v>
      </c>
      <c r="B2472" s="4" t="s">
        <v>117</v>
      </c>
      <c r="C2472" s="38" t="s">
        <v>776</v>
      </c>
      <c r="D2472" s="4">
        <v>2020</v>
      </c>
      <c r="E2472" s="4" t="s">
        <v>21</v>
      </c>
      <c r="F2472" s="4">
        <v>49</v>
      </c>
      <c r="G2472" s="4">
        <v>15</v>
      </c>
      <c r="H2472" s="4">
        <v>99</v>
      </c>
    </row>
    <row r="2473" spans="1:8" s="5" customFormat="1" ht="94.5" hidden="1" outlineLevel="1" x14ac:dyDescent="0.25">
      <c r="A2473" s="4">
        <v>848</v>
      </c>
      <c r="B2473" s="4" t="s">
        <v>117</v>
      </c>
      <c r="C2473" s="38" t="s">
        <v>777</v>
      </c>
      <c r="D2473" s="4">
        <v>2020</v>
      </c>
      <c r="E2473" s="4" t="s">
        <v>21</v>
      </c>
      <c r="F2473" s="4">
        <v>139</v>
      </c>
      <c r="G2473" s="4">
        <v>24</v>
      </c>
      <c r="H2473" s="4">
        <v>190</v>
      </c>
    </row>
    <row r="2474" spans="1:8" s="5" customFormat="1" ht="78.75" hidden="1" outlineLevel="1" x14ac:dyDescent="0.25">
      <c r="A2474" s="4">
        <v>1787</v>
      </c>
      <c r="B2474" s="4" t="s">
        <v>117</v>
      </c>
      <c r="C2474" s="38" t="s">
        <v>778</v>
      </c>
      <c r="D2474" s="4">
        <v>2020</v>
      </c>
      <c r="E2474" s="4" t="s">
        <v>21</v>
      </c>
      <c r="F2474" s="4">
        <v>410</v>
      </c>
      <c r="G2474" s="4">
        <v>5.5</v>
      </c>
      <c r="H2474" s="4">
        <v>514</v>
      </c>
    </row>
    <row r="2475" spans="1:8" s="5" customFormat="1" ht="63" hidden="1" outlineLevel="1" x14ac:dyDescent="0.25">
      <c r="A2475" s="4">
        <v>476</v>
      </c>
      <c r="B2475" s="4" t="s">
        <v>117</v>
      </c>
      <c r="C2475" s="38" t="s">
        <v>779</v>
      </c>
      <c r="D2475" s="4">
        <v>2020</v>
      </c>
      <c r="E2475" s="4" t="s">
        <v>21</v>
      </c>
      <c r="F2475" s="4">
        <v>108</v>
      </c>
      <c r="G2475" s="4">
        <v>10</v>
      </c>
      <c r="H2475" s="4">
        <v>214</v>
      </c>
    </row>
    <row r="2476" spans="1:8" s="5" customFormat="1" ht="78.75" hidden="1" outlineLevel="1" x14ac:dyDescent="0.25">
      <c r="A2476" s="4">
        <v>447</v>
      </c>
      <c r="B2476" s="4" t="s">
        <v>117</v>
      </c>
      <c r="C2476" s="38" t="s">
        <v>780</v>
      </c>
      <c r="D2476" s="4">
        <v>2020</v>
      </c>
      <c r="E2476" s="4" t="s">
        <v>21</v>
      </c>
      <c r="F2476" s="4">
        <v>164</v>
      </c>
      <c r="G2476" s="4">
        <v>15</v>
      </c>
      <c r="H2476" s="4">
        <v>286</v>
      </c>
    </row>
    <row r="2477" spans="1:8" s="5" customFormat="1" ht="94.5" hidden="1" outlineLevel="1" x14ac:dyDescent="0.25">
      <c r="A2477" s="4">
        <v>1734</v>
      </c>
      <c r="B2477" s="4" t="s">
        <v>117</v>
      </c>
      <c r="C2477" s="38" t="s">
        <v>248</v>
      </c>
      <c r="D2477" s="4">
        <v>2020</v>
      </c>
      <c r="E2477" s="4" t="s">
        <v>21</v>
      </c>
      <c r="F2477" s="4">
        <v>15</v>
      </c>
      <c r="G2477" s="4">
        <v>150</v>
      </c>
      <c r="H2477" s="4">
        <v>149</v>
      </c>
    </row>
    <row r="2478" spans="1:8" s="5" customFormat="1" ht="110.25" hidden="1" outlineLevel="1" x14ac:dyDescent="0.25">
      <c r="A2478" s="4">
        <v>1795</v>
      </c>
      <c r="B2478" s="4" t="s">
        <v>117</v>
      </c>
      <c r="C2478" s="38" t="s">
        <v>210</v>
      </c>
      <c r="D2478" s="4">
        <v>2020</v>
      </c>
      <c r="E2478" s="4" t="s">
        <v>21</v>
      </c>
      <c r="F2478" s="4">
        <v>161</v>
      </c>
      <c r="G2478" s="4">
        <v>150</v>
      </c>
      <c r="H2478" s="4">
        <v>276</v>
      </c>
    </row>
    <row r="2479" spans="1:8" s="5" customFormat="1" ht="94.5" hidden="1" outlineLevel="1" x14ac:dyDescent="0.25">
      <c r="A2479" s="4">
        <v>323</v>
      </c>
      <c r="B2479" s="4" t="s">
        <v>117</v>
      </c>
      <c r="C2479" s="38" t="s">
        <v>781</v>
      </c>
      <c r="D2479" s="4">
        <v>2020</v>
      </c>
      <c r="E2479" s="4" t="s">
        <v>21</v>
      </c>
      <c r="F2479" s="4">
        <v>353</v>
      </c>
      <c r="G2479" s="4">
        <v>15</v>
      </c>
      <c r="H2479" s="4">
        <v>439</v>
      </c>
    </row>
    <row r="2480" spans="1:8" s="5" customFormat="1" ht="63" hidden="1" outlineLevel="1" x14ac:dyDescent="0.25">
      <c r="A2480" s="4">
        <v>472</v>
      </c>
      <c r="B2480" s="4" t="s">
        <v>117</v>
      </c>
      <c r="C2480" s="38" t="s">
        <v>782</v>
      </c>
      <c r="D2480" s="4">
        <v>2020</v>
      </c>
      <c r="E2480" s="4" t="s">
        <v>21</v>
      </c>
      <c r="F2480" s="4">
        <v>165</v>
      </c>
      <c r="G2480" s="4">
        <v>10</v>
      </c>
      <c r="H2480" s="4">
        <v>275</v>
      </c>
    </row>
    <row r="2481" spans="1:8" s="5" customFormat="1" ht="78.75" hidden="1" outlineLevel="1" x14ac:dyDescent="0.25">
      <c r="A2481" s="4">
        <v>1088</v>
      </c>
      <c r="B2481" s="4" t="s">
        <v>117</v>
      </c>
      <c r="C2481" s="38" t="s">
        <v>783</v>
      </c>
      <c r="D2481" s="4">
        <v>2020</v>
      </c>
      <c r="E2481" s="4" t="s">
        <v>21</v>
      </c>
      <c r="F2481" s="4">
        <v>103</v>
      </c>
      <c r="G2481" s="4">
        <v>5</v>
      </c>
      <c r="H2481" s="4">
        <v>118</v>
      </c>
    </row>
    <row r="2482" spans="1:8" s="5" customFormat="1" ht="78.75" hidden="1" outlineLevel="1" x14ac:dyDescent="0.25">
      <c r="A2482" s="4">
        <v>1794</v>
      </c>
      <c r="B2482" s="4" t="s">
        <v>117</v>
      </c>
      <c r="C2482" s="38" t="s">
        <v>784</v>
      </c>
      <c r="D2482" s="4">
        <v>2020</v>
      </c>
      <c r="E2482" s="4" t="s">
        <v>21</v>
      </c>
      <c r="F2482" s="4">
        <v>75</v>
      </c>
      <c r="G2482" s="4">
        <v>15</v>
      </c>
      <c r="H2482" s="4">
        <v>89</v>
      </c>
    </row>
    <row r="2483" spans="1:8" s="5" customFormat="1" ht="78.75" hidden="1" outlineLevel="1" x14ac:dyDescent="0.25">
      <c r="A2483" s="4">
        <v>1746</v>
      </c>
      <c r="B2483" s="4" t="s">
        <v>117</v>
      </c>
      <c r="C2483" s="38" t="s">
        <v>785</v>
      </c>
      <c r="D2483" s="4">
        <v>2020</v>
      </c>
      <c r="E2483" s="4" t="s">
        <v>21</v>
      </c>
      <c r="F2483" s="4">
        <v>159</v>
      </c>
      <c r="G2483" s="4">
        <v>100</v>
      </c>
      <c r="H2483" s="4">
        <v>213.15100000000001</v>
      </c>
    </row>
    <row r="2484" spans="1:8" s="5" customFormat="1" ht="94.5" hidden="1" outlineLevel="1" x14ac:dyDescent="0.25">
      <c r="A2484" s="4">
        <v>1751</v>
      </c>
      <c r="B2484" s="4" t="s">
        <v>117</v>
      </c>
      <c r="C2484" s="38" t="s">
        <v>517</v>
      </c>
      <c r="D2484" s="4">
        <v>2020</v>
      </c>
      <c r="E2484" s="4" t="s">
        <v>21</v>
      </c>
      <c r="F2484" s="4">
        <v>5</v>
      </c>
      <c r="G2484" s="4">
        <v>90</v>
      </c>
      <c r="H2484" s="4">
        <v>47.332000000000001</v>
      </c>
    </row>
    <row r="2485" spans="1:8" s="5" customFormat="1" ht="78.75" hidden="1" outlineLevel="1" x14ac:dyDescent="0.25">
      <c r="A2485" s="4">
        <v>1750</v>
      </c>
      <c r="B2485" s="4" t="s">
        <v>117</v>
      </c>
      <c r="C2485" s="38" t="s">
        <v>518</v>
      </c>
      <c r="D2485" s="4">
        <v>2020</v>
      </c>
      <c r="E2485" s="4" t="s">
        <v>21</v>
      </c>
      <c r="F2485" s="4">
        <v>5</v>
      </c>
      <c r="G2485" s="4">
        <v>50</v>
      </c>
      <c r="H2485" s="4">
        <v>44.883000000000003</v>
      </c>
    </row>
    <row r="2486" spans="1:8" s="5" customFormat="1" ht="63" hidden="1" outlineLevel="1" x14ac:dyDescent="0.25">
      <c r="A2486" s="4">
        <v>269</v>
      </c>
      <c r="B2486" s="4" t="s">
        <v>117</v>
      </c>
      <c r="C2486" s="38" t="s">
        <v>786</v>
      </c>
      <c r="D2486" s="4">
        <v>2020</v>
      </c>
      <c r="E2486" s="4" t="s">
        <v>21</v>
      </c>
      <c r="F2486" s="4">
        <v>119</v>
      </c>
      <c r="G2486" s="4">
        <v>15</v>
      </c>
      <c r="H2486" s="4">
        <v>267.03800000000001</v>
      </c>
    </row>
    <row r="2487" spans="1:8" s="5" customFormat="1" ht="63" hidden="1" outlineLevel="1" x14ac:dyDescent="0.25">
      <c r="A2487" s="4">
        <v>332</v>
      </c>
      <c r="B2487" s="4" t="s">
        <v>117</v>
      </c>
      <c r="C2487" s="38" t="s">
        <v>787</v>
      </c>
      <c r="D2487" s="4">
        <v>2020</v>
      </c>
      <c r="E2487" s="4" t="s">
        <v>21</v>
      </c>
      <c r="F2487" s="4">
        <v>129</v>
      </c>
      <c r="G2487" s="4">
        <v>7</v>
      </c>
      <c r="H2487" s="4">
        <v>183.88499999999999</v>
      </c>
    </row>
    <row r="2488" spans="1:8" s="5" customFormat="1" ht="63" hidden="1" outlineLevel="1" x14ac:dyDescent="0.25">
      <c r="A2488" s="4">
        <v>1456</v>
      </c>
      <c r="B2488" s="4" t="s">
        <v>117</v>
      </c>
      <c r="C2488" s="38" t="s">
        <v>788</v>
      </c>
      <c r="D2488" s="4">
        <v>2020</v>
      </c>
      <c r="E2488" s="4" t="s">
        <v>21</v>
      </c>
      <c r="F2488" s="4">
        <v>82</v>
      </c>
      <c r="G2488" s="4">
        <v>15</v>
      </c>
      <c r="H2488" s="4">
        <v>225.78700000000001</v>
      </c>
    </row>
    <row r="2489" spans="1:8" s="5" customFormat="1" ht="63" hidden="1" outlineLevel="1" x14ac:dyDescent="0.25">
      <c r="A2489" s="4">
        <v>1588</v>
      </c>
      <c r="B2489" s="4" t="s">
        <v>117</v>
      </c>
      <c r="C2489" s="38" t="s">
        <v>789</v>
      </c>
      <c r="D2489" s="4">
        <v>2020</v>
      </c>
      <c r="E2489" s="4" t="s">
        <v>21</v>
      </c>
      <c r="F2489" s="4">
        <v>75</v>
      </c>
      <c r="G2489" s="4">
        <v>10</v>
      </c>
      <c r="H2489" s="4">
        <v>104.221</v>
      </c>
    </row>
    <row r="2490" spans="1:8" s="5" customFormat="1" ht="63" hidden="1" outlineLevel="1" x14ac:dyDescent="0.25">
      <c r="A2490" s="4">
        <v>1582</v>
      </c>
      <c r="B2490" s="4" t="s">
        <v>117</v>
      </c>
      <c r="C2490" s="38" t="s">
        <v>790</v>
      </c>
      <c r="D2490" s="4">
        <v>2020</v>
      </c>
      <c r="E2490" s="4" t="s">
        <v>21</v>
      </c>
      <c r="F2490" s="4">
        <v>80</v>
      </c>
      <c r="G2490" s="4">
        <v>10</v>
      </c>
      <c r="H2490" s="4">
        <v>169.36799999999999</v>
      </c>
    </row>
    <row r="2491" spans="1:8" s="5" customFormat="1" ht="63" hidden="1" outlineLevel="1" x14ac:dyDescent="0.25">
      <c r="A2491" s="4">
        <v>1451</v>
      </c>
      <c r="B2491" s="4" t="s">
        <v>117</v>
      </c>
      <c r="C2491" s="38" t="s">
        <v>791</v>
      </c>
      <c r="D2491" s="4">
        <v>2020</v>
      </c>
      <c r="E2491" s="4" t="s">
        <v>21</v>
      </c>
      <c r="F2491" s="4">
        <v>200</v>
      </c>
      <c r="G2491" s="4">
        <v>15</v>
      </c>
      <c r="H2491" s="4">
        <v>257.47399999999999</v>
      </c>
    </row>
    <row r="2492" spans="1:8" s="5" customFormat="1" ht="63" hidden="1" outlineLevel="1" x14ac:dyDescent="0.25">
      <c r="A2492" s="4">
        <v>1591</v>
      </c>
      <c r="B2492" s="4" t="s">
        <v>117</v>
      </c>
      <c r="C2492" s="38" t="s">
        <v>792</v>
      </c>
      <c r="D2492" s="4">
        <v>2020</v>
      </c>
      <c r="E2492" s="4" t="s">
        <v>21</v>
      </c>
      <c r="F2492" s="4">
        <v>30</v>
      </c>
      <c r="G2492" s="4">
        <v>10</v>
      </c>
      <c r="H2492" s="4">
        <v>140.511</v>
      </c>
    </row>
    <row r="2493" spans="1:8" s="5" customFormat="1" ht="78.75" hidden="1" outlineLevel="1" x14ac:dyDescent="0.25">
      <c r="A2493" s="4">
        <v>1605</v>
      </c>
      <c r="B2493" s="4" t="s">
        <v>117</v>
      </c>
      <c r="C2493" s="38" t="s">
        <v>793</v>
      </c>
      <c r="D2493" s="4">
        <v>2020</v>
      </c>
      <c r="E2493" s="4" t="s">
        <v>21</v>
      </c>
      <c r="F2493" s="4">
        <v>57</v>
      </c>
      <c r="G2493" s="4">
        <v>5</v>
      </c>
      <c r="H2493" s="4">
        <v>137.602</v>
      </c>
    </row>
    <row r="2494" spans="1:8" s="5" customFormat="1" ht="63" hidden="1" outlineLevel="1" x14ac:dyDescent="0.25">
      <c r="A2494" s="4">
        <v>1475</v>
      </c>
      <c r="B2494" s="4" t="s">
        <v>117</v>
      </c>
      <c r="C2494" s="38" t="s">
        <v>794</v>
      </c>
      <c r="D2494" s="4">
        <v>2020</v>
      </c>
      <c r="E2494" s="4" t="s">
        <v>21</v>
      </c>
      <c r="F2494" s="4">
        <v>120</v>
      </c>
      <c r="G2494" s="4">
        <v>15</v>
      </c>
      <c r="H2494" s="4">
        <v>201.43100000000001</v>
      </c>
    </row>
    <row r="2495" spans="1:8" s="5" customFormat="1" ht="63" hidden="1" outlineLevel="1" x14ac:dyDescent="0.25">
      <c r="A2495" s="4">
        <v>1474</v>
      </c>
      <c r="B2495" s="4" t="s">
        <v>117</v>
      </c>
      <c r="C2495" s="38" t="s">
        <v>795</v>
      </c>
      <c r="D2495" s="4">
        <v>2020</v>
      </c>
      <c r="E2495" s="4" t="s">
        <v>21</v>
      </c>
      <c r="F2495" s="4">
        <v>50</v>
      </c>
      <c r="G2495" s="4">
        <v>15</v>
      </c>
      <c r="H2495" s="4">
        <v>165.20699999999999</v>
      </c>
    </row>
    <row r="2496" spans="1:8" s="5" customFormat="1" ht="63" hidden="1" outlineLevel="1" x14ac:dyDescent="0.25">
      <c r="A2496" s="4">
        <v>1457</v>
      </c>
      <c r="B2496" s="4" t="s">
        <v>117</v>
      </c>
      <c r="C2496" s="38" t="s">
        <v>796</v>
      </c>
      <c r="D2496" s="4">
        <v>2020</v>
      </c>
      <c r="E2496" s="4" t="s">
        <v>21</v>
      </c>
      <c r="F2496" s="4">
        <v>30</v>
      </c>
      <c r="G2496" s="4">
        <v>15</v>
      </c>
      <c r="H2496" s="4">
        <v>145.60599999999999</v>
      </c>
    </row>
    <row r="2497" spans="1:8" s="5" customFormat="1" ht="63" hidden="1" outlineLevel="1" x14ac:dyDescent="0.25">
      <c r="A2497" s="4">
        <v>1482</v>
      </c>
      <c r="B2497" s="4" t="s">
        <v>117</v>
      </c>
      <c r="C2497" s="38" t="s">
        <v>797</v>
      </c>
      <c r="D2497" s="4">
        <v>2020</v>
      </c>
      <c r="E2497" s="4" t="s">
        <v>21</v>
      </c>
      <c r="F2497" s="4">
        <v>70</v>
      </c>
      <c r="G2497" s="4">
        <v>15</v>
      </c>
      <c r="H2497" s="4">
        <v>236.971</v>
      </c>
    </row>
    <row r="2498" spans="1:8" s="5" customFormat="1" ht="63" hidden="1" outlineLevel="1" x14ac:dyDescent="0.25">
      <c r="A2498" s="4">
        <v>1584</v>
      </c>
      <c r="B2498" s="4" t="s">
        <v>117</v>
      </c>
      <c r="C2498" s="38" t="s">
        <v>798</v>
      </c>
      <c r="D2498" s="4">
        <v>2020</v>
      </c>
      <c r="E2498" s="4" t="s">
        <v>21</v>
      </c>
      <c r="F2498" s="4">
        <v>150</v>
      </c>
      <c r="G2498" s="4">
        <v>15</v>
      </c>
      <c r="H2498" s="4">
        <v>203.02799999999999</v>
      </c>
    </row>
    <row r="2499" spans="1:8" s="5" customFormat="1" ht="78.75" hidden="1" outlineLevel="1" x14ac:dyDescent="0.25">
      <c r="A2499" s="4">
        <v>1724</v>
      </c>
      <c r="B2499" s="4" t="s">
        <v>117</v>
      </c>
      <c r="C2499" s="38" t="s">
        <v>595</v>
      </c>
      <c r="D2499" s="4">
        <v>2020</v>
      </c>
      <c r="E2499" s="4" t="s">
        <v>21</v>
      </c>
      <c r="F2499" s="4">
        <v>10</v>
      </c>
      <c r="G2499" s="4">
        <v>15</v>
      </c>
      <c r="H2499" s="4">
        <v>26.725999999999999</v>
      </c>
    </row>
    <row r="2500" spans="1:8" s="5" customFormat="1" ht="63" hidden="1" outlineLevel="1" x14ac:dyDescent="0.25">
      <c r="A2500" s="4">
        <v>371</v>
      </c>
      <c r="B2500" s="4" t="s">
        <v>117</v>
      </c>
      <c r="C2500" s="38" t="s">
        <v>799</v>
      </c>
      <c r="D2500" s="4">
        <v>2020</v>
      </c>
      <c r="E2500" s="4" t="s">
        <v>21</v>
      </c>
      <c r="F2500" s="4">
        <v>130</v>
      </c>
      <c r="G2500" s="4">
        <v>25</v>
      </c>
      <c r="H2500" s="4">
        <v>174.74700000000001</v>
      </c>
    </row>
    <row r="2501" spans="1:8" s="5" customFormat="1" ht="63" hidden="1" outlineLevel="1" x14ac:dyDescent="0.25">
      <c r="A2501" s="4">
        <v>1455</v>
      </c>
      <c r="B2501" s="4" t="s">
        <v>117</v>
      </c>
      <c r="C2501" s="38" t="s">
        <v>800</v>
      </c>
      <c r="D2501" s="4">
        <v>2020</v>
      </c>
      <c r="E2501" s="4" t="s">
        <v>21</v>
      </c>
      <c r="F2501" s="4">
        <v>50</v>
      </c>
      <c r="G2501" s="4">
        <v>10</v>
      </c>
      <c r="H2501" s="4">
        <v>112.827</v>
      </c>
    </row>
    <row r="2502" spans="1:8" s="5" customFormat="1" ht="78.75" hidden="1" outlineLevel="1" x14ac:dyDescent="0.25">
      <c r="A2502" s="4">
        <v>1542</v>
      </c>
      <c r="B2502" s="4" t="s">
        <v>117</v>
      </c>
      <c r="C2502" s="38" t="s">
        <v>801</v>
      </c>
      <c r="D2502" s="4">
        <v>2020</v>
      </c>
      <c r="E2502" s="4" t="s">
        <v>21</v>
      </c>
      <c r="F2502" s="4">
        <v>100</v>
      </c>
      <c r="G2502" s="4">
        <v>44</v>
      </c>
      <c r="H2502" s="4">
        <v>219.74799999999999</v>
      </c>
    </row>
    <row r="2503" spans="1:8" s="5" customFormat="1" ht="63" hidden="1" outlineLevel="1" x14ac:dyDescent="0.25">
      <c r="A2503" s="4">
        <v>1453</v>
      </c>
      <c r="B2503" s="4" t="s">
        <v>117</v>
      </c>
      <c r="C2503" s="38" t="s">
        <v>802</v>
      </c>
      <c r="D2503" s="4">
        <v>2020</v>
      </c>
      <c r="E2503" s="4" t="s">
        <v>21</v>
      </c>
      <c r="F2503" s="4">
        <v>53</v>
      </c>
      <c r="G2503" s="4">
        <v>15</v>
      </c>
      <c r="H2503" s="4">
        <v>168.25200000000001</v>
      </c>
    </row>
    <row r="2504" spans="1:8" s="5" customFormat="1" ht="63" hidden="1" outlineLevel="1" x14ac:dyDescent="0.25">
      <c r="A2504" s="4">
        <v>1481</v>
      </c>
      <c r="B2504" s="4" t="s">
        <v>117</v>
      </c>
      <c r="C2504" s="38" t="s">
        <v>803</v>
      </c>
      <c r="D2504" s="4">
        <v>2020</v>
      </c>
      <c r="E2504" s="4" t="s">
        <v>21</v>
      </c>
      <c r="F2504" s="4">
        <v>90</v>
      </c>
      <c r="G2504" s="4">
        <v>15</v>
      </c>
      <c r="H2504" s="4">
        <v>182.857</v>
      </c>
    </row>
    <row r="2505" spans="1:8" s="5" customFormat="1" ht="63" hidden="1" outlineLevel="1" x14ac:dyDescent="0.25">
      <c r="A2505" s="4">
        <v>1494</v>
      </c>
      <c r="B2505" s="4" t="s">
        <v>117</v>
      </c>
      <c r="C2505" s="38" t="s">
        <v>804</v>
      </c>
      <c r="D2505" s="4">
        <v>2020</v>
      </c>
      <c r="E2505" s="4" t="s">
        <v>21</v>
      </c>
      <c r="F2505" s="4">
        <v>111</v>
      </c>
      <c r="G2505" s="4">
        <v>15</v>
      </c>
      <c r="H2505" s="4">
        <v>225.75800000000001</v>
      </c>
    </row>
    <row r="2506" spans="1:8" s="5" customFormat="1" ht="78.75" hidden="1" outlineLevel="1" x14ac:dyDescent="0.25">
      <c r="A2506" s="4">
        <v>1608</v>
      </c>
      <c r="B2506" s="4" t="s">
        <v>117</v>
      </c>
      <c r="C2506" s="38" t="s">
        <v>805</v>
      </c>
      <c r="D2506" s="4">
        <v>2020</v>
      </c>
      <c r="E2506" s="4" t="s">
        <v>21</v>
      </c>
      <c r="F2506" s="4">
        <v>50</v>
      </c>
      <c r="G2506" s="4">
        <v>15</v>
      </c>
      <c r="H2506" s="4">
        <v>175.27500000000001</v>
      </c>
    </row>
    <row r="2507" spans="1:8" s="5" customFormat="1" ht="63" hidden="1" outlineLevel="1" x14ac:dyDescent="0.25">
      <c r="A2507" s="4">
        <v>1604</v>
      </c>
      <c r="B2507" s="4" t="s">
        <v>117</v>
      </c>
      <c r="C2507" s="38" t="s">
        <v>806</v>
      </c>
      <c r="D2507" s="4">
        <v>2020</v>
      </c>
      <c r="E2507" s="4" t="s">
        <v>21</v>
      </c>
      <c r="F2507" s="4">
        <v>110</v>
      </c>
      <c r="G2507" s="4">
        <v>5</v>
      </c>
      <c r="H2507" s="4">
        <v>223.09</v>
      </c>
    </row>
    <row r="2508" spans="1:8" s="5" customFormat="1" ht="78.75" hidden="1" outlineLevel="1" x14ac:dyDescent="0.25">
      <c r="A2508" s="4">
        <v>1536</v>
      </c>
      <c r="B2508" s="4" t="s">
        <v>117</v>
      </c>
      <c r="C2508" s="38" t="s">
        <v>807</v>
      </c>
      <c r="D2508" s="4">
        <v>2020</v>
      </c>
      <c r="E2508" s="4" t="s">
        <v>21</v>
      </c>
      <c r="F2508" s="4">
        <v>70</v>
      </c>
      <c r="G2508" s="4">
        <v>15</v>
      </c>
      <c r="H2508" s="4">
        <v>156.928</v>
      </c>
    </row>
    <row r="2509" spans="1:8" s="5" customFormat="1" ht="63" hidden="1" outlineLevel="1" x14ac:dyDescent="0.25">
      <c r="A2509" s="4">
        <v>564</v>
      </c>
      <c r="B2509" s="4" t="s">
        <v>117</v>
      </c>
      <c r="C2509" s="38" t="s">
        <v>808</v>
      </c>
      <c r="D2509" s="4">
        <v>2020</v>
      </c>
      <c r="E2509" s="4" t="s">
        <v>21</v>
      </c>
      <c r="F2509" s="4">
        <v>40</v>
      </c>
      <c r="G2509" s="4">
        <v>5</v>
      </c>
      <c r="H2509" s="4">
        <v>114.36199999999999</v>
      </c>
    </row>
    <row r="2510" spans="1:8" s="5" customFormat="1" ht="94.5" hidden="1" outlineLevel="1" x14ac:dyDescent="0.25">
      <c r="A2510" s="4">
        <v>1439</v>
      </c>
      <c r="B2510" s="4" t="s">
        <v>117</v>
      </c>
      <c r="C2510" s="38" t="s">
        <v>809</v>
      </c>
      <c r="D2510" s="4">
        <v>2020</v>
      </c>
      <c r="E2510" s="4" t="s">
        <v>21</v>
      </c>
      <c r="F2510" s="4">
        <v>30</v>
      </c>
      <c r="G2510" s="4">
        <v>30</v>
      </c>
      <c r="H2510" s="4">
        <v>127.97499999999999</v>
      </c>
    </row>
    <row r="2511" spans="1:8" s="5" customFormat="1" ht="63" hidden="1" outlineLevel="1" x14ac:dyDescent="0.25">
      <c r="A2511" s="4">
        <v>754</v>
      </c>
      <c r="B2511" s="4" t="s">
        <v>117</v>
      </c>
      <c r="C2511" s="38" t="s">
        <v>810</v>
      </c>
      <c r="D2511" s="4">
        <v>2020</v>
      </c>
      <c r="E2511" s="4" t="s">
        <v>21</v>
      </c>
      <c r="F2511" s="4">
        <v>30</v>
      </c>
      <c r="G2511" s="4">
        <v>15</v>
      </c>
      <c r="H2511" s="4">
        <v>210.05799999999999</v>
      </c>
    </row>
    <row r="2512" spans="1:8" s="5" customFormat="1" ht="126" hidden="1" outlineLevel="1" x14ac:dyDescent="0.25">
      <c r="A2512" s="4">
        <v>805</v>
      </c>
      <c r="B2512" s="4" t="s">
        <v>117</v>
      </c>
      <c r="C2512" s="38" t="s">
        <v>811</v>
      </c>
      <c r="D2512" s="4">
        <v>2020</v>
      </c>
      <c r="E2512" s="4" t="s">
        <v>21</v>
      </c>
      <c r="F2512" s="4">
        <v>25</v>
      </c>
      <c r="G2512" s="4">
        <v>15</v>
      </c>
      <c r="H2512" s="4">
        <v>171.87700000000001</v>
      </c>
    </row>
    <row r="2513" spans="1:8" s="5" customFormat="1" ht="94.5" hidden="1" outlineLevel="1" x14ac:dyDescent="0.25">
      <c r="A2513" s="4">
        <v>1601</v>
      </c>
      <c r="B2513" s="4" t="s">
        <v>117</v>
      </c>
      <c r="C2513" s="38" t="s">
        <v>812</v>
      </c>
      <c r="D2513" s="4">
        <v>2020</v>
      </c>
      <c r="E2513" s="4" t="s">
        <v>21</v>
      </c>
      <c r="F2513" s="4">
        <v>40</v>
      </c>
      <c r="G2513" s="4">
        <v>6</v>
      </c>
      <c r="H2513" s="4">
        <v>170.29900000000001</v>
      </c>
    </row>
    <row r="2514" spans="1:8" s="5" customFormat="1" ht="78.75" hidden="1" outlineLevel="1" x14ac:dyDescent="0.25">
      <c r="A2514" s="4">
        <v>1431</v>
      </c>
      <c r="B2514" s="4" t="s">
        <v>117</v>
      </c>
      <c r="C2514" s="38" t="s">
        <v>813</v>
      </c>
      <c r="D2514" s="4">
        <v>2020</v>
      </c>
      <c r="E2514" s="4" t="s">
        <v>21</v>
      </c>
      <c r="F2514" s="4">
        <v>35</v>
      </c>
      <c r="G2514" s="4">
        <v>15</v>
      </c>
      <c r="H2514" s="4">
        <v>157.73699999999999</v>
      </c>
    </row>
    <row r="2515" spans="1:8" s="5" customFormat="1" ht="63" hidden="1" outlineLevel="1" x14ac:dyDescent="0.25">
      <c r="A2515" s="4">
        <v>415</v>
      </c>
      <c r="B2515" s="4" t="s">
        <v>117</v>
      </c>
      <c r="C2515" s="38" t="s">
        <v>814</v>
      </c>
      <c r="D2515" s="4">
        <v>2020</v>
      </c>
      <c r="E2515" s="4" t="s">
        <v>21</v>
      </c>
      <c r="F2515" s="4">
        <v>146</v>
      </c>
      <c r="G2515" s="4">
        <v>15</v>
      </c>
      <c r="H2515" s="4">
        <v>308.13299999999998</v>
      </c>
    </row>
    <row r="2516" spans="1:8" s="5" customFormat="1" ht="63" hidden="1" outlineLevel="1" x14ac:dyDescent="0.25">
      <c r="A2516" s="4">
        <v>1745</v>
      </c>
      <c r="B2516" s="4" t="s">
        <v>117</v>
      </c>
      <c r="C2516" s="38" t="s">
        <v>815</v>
      </c>
      <c r="D2516" s="4">
        <v>2020</v>
      </c>
      <c r="E2516" s="4" t="s">
        <v>21</v>
      </c>
      <c r="F2516" s="4">
        <v>128</v>
      </c>
      <c r="G2516" s="4">
        <v>290</v>
      </c>
      <c r="H2516" s="4">
        <v>312.11599999999999</v>
      </c>
    </row>
    <row r="2517" spans="1:8" s="5" customFormat="1" ht="63" hidden="1" outlineLevel="1" x14ac:dyDescent="0.25">
      <c r="A2517" s="4">
        <v>591</v>
      </c>
      <c r="B2517" s="4" t="s">
        <v>117</v>
      </c>
      <c r="C2517" s="38" t="s">
        <v>816</v>
      </c>
      <c r="D2517" s="4">
        <v>2020</v>
      </c>
      <c r="E2517" s="4" t="s">
        <v>21</v>
      </c>
      <c r="F2517" s="4">
        <v>120</v>
      </c>
      <c r="G2517" s="4">
        <v>10</v>
      </c>
      <c r="H2517" s="4">
        <v>193.876</v>
      </c>
    </row>
    <row r="2518" spans="1:8" s="5" customFormat="1" ht="63" hidden="1" outlineLevel="1" x14ac:dyDescent="0.25">
      <c r="A2518" s="4">
        <v>692</v>
      </c>
      <c r="B2518" s="4" t="s">
        <v>117</v>
      </c>
      <c r="C2518" s="38" t="s">
        <v>817</v>
      </c>
      <c r="D2518" s="4">
        <v>2020</v>
      </c>
      <c r="E2518" s="4" t="s">
        <v>21</v>
      </c>
      <c r="F2518" s="4">
        <v>75</v>
      </c>
      <c r="G2518" s="4">
        <v>15</v>
      </c>
      <c r="H2518" s="4">
        <v>153.36600000000001</v>
      </c>
    </row>
    <row r="2519" spans="1:8" s="5" customFormat="1" ht="63" hidden="1" outlineLevel="1" x14ac:dyDescent="0.25">
      <c r="A2519" s="4">
        <v>676</v>
      </c>
      <c r="B2519" s="4" t="s">
        <v>117</v>
      </c>
      <c r="C2519" s="38" t="s">
        <v>818</v>
      </c>
      <c r="D2519" s="4">
        <v>2020</v>
      </c>
      <c r="E2519" s="4" t="s">
        <v>21</v>
      </c>
      <c r="F2519" s="4">
        <v>50</v>
      </c>
      <c r="G2519" s="4">
        <v>15</v>
      </c>
      <c r="H2519" s="4">
        <v>164.732</v>
      </c>
    </row>
    <row r="2520" spans="1:8" s="5" customFormat="1" ht="63" hidden="1" outlineLevel="1" x14ac:dyDescent="0.25">
      <c r="A2520" s="4">
        <v>1473</v>
      </c>
      <c r="B2520" s="4" t="s">
        <v>117</v>
      </c>
      <c r="C2520" s="38" t="s">
        <v>819</v>
      </c>
      <c r="D2520" s="4">
        <v>2020</v>
      </c>
      <c r="E2520" s="4" t="s">
        <v>21</v>
      </c>
      <c r="F2520" s="4">
        <v>51</v>
      </c>
      <c r="G2520" s="4">
        <v>15</v>
      </c>
      <c r="H2520" s="4">
        <v>165.91499999999999</v>
      </c>
    </row>
    <row r="2521" spans="1:8" s="5" customFormat="1" ht="110.25" hidden="1" outlineLevel="1" x14ac:dyDescent="0.25">
      <c r="A2521" s="4">
        <v>1623</v>
      </c>
      <c r="B2521" s="4" t="s">
        <v>117</v>
      </c>
      <c r="C2521" s="38" t="s">
        <v>820</v>
      </c>
      <c r="D2521" s="4">
        <v>2020</v>
      </c>
      <c r="E2521" s="4" t="s">
        <v>21</v>
      </c>
      <c r="F2521" s="4">
        <v>8</v>
      </c>
      <c r="G2521" s="4">
        <v>50</v>
      </c>
      <c r="H2521" s="4">
        <v>35.770000000000003</v>
      </c>
    </row>
    <row r="2522" spans="1:8" s="5" customFormat="1" ht="78.75" hidden="1" outlineLevel="1" x14ac:dyDescent="0.25">
      <c r="A2522" s="4">
        <v>241</v>
      </c>
      <c r="B2522" s="4" t="s">
        <v>117</v>
      </c>
      <c r="C2522" s="38" t="s">
        <v>821</v>
      </c>
      <c r="D2522" s="4">
        <v>2020</v>
      </c>
      <c r="E2522" s="4" t="s">
        <v>21</v>
      </c>
      <c r="F2522" s="4">
        <v>270</v>
      </c>
      <c r="G2522" s="4">
        <v>25</v>
      </c>
      <c r="H2522" s="4">
        <v>251.12200000000001</v>
      </c>
    </row>
    <row r="2523" spans="1:8" s="5" customFormat="1" ht="110.25" hidden="1" outlineLevel="1" x14ac:dyDescent="0.25">
      <c r="A2523" s="4">
        <v>195</v>
      </c>
      <c r="B2523" s="4" t="s">
        <v>117</v>
      </c>
      <c r="C2523" s="38" t="s">
        <v>822</v>
      </c>
      <c r="D2523" s="4">
        <v>2020</v>
      </c>
      <c r="E2523" s="4" t="s">
        <v>21</v>
      </c>
      <c r="F2523" s="4">
        <v>100</v>
      </c>
      <c r="G2523" s="4">
        <v>15</v>
      </c>
      <c r="H2523" s="4">
        <v>140.58000000000001</v>
      </c>
    </row>
    <row r="2524" spans="1:8" s="5" customFormat="1" ht="63" hidden="1" outlineLevel="1" x14ac:dyDescent="0.25">
      <c r="A2524" s="4">
        <v>991</v>
      </c>
      <c r="B2524" s="4" t="s">
        <v>117</v>
      </c>
      <c r="C2524" s="38" t="s">
        <v>823</v>
      </c>
      <c r="D2524" s="4">
        <v>2020</v>
      </c>
      <c r="E2524" s="4" t="s">
        <v>21</v>
      </c>
      <c r="F2524" s="4">
        <v>10</v>
      </c>
      <c r="G2524" s="4">
        <v>5</v>
      </c>
      <c r="H2524" s="4">
        <v>58.156999999999996</v>
      </c>
    </row>
    <row r="2525" spans="1:8" s="5" customFormat="1" ht="63" hidden="1" outlineLevel="1" x14ac:dyDescent="0.25">
      <c r="A2525" s="4">
        <v>781</v>
      </c>
      <c r="B2525" s="4" t="s">
        <v>117</v>
      </c>
      <c r="C2525" s="38" t="s">
        <v>824</v>
      </c>
      <c r="D2525" s="4">
        <v>2020</v>
      </c>
      <c r="E2525" s="4" t="s">
        <v>21</v>
      </c>
      <c r="F2525" s="4">
        <v>50</v>
      </c>
      <c r="G2525" s="4">
        <v>15</v>
      </c>
      <c r="H2525" s="4">
        <v>87.094999999999999</v>
      </c>
    </row>
    <row r="2526" spans="1:8" s="5" customFormat="1" ht="63" hidden="1" outlineLevel="1" x14ac:dyDescent="0.25">
      <c r="A2526" s="4">
        <v>872</v>
      </c>
      <c r="B2526" s="4" t="s">
        <v>117</v>
      </c>
      <c r="C2526" s="38" t="s">
        <v>825</v>
      </c>
      <c r="D2526" s="4">
        <v>2020</v>
      </c>
      <c r="E2526" s="4" t="s">
        <v>21</v>
      </c>
      <c r="F2526" s="4">
        <v>140</v>
      </c>
      <c r="G2526" s="4">
        <v>5</v>
      </c>
      <c r="H2526" s="4">
        <v>124.227</v>
      </c>
    </row>
    <row r="2527" spans="1:8" s="5" customFormat="1" ht="63" hidden="1" outlineLevel="1" x14ac:dyDescent="0.25">
      <c r="A2527" s="4">
        <v>1500</v>
      </c>
      <c r="B2527" s="4" t="s">
        <v>117</v>
      </c>
      <c r="C2527" s="38" t="s">
        <v>826</v>
      </c>
      <c r="D2527" s="4">
        <v>2020</v>
      </c>
      <c r="E2527" s="4" t="s">
        <v>21</v>
      </c>
      <c r="F2527" s="4">
        <v>40</v>
      </c>
      <c r="G2527" s="4">
        <v>15</v>
      </c>
      <c r="H2527" s="4">
        <v>68.093000000000004</v>
      </c>
    </row>
    <row r="2528" spans="1:8" s="5" customFormat="1" ht="63" hidden="1" outlineLevel="1" x14ac:dyDescent="0.25">
      <c r="A2528" s="4">
        <v>1015</v>
      </c>
      <c r="B2528" s="4" t="s">
        <v>117</v>
      </c>
      <c r="C2528" s="38" t="s">
        <v>827</v>
      </c>
      <c r="D2528" s="4">
        <v>2020</v>
      </c>
      <c r="E2528" s="4" t="s">
        <v>21</v>
      </c>
      <c r="F2528" s="4">
        <v>20</v>
      </c>
      <c r="G2528" s="4">
        <v>1</v>
      </c>
      <c r="H2528" s="4">
        <v>65.599999999999994</v>
      </c>
    </row>
    <row r="2529" spans="1:8" s="5" customFormat="1" ht="63" hidden="1" outlineLevel="1" x14ac:dyDescent="0.25">
      <c r="A2529" s="4">
        <v>958</v>
      </c>
      <c r="B2529" s="4" t="s">
        <v>117</v>
      </c>
      <c r="C2529" s="38" t="s">
        <v>828</v>
      </c>
      <c r="D2529" s="4">
        <v>2020</v>
      </c>
      <c r="E2529" s="4" t="s">
        <v>21</v>
      </c>
      <c r="F2529" s="4">
        <v>100</v>
      </c>
      <c r="G2529" s="4">
        <v>5</v>
      </c>
      <c r="H2529" s="4">
        <v>98.498000000000005</v>
      </c>
    </row>
    <row r="2530" spans="1:8" s="5" customFormat="1" ht="78.75" hidden="1" outlineLevel="1" x14ac:dyDescent="0.25">
      <c r="A2530" s="4">
        <v>1554</v>
      </c>
      <c r="B2530" s="4" t="s">
        <v>117</v>
      </c>
      <c r="C2530" s="38" t="s">
        <v>829</v>
      </c>
      <c r="D2530" s="4">
        <v>2020</v>
      </c>
      <c r="E2530" s="4" t="s">
        <v>21</v>
      </c>
      <c r="F2530" s="4">
        <v>90</v>
      </c>
      <c r="G2530" s="4">
        <v>5</v>
      </c>
      <c r="H2530" s="4">
        <v>99.075999999999993</v>
      </c>
    </row>
    <row r="2531" spans="1:8" s="5" customFormat="1" ht="63" hidden="1" outlineLevel="1" x14ac:dyDescent="0.25">
      <c r="A2531" s="4">
        <v>1606</v>
      </c>
      <c r="B2531" s="4" t="s">
        <v>117</v>
      </c>
      <c r="C2531" s="38" t="s">
        <v>830</v>
      </c>
      <c r="D2531" s="4">
        <v>2020</v>
      </c>
      <c r="E2531" s="4" t="s">
        <v>21</v>
      </c>
      <c r="F2531" s="4">
        <v>30</v>
      </c>
      <c r="G2531" s="4">
        <v>101.2</v>
      </c>
      <c r="H2531" s="4">
        <v>67.495999999999995</v>
      </c>
    </row>
    <row r="2532" spans="1:8" s="5" customFormat="1" ht="63" hidden="1" outlineLevel="1" x14ac:dyDescent="0.25">
      <c r="A2532" s="4">
        <v>694</v>
      </c>
      <c r="B2532" s="4" t="s">
        <v>117</v>
      </c>
      <c r="C2532" s="38" t="s">
        <v>831</v>
      </c>
      <c r="D2532" s="4">
        <v>2020</v>
      </c>
      <c r="E2532" s="4" t="s">
        <v>21</v>
      </c>
      <c r="F2532" s="4">
        <v>160</v>
      </c>
      <c r="G2532" s="4">
        <v>15</v>
      </c>
      <c r="H2532" s="4">
        <v>159.00800000000001</v>
      </c>
    </row>
    <row r="2533" spans="1:8" s="5" customFormat="1" ht="63" hidden="1" outlineLevel="1" x14ac:dyDescent="0.25">
      <c r="A2533" s="4">
        <v>966</v>
      </c>
      <c r="B2533" s="4" t="s">
        <v>117</v>
      </c>
      <c r="C2533" s="38" t="s">
        <v>832</v>
      </c>
      <c r="D2533" s="4">
        <v>2020</v>
      </c>
      <c r="E2533" s="4" t="s">
        <v>21</v>
      </c>
      <c r="F2533" s="4">
        <v>215</v>
      </c>
      <c r="G2533" s="4">
        <v>15</v>
      </c>
      <c r="H2533" s="4">
        <v>94.602000000000004</v>
      </c>
    </row>
    <row r="2534" spans="1:8" s="5" customFormat="1" ht="78.75" hidden="1" outlineLevel="1" x14ac:dyDescent="0.25">
      <c r="A2534" s="4">
        <v>1433</v>
      </c>
      <c r="B2534" s="4" t="s">
        <v>117</v>
      </c>
      <c r="C2534" s="38" t="s">
        <v>833</v>
      </c>
      <c r="D2534" s="4">
        <v>2020</v>
      </c>
      <c r="E2534" s="4" t="s">
        <v>21</v>
      </c>
      <c r="F2534" s="4">
        <v>100</v>
      </c>
      <c r="G2534" s="4">
        <v>5</v>
      </c>
      <c r="H2534" s="4">
        <v>143.827</v>
      </c>
    </row>
    <row r="2535" spans="1:8" s="5" customFormat="1" ht="78.75" hidden="1" outlineLevel="1" x14ac:dyDescent="0.25">
      <c r="A2535" s="4">
        <v>1720</v>
      </c>
      <c r="B2535" s="4" t="s">
        <v>117</v>
      </c>
      <c r="C2535" s="38" t="s">
        <v>524</v>
      </c>
      <c r="D2535" s="4">
        <v>2020</v>
      </c>
      <c r="E2535" s="4" t="s">
        <v>21</v>
      </c>
      <c r="F2535" s="4">
        <v>275</v>
      </c>
      <c r="G2535" s="4">
        <v>10</v>
      </c>
      <c r="H2535" s="4">
        <v>377.46800000000002</v>
      </c>
    </row>
    <row r="2536" spans="1:8" s="5" customFormat="1" ht="63" hidden="1" outlineLevel="1" x14ac:dyDescent="0.25">
      <c r="A2536" s="4">
        <v>900</v>
      </c>
      <c r="B2536" s="4" t="s">
        <v>117</v>
      </c>
      <c r="C2536" s="38" t="s">
        <v>834</v>
      </c>
      <c r="D2536" s="4">
        <v>2020</v>
      </c>
      <c r="E2536" s="4" t="s">
        <v>21</v>
      </c>
      <c r="F2536" s="4">
        <v>60</v>
      </c>
      <c r="G2536" s="4">
        <v>5</v>
      </c>
      <c r="H2536" s="4">
        <v>180.791</v>
      </c>
    </row>
    <row r="2537" spans="1:8" s="5" customFormat="1" ht="63" hidden="1" outlineLevel="1" x14ac:dyDescent="0.25">
      <c r="A2537" s="4">
        <v>765</v>
      </c>
      <c r="B2537" s="4" t="s">
        <v>117</v>
      </c>
      <c r="C2537" s="38" t="s">
        <v>835</v>
      </c>
      <c r="D2537" s="4">
        <v>2020</v>
      </c>
      <c r="E2537" s="4" t="s">
        <v>21</v>
      </c>
      <c r="F2537" s="4">
        <v>42</v>
      </c>
      <c r="G2537" s="4">
        <v>15</v>
      </c>
      <c r="H2537" s="4">
        <v>67.963999999999999</v>
      </c>
    </row>
    <row r="2538" spans="1:8" s="5" customFormat="1" ht="78.75" hidden="1" outlineLevel="1" x14ac:dyDescent="0.25">
      <c r="A2538" s="4">
        <v>1714</v>
      </c>
      <c r="B2538" s="4" t="s">
        <v>117</v>
      </c>
      <c r="C2538" s="38" t="s">
        <v>836</v>
      </c>
      <c r="D2538" s="4">
        <v>2020</v>
      </c>
      <c r="E2538" s="4" t="s">
        <v>21</v>
      </c>
      <c r="F2538" s="4">
        <v>500</v>
      </c>
      <c r="G2538" s="4">
        <v>14</v>
      </c>
      <c r="H2538" s="4">
        <v>150.93100000000001</v>
      </c>
    </row>
    <row r="2539" spans="1:8" s="5" customFormat="1" ht="63" hidden="1" outlineLevel="1" x14ac:dyDescent="0.25">
      <c r="A2539" s="4">
        <v>732</v>
      </c>
      <c r="B2539" s="4" t="s">
        <v>117</v>
      </c>
      <c r="C2539" s="38" t="s">
        <v>837</v>
      </c>
      <c r="D2539" s="4">
        <v>2020</v>
      </c>
      <c r="E2539" s="4" t="s">
        <v>21</v>
      </c>
      <c r="F2539" s="4">
        <v>274</v>
      </c>
      <c r="G2539" s="4">
        <v>12</v>
      </c>
      <c r="H2539" s="4">
        <v>431.81299999999999</v>
      </c>
    </row>
    <row r="2540" spans="1:8" s="5" customFormat="1" ht="78.75" hidden="1" outlineLevel="1" x14ac:dyDescent="0.25">
      <c r="A2540" s="4">
        <v>0</v>
      </c>
      <c r="B2540" s="4" t="s">
        <v>117</v>
      </c>
      <c r="C2540" s="38" t="s">
        <v>838</v>
      </c>
      <c r="D2540" s="4">
        <v>2020</v>
      </c>
      <c r="E2540" s="4" t="s">
        <v>21</v>
      </c>
      <c r="F2540" s="4">
        <v>115</v>
      </c>
      <c r="G2540" s="4">
        <v>103</v>
      </c>
      <c r="H2540" s="4">
        <v>133.26499999999999</v>
      </c>
    </row>
    <row r="2541" spans="1:8" s="5" customFormat="1" ht="110.25" hidden="1" outlineLevel="1" x14ac:dyDescent="0.25">
      <c r="A2541" s="4">
        <v>984</v>
      </c>
      <c r="B2541" s="4" t="s">
        <v>117</v>
      </c>
      <c r="C2541" s="38" t="s">
        <v>525</v>
      </c>
      <c r="D2541" s="4">
        <v>2020</v>
      </c>
      <c r="E2541" s="4" t="s">
        <v>21</v>
      </c>
      <c r="F2541" s="4">
        <v>5</v>
      </c>
      <c r="G2541" s="4">
        <v>40</v>
      </c>
      <c r="H2541" s="4">
        <v>20.218</v>
      </c>
    </row>
    <row r="2542" spans="1:8" s="5" customFormat="1" ht="63" hidden="1" outlineLevel="1" x14ac:dyDescent="0.25">
      <c r="A2542" s="4">
        <v>877</v>
      </c>
      <c r="B2542" s="4" t="s">
        <v>117</v>
      </c>
      <c r="C2542" s="38" t="s">
        <v>839</v>
      </c>
      <c r="D2542" s="4">
        <v>2020</v>
      </c>
      <c r="E2542" s="4" t="s">
        <v>21</v>
      </c>
      <c r="F2542" s="4">
        <v>80</v>
      </c>
      <c r="G2542" s="4">
        <v>5</v>
      </c>
      <c r="H2542" s="4">
        <v>87.997</v>
      </c>
    </row>
    <row r="2543" spans="1:8" s="5" customFormat="1" ht="63" hidden="1" outlineLevel="1" x14ac:dyDescent="0.25">
      <c r="A2543" s="4">
        <v>1509</v>
      </c>
      <c r="B2543" s="4" t="s">
        <v>117</v>
      </c>
      <c r="C2543" s="38" t="s">
        <v>840</v>
      </c>
      <c r="D2543" s="4">
        <v>2020</v>
      </c>
      <c r="E2543" s="4" t="s">
        <v>21</v>
      </c>
      <c r="F2543" s="4">
        <v>100</v>
      </c>
      <c r="G2543" s="4">
        <v>15</v>
      </c>
      <c r="H2543" s="4">
        <v>136.648</v>
      </c>
    </row>
    <row r="2544" spans="1:8" s="5" customFormat="1" ht="63" hidden="1" outlineLevel="1" x14ac:dyDescent="0.25">
      <c r="A2544" s="4">
        <v>818</v>
      </c>
      <c r="B2544" s="4" t="s">
        <v>117</v>
      </c>
      <c r="C2544" s="38" t="s">
        <v>841</v>
      </c>
      <c r="D2544" s="4">
        <v>2020</v>
      </c>
      <c r="E2544" s="4" t="s">
        <v>21</v>
      </c>
      <c r="F2544" s="4">
        <v>140</v>
      </c>
      <c r="G2544" s="4">
        <v>14</v>
      </c>
      <c r="H2544" s="4">
        <v>143.86000000000001</v>
      </c>
    </row>
    <row r="2545" spans="1:8" s="5" customFormat="1" ht="63" hidden="1" outlineLevel="1" x14ac:dyDescent="0.25">
      <c r="A2545" s="4">
        <v>1452</v>
      </c>
      <c r="B2545" s="4" t="s">
        <v>117</v>
      </c>
      <c r="C2545" s="38" t="s">
        <v>842</v>
      </c>
      <c r="D2545" s="4">
        <v>2020</v>
      </c>
      <c r="E2545" s="4" t="s">
        <v>21</v>
      </c>
      <c r="F2545" s="4">
        <v>40</v>
      </c>
      <c r="G2545" s="4">
        <v>5</v>
      </c>
      <c r="H2545" s="4">
        <v>66.783000000000001</v>
      </c>
    </row>
    <row r="2546" spans="1:8" s="5" customFormat="1" ht="78.75" hidden="1" outlineLevel="1" x14ac:dyDescent="0.25">
      <c r="A2546" s="4">
        <v>1744</v>
      </c>
      <c r="B2546" s="4" t="s">
        <v>117</v>
      </c>
      <c r="C2546" s="38" t="s">
        <v>526</v>
      </c>
      <c r="D2546" s="4">
        <v>2020</v>
      </c>
      <c r="E2546" s="4" t="s">
        <v>21</v>
      </c>
      <c r="F2546" s="4">
        <v>16</v>
      </c>
      <c r="G2546" s="4">
        <v>63</v>
      </c>
      <c r="H2546" s="4">
        <v>41.283000000000001</v>
      </c>
    </row>
    <row r="2547" spans="1:8" s="5" customFormat="1" ht="78.75" hidden="1" outlineLevel="1" x14ac:dyDescent="0.25">
      <c r="A2547" s="4">
        <v>1432</v>
      </c>
      <c r="B2547" s="4" t="s">
        <v>117</v>
      </c>
      <c r="C2547" s="38" t="s">
        <v>843</v>
      </c>
      <c r="D2547" s="4">
        <v>2020</v>
      </c>
      <c r="E2547" s="4" t="s">
        <v>21</v>
      </c>
      <c r="F2547" s="4">
        <v>75</v>
      </c>
      <c r="G2547" s="4">
        <v>3</v>
      </c>
      <c r="H2547" s="4">
        <v>140.327</v>
      </c>
    </row>
    <row r="2548" spans="1:8" s="5" customFormat="1" ht="63" hidden="1" outlineLevel="1" x14ac:dyDescent="0.25">
      <c r="A2548" s="4">
        <v>735</v>
      </c>
      <c r="B2548" s="4" t="s">
        <v>117</v>
      </c>
      <c r="C2548" s="38" t="s">
        <v>844</v>
      </c>
      <c r="D2548" s="4">
        <v>2020</v>
      </c>
      <c r="E2548" s="4" t="s">
        <v>21</v>
      </c>
      <c r="F2548" s="4">
        <v>30</v>
      </c>
      <c r="G2548" s="4">
        <v>12</v>
      </c>
      <c r="H2548" s="4">
        <v>94.435000000000002</v>
      </c>
    </row>
    <row r="2549" spans="1:8" s="5" customFormat="1" ht="78.75" hidden="1" outlineLevel="1" x14ac:dyDescent="0.25">
      <c r="A2549" s="4">
        <v>1430</v>
      </c>
      <c r="B2549" s="4" t="s">
        <v>117</v>
      </c>
      <c r="C2549" s="38" t="s">
        <v>845</v>
      </c>
      <c r="D2549" s="4">
        <v>2020</v>
      </c>
      <c r="E2549" s="4" t="s">
        <v>21</v>
      </c>
      <c r="F2549" s="4">
        <v>20</v>
      </c>
      <c r="G2549" s="4">
        <v>6</v>
      </c>
      <c r="H2549" s="4">
        <v>62.195</v>
      </c>
    </row>
    <row r="2550" spans="1:8" s="5" customFormat="1" ht="78.75" hidden="1" outlineLevel="1" x14ac:dyDescent="0.25">
      <c r="A2550" s="4">
        <v>1014</v>
      </c>
      <c r="B2550" s="4" t="s">
        <v>117</v>
      </c>
      <c r="C2550" s="38" t="s">
        <v>846</v>
      </c>
      <c r="D2550" s="4">
        <v>2020</v>
      </c>
      <c r="E2550" s="4" t="s">
        <v>21</v>
      </c>
      <c r="F2550" s="4">
        <v>55</v>
      </c>
      <c r="G2550" s="4">
        <v>5</v>
      </c>
      <c r="H2550" s="4">
        <v>119.914</v>
      </c>
    </row>
    <row r="2551" spans="1:8" s="5" customFormat="1" ht="63" hidden="1" outlineLevel="1" x14ac:dyDescent="0.25">
      <c r="A2551" s="4">
        <v>702</v>
      </c>
      <c r="B2551" s="4" t="s">
        <v>117</v>
      </c>
      <c r="C2551" s="38" t="s">
        <v>847</v>
      </c>
      <c r="D2551" s="4">
        <v>2020</v>
      </c>
      <c r="E2551" s="4" t="s">
        <v>21</v>
      </c>
      <c r="F2551" s="4">
        <v>50</v>
      </c>
      <c r="G2551" s="4">
        <v>15</v>
      </c>
      <c r="H2551" s="4">
        <v>85.251000000000005</v>
      </c>
    </row>
    <row r="2552" spans="1:8" s="5" customFormat="1" ht="63" hidden="1" outlineLevel="1" x14ac:dyDescent="0.25">
      <c r="A2552" s="4">
        <v>698</v>
      </c>
      <c r="B2552" s="4" t="s">
        <v>117</v>
      </c>
      <c r="C2552" s="38" t="s">
        <v>848</v>
      </c>
      <c r="D2552" s="4">
        <v>2020</v>
      </c>
      <c r="E2552" s="4" t="s">
        <v>21</v>
      </c>
      <c r="F2552" s="4">
        <v>60</v>
      </c>
      <c r="G2552" s="4">
        <v>15</v>
      </c>
      <c r="H2552" s="4">
        <v>87.370999999999995</v>
      </c>
    </row>
    <row r="2553" spans="1:8" s="5" customFormat="1" ht="63" hidden="1" outlineLevel="1" x14ac:dyDescent="0.25">
      <c r="A2553" s="4">
        <v>1454</v>
      </c>
      <c r="B2553" s="4" t="s">
        <v>117</v>
      </c>
      <c r="C2553" s="38" t="s">
        <v>849</v>
      </c>
      <c r="D2553" s="4">
        <v>2020</v>
      </c>
      <c r="E2553" s="4" t="s">
        <v>21</v>
      </c>
      <c r="F2553" s="4">
        <v>130</v>
      </c>
      <c r="G2553" s="4">
        <v>15</v>
      </c>
      <c r="H2553" s="4">
        <v>151.94800000000001</v>
      </c>
    </row>
    <row r="2554" spans="1:8" s="5" customFormat="1" ht="63" hidden="1" outlineLevel="1" x14ac:dyDescent="0.25">
      <c r="A2554" s="4">
        <v>785</v>
      </c>
      <c r="B2554" s="4" t="s">
        <v>117</v>
      </c>
      <c r="C2554" s="38" t="s">
        <v>850</v>
      </c>
      <c r="D2554" s="4">
        <v>2020</v>
      </c>
      <c r="E2554" s="4" t="s">
        <v>21</v>
      </c>
      <c r="F2554" s="4">
        <v>60</v>
      </c>
      <c r="G2554" s="4">
        <v>20</v>
      </c>
      <c r="H2554" s="4">
        <v>78.811000000000007</v>
      </c>
    </row>
    <row r="2555" spans="1:8" s="5" customFormat="1" ht="63" hidden="1" outlineLevel="1" x14ac:dyDescent="0.25">
      <c r="A2555" s="4">
        <v>1478</v>
      </c>
      <c r="B2555" s="4" t="s">
        <v>117</v>
      </c>
      <c r="C2555" s="38" t="s">
        <v>851</v>
      </c>
      <c r="D2555" s="4">
        <v>2020</v>
      </c>
      <c r="E2555" s="4" t="s">
        <v>21</v>
      </c>
      <c r="F2555" s="4">
        <v>90</v>
      </c>
      <c r="G2555" s="4">
        <v>45</v>
      </c>
      <c r="H2555" s="4">
        <v>134.93700000000001</v>
      </c>
    </row>
    <row r="2556" spans="1:8" s="5" customFormat="1" ht="63" hidden="1" outlineLevel="1" x14ac:dyDescent="0.25">
      <c r="A2556" s="4">
        <v>992</v>
      </c>
      <c r="B2556" s="4" t="s">
        <v>117</v>
      </c>
      <c r="C2556" s="38" t="s">
        <v>852</v>
      </c>
      <c r="D2556" s="4">
        <v>2020</v>
      </c>
      <c r="E2556" s="4" t="s">
        <v>21</v>
      </c>
      <c r="F2556" s="4">
        <v>180</v>
      </c>
      <c r="G2556" s="4">
        <v>5</v>
      </c>
      <c r="H2556" s="4">
        <v>258.89499999999998</v>
      </c>
    </row>
    <row r="2557" spans="1:8" s="5" customFormat="1" ht="126" hidden="1" outlineLevel="1" x14ac:dyDescent="0.25">
      <c r="A2557" s="4">
        <v>273</v>
      </c>
      <c r="B2557" s="4" t="s">
        <v>117</v>
      </c>
      <c r="C2557" s="38" t="s">
        <v>853</v>
      </c>
      <c r="D2557" s="4">
        <v>2020</v>
      </c>
      <c r="E2557" s="4" t="s">
        <v>21</v>
      </c>
      <c r="F2557" s="4">
        <v>152</v>
      </c>
      <c r="G2557" s="4">
        <v>6</v>
      </c>
      <c r="H2557" s="4">
        <v>269.48899999999998</v>
      </c>
    </row>
    <row r="2558" spans="1:8" s="5" customFormat="1" ht="63" hidden="1" outlineLevel="1" x14ac:dyDescent="0.25">
      <c r="A2558" s="4">
        <v>1038</v>
      </c>
      <c r="B2558" s="4" t="s">
        <v>117</v>
      </c>
      <c r="C2558" s="38" t="s">
        <v>854</v>
      </c>
      <c r="D2558" s="4">
        <v>2020</v>
      </c>
      <c r="E2558" s="4" t="s">
        <v>21</v>
      </c>
      <c r="F2558" s="4">
        <v>35</v>
      </c>
      <c r="G2558" s="4">
        <v>14</v>
      </c>
      <c r="H2558" s="4">
        <v>108</v>
      </c>
    </row>
    <row r="2559" spans="1:8" s="5" customFormat="1" ht="63" hidden="1" outlineLevel="1" x14ac:dyDescent="0.25">
      <c r="A2559" s="4">
        <v>1079</v>
      </c>
      <c r="B2559" s="4" t="s">
        <v>117</v>
      </c>
      <c r="C2559" s="38" t="s">
        <v>855</v>
      </c>
      <c r="D2559" s="4">
        <v>2020</v>
      </c>
      <c r="E2559" s="4" t="s">
        <v>21</v>
      </c>
      <c r="F2559" s="4">
        <v>160</v>
      </c>
      <c r="G2559" s="4">
        <v>10</v>
      </c>
      <c r="H2559" s="4">
        <v>197.54400000000001</v>
      </c>
    </row>
    <row r="2560" spans="1:8" s="5" customFormat="1" ht="78.75" hidden="1" outlineLevel="1" x14ac:dyDescent="0.25">
      <c r="A2560" s="4">
        <v>1072</v>
      </c>
      <c r="B2560" s="4" t="s">
        <v>117</v>
      </c>
      <c r="C2560" s="38" t="s">
        <v>532</v>
      </c>
      <c r="D2560" s="4">
        <v>2020</v>
      </c>
      <c r="E2560" s="4" t="s">
        <v>21</v>
      </c>
      <c r="F2560" s="4">
        <v>45</v>
      </c>
      <c r="G2560" s="4">
        <v>15</v>
      </c>
      <c r="H2560" s="4">
        <v>94.194999999999993</v>
      </c>
    </row>
    <row r="2561" spans="1:8" s="5" customFormat="1" ht="63" hidden="1" outlineLevel="1" x14ac:dyDescent="0.25">
      <c r="A2561" s="4">
        <v>1480</v>
      </c>
      <c r="B2561" s="4" t="s">
        <v>117</v>
      </c>
      <c r="C2561" s="38" t="s">
        <v>856</v>
      </c>
      <c r="D2561" s="4">
        <v>2020</v>
      </c>
      <c r="E2561" s="4" t="s">
        <v>21</v>
      </c>
      <c r="F2561" s="4">
        <v>110</v>
      </c>
      <c r="G2561" s="4">
        <v>13</v>
      </c>
      <c r="H2561" s="4">
        <v>151.70599999999999</v>
      </c>
    </row>
    <row r="2562" spans="1:8" s="5" customFormat="1" ht="63" hidden="1" outlineLevel="1" x14ac:dyDescent="0.25">
      <c r="A2562" s="4">
        <v>1496</v>
      </c>
      <c r="B2562" s="4" t="s">
        <v>117</v>
      </c>
      <c r="C2562" s="38" t="s">
        <v>857</v>
      </c>
      <c r="D2562" s="4">
        <v>2020</v>
      </c>
      <c r="E2562" s="4" t="s">
        <v>21</v>
      </c>
      <c r="F2562" s="4">
        <v>100</v>
      </c>
      <c r="G2562" s="4">
        <v>15</v>
      </c>
      <c r="H2562" s="4">
        <v>147.83500000000001</v>
      </c>
    </row>
    <row r="2563" spans="1:8" s="5" customFormat="1" ht="63" hidden="1" outlineLevel="1" x14ac:dyDescent="0.25">
      <c r="A2563" s="4">
        <v>1160</v>
      </c>
      <c r="B2563" s="4" t="s">
        <v>117</v>
      </c>
      <c r="C2563" s="38" t="s">
        <v>858</v>
      </c>
      <c r="D2563" s="4">
        <v>2020</v>
      </c>
      <c r="E2563" s="4" t="s">
        <v>21</v>
      </c>
      <c r="F2563" s="4">
        <v>30</v>
      </c>
      <c r="G2563" s="4">
        <v>15</v>
      </c>
      <c r="H2563" s="4">
        <v>127.883</v>
      </c>
    </row>
    <row r="2564" spans="1:8" s="5" customFormat="1" ht="63" hidden="1" outlineLevel="1" x14ac:dyDescent="0.25">
      <c r="A2564" s="4">
        <v>982</v>
      </c>
      <c r="B2564" s="4" t="s">
        <v>117</v>
      </c>
      <c r="C2564" s="38" t="s">
        <v>859</v>
      </c>
      <c r="D2564" s="4">
        <v>2020</v>
      </c>
      <c r="E2564" s="4" t="s">
        <v>21</v>
      </c>
      <c r="F2564" s="4">
        <v>40</v>
      </c>
      <c r="G2564" s="4">
        <v>15</v>
      </c>
      <c r="H2564" s="4">
        <v>146.26300000000001</v>
      </c>
    </row>
    <row r="2565" spans="1:8" s="5" customFormat="1" ht="78.75" hidden="1" outlineLevel="1" x14ac:dyDescent="0.25">
      <c r="A2565" s="4">
        <v>1553</v>
      </c>
      <c r="B2565" s="4" t="s">
        <v>117</v>
      </c>
      <c r="C2565" s="38" t="s">
        <v>860</v>
      </c>
      <c r="D2565" s="4">
        <v>2020</v>
      </c>
      <c r="E2565" s="4" t="s">
        <v>21</v>
      </c>
      <c r="F2565" s="4">
        <v>20</v>
      </c>
      <c r="G2565" s="4">
        <v>15</v>
      </c>
      <c r="H2565" s="4">
        <v>111.072</v>
      </c>
    </row>
    <row r="2566" spans="1:8" s="5" customFormat="1" ht="63" hidden="1" outlineLevel="1" x14ac:dyDescent="0.25">
      <c r="A2566" s="4">
        <v>1477</v>
      </c>
      <c r="B2566" s="4" t="s">
        <v>117</v>
      </c>
      <c r="C2566" s="38" t="s">
        <v>861</v>
      </c>
      <c r="D2566" s="4">
        <v>2020</v>
      </c>
      <c r="E2566" s="4" t="s">
        <v>21</v>
      </c>
      <c r="F2566" s="4">
        <v>125</v>
      </c>
      <c r="G2566" s="4">
        <v>15</v>
      </c>
      <c r="H2566" s="4">
        <v>291.47800000000001</v>
      </c>
    </row>
    <row r="2567" spans="1:8" s="5" customFormat="1" ht="63" hidden="1" outlineLevel="1" x14ac:dyDescent="0.25">
      <c r="A2567" s="4">
        <v>1301</v>
      </c>
      <c r="B2567" s="4" t="s">
        <v>117</v>
      </c>
      <c r="C2567" s="38" t="s">
        <v>862</v>
      </c>
      <c r="D2567" s="4">
        <v>2020</v>
      </c>
      <c r="E2567" s="4" t="s">
        <v>21</v>
      </c>
      <c r="F2567" s="4">
        <v>60</v>
      </c>
      <c r="G2567" s="4">
        <v>15</v>
      </c>
      <c r="H2567" s="4">
        <v>67.069999999999993</v>
      </c>
    </row>
    <row r="2568" spans="1:8" s="5" customFormat="1" ht="78.75" hidden="1" outlineLevel="1" x14ac:dyDescent="0.25">
      <c r="A2568" s="4">
        <v>1549</v>
      </c>
      <c r="B2568" s="4" t="s">
        <v>117</v>
      </c>
      <c r="C2568" s="38" t="s">
        <v>863</v>
      </c>
      <c r="D2568" s="4">
        <v>2020</v>
      </c>
      <c r="E2568" s="4" t="s">
        <v>21</v>
      </c>
      <c r="F2568" s="4">
        <v>120</v>
      </c>
      <c r="G2568" s="4">
        <v>29</v>
      </c>
      <c r="H2568" s="4">
        <v>150.55799999999999</v>
      </c>
    </row>
    <row r="2569" spans="1:8" s="5" customFormat="1" ht="63" hidden="1" outlineLevel="1" x14ac:dyDescent="0.25">
      <c r="A2569" s="4">
        <v>1027</v>
      </c>
      <c r="B2569" s="4" t="s">
        <v>117</v>
      </c>
      <c r="C2569" s="38" t="s">
        <v>864</v>
      </c>
      <c r="D2569" s="4">
        <v>2020</v>
      </c>
      <c r="E2569" s="4" t="s">
        <v>21</v>
      </c>
      <c r="F2569" s="4">
        <v>200</v>
      </c>
      <c r="G2569" s="4">
        <v>30</v>
      </c>
      <c r="H2569" s="4">
        <v>195.46100000000001</v>
      </c>
    </row>
    <row r="2570" spans="1:8" s="5" customFormat="1" ht="63" hidden="1" outlineLevel="1" x14ac:dyDescent="0.25">
      <c r="A2570" s="4">
        <v>1775</v>
      </c>
      <c r="B2570" s="4" t="s">
        <v>117</v>
      </c>
      <c r="C2570" s="38" t="s">
        <v>865</v>
      </c>
      <c r="D2570" s="4">
        <v>2020</v>
      </c>
      <c r="E2570" s="4" t="s">
        <v>21</v>
      </c>
      <c r="F2570" s="4">
        <v>136</v>
      </c>
      <c r="G2570" s="4">
        <v>15</v>
      </c>
      <c r="H2570" s="4">
        <v>224.20099999999999</v>
      </c>
    </row>
    <row r="2571" spans="1:8" s="5" customFormat="1" ht="63" hidden="1" outlineLevel="1" x14ac:dyDescent="0.25">
      <c r="A2571" s="4">
        <v>1004</v>
      </c>
      <c r="B2571" s="4" t="s">
        <v>117</v>
      </c>
      <c r="C2571" s="38" t="s">
        <v>866</v>
      </c>
      <c r="D2571" s="4">
        <v>2020</v>
      </c>
      <c r="E2571" s="4" t="s">
        <v>21</v>
      </c>
      <c r="F2571" s="4">
        <v>20</v>
      </c>
      <c r="G2571" s="4">
        <v>5</v>
      </c>
      <c r="H2571" s="4">
        <v>108.93</v>
      </c>
    </row>
    <row r="2572" spans="1:8" s="5" customFormat="1" ht="63" hidden="1" outlineLevel="1" x14ac:dyDescent="0.25">
      <c r="A2572" s="4">
        <v>142</v>
      </c>
      <c r="B2572" s="4" t="s">
        <v>117</v>
      </c>
      <c r="C2572" s="38" t="s">
        <v>867</v>
      </c>
      <c r="D2572" s="4">
        <v>2020</v>
      </c>
      <c r="E2572" s="4" t="s">
        <v>21</v>
      </c>
      <c r="F2572" s="4">
        <v>40</v>
      </c>
      <c r="G2572" s="4">
        <v>20</v>
      </c>
      <c r="H2572" s="4">
        <v>120.21</v>
      </c>
    </row>
    <row r="2573" spans="1:8" s="5" customFormat="1" ht="94.5" hidden="1" outlineLevel="1" x14ac:dyDescent="0.25">
      <c r="A2573" s="4">
        <v>1125</v>
      </c>
      <c r="B2573" s="4" t="s">
        <v>117</v>
      </c>
      <c r="C2573" s="38" t="s">
        <v>868</v>
      </c>
      <c r="D2573" s="4">
        <v>2020</v>
      </c>
      <c r="E2573" s="4" t="s">
        <v>21</v>
      </c>
      <c r="F2573" s="4">
        <v>30</v>
      </c>
      <c r="G2573" s="4">
        <v>30</v>
      </c>
      <c r="H2573" s="4">
        <v>127.45</v>
      </c>
    </row>
    <row r="2574" spans="1:8" s="5" customFormat="1" ht="63" hidden="1" outlineLevel="1" x14ac:dyDescent="0.25">
      <c r="A2574" s="4">
        <v>1578</v>
      </c>
      <c r="B2574" s="4" t="s">
        <v>117</v>
      </c>
      <c r="C2574" s="38" t="s">
        <v>869</v>
      </c>
      <c r="D2574" s="4">
        <v>2020</v>
      </c>
      <c r="E2574" s="4" t="s">
        <v>21</v>
      </c>
      <c r="F2574" s="4">
        <v>21</v>
      </c>
      <c r="G2574" s="4">
        <v>15</v>
      </c>
      <c r="H2574" s="4">
        <v>96.225999999999999</v>
      </c>
    </row>
    <row r="2575" spans="1:8" s="5" customFormat="1" ht="63" hidden="1" outlineLevel="1" x14ac:dyDescent="0.25">
      <c r="A2575" s="4">
        <v>1448</v>
      </c>
      <c r="B2575" s="4" t="s">
        <v>117</v>
      </c>
      <c r="C2575" s="38" t="s">
        <v>870</v>
      </c>
      <c r="D2575" s="4">
        <v>2020</v>
      </c>
      <c r="E2575" s="4" t="s">
        <v>21</v>
      </c>
      <c r="F2575" s="4">
        <v>190</v>
      </c>
      <c r="G2575" s="4">
        <v>15</v>
      </c>
      <c r="H2575" s="4">
        <v>207.072</v>
      </c>
    </row>
    <row r="2576" spans="1:8" s="5" customFormat="1" ht="63" hidden="1" outlineLevel="1" x14ac:dyDescent="0.25">
      <c r="A2576" s="4">
        <v>1053</v>
      </c>
      <c r="B2576" s="4" t="s">
        <v>117</v>
      </c>
      <c r="C2576" s="38" t="s">
        <v>871</v>
      </c>
      <c r="D2576" s="4">
        <v>2020</v>
      </c>
      <c r="E2576" s="4" t="s">
        <v>21</v>
      </c>
      <c r="F2576" s="4">
        <v>270</v>
      </c>
      <c r="G2576" s="4">
        <v>30</v>
      </c>
      <c r="H2576" s="4">
        <v>258.858</v>
      </c>
    </row>
    <row r="2577" spans="1:8" s="5" customFormat="1" ht="63" hidden="1" outlineLevel="1" x14ac:dyDescent="0.25">
      <c r="A2577" s="4">
        <v>174</v>
      </c>
      <c r="B2577" s="4" t="s">
        <v>117</v>
      </c>
      <c r="C2577" s="38" t="s">
        <v>872</v>
      </c>
      <c r="D2577" s="4">
        <v>2020</v>
      </c>
      <c r="E2577" s="4" t="s">
        <v>21</v>
      </c>
      <c r="F2577" s="4">
        <v>69</v>
      </c>
      <c r="G2577" s="4">
        <v>15</v>
      </c>
      <c r="H2577" s="4">
        <v>165.10599999999999</v>
      </c>
    </row>
    <row r="2578" spans="1:8" s="5" customFormat="1" ht="63" hidden="1" outlineLevel="1" x14ac:dyDescent="0.25">
      <c r="A2578" s="4">
        <v>1551</v>
      </c>
      <c r="B2578" s="4" t="s">
        <v>117</v>
      </c>
      <c r="C2578" s="38" t="s">
        <v>873</v>
      </c>
      <c r="D2578" s="4">
        <v>2020</v>
      </c>
      <c r="E2578" s="4" t="s">
        <v>21</v>
      </c>
      <c r="F2578" s="4">
        <v>170</v>
      </c>
      <c r="G2578" s="4">
        <v>10</v>
      </c>
      <c r="H2578" s="4">
        <v>138.05600000000001</v>
      </c>
    </row>
    <row r="2579" spans="1:8" s="5" customFormat="1" ht="63" hidden="1" outlineLevel="1" x14ac:dyDescent="0.25">
      <c r="A2579" s="4">
        <v>1479</v>
      </c>
      <c r="B2579" s="4" t="s">
        <v>117</v>
      </c>
      <c r="C2579" s="38" t="s">
        <v>874</v>
      </c>
      <c r="D2579" s="4">
        <v>2020</v>
      </c>
      <c r="E2579" s="4" t="s">
        <v>21</v>
      </c>
      <c r="F2579" s="4">
        <v>80</v>
      </c>
      <c r="G2579" s="4">
        <v>15</v>
      </c>
      <c r="H2579" s="4">
        <v>109.536</v>
      </c>
    </row>
    <row r="2580" spans="1:8" s="5" customFormat="1" ht="63" hidden="1" outlineLevel="1" x14ac:dyDescent="0.25">
      <c r="A2580" s="4">
        <v>1476</v>
      </c>
      <c r="B2580" s="4" t="s">
        <v>117</v>
      </c>
      <c r="C2580" s="38" t="s">
        <v>875</v>
      </c>
      <c r="D2580" s="4">
        <v>2020</v>
      </c>
      <c r="E2580" s="4" t="s">
        <v>21</v>
      </c>
      <c r="F2580" s="4">
        <v>70</v>
      </c>
      <c r="G2580" s="4">
        <v>15</v>
      </c>
      <c r="H2580" s="4">
        <v>106.152</v>
      </c>
    </row>
    <row r="2581" spans="1:8" s="5" customFormat="1" ht="63" hidden="1" outlineLevel="1" x14ac:dyDescent="0.25">
      <c r="A2581" s="4">
        <v>1596</v>
      </c>
      <c r="B2581" s="4" t="s">
        <v>117</v>
      </c>
      <c r="C2581" s="38" t="s">
        <v>876</v>
      </c>
      <c r="D2581" s="4">
        <v>2020</v>
      </c>
      <c r="E2581" s="4" t="s">
        <v>21</v>
      </c>
      <c r="F2581" s="4">
        <v>85</v>
      </c>
      <c r="G2581" s="4">
        <v>15</v>
      </c>
      <c r="H2581" s="4">
        <v>246.261</v>
      </c>
    </row>
    <row r="2582" spans="1:8" s="5" customFormat="1" ht="78.75" hidden="1" outlineLevel="1" x14ac:dyDescent="0.25">
      <c r="A2582" s="4">
        <v>794</v>
      </c>
      <c r="B2582" s="4" t="s">
        <v>117</v>
      </c>
      <c r="C2582" s="38" t="s">
        <v>536</v>
      </c>
      <c r="D2582" s="4">
        <v>2020</v>
      </c>
      <c r="E2582" s="4" t="s">
        <v>21</v>
      </c>
      <c r="F2582" s="4">
        <v>110</v>
      </c>
      <c r="G2582" s="4">
        <v>15</v>
      </c>
      <c r="H2582" s="4">
        <v>229.12200000000001</v>
      </c>
    </row>
    <row r="2583" spans="1:8" s="5" customFormat="1" ht="78.75" hidden="1" outlineLevel="1" x14ac:dyDescent="0.25">
      <c r="A2583" s="4">
        <v>1723</v>
      </c>
      <c r="B2583" s="4" t="s">
        <v>117</v>
      </c>
      <c r="C2583" s="38" t="s">
        <v>603</v>
      </c>
      <c r="D2583" s="4">
        <v>2020</v>
      </c>
      <c r="E2583" s="4" t="s">
        <v>21</v>
      </c>
      <c r="F2583" s="4">
        <v>328</v>
      </c>
      <c r="G2583" s="4">
        <v>15</v>
      </c>
      <c r="H2583" s="4">
        <v>457.38600000000002</v>
      </c>
    </row>
    <row r="2584" spans="1:8" s="5" customFormat="1" ht="94.5" hidden="1" outlineLevel="1" x14ac:dyDescent="0.25">
      <c r="A2584" s="4">
        <v>232</v>
      </c>
      <c r="B2584" s="4" t="s">
        <v>117</v>
      </c>
      <c r="C2584" s="38" t="s">
        <v>604</v>
      </c>
      <c r="D2584" s="4">
        <v>2020</v>
      </c>
      <c r="E2584" s="4" t="s">
        <v>21</v>
      </c>
      <c r="F2584" s="4">
        <v>25</v>
      </c>
      <c r="G2584" s="4">
        <v>30</v>
      </c>
      <c r="H2584" s="4">
        <v>193.40899999999999</v>
      </c>
    </row>
    <row r="2585" spans="1:8" s="5" customFormat="1" ht="63" hidden="1" outlineLevel="1" x14ac:dyDescent="0.25">
      <c r="A2585" s="4">
        <v>1495</v>
      </c>
      <c r="B2585" s="4" t="s">
        <v>117</v>
      </c>
      <c r="C2585" s="38" t="s">
        <v>877</v>
      </c>
      <c r="D2585" s="4">
        <v>2020</v>
      </c>
      <c r="E2585" s="4" t="s">
        <v>21</v>
      </c>
      <c r="F2585" s="4">
        <v>94</v>
      </c>
      <c r="G2585" s="4">
        <v>15</v>
      </c>
      <c r="H2585" s="4">
        <v>229.03399999999999</v>
      </c>
    </row>
    <row r="2586" spans="1:8" s="5" customFormat="1" ht="78.75" hidden="1" outlineLevel="1" x14ac:dyDescent="0.25">
      <c r="A2586" s="4">
        <v>1735</v>
      </c>
      <c r="B2586" s="4" t="s">
        <v>117</v>
      </c>
      <c r="C2586" s="38" t="s">
        <v>878</v>
      </c>
      <c r="D2586" s="4">
        <v>2020</v>
      </c>
      <c r="E2586" s="4" t="s">
        <v>21</v>
      </c>
      <c r="F2586" s="4">
        <v>180</v>
      </c>
      <c r="G2586" s="4">
        <v>300</v>
      </c>
      <c r="H2586" s="4">
        <v>137.52000000000001</v>
      </c>
    </row>
    <row r="2587" spans="1:8" s="5" customFormat="1" ht="63" hidden="1" outlineLevel="1" x14ac:dyDescent="0.25">
      <c r="A2587" s="4">
        <v>959</v>
      </c>
      <c r="B2587" s="4" t="s">
        <v>117</v>
      </c>
      <c r="C2587" s="38" t="s">
        <v>879</v>
      </c>
      <c r="D2587" s="4">
        <v>2020</v>
      </c>
      <c r="E2587" s="4" t="s">
        <v>21</v>
      </c>
      <c r="F2587" s="4">
        <v>269</v>
      </c>
      <c r="G2587" s="4">
        <v>5</v>
      </c>
      <c r="H2587" s="4">
        <v>480.54399999999998</v>
      </c>
    </row>
    <row r="2588" spans="1:8" s="5" customFormat="1" ht="78.75" hidden="1" outlineLevel="1" x14ac:dyDescent="0.25">
      <c r="A2588" s="4">
        <v>784</v>
      </c>
      <c r="B2588" s="4" t="s">
        <v>117</v>
      </c>
      <c r="C2588" s="38" t="s">
        <v>880</v>
      </c>
      <c r="D2588" s="4">
        <v>2020</v>
      </c>
      <c r="E2588" s="4" t="s">
        <v>21</v>
      </c>
      <c r="F2588" s="4">
        <v>30</v>
      </c>
      <c r="G2588" s="4">
        <v>15</v>
      </c>
      <c r="H2588" s="4">
        <v>59.283999999999999</v>
      </c>
    </row>
    <row r="2589" spans="1:8" s="5" customFormat="1" ht="63" hidden="1" outlineLevel="1" x14ac:dyDescent="0.25">
      <c r="A2589" s="4">
        <v>1449</v>
      </c>
      <c r="B2589" s="4" t="s">
        <v>117</v>
      </c>
      <c r="C2589" s="38" t="s">
        <v>881</v>
      </c>
      <c r="D2589" s="4">
        <v>2020</v>
      </c>
      <c r="E2589" s="4" t="s">
        <v>21</v>
      </c>
      <c r="F2589" s="4">
        <v>65</v>
      </c>
      <c r="G2589" s="4">
        <v>15</v>
      </c>
      <c r="H2589" s="4">
        <v>84.676000000000002</v>
      </c>
    </row>
    <row r="2590" spans="1:8" s="5" customFormat="1" ht="47.25" hidden="1" outlineLevel="1" x14ac:dyDescent="0.25">
      <c r="A2590" s="4">
        <v>1511</v>
      </c>
      <c r="B2590" s="4" t="s">
        <v>117</v>
      </c>
      <c r="C2590" s="38" t="s">
        <v>882</v>
      </c>
      <c r="D2590" s="4">
        <v>2020</v>
      </c>
      <c r="E2590" s="4" t="s">
        <v>21</v>
      </c>
      <c r="F2590" s="4">
        <v>100</v>
      </c>
      <c r="G2590" s="4">
        <v>15</v>
      </c>
      <c r="H2590" s="4">
        <v>127.857</v>
      </c>
    </row>
    <row r="2591" spans="1:8" s="5" customFormat="1" ht="78.75" hidden="1" outlineLevel="1" x14ac:dyDescent="0.25">
      <c r="A2591" s="4">
        <v>1737</v>
      </c>
      <c r="B2591" s="4" t="s">
        <v>117</v>
      </c>
      <c r="C2591" s="38" t="s">
        <v>539</v>
      </c>
      <c r="D2591" s="4">
        <v>2020</v>
      </c>
      <c r="E2591" s="4" t="s">
        <v>21</v>
      </c>
      <c r="F2591" s="4">
        <v>10</v>
      </c>
      <c r="G2591" s="4">
        <v>50</v>
      </c>
      <c r="H2591" s="4">
        <v>39.707000000000001</v>
      </c>
    </row>
    <row r="2592" spans="1:8" s="5" customFormat="1" ht="63" hidden="1" outlineLevel="1" x14ac:dyDescent="0.25">
      <c r="A2592" s="4">
        <v>1447</v>
      </c>
      <c r="B2592" s="4" t="s">
        <v>117</v>
      </c>
      <c r="C2592" s="38" t="s">
        <v>883</v>
      </c>
      <c r="D2592" s="4">
        <v>2020</v>
      </c>
      <c r="E2592" s="4" t="s">
        <v>21</v>
      </c>
      <c r="F2592" s="4">
        <v>200</v>
      </c>
      <c r="G2592" s="4">
        <v>15</v>
      </c>
      <c r="H2592" s="4">
        <v>170.56700000000001</v>
      </c>
    </row>
    <row r="2593" spans="1:8" s="5" customFormat="1" ht="78.75" hidden="1" outlineLevel="1" x14ac:dyDescent="0.25">
      <c r="A2593" s="4">
        <v>1719</v>
      </c>
      <c r="B2593" s="4" t="s">
        <v>117</v>
      </c>
      <c r="C2593" s="38" t="s">
        <v>540</v>
      </c>
      <c r="D2593" s="4">
        <v>2020</v>
      </c>
      <c r="E2593" s="4" t="s">
        <v>21</v>
      </c>
      <c r="F2593" s="4">
        <v>10</v>
      </c>
      <c r="G2593" s="4">
        <v>100</v>
      </c>
      <c r="H2593" s="4">
        <v>35.698999999999998</v>
      </c>
    </row>
    <row r="2594" spans="1:8" s="5" customFormat="1" ht="63" hidden="1" outlineLevel="1" x14ac:dyDescent="0.25">
      <c r="A2594" s="4">
        <v>1738</v>
      </c>
      <c r="B2594" s="4" t="s">
        <v>117</v>
      </c>
      <c r="C2594" s="38" t="s">
        <v>541</v>
      </c>
      <c r="D2594" s="4">
        <v>2020</v>
      </c>
      <c r="E2594" s="4" t="s">
        <v>21</v>
      </c>
      <c r="F2594" s="4">
        <v>41</v>
      </c>
      <c r="G2594" s="4">
        <v>50</v>
      </c>
      <c r="H2594" s="4">
        <v>92.739000000000004</v>
      </c>
    </row>
    <row r="2595" spans="1:8" s="5" customFormat="1" ht="63" hidden="1" outlineLevel="1" x14ac:dyDescent="0.25">
      <c r="A2595" s="4">
        <v>1535</v>
      </c>
      <c r="B2595" s="4" t="s">
        <v>117</v>
      </c>
      <c r="C2595" s="38" t="s">
        <v>884</v>
      </c>
      <c r="D2595" s="4">
        <v>2020</v>
      </c>
      <c r="E2595" s="4" t="s">
        <v>21</v>
      </c>
      <c r="F2595" s="4">
        <v>170</v>
      </c>
      <c r="G2595" s="4">
        <v>70</v>
      </c>
      <c r="H2595" s="4">
        <v>124.65600000000001</v>
      </c>
    </row>
    <row r="2596" spans="1:8" s="5" customFormat="1" ht="63" hidden="1" outlineLevel="1" x14ac:dyDescent="0.25">
      <c r="A2596" s="4">
        <v>743</v>
      </c>
      <c r="B2596" s="4" t="s">
        <v>117</v>
      </c>
      <c r="C2596" s="38" t="s">
        <v>885</v>
      </c>
      <c r="D2596" s="4">
        <v>2020</v>
      </c>
      <c r="E2596" s="4" t="s">
        <v>21</v>
      </c>
      <c r="F2596" s="4">
        <v>36</v>
      </c>
      <c r="G2596" s="4">
        <v>15</v>
      </c>
      <c r="H2596" s="4">
        <v>59.152999999999999</v>
      </c>
    </row>
    <row r="2597" spans="1:8" s="5" customFormat="1" ht="63" hidden="1" outlineLevel="1" x14ac:dyDescent="0.25">
      <c r="A2597" s="4">
        <v>1547</v>
      </c>
      <c r="B2597" s="4" t="s">
        <v>117</v>
      </c>
      <c r="C2597" s="38" t="s">
        <v>886</v>
      </c>
      <c r="D2597" s="4">
        <v>2020</v>
      </c>
      <c r="E2597" s="4" t="s">
        <v>21</v>
      </c>
      <c r="F2597" s="4">
        <v>251</v>
      </c>
      <c r="G2597" s="4">
        <v>59</v>
      </c>
      <c r="H2597" s="4">
        <v>411.154</v>
      </c>
    </row>
    <row r="2598" spans="1:8" s="5" customFormat="1" ht="63" hidden="1" outlineLevel="1" x14ac:dyDescent="0.25">
      <c r="A2598" s="4">
        <v>1544</v>
      </c>
      <c r="B2598" s="4" t="s">
        <v>117</v>
      </c>
      <c r="C2598" s="38" t="s">
        <v>887</v>
      </c>
      <c r="D2598" s="4">
        <v>2020</v>
      </c>
      <c r="E2598" s="4" t="s">
        <v>21</v>
      </c>
      <c r="F2598" s="4">
        <v>110</v>
      </c>
      <c r="G2598" s="4">
        <v>15</v>
      </c>
      <c r="H2598" s="4">
        <v>139.06100000000001</v>
      </c>
    </row>
    <row r="2599" spans="1:8" s="5" customFormat="1" ht="63" hidden="1" outlineLevel="1" x14ac:dyDescent="0.25">
      <c r="A2599" s="4">
        <v>1559</v>
      </c>
      <c r="B2599" s="4" t="s">
        <v>117</v>
      </c>
      <c r="C2599" s="38" t="s">
        <v>888</v>
      </c>
      <c r="D2599" s="4">
        <v>2020</v>
      </c>
      <c r="E2599" s="4" t="s">
        <v>21</v>
      </c>
      <c r="F2599" s="4">
        <v>80</v>
      </c>
      <c r="G2599" s="4">
        <v>15</v>
      </c>
      <c r="H2599" s="4">
        <v>106.492</v>
      </c>
    </row>
    <row r="2600" spans="1:8" s="5" customFormat="1" ht="63" hidden="1" outlineLevel="1" x14ac:dyDescent="0.25">
      <c r="A2600" s="4">
        <v>1550</v>
      </c>
      <c r="B2600" s="4" t="s">
        <v>117</v>
      </c>
      <c r="C2600" s="38" t="s">
        <v>889</v>
      </c>
      <c r="D2600" s="4">
        <v>2020</v>
      </c>
      <c r="E2600" s="4" t="s">
        <v>21</v>
      </c>
      <c r="F2600" s="4">
        <v>80</v>
      </c>
      <c r="G2600" s="4">
        <v>30</v>
      </c>
      <c r="H2600" s="4">
        <v>113.262</v>
      </c>
    </row>
    <row r="2601" spans="1:8" s="5" customFormat="1" ht="94.5" hidden="1" outlineLevel="1" x14ac:dyDescent="0.25">
      <c r="A2601" s="4">
        <v>1592</v>
      </c>
      <c r="B2601" s="4" t="s">
        <v>117</v>
      </c>
      <c r="C2601" s="38" t="s">
        <v>890</v>
      </c>
      <c r="D2601" s="4">
        <v>2020</v>
      </c>
      <c r="E2601" s="4" t="s">
        <v>21</v>
      </c>
      <c r="F2601" s="4">
        <v>60</v>
      </c>
      <c r="G2601" s="4">
        <v>15</v>
      </c>
      <c r="H2601" s="4">
        <v>75.040000000000006</v>
      </c>
    </row>
    <row r="2602" spans="1:8" s="5" customFormat="1" ht="63" hidden="1" outlineLevel="1" x14ac:dyDescent="0.25">
      <c r="A2602" s="4">
        <v>969</v>
      </c>
      <c r="B2602" s="4" t="s">
        <v>117</v>
      </c>
      <c r="C2602" s="38" t="s">
        <v>891</v>
      </c>
      <c r="D2602" s="4">
        <v>2020</v>
      </c>
      <c r="E2602" s="4" t="s">
        <v>21</v>
      </c>
      <c r="F2602" s="4">
        <v>214</v>
      </c>
      <c r="G2602" s="4">
        <v>10</v>
      </c>
      <c r="H2602" s="4">
        <v>355.06099999999998</v>
      </c>
    </row>
    <row r="2603" spans="1:8" s="5" customFormat="1" ht="78.75" hidden="1" outlineLevel="1" x14ac:dyDescent="0.25">
      <c r="A2603" s="4">
        <v>1019</v>
      </c>
      <c r="B2603" s="4" t="s">
        <v>117</v>
      </c>
      <c r="C2603" s="38" t="s">
        <v>892</v>
      </c>
      <c r="D2603" s="4">
        <v>2020</v>
      </c>
      <c r="E2603" s="4" t="s">
        <v>21</v>
      </c>
      <c r="F2603" s="4">
        <v>150</v>
      </c>
      <c r="G2603" s="4">
        <v>15</v>
      </c>
      <c r="H2603" s="4">
        <v>231.30199999999999</v>
      </c>
    </row>
    <row r="2604" spans="1:8" s="5" customFormat="1" ht="63" hidden="1" outlineLevel="1" x14ac:dyDescent="0.25">
      <c r="A2604" s="4">
        <v>1543</v>
      </c>
      <c r="B2604" s="4" t="s">
        <v>117</v>
      </c>
      <c r="C2604" s="38" t="s">
        <v>893</v>
      </c>
      <c r="D2604" s="4">
        <v>2020</v>
      </c>
      <c r="E2604" s="4" t="s">
        <v>21</v>
      </c>
      <c r="F2604" s="4">
        <v>100</v>
      </c>
      <c r="G2604" s="4">
        <v>14</v>
      </c>
      <c r="H2604" s="4">
        <v>127.783</v>
      </c>
    </row>
    <row r="2605" spans="1:8" s="5" customFormat="1" ht="78.75" hidden="1" outlineLevel="1" x14ac:dyDescent="0.25">
      <c r="A2605" s="4">
        <v>1548</v>
      </c>
      <c r="B2605" s="4" t="s">
        <v>117</v>
      </c>
      <c r="C2605" s="38" t="s">
        <v>894</v>
      </c>
      <c r="D2605" s="4">
        <v>2020</v>
      </c>
      <c r="E2605" s="4" t="s">
        <v>21</v>
      </c>
      <c r="F2605" s="4">
        <v>98</v>
      </c>
      <c r="G2605" s="4">
        <v>15</v>
      </c>
      <c r="H2605" s="4">
        <v>96.858999999999995</v>
      </c>
    </row>
    <row r="2606" spans="1:8" s="5" customFormat="1" ht="94.5" hidden="1" outlineLevel="1" x14ac:dyDescent="0.25">
      <c r="A2606" s="4">
        <v>1701</v>
      </c>
      <c r="B2606" s="4" t="s">
        <v>117</v>
      </c>
      <c r="C2606" s="38" t="s">
        <v>545</v>
      </c>
      <c r="D2606" s="4">
        <v>2020</v>
      </c>
      <c r="E2606" s="4" t="s">
        <v>21</v>
      </c>
      <c r="F2606" s="4">
        <v>40</v>
      </c>
      <c r="G2606" s="4">
        <v>150</v>
      </c>
      <c r="H2606" s="4">
        <v>41.095999999999997</v>
      </c>
    </row>
    <row r="2607" spans="1:8" s="5" customFormat="1" ht="94.5" hidden="1" outlineLevel="1" x14ac:dyDescent="0.25">
      <c r="A2607" s="4">
        <v>1145</v>
      </c>
      <c r="B2607" s="4" t="s">
        <v>117</v>
      </c>
      <c r="C2607" s="38" t="s">
        <v>546</v>
      </c>
      <c r="D2607" s="4">
        <v>2020</v>
      </c>
      <c r="E2607" s="4" t="s">
        <v>21</v>
      </c>
      <c r="F2607" s="4">
        <v>10</v>
      </c>
      <c r="G2607" s="4">
        <v>15</v>
      </c>
      <c r="H2607" s="4">
        <v>54.104999999999997</v>
      </c>
    </row>
    <row r="2608" spans="1:8" s="5" customFormat="1" ht="63" hidden="1" outlineLevel="1" x14ac:dyDescent="0.25">
      <c r="A2608" s="4">
        <v>1302</v>
      </c>
      <c r="B2608" s="4" t="s">
        <v>117</v>
      </c>
      <c r="C2608" s="38" t="s">
        <v>895</v>
      </c>
      <c r="D2608" s="4">
        <v>2020</v>
      </c>
      <c r="E2608" s="4" t="s">
        <v>21</v>
      </c>
      <c r="F2608" s="4">
        <v>182</v>
      </c>
      <c r="G2608" s="4">
        <v>28</v>
      </c>
      <c r="H2608" s="4">
        <v>151.452</v>
      </c>
    </row>
    <row r="2609" spans="1:8" s="5" customFormat="1" ht="63" hidden="1" outlineLevel="1" x14ac:dyDescent="0.25">
      <c r="A2609" s="4">
        <v>1917</v>
      </c>
      <c r="B2609" s="4" t="s">
        <v>117</v>
      </c>
      <c r="C2609" s="38" t="s">
        <v>896</v>
      </c>
      <c r="D2609" s="4">
        <v>2020</v>
      </c>
      <c r="E2609" s="4" t="s">
        <v>21</v>
      </c>
      <c r="F2609" s="4">
        <v>569</v>
      </c>
      <c r="G2609" s="4">
        <v>15</v>
      </c>
      <c r="H2609" s="4">
        <v>792.67100000000005</v>
      </c>
    </row>
    <row r="2610" spans="1:8" s="5" customFormat="1" ht="78.75" hidden="1" outlineLevel="1" x14ac:dyDescent="0.25">
      <c r="A2610" s="4">
        <v>1756</v>
      </c>
      <c r="B2610" s="4" t="s">
        <v>117</v>
      </c>
      <c r="C2610" s="38" t="s">
        <v>547</v>
      </c>
      <c r="D2610" s="4">
        <v>2020</v>
      </c>
      <c r="E2610" s="4" t="s">
        <v>21</v>
      </c>
      <c r="F2610" s="4">
        <v>10</v>
      </c>
      <c r="G2610" s="4">
        <v>145</v>
      </c>
      <c r="H2610" s="4">
        <v>40.11</v>
      </c>
    </row>
    <row r="2611" spans="1:8" s="5" customFormat="1" ht="78.75" hidden="1" outlineLevel="1" x14ac:dyDescent="0.25">
      <c r="A2611" s="4">
        <v>1749</v>
      </c>
      <c r="B2611" s="4" t="s">
        <v>117</v>
      </c>
      <c r="C2611" s="38" t="s">
        <v>548</v>
      </c>
      <c r="D2611" s="4">
        <v>2020</v>
      </c>
      <c r="E2611" s="4" t="s">
        <v>21</v>
      </c>
      <c r="F2611" s="4">
        <v>5</v>
      </c>
      <c r="G2611" s="4">
        <v>15</v>
      </c>
      <c r="H2611" s="4">
        <v>45.914999999999999</v>
      </c>
    </row>
    <row r="2612" spans="1:8" s="5" customFormat="1" ht="63" hidden="1" outlineLevel="1" x14ac:dyDescent="0.25">
      <c r="A2612" s="4">
        <v>1564</v>
      </c>
      <c r="B2612" s="4" t="s">
        <v>117</v>
      </c>
      <c r="C2612" s="38" t="s">
        <v>897</v>
      </c>
      <c r="D2612" s="4">
        <v>2020</v>
      </c>
      <c r="E2612" s="4" t="s">
        <v>21</v>
      </c>
      <c r="F2612" s="4">
        <v>438</v>
      </c>
      <c r="G2612" s="4">
        <v>14</v>
      </c>
      <c r="H2612" s="4">
        <v>521.10299999999995</v>
      </c>
    </row>
    <row r="2613" spans="1:8" s="5" customFormat="1" ht="63" hidden="1" outlineLevel="1" x14ac:dyDescent="0.25">
      <c r="A2613" s="4">
        <v>1508</v>
      </c>
      <c r="B2613" s="4" t="s">
        <v>117</v>
      </c>
      <c r="C2613" s="38" t="s">
        <v>898</v>
      </c>
      <c r="D2613" s="4">
        <v>2020</v>
      </c>
      <c r="E2613" s="4" t="s">
        <v>21</v>
      </c>
      <c r="F2613" s="4">
        <v>140</v>
      </c>
      <c r="G2613" s="4">
        <v>15</v>
      </c>
      <c r="H2613" s="4">
        <v>158.41999999999999</v>
      </c>
    </row>
    <row r="2614" spans="1:8" s="5" customFormat="1" ht="78.75" hidden="1" outlineLevel="1" x14ac:dyDescent="0.25">
      <c r="A2614" s="4">
        <v>1124</v>
      </c>
      <c r="B2614" s="4" t="s">
        <v>117</v>
      </c>
      <c r="C2614" s="38" t="s">
        <v>899</v>
      </c>
      <c r="D2614" s="4">
        <v>2020</v>
      </c>
      <c r="E2614" s="4" t="s">
        <v>21</v>
      </c>
      <c r="F2614" s="4">
        <v>10</v>
      </c>
      <c r="G2614" s="4">
        <v>5</v>
      </c>
      <c r="H2614" s="4">
        <v>34.978999999999999</v>
      </c>
    </row>
    <row r="2615" spans="1:8" s="5" customFormat="1" ht="78.75" hidden="1" outlineLevel="1" x14ac:dyDescent="0.25">
      <c r="A2615" s="4">
        <v>766</v>
      </c>
      <c r="B2615" s="4" t="s">
        <v>117</v>
      </c>
      <c r="C2615" s="38" t="s">
        <v>900</v>
      </c>
      <c r="D2615" s="4">
        <v>2020</v>
      </c>
      <c r="E2615" s="4" t="s">
        <v>21</v>
      </c>
      <c r="F2615" s="4">
        <v>160</v>
      </c>
      <c r="G2615" s="4">
        <v>10</v>
      </c>
      <c r="H2615" s="4">
        <v>69</v>
      </c>
    </row>
    <row r="2616" spans="1:8" s="5" customFormat="1" ht="63" hidden="1" outlineLevel="1" x14ac:dyDescent="0.25">
      <c r="A2616" s="4">
        <v>1896</v>
      </c>
      <c r="B2616" s="4" t="s">
        <v>117</v>
      </c>
      <c r="C2616" s="38" t="s">
        <v>901</v>
      </c>
      <c r="D2616" s="4">
        <v>2020</v>
      </c>
      <c r="E2616" s="4" t="s">
        <v>21</v>
      </c>
      <c r="F2616" s="4">
        <v>40</v>
      </c>
      <c r="G2616" s="4">
        <v>15</v>
      </c>
      <c r="H2616" s="4">
        <v>220.108</v>
      </c>
    </row>
    <row r="2617" spans="1:8" s="5" customFormat="1" ht="63" hidden="1" outlineLevel="1" x14ac:dyDescent="0.25">
      <c r="A2617" s="4">
        <v>615</v>
      </c>
      <c r="B2617" s="4" t="s">
        <v>117</v>
      </c>
      <c r="C2617" s="38" t="s">
        <v>902</v>
      </c>
      <c r="D2617" s="4">
        <v>2020</v>
      </c>
      <c r="E2617" s="4" t="s">
        <v>21</v>
      </c>
      <c r="F2617" s="4">
        <v>40</v>
      </c>
      <c r="G2617" s="4">
        <v>15</v>
      </c>
      <c r="H2617" s="4">
        <v>182.61099999999999</v>
      </c>
    </row>
    <row r="2618" spans="1:8" s="5" customFormat="1" ht="63" hidden="1" outlineLevel="1" x14ac:dyDescent="0.25">
      <c r="A2618" s="4">
        <v>451</v>
      </c>
      <c r="B2618" s="4" t="s">
        <v>117</v>
      </c>
      <c r="C2618" s="38" t="s">
        <v>903</v>
      </c>
      <c r="D2618" s="4">
        <v>2020</v>
      </c>
      <c r="E2618" s="4" t="s">
        <v>21</v>
      </c>
      <c r="F2618" s="4">
        <v>40</v>
      </c>
      <c r="G2618" s="4">
        <v>15</v>
      </c>
      <c r="H2618" s="4">
        <v>132.65299999999999</v>
      </c>
    </row>
    <row r="2619" spans="1:8" s="5" customFormat="1" ht="63" hidden="1" outlineLevel="1" x14ac:dyDescent="0.25">
      <c r="A2619" s="4">
        <v>1908</v>
      </c>
      <c r="B2619" s="4" t="s">
        <v>117</v>
      </c>
      <c r="C2619" s="38" t="s">
        <v>904</v>
      </c>
      <c r="D2619" s="4">
        <v>2020</v>
      </c>
      <c r="E2619" s="4" t="s">
        <v>21</v>
      </c>
      <c r="F2619" s="4">
        <v>85</v>
      </c>
      <c r="G2619" s="4">
        <v>15</v>
      </c>
      <c r="H2619" s="4">
        <v>249.78200000000001</v>
      </c>
    </row>
    <row r="2620" spans="1:8" s="5" customFormat="1" ht="31.5" hidden="1" outlineLevel="1" x14ac:dyDescent="0.25">
      <c r="A2620" s="4">
        <v>1789</v>
      </c>
      <c r="B2620" s="4" t="s">
        <v>117</v>
      </c>
      <c r="C2620" s="38" t="s">
        <v>905</v>
      </c>
      <c r="D2620" s="4">
        <v>2020</v>
      </c>
      <c r="E2620" s="4" t="s">
        <v>21</v>
      </c>
      <c r="F2620" s="4">
        <v>120</v>
      </c>
      <c r="G2620" s="4">
        <v>12</v>
      </c>
      <c r="H2620" s="4">
        <v>241.55600000000001</v>
      </c>
    </row>
    <row r="2621" spans="1:8" s="5" customFormat="1" ht="63" hidden="1" outlineLevel="1" x14ac:dyDescent="0.25">
      <c r="A2621" s="4">
        <v>1638</v>
      </c>
      <c r="B2621" s="4" t="s">
        <v>117</v>
      </c>
      <c r="C2621" s="38" t="s">
        <v>906</v>
      </c>
      <c r="D2621" s="4">
        <v>2020</v>
      </c>
      <c r="E2621" s="4" t="s">
        <v>21</v>
      </c>
      <c r="F2621" s="4">
        <v>201</v>
      </c>
      <c r="G2621" s="4">
        <v>15</v>
      </c>
      <c r="H2621" s="4">
        <v>333.94400000000002</v>
      </c>
    </row>
    <row r="2622" spans="1:8" s="5" customFormat="1" ht="126" hidden="1" outlineLevel="1" x14ac:dyDescent="0.25">
      <c r="A2622" s="4">
        <v>1704</v>
      </c>
      <c r="B2622" s="4" t="s">
        <v>117</v>
      </c>
      <c r="C2622" s="38" t="s">
        <v>549</v>
      </c>
      <c r="D2622" s="4">
        <v>2020</v>
      </c>
      <c r="E2622" s="4" t="s">
        <v>21</v>
      </c>
      <c r="F2622" s="4">
        <v>1829</v>
      </c>
      <c r="G2622" s="4">
        <v>1020</v>
      </c>
      <c r="H2622" s="4">
        <v>2675.105</v>
      </c>
    </row>
    <row r="2623" spans="1:8" s="5" customFormat="1" ht="63" hidden="1" outlineLevel="1" x14ac:dyDescent="0.25">
      <c r="A2623" s="4">
        <v>1644</v>
      </c>
      <c r="B2623" s="4" t="s">
        <v>117</v>
      </c>
      <c r="C2623" s="38" t="s">
        <v>907</v>
      </c>
      <c r="D2623" s="4">
        <v>2020</v>
      </c>
      <c r="E2623" s="4" t="s">
        <v>21</v>
      </c>
      <c r="F2623" s="4">
        <v>75</v>
      </c>
      <c r="G2623" s="4">
        <v>12</v>
      </c>
      <c r="H2623" s="4">
        <v>170.917</v>
      </c>
    </row>
    <row r="2624" spans="1:8" s="5" customFormat="1" ht="47.25" hidden="1" outlineLevel="1" x14ac:dyDescent="0.25">
      <c r="A2624" s="4">
        <v>1882</v>
      </c>
      <c r="B2624" s="4" t="s">
        <v>117</v>
      </c>
      <c r="C2624" s="38" t="s">
        <v>908</v>
      </c>
      <c r="D2624" s="4">
        <v>2020</v>
      </c>
      <c r="E2624" s="4" t="s">
        <v>21</v>
      </c>
      <c r="F2624" s="4">
        <v>203</v>
      </c>
      <c r="G2624" s="4">
        <v>15</v>
      </c>
      <c r="H2624" s="4">
        <v>217.95699999999999</v>
      </c>
    </row>
    <row r="2625" spans="1:8" s="5" customFormat="1" ht="63" hidden="1" outlineLevel="1" x14ac:dyDescent="0.25">
      <c r="A2625" s="4">
        <v>1658</v>
      </c>
      <c r="B2625" s="4" t="s">
        <v>117</v>
      </c>
      <c r="C2625" s="38" t="s">
        <v>550</v>
      </c>
      <c r="D2625" s="4">
        <v>2020</v>
      </c>
      <c r="E2625" s="4" t="s">
        <v>21</v>
      </c>
      <c r="F2625" s="4">
        <v>30</v>
      </c>
      <c r="G2625" s="4">
        <v>15</v>
      </c>
      <c r="H2625" s="4">
        <v>34.936</v>
      </c>
    </row>
    <row r="2626" spans="1:8" s="5" customFormat="1" ht="63" hidden="1" outlineLevel="1" x14ac:dyDescent="0.25">
      <c r="A2626" s="4">
        <v>1643</v>
      </c>
      <c r="B2626" s="4" t="s">
        <v>117</v>
      </c>
      <c r="C2626" s="38" t="s">
        <v>909</v>
      </c>
      <c r="D2626" s="4">
        <v>2020</v>
      </c>
      <c r="E2626" s="4" t="s">
        <v>21</v>
      </c>
      <c r="F2626" s="4">
        <v>100</v>
      </c>
      <c r="G2626" s="4">
        <v>15</v>
      </c>
      <c r="H2626" s="4">
        <v>176.04900000000001</v>
      </c>
    </row>
    <row r="2627" spans="1:8" s="5" customFormat="1" ht="63" hidden="1" outlineLevel="1" x14ac:dyDescent="0.25">
      <c r="A2627" s="4">
        <v>803</v>
      </c>
      <c r="B2627" s="4" t="s">
        <v>117</v>
      </c>
      <c r="C2627" s="38" t="s">
        <v>910</v>
      </c>
      <c r="D2627" s="4">
        <v>2020</v>
      </c>
      <c r="E2627" s="4" t="s">
        <v>21</v>
      </c>
      <c r="F2627" s="4">
        <v>70</v>
      </c>
      <c r="G2627" s="4">
        <v>15</v>
      </c>
      <c r="H2627" s="4">
        <v>228.4999</v>
      </c>
    </row>
    <row r="2628" spans="1:8" s="5" customFormat="1" ht="63" hidden="1" outlineLevel="1" x14ac:dyDescent="0.25">
      <c r="A2628" s="4">
        <v>477</v>
      </c>
      <c r="B2628" s="4" t="s">
        <v>117</v>
      </c>
      <c r="C2628" s="38" t="s">
        <v>911</v>
      </c>
      <c r="D2628" s="4">
        <v>2020</v>
      </c>
      <c r="E2628" s="4" t="s">
        <v>21</v>
      </c>
      <c r="F2628" s="4">
        <v>60</v>
      </c>
      <c r="G2628" s="4">
        <v>15</v>
      </c>
      <c r="H2628" s="4">
        <v>164.81100000000001</v>
      </c>
    </row>
    <row r="2629" spans="1:8" s="5" customFormat="1" ht="47.25" hidden="1" outlineLevel="1" x14ac:dyDescent="0.25">
      <c r="A2629" s="4">
        <v>1836</v>
      </c>
      <c r="B2629" s="4" t="s">
        <v>117</v>
      </c>
      <c r="C2629" s="38" t="s">
        <v>912</v>
      </c>
      <c r="D2629" s="4">
        <v>2020</v>
      </c>
      <c r="E2629" s="4" t="s">
        <v>21</v>
      </c>
      <c r="F2629" s="4">
        <v>389</v>
      </c>
      <c r="G2629" s="4">
        <v>10</v>
      </c>
      <c r="H2629" s="4">
        <v>556.99400000000003</v>
      </c>
    </row>
    <row r="2630" spans="1:8" s="5" customFormat="1" ht="63" hidden="1" outlineLevel="1" x14ac:dyDescent="0.25">
      <c r="A2630" s="4">
        <v>1830</v>
      </c>
      <c r="B2630" s="4" t="s">
        <v>117</v>
      </c>
      <c r="C2630" s="38" t="s">
        <v>913</v>
      </c>
      <c r="D2630" s="4">
        <v>2020</v>
      </c>
      <c r="E2630" s="4" t="s">
        <v>21</v>
      </c>
      <c r="F2630" s="4">
        <v>90</v>
      </c>
      <c r="G2630" s="4">
        <v>15</v>
      </c>
      <c r="H2630" s="4">
        <v>175.26599999999999</v>
      </c>
    </row>
    <row r="2631" spans="1:8" s="5" customFormat="1" ht="78.75" hidden="1" outlineLevel="1" x14ac:dyDescent="0.25">
      <c r="A2631" s="4">
        <v>1555</v>
      </c>
      <c r="B2631" s="4" t="s">
        <v>117</v>
      </c>
      <c r="C2631" s="38" t="s">
        <v>914</v>
      </c>
      <c r="D2631" s="4">
        <v>2020</v>
      </c>
      <c r="E2631" s="4" t="s">
        <v>21</v>
      </c>
      <c r="F2631" s="4">
        <v>210</v>
      </c>
      <c r="G2631" s="4">
        <v>15</v>
      </c>
      <c r="H2631" s="4">
        <v>247.22399999999999</v>
      </c>
    </row>
    <row r="2632" spans="1:8" s="5" customFormat="1" ht="63" hidden="1" outlineLevel="1" x14ac:dyDescent="0.25">
      <c r="A2632" s="4">
        <v>1628</v>
      </c>
      <c r="B2632" s="4" t="s">
        <v>117</v>
      </c>
      <c r="C2632" s="38" t="s">
        <v>915</v>
      </c>
      <c r="D2632" s="4">
        <v>2020</v>
      </c>
      <c r="E2632" s="4" t="s">
        <v>21</v>
      </c>
      <c r="F2632" s="4">
        <v>210</v>
      </c>
      <c r="G2632" s="4">
        <v>15</v>
      </c>
      <c r="H2632" s="4">
        <v>219.107</v>
      </c>
    </row>
    <row r="2633" spans="1:8" s="5" customFormat="1" ht="63" hidden="1" outlineLevel="1" x14ac:dyDescent="0.25">
      <c r="A2633" s="4">
        <v>1642</v>
      </c>
      <c r="B2633" s="4" t="s">
        <v>117</v>
      </c>
      <c r="C2633" s="38" t="s">
        <v>916</v>
      </c>
      <c r="D2633" s="4">
        <v>2020</v>
      </c>
      <c r="E2633" s="4" t="s">
        <v>21</v>
      </c>
      <c r="F2633" s="4">
        <v>60</v>
      </c>
      <c r="G2633" s="4">
        <v>10</v>
      </c>
      <c r="H2633" s="4">
        <v>63.786999999999999</v>
      </c>
    </row>
    <row r="2634" spans="1:8" s="5" customFormat="1" ht="63" hidden="1" outlineLevel="1" x14ac:dyDescent="0.25">
      <c r="A2634" s="4">
        <v>1599</v>
      </c>
      <c r="B2634" s="4" t="s">
        <v>117</v>
      </c>
      <c r="C2634" s="38" t="s">
        <v>917</v>
      </c>
      <c r="D2634" s="4">
        <v>2020</v>
      </c>
      <c r="E2634" s="4" t="s">
        <v>21</v>
      </c>
      <c r="F2634" s="4">
        <v>99</v>
      </c>
      <c r="G2634" s="4">
        <v>15</v>
      </c>
      <c r="H2634" s="4">
        <v>253.55199999999999</v>
      </c>
    </row>
    <row r="2635" spans="1:8" s="5" customFormat="1" ht="47.25" hidden="1" outlineLevel="1" x14ac:dyDescent="0.25">
      <c r="A2635" s="4">
        <v>1630</v>
      </c>
      <c r="B2635" s="4" t="s">
        <v>117</v>
      </c>
      <c r="C2635" s="38" t="s">
        <v>918</v>
      </c>
      <c r="D2635" s="4">
        <v>2020</v>
      </c>
      <c r="E2635" s="4" t="s">
        <v>21</v>
      </c>
      <c r="F2635" s="4">
        <v>142</v>
      </c>
      <c r="G2635" s="4">
        <v>10</v>
      </c>
      <c r="H2635" s="4">
        <v>255.977</v>
      </c>
    </row>
    <row r="2636" spans="1:8" s="5" customFormat="1" ht="63" hidden="1" outlineLevel="1" x14ac:dyDescent="0.25">
      <c r="A2636" s="4">
        <v>1886</v>
      </c>
      <c r="B2636" s="4" t="s">
        <v>117</v>
      </c>
      <c r="C2636" s="38" t="s">
        <v>919</v>
      </c>
      <c r="D2636" s="4">
        <v>2020</v>
      </c>
      <c r="E2636" s="4" t="s">
        <v>21</v>
      </c>
      <c r="F2636" s="4">
        <v>60</v>
      </c>
      <c r="G2636" s="4">
        <v>15</v>
      </c>
      <c r="H2636" s="4">
        <v>147.23990000000001</v>
      </c>
    </row>
    <row r="2637" spans="1:8" s="5" customFormat="1" ht="63" hidden="1" outlineLevel="1" x14ac:dyDescent="0.25">
      <c r="A2637" s="4">
        <v>1828</v>
      </c>
      <c r="B2637" s="4" t="s">
        <v>117</v>
      </c>
      <c r="C2637" s="38" t="s">
        <v>920</v>
      </c>
      <c r="D2637" s="4">
        <v>2020</v>
      </c>
      <c r="E2637" s="4" t="s">
        <v>21</v>
      </c>
      <c r="F2637" s="4">
        <v>70</v>
      </c>
      <c r="G2637" s="4">
        <v>15</v>
      </c>
      <c r="H2637" s="4">
        <v>163.18600000000001</v>
      </c>
    </row>
    <row r="2638" spans="1:8" s="5" customFormat="1" ht="63" hidden="1" outlineLevel="1" x14ac:dyDescent="0.25">
      <c r="A2638" s="4">
        <v>256</v>
      </c>
      <c r="B2638" s="4" t="s">
        <v>117</v>
      </c>
      <c r="C2638" s="38" t="s">
        <v>551</v>
      </c>
      <c r="D2638" s="4">
        <v>2020</v>
      </c>
      <c r="E2638" s="4" t="s">
        <v>21</v>
      </c>
      <c r="F2638" s="4">
        <v>312</v>
      </c>
      <c r="G2638" s="4">
        <v>90</v>
      </c>
      <c r="H2638" s="4">
        <v>365.11500000000001</v>
      </c>
    </row>
    <row r="2639" spans="1:8" s="5" customFormat="1" ht="94.5" hidden="1" outlineLevel="1" x14ac:dyDescent="0.25">
      <c r="A2639" s="4">
        <v>1622</v>
      </c>
      <c r="B2639" s="4" t="s">
        <v>117</v>
      </c>
      <c r="C2639" s="38" t="s">
        <v>552</v>
      </c>
      <c r="D2639" s="4">
        <v>2020</v>
      </c>
      <c r="E2639" s="4" t="s">
        <v>21</v>
      </c>
      <c r="F2639" s="4">
        <v>298</v>
      </c>
      <c r="G2639" s="4">
        <v>75</v>
      </c>
      <c r="H2639" s="4">
        <v>336.22300000000001</v>
      </c>
    </row>
    <row r="2640" spans="1:8" s="5" customFormat="1" ht="63" hidden="1" outlineLevel="1" x14ac:dyDescent="0.25">
      <c r="A2640" s="4">
        <v>1932</v>
      </c>
      <c r="B2640" s="4" t="s">
        <v>117</v>
      </c>
      <c r="C2640" s="38" t="s">
        <v>921</v>
      </c>
      <c r="D2640" s="4">
        <v>2020</v>
      </c>
      <c r="E2640" s="4" t="s">
        <v>21</v>
      </c>
      <c r="F2640" s="4">
        <v>30</v>
      </c>
      <c r="G2640" s="4">
        <v>15</v>
      </c>
      <c r="H2640" s="4">
        <v>113.661</v>
      </c>
    </row>
    <row r="2641" spans="1:8" s="5" customFormat="1" ht="63" hidden="1" outlineLevel="1" x14ac:dyDescent="0.25">
      <c r="A2641" s="4">
        <v>1889</v>
      </c>
      <c r="B2641" s="4" t="s">
        <v>117</v>
      </c>
      <c r="C2641" s="38" t="s">
        <v>922</v>
      </c>
      <c r="D2641" s="4">
        <v>2020</v>
      </c>
      <c r="E2641" s="4" t="s">
        <v>21</v>
      </c>
      <c r="F2641" s="4">
        <v>50</v>
      </c>
      <c r="G2641" s="4">
        <v>12</v>
      </c>
      <c r="H2641" s="4">
        <v>74.972999999999999</v>
      </c>
    </row>
    <row r="2642" spans="1:8" s="5" customFormat="1" ht="78.75" hidden="1" outlineLevel="1" x14ac:dyDescent="0.25">
      <c r="A2642" s="4">
        <v>1905</v>
      </c>
      <c r="B2642" s="4" t="s">
        <v>117</v>
      </c>
      <c r="C2642" s="38" t="s">
        <v>923</v>
      </c>
      <c r="D2642" s="4">
        <v>2020</v>
      </c>
      <c r="E2642" s="4" t="s">
        <v>21</v>
      </c>
      <c r="F2642" s="4">
        <v>50</v>
      </c>
      <c r="G2642" s="4">
        <v>7</v>
      </c>
      <c r="H2642" s="4">
        <v>76.979799999999997</v>
      </c>
    </row>
    <row r="2643" spans="1:8" s="5" customFormat="1" ht="78.75" hidden="1" outlineLevel="1" x14ac:dyDescent="0.25">
      <c r="A2643" s="4">
        <v>1906</v>
      </c>
      <c r="B2643" s="4" t="s">
        <v>117</v>
      </c>
      <c r="C2643" s="38" t="s">
        <v>924</v>
      </c>
      <c r="D2643" s="4">
        <v>2020</v>
      </c>
      <c r="E2643" s="4" t="s">
        <v>21</v>
      </c>
      <c r="F2643" s="4">
        <v>40</v>
      </c>
      <c r="G2643" s="4">
        <v>15</v>
      </c>
      <c r="H2643" s="4">
        <v>80.150000000000006</v>
      </c>
    </row>
    <row r="2644" spans="1:8" s="5" customFormat="1" ht="63" hidden="1" outlineLevel="1" x14ac:dyDescent="0.25">
      <c r="A2644" s="4">
        <v>1888</v>
      </c>
      <c r="B2644" s="4" t="s">
        <v>117</v>
      </c>
      <c r="C2644" s="38" t="s">
        <v>925</v>
      </c>
      <c r="D2644" s="4">
        <v>2020</v>
      </c>
      <c r="E2644" s="4" t="s">
        <v>21</v>
      </c>
      <c r="F2644" s="4">
        <v>50</v>
      </c>
      <c r="G2644" s="4">
        <v>15</v>
      </c>
      <c r="H2644" s="4">
        <v>84.625900000000001</v>
      </c>
    </row>
    <row r="2645" spans="1:8" s="5" customFormat="1" ht="63" hidden="1" outlineLevel="1" x14ac:dyDescent="0.25">
      <c r="A2645" s="4">
        <v>1887</v>
      </c>
      <c r="B2645" s="4" t="s">
        <v>117</v>
      </c>
      <c r="C2645" s="38" t="s">
        <v>926</v>
      </c>
      <c r="D2645" s="4">
        <v>2020</v>
      </c>
      <c r="E2645" s="4" t="s">
        <v>21</v>
      </c>
      <c r="F2645" s="4">
        <v>50</v>
      </c>
      <c r="G2645" s="4">
        <v>15</v>
      </c>
      <c r="H2645" s="4">
        <v>89.555599999999998</v>
      </c>
    </row>
    <row r="2646" spans="1:8" s="5" customFormat="1" ht="63" hidden="1" outlineLevel="1" x14ac:dyDescent="0.25">
      <c r="A2646" s="4">
        <v>536</v>
      </c>
      <c r="B2646" s="4" t="s">
        <v>117</v>
      </c>
      <c r="C2646" s="38" t="s">
        <v>927</v>
      </c>
      <c r="D2646" s="4">
        <v>2020</v>
      </c>
      <c r="E2646" s="4" t="s">
        <v>21</v>
      </c>
      <c r="F2646" s="4">
        <v>70</v>
      </c>
      <c r="G2646" s="4">
        <v>15</v>
      </c>
      <c r="H2646" s="4">
        <v>154.12100000000001</v>
      </c>
    </row>
    <row r="2647" spans="1:8" s="5" customFormat="1" ht="78.75" hidden="1" outlineLevel="1" x14ac:dyDescent="0.25">
      <c r="A2647" s="4">
        <v>585</v>
      </c>
      <c r="B2647" s="4" t="s">
        <v>117</v>
      </c>
      <c r="C2647" s="38" t="s">
        <v>928</v>
      </c>
      <c r="D2647" s="4">
        <v>2020</v>
      </c>
      <c r="E2647" s="4" t="s">
        <v>21</v>
      </c>
      <c r="F2647" s="4">
        <v>180</v>
      </c>
      <c r="G2647" s="4">
        <v>70</v>
      </c>
      <c r="H2647" s="4">
        <v>250.625</v>
      </c>
    </row>
    <row r="2648" spans="1:8" s="5" customFormat="1" ht="63" hidden="1" outlineLevel="1" x14ac:dyDescent="0.25">
      <c r="A2648" s="4">
        <v>1829</v>
      </c>
      <c r="B2648" s="4" t="s">
        <v>117</v>
      </c>
      <c r="C2648" s="38" t="s">
        <v>929</v>
      </c>
      <c r="D2648" s="4">
        <v>2020</v>
      </c>
      <c r="E2648" s="4" t="s">
        <v>21</v>
      </c>
      <c r="F2648" s="4">
        <v>75</v>
      </c>
      <c r="G2648" s="4">
        <v>15</v>
      </c>
      <c r="H2648" s="4">
        <v>124.496</v>
      </c>
    </row>
    <row r="2649" spans="1:8" s="5" customFormat="1" ht="63" hidden="1" outlineLevel="1" x14ac:dyDescent="0.25">
      <c r="A2649" s="4">
        <v>535</v>
      </c>
      <c r="B2649" s="4" t="s">
        <v>117</v>
      </c>
      <c r="C2649" s="38" t="s">
        <v>930</v>
      </c>
      <c r="D2649" s="4">
        <v>2020</v>
      </c>
      <c r="E2649" s="4" t="s">
        <v>21</v>
      </c>
      <c r="F2649" s="4">
        <v>266</v>
      </c>
      <c r="G2649" s="4">
        <v>8</v>
      </c>
      <c r="H2649" s="4">
        <v>476.34399999999999</v>
      </c>
    </row>
    <row r="2650" spans="1:8" s="5" customFormat="1" ht="78.75" hidden="1" outlineLevel="1" x14ac:dyDescent="0.25">
      <c r="A2650" s="4">
        <v>246</v>
      </c>
      <c r="B2650" s="4" t="s">
        <v>117</v>
      </c>
      <c r="C2650" s="38" t="s">
        <v>931</v>
      </c>
      <c r="D2650" s="4">
        <v>2020</v>
      </c>
      <c r="E2650" s="4" t="s">
        <v>21</v>
      </c>
      <c r="F2650" s="4">
        <v>14</v>
      </c>
      <c r="G2650" s="4">
        <v>15</v>
      </c>
      <c r="H2650" s="4">
        <v>62.213999999999999</v>
      </c>
    </row>
    <row r="2651" spans="1:8" s="5" customFormat="1" ht="63" hidden="1" outlineLevel="1" x14ac:dyDescent="0.25">
      <c r="A2651" s="4">
        <v>863</v>
      </c>
      <c r="B2651" s="4" t="s">
        <v>117</v>
      </c>
      <c r="C2651" s="38" t="s">
        <v>932</v>
      </c>
      <c r="D2651" s="4">
        <v>2020</v>
      </c>
      <c r="E2651" s="4" t="s">
        <v>21</v>
      </c>
      <c r="F2651" s="4">
        <v>30</v>
      </c>
      <c r="G2651" s="4">
        <v>15</v>
      </c>
      <c r="H2651" s="4">
        <v>126.328</v>
      </c>
    </row>
    <row r="2652" spans="1:8" s="5" customFormat="1" ht="63" hidden="1" outlineLevel="1" x14ac:dyDescent="0.25">
      <c r="A2652" s="4">
        <v>875</v>
      </c>
      <c r="B2652" s="4" t="s">
        <v>117</v>
      </c>
      <c r="C2652" s="38" t="s">
        <v>933</v>
      </c>
      <c r="D2652" s="4">
        <v>2020</v>
      </c>
      <c r="E2652" s="4" t="s">
        <v>21</v>
      </c>
      <c r="F2652" s="4">
        <v>90</v>
      </c>
      <c r="G2652" s="4">
        <v>15</v>
      </c>
      <c r="H2652" s="4">
        <v>204.63900000000001</v>
      </c>
    </row>
    <row r="2653" spans="1:8" s="5" customFormat="1" ht="47.25" hidden="1" outlineLevel="1" x14ac:dyDescent="0.25">
      <c r="A2653" s="4">
        <v>1884</v>
      </c>
      <c r="B2653" s="4" t="s">
        <v>117</v>
      </c>
      <c r="C2653" s="38" t="s">
        <v>934</v>
      </c>
      <c r="D2653" s="4">
        <v>2020</v>
      </c>
      <c r="E2653" s="4" t="s">
        <v>21</v>
      </c>
      <c r="F2653" s="4">
        <v>70</v>
      </c>
      <c r="G2653" s="4">
        <v>15</v>
      </c>
      <c r="H2653" s="4">
        <v>122.247</v>
      </c>
    </row>
    <row r="2654" spans="1:8" s="5" customFormat="1" ht="63" hidden="1" outlineLevel="1" x14ac:dyDescent="0.25">
      <c r="A2654" s="4">
        <v>1890</v>
      </c>
      <c r="B2654" s="4" t="s">
        <v>117</v>
      </c>
      <c r="C2654" s="38" t="s">
        <v>935</v>
      </c>
      <c r="D2654" s="4">
        <v>2020</v>
      </c>
      <c r="E2654" s="4" t="s">
        <v>21</v>
      </c>
      <c r="F2654" s="4">
        <v>70</v>
      </c>
      <c r="G2654" s="4">
        <v>15</v>
      </c>
      <c r="H2654" s="4">
        <v>76.91</v>
      </c>
    </row>
    <row r="2655" spans="1:8" s="5" customFormat="1" ht="63" hidden="1" outlineLevel="1" x14ac:dyDescent="0.25">
      <c r="A2655" s="4">
        <v>1835</v>
      </c>
      <c r="B2655" s="4" t="s">
        <v>117</v>
      </c>
      <c r="C2655" s="38" t="s">
        <v>936</v>
      </c>
      <c r="D2655" s="4">
        <v>2020</v>
      </c>
      <c r="E2655" s="4" t="s">
        <v>21</v>
      </c>
      <c r="F2655" s="4">
        <v>100</v>
      </c>
      <c r="G2655" s="4">
        <v>15</v>
      </c>
      <c r="H2655" s="4">
        <v>194.386</v>
      </c>
    </row>
    <row r="2656" spans="1:8" s="5" customFormat="1" ht="63" hidden="1" outlineLevel="1" x14ac:dyDescent="0.25">
      <c r="A2656" s="4">
        <v>1895</v>
      </c>
      <c r="B2656" s="4" t="s">
        <v>117</v>
      </c>
      <c r="C2656" s="38" t="s">
        <v>937</v>
      </c>
      <c r="D2656" s="4">
        <v>2020</v>
      </c>
      <c r="E2656" s="4" t="s">
        <v>21</v>
      </c>
      <c r="F2656" s="4">
        <v>30</v>
      </c>
      <c r="G2656" s="4">
        <v>15</v>
      </c>
      <c r="H2656" s="4">
        <v>160.88399999999999</v>
      </c>
    </row>
    <row r="2657" spans="1:8" s="5" customFormat="1" ht="63" hidden="1" outlineLevel="1" x14ac:dyDescent="0.25">
      <c r="A2657" s="4">
        <v>1901</v>
      </c>
      <c r="B2657" s="4" t="s">
        <v>117</v>
      </c>
      <c r="C2657" s="38" t="s">
        <v>938</v>
      </c>
      <c r="D2657" s="4">
        <v>2020</v>
      </c>
      <c r="E2657" s="4" t="s">
        <v>21</v>
      </c>
      <c r="F2657" s="4">
        <v>212</v>
      </c>
      <c r="G2657" s="4">
        <v>15</v>
      </c>
      <c r="H2657" s="4">
        <v>305.82799999999997</v>
      </c>
    </row>
    <row r="2658" spans="1:8" s="5" customFormat="1" ht="63" hidden="1" outlineLevel="1" x14ac:dyDescent="0.25">
      <c r="A2658" s="4">
        <v>329</v>
      </c>
      <c r="B2658" s="4" t="s">
        <v>117</v>
      </c>
      <c r="C2658" s="38" t="s">
        <v>939</v>
      </c>
      <c r="D2658" s="4">
        <v>2020</v>
      </c>
      <c r="E2658" s="4" t="s">
        <v>21</v>
      </c>
      <c r="F2658" s="4">
        <v>193</v>
      </c>
      <c r="G2658" s="4">
        <v>40</v>
      </c>
      <c r="H2658" s="4">
        <v>326.48399999999998</v>
      </c>
    </row>
    <row r="2659" spans="1:8" s="5" customFormat="1" ht="63" hidden="1" outlineLevel="1" x14ac:dyDescent="0.25">
      <c r="A2659" s="4">
        <v>1670</v>
      </c>
      <c r="B2659" s="4" t="s">
        <v>117</v>
      </c>
      <c r="C2659" s="38" t="s">
        <v>555</v>
      </c>
      <c r="D2659" s="4">
        <v>2020</v>
      </c>
      <c r="E2659" s="4" t="s">
        <v>21</v>
      </c>
      <c r="F2659" s="4">
        <v>295</v>
      </c>
      <c r="G2659" s="4">
        <v>15</v>
      </c>
      <c r="H2659" s="4">
        <v>387.62700000000001</v>
      </c>
    </row>
    <row r="2660" spans="1:8" s="5" customFormat="1" ht="63" hidden="1" outlineLevel="1" x14ac:dyDescent="0.25">
      <c r="A2660" s="4">
        <v>1910</v>
      </c>
      <c r="B2660" s="4" t="s">
        <v>117</v>
      </c>
      <c r="C2660" s="38" t="s">
        <v>940</v>
      </c>
      <c r="D2660" s="4">
        <v>2020</v>
      </c>
      <c r="E2660" s="4" t="s">
        <v>21</v>
      </c>
      <c r="F2660" s="4">
        <v>70</v>
      </c>
      <c r="G2660" s="4">
        <v>60</v>
      </c>
      <c r="H2660" s="4">
        <v>116.92700000000001</v>
      </c>
    </row>
    <row r="2661" spans="1:8" s="5" customFormat="1" ht="63" hidden="1" outlineLevel="1" x14ac:dyDescent="0.25">
      <c r="A2661" s="4">
        <v>1831</v>
      </c>
      <c r="B2661" s="4" t="s">
        <v>117</v>
      </c>
      <c r="C2661" s="38" t="s">
        <v>941</v>
      </c>
      <c r="D2661" s="4">
        <v>2020</v>
      </c>
      <c r="E2661" s="4" t="s">
        <v>21</v>
      </c>
      <c r="F2661" s="4">
        <v>35</v>
      </c>
      <c r="G2661" s="4">
        <v>5</v>
      </c>
      <c r="H2661" s="4">
        <v>78.828000000000003</v>
      </c>
    </row>
    <row r="2662" spans="1:8" s="5" customFormat="1" ht="63" hidden="1" outlineLevel="1" x14ac:dyDescent="0.25">
      <c r="A2662" s="4">
        <v>159</v>
      </c>
      <c r="B2662" s="4" t="s">
        <v>117</v>
      </c>
      <c r="C2662" s="38" t="s">
        <v>942</v>
      </c>
      <c r="D2662" s="4">
        <v>2020</v>
      </c>
      <c r="E2662" s="4" t="s">
        <v>21</v>
      </c>
      <c r="F2662" s="4">
        <v>180</v>
      </c>
      <c r="G2662" s="4">
        <v>30</v>
      </c>
      <c r="H2662" s="4">
        <v>205.27979999999999</v>
      </c>
    </row>
    <row r="2663" spans="1:8" s="5" customFormat="1" ht="63" hidden="1" outlineLevel="1" x14ac:dyDescent="0.25">
      <c r="A2663" s="4">
        <v>1629</v>
      </c>
      <c r="B2663" s="4" t="s">
        <v>117</v>
      </c>
      <c r="C2663" s="38" t="s">
        <v>943</v>
      </c>
      <c r="D2663" s="4">
        <v>2020</v>
      </c>
      <c r="E2663" s="4" t="s">
        <v>21</v>
      </c>
      <c r="F2663" s="4">
        <v>66</v>
      </c>
      <c r="G2663" s="4">
        <v>15</v>
      </c>
      <c r="H2663" s="4">
        <v>199.51499999999999</v>
      </c>
    </row>
    <row r="2664" spans="1:8" s="5" customFormat="1" ht="78.75" hidden="1" outlineLevel="1" x14ac:dyDescent="0.25">
      <c r="A2664" s="4">
        <v>1833</v>
      </c>
      <c r="B2664" s="4" t="s">
        <v>117</v>
      </c>
      <c r="C2664" s="38" t="s">
        <v>944</v>
      </c>
      <c r="D2664" s="4">
        <v>2020</v>
      </c>
      <c r="E2664" s="4" t="s">
        <v>21</v>
      </c>
      <c r="F2664" s="4">
        <v>30</v>
      </c>
      <c r="G2664" s="4">
        <v>10</v>
      </c>
      <c r="H2664" s="4">
        <v>106.887</v>
      </c>
    </row>
    <row r="2665" spans="1:8" s="5" customFormat="1" ht="63" hidden="1" outlineLevel="1" x14ac:dyDescent="0.25">
      <c r="A2665" s="4">
        <v>1902</v>
      </c>
      <c r="B2665" s="4" t="s">
        <v>117</v>
      </c>
      <c r="C2665" s="38" t="s">
        <v>945</v>
      </c>
      <c r="D2665" s="4">
        <v>2020</v>
      </c>
      <c r="E2665" s="4" t="s">
        <v>21</v>
      </c>
      <c r="F2665" s="4">
        <v>90</v>
      </c>
      <c r="G2665" s="4">
        <v>10</v>
      </c>
      <c r="H2665" s="4">
        <v>147.63300000000001</v>
      </c>
    </row>
    <row r="2666" spans="1:8" s="5" customFormat="1" ht="63" hidden="1" outlineLevel="1" x14ac:dyDescent="0.25">
      <c r="A2666" s="4">
        <v>680</v>
      </c>
      <c r="B2666" s="4" t="s">
        <v>117</v>
      </c>
      <c r="C2666" s="38" t="s">
        <v>946</v>
      </c>
      <c r="D2666" s="4">
        <v>2020</v>
      </c>
      <c r="E2666" s="4" t="s">
        <v>21</v>
      </c>
      <c r="F2666" s="4">
        <v>100</v>
      </c>
      <c r="G2666" s="4">
        <v>15</v>
      </c>
      <c r="H2666" s="4">
        <v>158.774</v>
      </c>
    </row>
    <row r="2667" spans="1:8" s="5" customFormat="1" ht="78.75" hidden="1" outlineLevel="1" x14ac:dyDescent="0.25">
      <c r="A2667" s="4">
        <v>869</v>
      </c>
      <c r="B2667" s="4" t="s">
        <v>117</v>
      </c>
      <c r="C2667" s="38" t="s">
        <v>947</v>
      </c>
      <c r="D2667" s="4">
        <v>2020</v>
      </c>
      <c r="E2667" s="4" t="s">
        <v>21</v>
      </c>
      <c r="F2667" s="4">
        <v>80</v>
      </c>
      <c r="G2667" s="4">
        <v>30</v>
      </c>
      <c r="H2667" s="4">
        <v>143.08600000000001</v>
      </c>
    </row>
    <row r="2668" spans="1:8" s="5" customFormat="1" ht="63" hidden="1" outlineLevel="1" x14ac:dyDescent="0.25">
      <c r="A2668" s="4">
        <v>730</v>
      </c>
      <c r="B2668" s="4" t="s">
        <v>117</v>
      </c>
      <c r="C2668" s="38" t="s">
        <v>948</v>
      </c>
      <c r="D2668" s="4">
        <v>2020</v>
      </c>
      <c r="E2668" s="4" t="s">
        <v>21</v>
      </c>
      <c r="F2668" s="4">
        <v>40</v>
      </c>
      <c r="G2668" s="4">
        <v>10</v>
      </c>
      <c r="H2668" s="4">
        <v>128.27099999999999</v>
      </c>
    </row>
    <row r="2669" spans="1:8" s="5" customFormat="1" ht="63" hidden="1" outlineLevel="1" x14ac:dyDescent="0.25">
      <c r="A2669" s="4">
        <v>1885</v>
      </c>
      <c r="B2669" s="4" t="s">
        <v>117</v>
      </c>
      <c r="C2669" s="38" t="s">
        <v>949</v>
      </c>
      <c r="D2669" s="4">
        <v>2020</v>
      </c>
      <c r="E2669" s="4" t="s">
        <v>21</v>
      </c>
      <c r="F2669" s="4">
        <v>70</v>
      </c>
      <c r="G2669" s="4">
        <v>10</v>
      </c>
      <c r="H2669" s="4">
        <v>67.716999999999999</v>
      </c>
    </row>
    <row r="2670" spans="1:8" s="5" customFormat="1" ht="47.25" hidden="1" outlineLevel="1" x14ac:dyDescent="0.25">
      <c r="A2670" s="4">
        <v>312</v>
      </c>
      <c r="B2670" s="4" t="s">
        <v>117</v>
      </c>
      <c r="C2670" s="38" t="s">
        <v>950</v>
      </c>
      <c r="D2670" s="4">
        <v>2020</v>
      </c>
      <c r="E2670" s="4" t="s">
        <v>21</v>
      </c>
      <c r="F2670" s="4">
        <v>70</v>
      </c>
      <c r="G2670" s="4">
        <v>10</v>
      </c>
      <c r="H2670" s="4">
        <v>132.691</v>
      </c>
    </row>
    <row r="2671" spans="1:8" s="5" customFormat="1" ht="63" hidden="1" outlineLevel="1" x14ac:dyDescent="0.25">
      <c r="A2671" s="4">
        <v>609</v>
      </c>
      <c r="B2671" s="4" t="s">
        <v>117</v>
      </c>
      <c r="C2671" s="38" t="s">
        <v>951</v>
      </c>
      <c r="D2671" s="4">
        <v>2020</v>
      </c>
      <c r="E2671" s="4" t="s">
        <v>21</v>
      </c>
      <c r="F2671" s="4">
        <v>100</v>
      </c>
      <c r="G2671" s="4">
        <v>10</v>
      </c>
      <c r="H2671" s="4">
        <v>129.702</v>
      </c>
    </row>
    <row r="2672" spans="1:8" s="5" customFormat="1" ht="63" hidden="1" outlineLevel="1" x14ac:dyDescent="0.25">
      <c r="A2672" s="4">
        <v>1640</v>
      </c>
      <c r="B2672" s="4" t="s">
        <v>117</v>
      </c>
      <c r="C2672" s="38" t="s">
        <v>952</v>
      </c>
      <c r="D2672" s="4">
        <v>2020</v>
      </c>
      <c r="E2672" s="4" t="s">
        <v>21</v>
      </c>
      <c r="F2672" s="4">
        <v>300</v>
      </c>
      <c r="G2672" s="4">
        <v>15</v>
      </c>
      <c r="H2672" s="4">
        <v>471.01900000000001</v>
      </c>
    </row>
    <row r="2673" spans="1:8" s="5" customFormat="1" ht="63" hidden="1" outlineLevel="1" x14ac:dyDescent="0.25">
      <c r="A2673" s="4">
        <v>1834</v>
      </c>
      <c r="B2673" s="4" t="s">
        <v>117</v>
      </c>
      <c r="C2673" s="38" t="s">
        <v>953</v>
      </c>
      <c r="D2673" s="4">
        <v>2020</v>
      </c>
      <c r="E2673" s="4" t="s">
        <v>21</v>
      </c>
      <c r="F2673" s="4">
        <v>40</v>
      </c>
      <c r="G2673" s="4">
        <v>15</v>
      </c>
      <c r="H2673" s="4">
        <v>92.588999999999999</v>
      </c>
    </row>
    <row r="2674" spans="1:8" s="5" customFormat="1" ht="63" hidden="1" outlineLevel="1" x14ac:dyDescent="0.25">
      <c r="A2674" s="4">
        <v>1832</v>
      </c>
      <c r="B2674" s="4" t="s">
        <v>117</v>
      </c>
      <c r="C2674" s="38" t="s">
        <v>954</v>
      </c>
      <c r="D2674" s="4">
        <v>2020</v>
      </c>
      <c r="E2674" s="4" t="s">
        <v>21</v>
      </c>
      <c r="F2674" s="4">
        <v>100</v>
      </c>
      <c r="G2674" s="4">
        <v>4</v>
      </c>
      <c r="H2674" s="4">
        <v>168.95400000000001</v>
      </c>
    </row>
    <row r="2675" spans="1:8" s="5" customFormat="1" ht="63" hidden="1" outlineLevel="1" x14ac:dyDescent="0.25">
      <c r="A2675" s="4">
        <v>736</v>
      </c>
      <c r="B2675" s="4" t="s">
        <v>117</v>
      </c>
      <c r="C2675" s="38" t="s">
        <v>955</v>
      </c>
      <c r="D2675" s="4">
        <v>2020</v>
      </c>
      <c r="E2675" s="4" t="s">
        <v>21</v>
      </c>
      <c r="F2675" s="4">
        <v>80</v>
      </c>
      <c r="G2675" s="4">
        <v>8</v>
      </c>
      <c r="H2675" s="4">
        <v>126.92100000000001</v>
      </c>
    </row>
    <row r="2676" spans="1:8" s="5" customFormat="1" ht="78.75" hidden="1" outlineLevel="1" x14ac:dyDescent="0.25">
      <c r="A2676" s="4">
        <v>867</v>
      </c>
      <c r="B2676" s="4" t="s">
        <v>117</v>
      </c>
      <c r="C2676" s="38" t="s">
        <v>956</v>
      </c>
      <c r="D2676" s="4">
        <v>2020</v>
      </c>
      <c r="E2676" s="4" t="s">
        <v>21</v>
      </c>
      <c r="F2676" s="4">
        <v>110</v>
      </c>
      <c r="G2676" s="4">
        <v>15</v>
      </c>
      <c r="H2676" s="4">
        <v>187.54400000000001</v>
      </c>
    </row>
    <row r="2677" spans="1:8" s="5" customFormat="1" ht="78.75" hidden="1" outlineLevel="1" x14ac:dyDescent="0.25">
      <c r="A2677" s="4">
        <v>833</v>
      </c>
      <c r="B2677" s="4" t="s">
        <v>117</v>
      </c>
      <c r="C2677" s="38" t="s">
        <v>957</v>
      </c>
      <c r="D2677" s="4">
        <v>2020</v>
      </c>
      <c r="E2677" s="4" t="s">
        <v>21</v>
      </c>
      <c r="F2677" s="4">
        <v>40</v>
      </c>
      <c r="G2677" s="4">
        <v>15</v>
      </c>
      <c r="H2677" s="4">
        <v>124.28100000000001</v>
      </c>
    </row>
    <row r="2678" spans="1:8" s="5" customFormat="1" ht="78.75" hidden="1" outlineLevel="1" x14ac:dyDescent="0.25">
      <c r="A2678" s="4">
        <v>1657</v>
      </c>
      <c r="B2678" s="4" t="s">
        <v>117</v>
      </c>
      <c r="C2678" s="38" t="s">
        <v>558</v>
      </c>
      <c r="D2678" s="4">
        <v>2020</v>
      </c>
      <c r="E2678" s="4" t="s">
        <v>21</v>
      </c>
      <c r="F2678" s="4">
        <v>278</v>
      </c>
      <c r="G2678" s="4">
        <v>35</v>
      </c>
      <c r="H2678" s="4">
        <v>394.98</v>
      </c>
    </row>
    <row r="2679" spans="1:8" s="5" customFormat="1" ht="78.75" hidden="1" outlineLevel="1" x14ac:dyDescent="0.25">
      <c r="A2679" s="4">
        <v>1878</v>
      </c>
      <c r="B2679" s="4" t="s">
        <v>117</v>
      </c>
      <c r="C2679" s="38" t="s">
        <v>958</v>
      </c>
      <c r="D2679" s="4">
        <v>2020</v>
      </c>
      <c r="E2679" s="4" t="s">
        <v>21</v>
      </c>
      <c r="F2679" s="4">
        <v>45</v>
      </c>
      <c r="G2679" s="4">
        <v>15</v>
      </c>
      <c r="H2679" s="4">
        <v>119.492</v>
      </c>
    </row>
    <row r="2680" spans="1:8" s="5" customFormat="1" ht="78.75" hidden="1" outlineLevel="1" x14ac:dyDescent="0.25">
      <c r="A2680" s="4">
        <v>1877</v>
      </c>
      <c r="B2680" s="4" t="s">
        <v>117</v>
      </c>
      <c r="C2680" s="38" t="s">
        <v>959</v>
      </c>
      <c r="D2680" s="4">
        <v>2020</v>
      </c>
      <c r="E2680" s="4" t="s">
        <v>21</v>
      </c>
      <c r="F2680" s="4">
        <v>60</v>
      </c>
      <c r="G2680" s="4">
        <v>15</v>
      </c>
      <c r="H2680" s="4">
        <v>183.74199999999999</v>
      </c>
    </row>
    <row r="2681" spans="1:8" s="5" customFormat="1" ht="78.75" hidden="1" outlineLevel="1" x14ac:dyDescent="0.25">
      <c r="A2681" s="4">
        <v>1914</v>
      </c>
      <c r="B2681" s="4" t="s">
        <v>117</v>
      </c>
      <c r="C2681" s="38" t="s">
        <v>960</v>
      </c>
      <c r="D2681" s="4">
        <v>2020</v>
      </c>
      <c r="E2681" s="4" t="s">
        <v>21</v>
      </c>
      <c r="F2681" s="4">
        <v>60</v>
      </c>
      <c r="G2681" s="4">
        <v>8</v>
      </c>
      <c r="H2681" s="4">
        <v>167.62100000000001</v>
      </c>
    </row>
    <row r="2682" spans="1:8" s="5" customFormat="1" ht="78.75" hidden="1" outlineLevel="1" x14ac:dyDescent="0.25">
      <c r="A2682" s="4">
        <v>1876</v>
      </c>
      <c r="B2682" s="4" t="s">
        <v>117</v>
      </c>
      <c r="C2682" s="38" t="s">
        <v>961</v>
      </c>
      <c r="D2682" s="4">
        <v>2020</v>
      </c>
      <c r="E2682" s="4" t="s">
        <v>21</v>
      </c>
      <c r="F2682" s="4">
        <v>30</v>
      </c>
      <c r="G2682" s="4">
        <v>15</v>
      </c>
      <c r="H2682" s="4">
        <v>128.934</v>
      </c>
    </row>
    <row r="2683" spans="1:8" s="5" customFormat="1" ht="78.75" hidden="1" outlineLevel="1" x14ac:dyDescent="0.25">
      <c r="A2683" s="4">
        <v>626</v>
      </c>
      <c r="B2683" s="4" t="s">
        <v>117</v>
      </c>
      <c r="C2683" s="38" t="s">
        <v>962</v>
      </c>
      <c r="D2683" s="4">
        <v>2020</v>
      </c>
      <c r="E2683" s="4" t="s">
        <v>21</v>
      </c>
      <c r="F2683" s="4">
        <v>135</v>
      </c>
      <c r="G2683" s="4">
        <v>15</v>
      </c>
      <c r="H2683" s="4">
        <v>37.267000000000003</v>
      </c>
    </row>
    <row r="2684" spans="1:8" s="5" customFormat="1" ht="63" hidden="1" outlineLevel="1" x14ac:dyDescent="0.25">
      <c r="A2684" s="4">
        <v>604</v>
      </c>
      <c r="B2684" s="4" t="s">
        <v>117</v>
      </c>
      <c r="C2684" s="38" t="s">
        <v>963</v>
      </c>
      <c r="D2684" s="4">
        <v>2020</v>
      </c>
      <c r="E2684" s="4" t="s">
        <v>21</v>
      </c>
      <c r="F2684" s="4">
        <v>70</v>
      </c>
      <c r="G2684" s="4">
        <v>8</v>
      </c>
      <c r="H2684" s="4">
        <v>129.38499999999999</v>
      </c>
    </row>
    <row r="2685" spans="1:8" s="5" customFormat="1" ht="63" hidden="1" outlineLevel="1" x14ac:dyDescent="0.25">
      <c r="A2685" s="4">
        <v>1839</v>
      </c>
      <c r="B2685" s="4" t="s">
        <v>117</v>
      </c>
      <c r="C2685" s="38" t="s">
        <v>964</v>
      </c>
      <c r="D2685" s="4">
        <v>2020</v>
      </c>
      <c r="E2685" s="4" t="s">
        <v>21</v>
      </c>
      <c r="F2685" s="4">
        <v>150</v>
      </c>
      <c r="G2685" s="4">
        <v>5</v>
      </c>
      <c r="H2685" s="4">
        <v>234.49100000000001</v>
      </c>
    </row>
    <row r="2686" spans="1:8" s="5" customFormat="1" ht="63" hidden="1" outlineLevel="1" x14ac:dyDescent="0.25">
      <c r="A2686" s="4">
        <v>729</v>
      </c>
      <c r="B2686" s="4" t="s">
        <v>117</v>
      </c>
      <c r="C2686" s="38" t="s">
        <v>965</v>
      </c>
      <c r="D2686" s="4">
        <v>2020</v>
      </c>
      <c r="E2686" s="4" t="s">
        <v>21</v>
      </c>
      <c r="F2686" s="4">
        <v>30</v>
      </c>
      <c r="G2686" s="4">
        <v>15</v>
      </c>
      <c r="H2686" s="4">
        <v>75.974000000000004</v>
      </c>
    </row>
    <row r="2687" spans="1:8" s="5" customFormat="1" ht="78.75" hidden="1" outlineLevel="1" x14ac:dyDescent="0.25">
      <c r="A2687" s="4">
        <v>1681</v>
      </c>
      <c r="B2687" s="4" t="s">
        <v>117</v>
      </c>
      <c r="C2687" s="38" t="s">
        <v>966</v>
      </c>
      <c r="D2687" s="4">
        <v>2020</v>
      </c>
      <c r="E2687" s="4" t="s">
        <v>21</v>
      </c>
      <c r="F2687" s="4">
        <v>674</v>
      </c>
      <c r="G2687" s="4">
        <v>15</v>
      </c>
      <c r="H2687" s="4">
        <v>818.77599999999995</v>
      </c>
    </row>
    <row r="2688" spans="1:8" s="5" customFormat="1" ht="63" hidden="1" outlineLevel="1" x14ac:dyDescent="0.25">
      <c r="A2688" s="4">
        <v>570</v>
      </c>
      <c r="B2688" s="4" t="s">
        <v>117</v>
      </c>
      <c r="C2688" s="38" t="s">
        <v>967</v>
      </c>
      <c r="D2688" s="4">
        <v>2020</v>
      </c>
      <c r="E2688" s="4" t="s">
        <v>21</v>
      </c>
      <c r="F2688" s="4">
        <v>436</v>
      </c>
      <c r="G2688" s="4">
        <v>5</v>
      </c>
      <c r="H2688" s="4">
        <v>449.61799999999999</v>
      </c>
    </row>
    <row r="2689" spans="1:8" s="5" customFormat="1" ht="63" hidden="1" outlineLevel="1" x14ac:dyDescent="0.25">
      <c r="A2689" s="4">
        <v>352</v>
      </c>
      <c r="B2689" s="4" t="s">
        <v>117</v>
      </c>
      <c r="C2689" s="38" t="s">
        <v>968</v>
      </c>
      <c r="D2689" s="4">
        <v>2020</v>
      </c>
      <c r="E2689" s="4" t="s">
        <v>21</v>
      </c>
      <c r="F2689" s="4">
        <v>50</v>
      </c>
      <c r="G2689" s="4">
        <v>2</v>
      </c>
      <c r="H2689" s="4">
        <v>114.675</v>
      </c>
    </row>
    <row r="2690" spans="1:8" s="5" customFormat="1" ht="78.75" hidden="1" outlineLevel="1" x14ac:dyDescent="0.25">
      <c r="A2690" s="4">
        <v>1904</v>
      </c>
      <c r="B2690" s="4" t="s">
        <v>117</v>
      </c>
      <c r="C2690" s="38" t="s">
        <v>969</v>
      </c>
      <c r="D2690" s="4">
        <v>2020</v>
      </c>
      <c r="E2690" s="4" t="s">
        <v>21</v>
      </c>
      <c r="F2690" s="4">
        <v>210</v>
      </c>
      <c r="G2690" s="4">
        <v>30</v>
      </c>
      <c r="H2690" s="4">
        <v>113.369</v>
      </c>
    </row>
    <row r="2691" spans="1:8" s="5" customFormat="1" ht="63" hidden="1" outlineLevel="1" x14ac:dyDescent="0.25">
      <c r="A2691" s="4">
        <v>1840</v>
      </c>
      <c r="B2691" s="4" t="s">
        <v>117</v>
      </c>
      <c r="C2691" s="38" t="s">
        <v>970</v>
      </c>
      <c r="D2691" s="4">
        <v>2020</v>
      </c>
      <c r="E2691" s="4" t="s">
        <v>21</v>
      </c>
      <c r="F2691" s="4">
        <v>50</v>
      </c>
      <c r="G2691" s="4">
        <v>15</v>
      </c>
      <c r="H2691" s="4">
        <v>78.991</v>
      </c>
    </row>
    <row r="2692" spans="1:8" s="5" customFormat="1" ht="63" hidden="1" outlineLevel="1" x14ac:dyDescent="0.25">
      <c r="A2692" s="4">
        <v>1303</v>
      </c>
      <c r="B2692" s="4" t="s">
        <v>117</v>
      </c>
      <c r="C2692" s="38" t="s">
        <v>971</v>
      </c>
      <c r="D2692" s="4">
        <v>2020</v>
      </c>
      <c r="E2692" s="4" t="s">
        <v>21</v>
      </c>
      <c r="F2692" s="4">
        <v>120</v>
      </c>
      <c r="G2692" s="4">
        <v>11</v>
      </c>
      <c r="H2692" s="4">
        <v>286.94600000000003</v>
      </c>
    </row>
    <row r="2693" spans="1:8" s="5" customFormat="1" ht="78.75" hidden="1" outlineLevel="1" x14ac:dyDescent="0.25">
      <c r="A2693" s="4">
        <v>1916</v>
      </c>
      <c r="B2693" s="4" t="s">
        <v>117</v>
      </c>
      <c r="C2693" s="38" t="s">
        <v>972</v>
      </c>
      <c r="D2693" s="4">
        <v>2020</v>
      </c>
      <c r="E2693" s="4" t="s">
        <v>21</v>
      </c>
      <c r="F2693" s="4">
        <v>10</v>
      </c>
      <c r="G2693" s="4">
        <v>50</v>
      </c>
      <c r="H2693" s="4">
        <v>61.966999999999999</v>
      </c>
    </row>
    <row r="2694" spans="1:8" s="5" customFormat="1" ht="63" hidden="1" outlineLevel="1" x14ac:dyDescent="0.25">
      <c r="A2694" s="4">
        <v>772</v>
      </c>
      <c r="B2694" s="4" t="s">
        <v>117</v>
      </c>
      <c r="C2694" s="38" t="s">
        <v>973</v>
      </c>
      <c r="D2694" s="4">
        <v>2020</v>
      </c>
      <c r="E2694" s="4" t="s">
        <v>21</v>
      </c>
      <c r="F2694" s="4">
        <v>40</v>
      </c>
      <c r="G2694" s="4">
        <v>5</v>
      </c>
      <c r="H2694" s="4">
        <v>64.029600000000002</v>
      </c>
    </row>
    <row r="2695" spans="1:8" s="5" customFormat="1" ht="63" hidden="1" outlineLevel="1" x14ac:dyDescent="0.25">
      <c r="A2695" s="4">
        <v>1841</v>
      </c>
      <c r="B2695" s="4" t="s">
        <v>117</v>
      </c>
      <c r="C2695" s="38" t="s">
        <v>974</v>
      </c>
      <c r="D2695" s="4">
        <v>2020</v>
      </c>
      <c r="E2695" s="4" t="s">
        <v>21</v>
      </c>
      <c r="F2695" s="4">
        <v>100</v>
      </c>
      <c r="G2695" s="4">
        <v>15</v>
      </c>
      <c r="H2695" s="4">
        <v>110.703</v>
      </c>
    </row>
    <row r="2696" spans="1:8" s="5" customFormat="1" ht="78.75" hidden="1" outlineLevel="1" x14ac:dyDescent="0.25">
      <c r="A2696" s="4">
        <v>1879</v>
      </c>
      <c r="B2696" s="4" t="s">
        <v>117</v>
      </c>
      <c r="C2696" s="38" t="s">
        <v>975</v>
      </c>
      <c r="D2696" s="4">
        <v>2020</v>
      </c>
      <c r="E2696" s="4" t="s">
        <v>21</v>
      </c>
      <c r="F2696" s="4">
        <v>35</v>
      </c>
      <c r="G2696" s="4">
        <v>15</v>
      </c>
      <c r="H2696" s="4">
        <v>66.271000000000001</v>
      </c>
    </row>
    <row r="2697" spans="1:8" s="5" customFormat="1" ht="78.75" hidden="1" outlineLevel="1" x14ac:dyDescent="0.25">
      <c r="A2697" s="4">
        <v>870</v>
      </c>
      <c r="B2697" s="4" t="s">
        <v>117</v>
      </c>
      <c r="C2697" s="38" t="s">
        <v>976</v>
      </c>
      <c r="D2697" s="4">
        <v>2020</v>
      </c>
      <c r="E2697" s="4" t="s">
        <v>21</v>
      </c>
      <c r="F2697" s="4">
        <v>50</v>
      </c>
      <c r="G2697" s="4">
        <v>15</v>
      </c>
      <c r="H2697" s="4">
        <v>79.353999999999999</v>
      </c>
    </row>
    <row r="2698" spans="1:8" s="5" customFormat="1" ht="63" hidden="1" outlineLevel="1" x14ac:dyDescent="0.25">
      <c r="A2698" s="4">
        <v>897</v>
      </c>
      <c r="B2698" s="4" t="s">
        <v>117</v>
      </c>
      <c r="C2698" s="38" t="s">
        <v>977</v>
      </c>
      <c r="D2698" s="4">
        <v>2020</v>
      </c>
      <c r="E2698" s="4" t="s">
        <v>21</v>
      </c>
      <c r="F2698" s="4">
        <v>150</v>
      </c>
      <c r="G2698" s="4">
        <v>10</v>
      </c>
      <c r="H2698" s="4">
        <v>156.41300000000001</v>
      </c>
    </row>
    <row r="2699" spans="1:8" s="5" customFormat="1" ht="78.75" hidden="1" outlineLevel="1" x14ac:dyDescent="0.25">
      <c r="A2699" s="4">
        <v>955</v>
      </c>
      <c r="B2699" s="4" t="s">
        <v>117</v>
      </c>
      <c r="C2699" s="38" t="s">
        <v>978</v>
      </c>
      <c r="D2699" s="4">
        <v>2020</v>
      </c>
      <c r="E2699" s="4" t="s">
        <v>21</v>
      </c>
      <c r="F2699" s="4">
        <v>120</v>
      </c>
      <c r="G2699" s="4">
        <v>45</v>
      </c>
      <c r="H2699" s="4">
        <v>125.589</v>
      </c>
    </row>
    <row r="2700" spans="1:8" s="5" customFormat="1" ht="63" hidden="1" outlineLevel="1" x14ac:dyDescent="0.25">
      <c r="A2700" s="4">
        <v>891</v>
      </c>
      <c r="B2700" s="4" t="s">
        <v>117</v>
      </c>
      <c r="C2700" s="38" t="s">
        <v>979</v>
      </c>
      <c r="D2700" s="4">
        <v>2020</v>
      </c>
      <c r="E2700" s="4" t="s">
        <v>21</v>
      </c>
      <c r="F2700" s="4">
        <v>50</v>
      </c>
      <c r="G2700" s="4">
        <v>30</v>
      </c>
      <c r="H2700" s="4">
        <v>79.177000000000007</v>
      </c>
    </row>
    <row r="2701" spans="1:8" s="5" customFormat="1" ht="78.75" hidden="1" outlineLevel="1" x14ac:dyDescent="0.25">
      <c r="A2701" s="4">
        <v>879</v>
      </c>
      <c r="B2701" s="4" t="s">
        <v>117</v>
      </c>
      <c r="C2701" s="38" t="s">
        <v>980</v>
      </c>
      <c r="D2701" s="4">
        <v>2020</v>
      </c>
      <c r="E2701" s="4" t="s">
        <v>21</v>
      </c>
      <c r="F2701" s="4">
        <v>70</v>
      </c>
      <c r="G2701" s="4">
        <v>15</v>
      </c>
      <c r="H2701" s="4">
        <v>89.165999999999997</v>
      </c>
    </row>
    <row r="2702" spans="1:8" s="5" customFormat="1" ht="63" hidden="1" outlineLevel="1" x14ac:dyDescent="0.25">
      <c r="A2702" s="4">
        <v>940</v>
      </c>
      <c r="B2702" s="4" t="s">
        <v>117</v>
      </c>
      <c r="C2702" s="38" t="s">
        <v>981</v>
      </c>
      <c r="D2702" s="4">
        <v>2020</v>
      </c>
      <c r="E2702" s="4" t="s">
        <v>21</v>
      </c>
      <c r="F2702" s="4">
        <v>270</v>
      </c>
      <c r="G2702" s="4">
        <v>60</v>
      </c>
      <c r="H2702" s="4">
        <v>248.05500000000001</v>
      </c>
    </row>
    <row r="2703" spans="1:8" s="5" customFormat="1" ht="78.75" hidden="1" outlineLevel="1" x14ac:dyDescent="0.25">
      <c r="A2703" s="4">
        <v>1064</v>
      </c>
      <c r="B2703" s="4" t="s">
        <v>117</v>
      </c>
      <c r="C2703" s="38" t="s">
        <v>982</v>
      </c>
      <c r="D2703" s="4">
        <v>2020</v>
      </c>
      <c r="E2703" s="4" t="s">
        <v>21</v>
      </c>
      <c r="F2703" s="4">
        <v>40</v>
      </c>
      <c r="G2703" s="4">
        <v>15</v>
      </c>
      <c r="H2703" s="4">
        <v>65.424999999999997</v>
      </c>
    </row>
    <row r="2704" spans="1:8" s="5" customFormat="1" ht="63" hidden="1" outlineLevel="1" x14ac:dyDescent="0.25">
      <c r="A2704" s="4">
        <v>1162</v>
      </c>
      <c r="B2704" s="4" t="s">
        <v>117</v>
      </c>
      <c r="C2704" s="38" t="s">
        <v>983</v>
      </c>
      <c r="D2704" s="4">
        <v>2020</v>
      </c>
      <c r="E2704" s="4" t="s">
        <v>21</v>
      </c>
      <c r="F2704" s="4">
        <v>59</v>
      </c>
      <c r="G2704" s="4">
        <v>17</v>
      </c>
      <c r="H2704" s="4">
        <v>177.85900000000001</v>
      </c>
    </row>
    <row r="2705" spans="1:8" s="5" customFormat="1" ht="63" hidden="1" outlineLevel="1" x14ac:dyDescent="0.25">
      <c r="A2705" s="4">
        <v>1842</v>
      </c>
      <c r="B2705" s="4" t="s">
        <v>117</v>
      </c>
      <c r="C2705" s="38" t="s">
        <v>984</v>
      </c>
      <c r="D2705" s="4">
        <v>2020</v>
      </c>
      <c r="E2705" s="4" t="s">
        <v>21</v>
      </c>
      <c r="F2705" s="4">
        <v>501</v>
      </c>
      <c r="G2705" s="4">
        <v>10</v>
      </c>
      <c r="H2705" s="4">
        <v>616.66980000000001</v>
      </c>
    </row>
    <row r="2706" spans="1:8" s="5" customFormat="1" ht="78.75" hidden="1" outlineLevel="1" x14ac:dyDescent="0.25">
      <c r="A2706" s="4">
        <v>1912</v>
      </c>
      <c r="B2706" s="4" t="s">
        <v>117</v>
      </c>
      <c r="C2706" s="38" t="s">
        <v>985</v>
      </c>
      <c r="D2706" s="4">
        <v>2020</v>
      </c>
      <c r="E2706" s="4" t="s">
        <v>21</v>
      </c>
      <c r="F2706" s="4">
        <v>200</v>
      </c>
      <c r="G2706" s="4">
        <v>30</v>
      </c>
      <c r="H2706" s="4">
        <v>320.59800000000001</v>
      </c>
    </row>
    <row r="2707" spans="1:8" s="5" customFormat="1" ht="78.75" hidden="1" outlineLevel="1" x14ac:dyDescent="0.25">
      <c r="A2707" s="4">
        <v>1652</v>
      </c>
      <c r="B2707" s="4" t="s">
        <v>117</v>
      </c>
      <c r="C2707" s="38" t="s">
        <v>567</v>
      </c>
      <c r="D2707" s="4">
        <v>2020</v>
      </c>
      <c r="E2707" s="4" t="s">
        <v>21</v>
      </c>
      <c r="F2707" s="4">
        <v>10</v>
      </c>
      <c r="G2707" s="4">
        <v>15</v>
      </c>
      <c r="H2707" s="4">
        <v>40.078000000000003</v>
      </c>
    </row>
    <row r="2708" spans="1:8" s="5" customFormat="1" ht="63" hidden="1" outlineLevel="1" x14ac:dyDescent="0.25">
      <c r="A2708" s="4">
        <v>605</v>
      </c>
      <c r="B2708" s="4" t="s">
        <v>117</v>
      </c>
      <c r="C2708" s="38" t="s">
        <v>986</v>
      </c>
      <c r="D2708" s="4">
        <v>2020</v>
      </c>
      <c r="E2708" s="4" t="s">
        <v>21</v>
      </c>
      <c r="F2708" s="4">
        <v>250</v>
      </c>
      <c r="G2708" s="4">
        <v>15</v>
      </c>
      <c r="H2708" s="4">
        <v>584.93700000000001</v>
      </c>
    </row>
    <row r="2709" spans="1:8" s="5" customFormat="1" ht="63" hidden="1" outlineLevel="1" x14ac:dyDescent="0.25">
      <c r="A2709" s="4">
        <v>1165</v>
      </c>
      <c r="B2709" s="4" t="s">
        <v>117</v>
      </c>
      <c r="C2709" s="38" t="s">
        <v>987</v>
      </c>
      <c r="D2709" s="4">
        <v>2020</v>
      </c>
      <c r="E2709" s="4" t="s">
        <v>21</v>
      </c>
      <c r="F2709" s="4">
        <v>40</v>
      </c>
      <c r="G2709" s="4">
        <v>15</v>
      </c>
      <c r="H2709" s="4">
        <v>145.197</v>
      </c>
    </row>
    <row r="2710" spans="1:8" s="5" customFormat="1" ht="63" hidden="1" outlineLevel="1" x14ac:dyDescent="0.25">
      <c r="A2710" s="4">
        <v>1880</v>
      </c>
      <c r="B2710" s="4" t="s">
        <v>117</v>
      </c>
      <c r="C2710" s="38" t="s">
        <v>988</v>
      </c>
      <c r="D2710" s="4">
        <v>2020</v>
      </c>
      <c r="E2710" s="4" t="s">
        <v>21</v>
      </c>
      <c r="F2710" s="4">
        <v>353</v>
      </c>
      <c r="G2710" s="4">
        <v>5</v>
      </c>
      <c r="H2710" s="4">
        <v>351.18599999999998</v>
      </c>
    </row>
    <row r="2711" spans="1:8" s="5" customFormat="1" ht="94.5" hidden="1" outlineLevel="1" x14ac:dyDescent="0.25">
      <c r="A2711" s="4">
        <v>1907</v>
      </c>
      <c r="B2711" s="4" t="s">
        <v>117</v>
      </c>
      <c r="C2711" s="38" t="s">
        <v>989</v>
      </c>
      <c r="D2711" s="4">
        <v>2020</v>
      </c>
      <c r="E2711" s="4" t="s">
        <v>21</v>
      </c>
      <c r="F2711" s="4">
        <v>40</v>
      </c>
      <c r="G2711" s="4">
        <v>15</v>
      </c>
      <c r="H2711" s="4">
        <v>73.155000000000001</v>
      </c>
    </row>
    <row r="2712" spans="1:8" s="5" customFormat="1" ht="63" hidden="1" outlineLevel="1" x14ac:dyDescent="0.25">
      <c r="A2712" s="4">
        <v>1843</v>
      </c>
      <c r="B2712" s="4" t="s">
        <v>117</v>
      </c>
      <c r="C2712" s="38" t="s">
        <v>990</v>
      </c>
      <c r="D2712" s="4">
        <v>2020</v>
      </c>
      <c r="E2712" s="4" t="s">
        <v>21</v>
      </c>
      <c r="F2712" s="4">
        <v>30</v>
      </c>
      <c r="G2712" s="4">
        <v>15</v>
      </c>
      <c r="H2712" s="4">
        <v>88.230999999999995</v>
      </c>
    </row>
    <row r="2713" spans="1:8" s="5" customFormat="1" ht="78.75" hidden="1" outlineLevel="1" x14ac:dyDescent="0.25">
      <c r="A2713" s="4">
        <v>1915</v>
      </c>
      <c r="B2713" s="4" t="s">
        <v>117</v>
      </c>
      <c r="C2713" s="38" t="s">
        <v>991</v>
      </c>
      <c r="D2713" s="4">
        <v>2020</v>
      </c>
      <c r="E2713" s="4" t="s">
        <v>21</v>
      </c>
      <c r="F2713" s="4">
        <v>150</v>
      </c>
      <c r="G2713" s="4">
        <v>10</v>
      </c>
      <c r="H2713" s="4">
        <v>156.87700000000001</v>
      </c>
    </row>
    <row r="2714" spans="1:8" s="5" customFormat="1" ht="63" hidden="1" outlineLevel="1" x14ac:dyDescent="0.25">
      <c r="A2714" s="4">
        <v>704</v>
      </c>
      <c r="B2714" s="4" t="s">
        <v>117</v>
      </c>
      <c r="C2714" s="38" t="s">
        <v>992</v>
      </c>
      <c r="D2714" s="4">
        <v>2020</v>
      </c>
      <c r="E2714" s="4" t="s">
        <v>21</v>
      </c>
      <c r="F2714" s="4">
        <v>138</v>
      </c>
      <c r="G2714" s="4">
        <v>15</v>
      </c>
      <c r="H2714" s="4">
        <v>196.90100000000001</v>
      </c>
    </row>
    <row r="2715" spans="1:8" s="5" customFormat="1" ht="63" hidden="1" outlineLevel="1" x14ac:dyDescent="0.25">
      <c r="A2715" s="4">
        <v>1881</v>
      </c>
      <c r="B2715" s="4" t="s">
        <v>117</v>
      </c>
      <c r="C2715" s="38" t="s">
        <v>993</v>
      </c>
      <c r="D2715" s="4">
        <v>2020</v>
      </c>
      <c r="E2715" s="4" t="s">
        <v>21</v>
      </c>
      <c r="F2715" s="4">
        <v>76</v>
      </c>
      <c r="G2715" s="4">
        <v>15</v>
      </c>
      <c r="H2715" s="4">
        <v>179.02099999999999</v>
      </c>
    </row>
    <row r="2716" spans="1:8" s="5" customFormat="1" ht="63" hidden="1" outlineLevel="1" x14ac:dyDescent="0.25">
      <c r="A2716" s="4">
        <v>1838</v>
      </c>
      <c r="B2716" s="4" t="s">
        <v>117</v>
      </c>
      <c r="C2716" s="38" t="s">
        <v>994</v>
      </c>
      <c r="D2716" s="4">
        <v>2020</v>
      </c>
      <c r="E2716" s="4" t="s">
        <v>21</v>
      </c>
      <c r="F2716" s="4">
        <v>127</v>
      </c>
      <c r="G2716" s="4">
        <v>7</v>
      </c>
      <c r="H2716" s="4">
        <v>221.851</v>
      </c>
    </row>
    <row r="2717" spans="1:8" s="5" customFormat="1" ht="78.75" hidden="1" outlineLevel="1" x14ac:dyDescent="0.25">
      <c r="A2717" s="4">
        <v>854</v>
      </c>
      <c r="B2717" s="4" t="s">
        <v>117</v>
      </c>
      <c r="C2717" s="38" t="s">
        <v>576</v>
      </c>
      <c r="D2717" s="4">
        <v>2020</v>
      </c>
      <c r="E2717" s="4" t="s">
        <v>21</v>
      </c>
      <c r="F2717" s="4">
        <v>30</v>
      </c>
      <c r="G2717" s="4">
        <v>80</v>
      </c>
      <c r="H2717" s="4">
        <v>115.681</v>
      </c>
    </row>
    <row r="2718" spans="1:8" s="5" customFormat="1" ht="63" hidden="1" outlineLevel="1" x14ac:dyDescent="0.25">
      <c r="A2718" s="4">
        <v>659</v>
      </c>
      <c r="B2718" s="4" t="s">
        <v>117</v>
      </c>
      <c r="C2718" s="38" t="s">
        <v>995</v>
      </c>
      <c r="D2718" s="4">
        <v>2020</v>
      </c>
      <c r="E2718" s="4" t="s">
        <v>21</v>
      </c>
      <c r="F2718" s="4">
        <v>40</v>
      </c>
      <c r="G2718" s="4">
        <v>5</v>
      </c>
      <c r="H2718" s="4">
        <v>110.072</v>
      </c>
    </row>
    <row r="2719" spans="1:8" s="5" customFormat="1" ht="63" hidden="1" outlineLevel="1" x14ac:dyDescent="0.25">
      <c r="A2719" s="4">
        <v>774</v>
      </c>
      <c r="B2719" s="4" t="s">
        <v>117</v>
      </c>
      <c r="C2719" s="38" t="s">
        <v>996</v>
      </c>
      <c r="D2719" s="4">
        <v>2020</v>
      </c>
      <c r="E2719" s="4" t="s">
        <v>21</v>
      </c>
      <c r="F2719" s="4">
        <v>50</v>
      </c>
      <c r="G2719" s="4">
        <v>15</v>
      </c>
      <c r="H2719" s="4">
        <v>159.35980000000001</v>
      </c>
    </row>
    <row r="2720" spans="1:8" s="5" customFormat="1" ht="63" hidden="1" outlineLevel="1" x14ac:dyDescent="0.25">
      <c r="A2720" s="4">
        <v>1689</v>
      </c>
      <c r="B2720" s="4" t="s">
        <v>117</v>
      </c>
      <c r="C2720" s="38" t="s">
        <v>997</v>
      </c>
      <c r="D2720" s="4">
        <v>2020</v>
      </c>
      <c r="E2720" s="4" t="s">
        <v>21</v>
      </c>
      <c r="F2720" s="4">
        <v>300</v>
      </c>
      <c r="G2720" s="4">
        <v>25</v>
      </c>
      <c r="H2720" s="4">
        <v>267.37200000000001</v>
      </c>
    </row>
    <row r="2721" spans="1:8" s="5" customFormat="1" ht="94.5" hidden="1" outlineLevel="1" x14ac:dyDescent="0.25">
      <c r="A2721" s="4">
        <v>815</v>
      </c>
      <c r="B2721" s="4" t="s">
        <v>117</v>
      </c>
      <c r="C2721" s="38" t="s">
        <v>998</v>
      </c>
      <c r="D2721" s="4">
        <v>2020</v>
      </c>
      <c r="E2721" s="4" t="s">
        <v>21</v>
      </c>
      <c r="F2721" s="4">
        <v>60</v>
      </c>
      <c r="G2721" s="4">
        <v>1.2</v>
      </c>
      <c r="H2721" s="4">
        <v>126.664</v>
      </c>
    </row>
    <row r="2722" spans="1:8" s="5" customFormat="1" ht="63" hidden="1" outlineLevel="1" x14ac:dyDescent="0.25">
      <c r="A2722" s="4">
        <v>1903</v>
      </c>
      <c r="B2722" s="4" t="s">
        <v>117</v>
      </c>
      <c r="C2722" s="38" t="s">
        <v>999</v>
      </c>
      <c r="D2722" s="4">
        <v>2020</v>
      </c>
      <c r="E2722" s="4" t="s">
        <v>21</v>
      </c>
      <c r="F2722" s="4">
        <v>50</v>
      </c>
      <c r="G2722" s="4">
        <v>15</v>
      </c>
      <c r="H2722" s="4">
        <v>96.516999999999996</v>
      </c>
    </row>
    <row r="2723" spans="1:8" s="5" customFormat="1" ht="78.75" hidden="1" outlineLevel="1" x14ac:dyDescent="0.25">
      <c r="A2723" s="4">
        <v>970</v>
      </c>
      <c r="B2723" s="4" t="s">
        <v>117</v>
      </c>
      <c r="C2723" s="38" t="s">
        <v>1000</v>
      </c>
      <c r="D2723" s="4">
        <v>2020</v>
      </c>
      <c r="E2723" s="4" t="s">
        <v>21</v>
      </c>
      <c r="F2723" s="4">
        <v>215</v>
      </c>
      <c r="G2723" s="4">
        <v>45</v>
      </c>
      <c r="H2723" s="4">
        <v>253.292</v>
      </c>
    </row>
    <row r="2724" spans="1:8" s="5" customFormat="1" ht="78.75" hidden="1" outlineLevel="1" x14ac:dyDescent="0.25">
      <c r="A2724" s="4">
        <v>1031</v>
      </c>
      <c r="B2724" s="4" t="s">
        <v>117</v>
      </c>
      <c r="C2724" s="38" t="s">
        <v>1001</v>
      </c>
      <c r="D2724" s="4">
        <v>2020</v>
      </c>
      <c r="E2724" s="4" t="s">
        <v>21</v>
      </c>
      <c r="F2724" s="4">
        <v>130</v>
      </c>
      <c r="G2724" s="4">
        <v>15</v>
      </c>
      <c r="H2724" s="4">
        <v>180.66800000000001</v>
      </c>
    </row>
    <row r="2725" spans="1:8" s="5" customFormat="1" ht="63" hidden="1" outlineLevel="1" x14ac:dyDescent="0.25">
      <c r="A2725" s="4">
        <v>1058</v>
      </c>
      <c r="B2725" s="4" t="s">
        <v>117</v>
      </c>
      <c r="C2725" s="38" t="s">
        <v>1002</v>
      </c>
      <c r="D2725" s="4">
        <v>2020</v>
      </c>
      <c r="E2725" s="4" t="s">
        <v>21</v>
      </c>
      <c r="F2725" s="4">
        <v>80</v>
      </c>
      <c r="G2725" s="4">
        <v>15</v>
      </c>
      <c r="H2725" s="4">
        <v>140.316</v>
      </c>
    </row>
    <row r="2726" spans="1:8" s="5" customFormat="1" ht="63" hidden="1" outlineLevel="1" x14ac:dyDescent="0.25">
      <c r="A2726" s="4">
        <v>1057</v>
      </c>
      <c r="B2726" s="4" t="s">
        <v>117</v>
      </c>
      <c r="C2726" s="38" t="s">
        <v>1003</v>
      </c>
      <c r="D2726" s="4">
        <v>2020</v>
      </c>
      <c r="E2726" s="4" t="s">
        <v>21</v>
      </c>
      <c r="F2726" s="4">
        <v>50</v>
      </c>
      <c r="G2726" s="4">
        <v>15</v>
      </c>
      <c r="H2726" s="4">
        <v>110.667</v>
      </c>
    </row>
    <row r="2727" spans="1:8" s="5" customFormat="1" ht="78.75" hidden="1" outlineLevel="1" x14ac:dyDescent="0.25">
      <c r="A2727" s="4">
        <v>1067</v>
      </c>
      <c r="B2727" s="4" t="s">
        <v>117</v>
      </c>
      <c r="C2727" s="38" t="s">
        <v>1004</v>
      </c>
      <c r="D2727" s="4">
        <v>2020</v>
      </c>
      <c r="E2727" s="4" t="s">
        <v>21</v>
      </c>
      <c r="F2727" s="4">
        <v>30</v>
      </c>
      <c r="G2727" s="4">
        <v>30</v>
      </c>
      <c r="H2727" s="4">
        <v>97.966999999999999</v>
      </c>
    </row>
    <row r="2728" spans="1:8" s="5" customFormat="1" ht="63" hidden="1" outlineLevel="1" x14ac:dyDescent="0.25">
      <c r="A2728" s="4">
        <v>1002</v>
      </c>
      <c r="B2728" s="4" t="s">
        <v>117</v>
      </c>
      <c r="C2728" s="38" t="s">
        <v>1005</v>
      </c>
      <c r="D2728" s="4">
        <v>2020</v>
      </c>
      <c r="E2728" s="4" t="s">
        <v>21</v>
      </c>
      <c r="F2728" s="4">
        <v>110</v>
      </c>
      <c r="G2728" s="4">
        <v>5</v>
      </c>
      <c r="H2728" s="4">
        <v>182.14099999999999</v>
      </c>
    </row>
    <row r="2729" spans="1:8" s="5" customFormat="1" ht="63" hidden="1" outlineLevel="1" x14ac:dyDescent="0.25">
      <c r="A2729" s="4">
        <v>1090</v>
      </c>
      <c r="B2729" s="4" t="s">
        <v>117</v>
      </c>
      <c r="C2729" s="38" t="s">
        <v>1006</v>
      </c>
      <c r="D2729" s="4">
        <v>2020</v>
      </c>
      <c r="E2729" s="4" t="s">
        <v>21</v>
      </c>
      <c r="F2729" s="4">
        <v>200</v>
      </c>
      <c r="G2729" s="4">
        <v>15</v>
      </c>
      <c r="H2729" s="4">
        <v>210.994</v>
      </c>
    </row>
    <row r="2730" spans="1:8" s="5" customFormat="1" ht="63" hidden="1" outlineLevel="1" x14ac:dyDescent="0.25">
      <c r="A2730" s="4">
        <v>1052</v>
      </c>
      <c r="B2730" s="4" t="s">
        <v>117</v>
      </c>
      <c r="C2730" s="38" t="s">
        <v>1007</v>
      </c>
      <c r="D2730" s="4">
        <v>2020</v>
      </c>
      <c r="E2730" s="4" t="s">
        <v>21</v>
      </c>
      <c r="F2730" s="4">
        <v>80</v>
      </c>
      <c r="G2730" s="4">
        <v>7</v>
      </c>
      <c r="H2730" s="4">
        <v>126.267</v>
      </c>
    </row>
    <row r="2731" spans="1:8" s="5" customFormat="1" ht="63" hidden="1" outlineLevel="1" x14ac:dyDescent="0.25">
      <c r="A2731" s="4">
        <v>1111</v>
      </c>
      <c r="B2731" s="4" t="s">
        <v>117</v>
      </c>
      <c r="C2731" s="38" t="s">
        <v>1008</v>
      </c>
      <c r="D2731" s="4">
        <v>2020</v>
      </c>
      <c r="E2731" s="4" t="s">
        <v>21</v>
      </c>
      <c r="F2731" s="4">
        <v>70</v>
      </c>
      <c r="G2731" s="4">
        <v>15</v>
      </c>
      <c r="H2731" s="4">
        <v>111.054</v>
      </c>
    </row>
    <row r="2732" spans="1:8" s="5" customFormat="1" ht="24.75" hidden="1" customHeight="1" outlineLevel="1" x14ac:dyDescent="0.25">
      <c r="A2732" s="4">
        <v>1727</v>
      </c>
      <c r="B2732" s="4" t="s">
        <v>117</v>
      </c>
      <c r="C2732" s="38" t="s">
        <v>1009</v>
      </c>
      <c r="D2732" s="4">
        <v>2020</v>
      </c>
      <c r="E2732" s="4" t="s">
        <v>21</v>
      </c>
      <c r="F2732" s="4">
        <v>310</v>
      </c>
      <c r="G2732" s="4">
        <v>75</v>
      </c>
      <c r="H2732" s="4">
        <v>239.40799999999999</v>
      </c>
    </row>
    <row r="2733" spans="1:8" s="5" customFormat="1" ht="24.75" hidden="1" customHeight="1" outlineLevel="1" x14ac:dyDescent="0.25">
      <c r="A2733" s="4">
        <v>1114</v>
      </c>
      <c r="B2733" s="4" t="s">
        <v>117</v>
      </c>
      <c r="C2733" s="38" t="s">
        <v>1010</v>
      </c>
      <c r="D2733" s="4">
        <v>2020</v>
      </c>
      <c r="E2733" s="4" t="s">
        <v>21</v>
      </c>
      <c r="F2733" s="4">
        <v>35</v>
      </c>
      <c r="G2733" s="4">
        <v>15</v>
      </c>
      <c r="H2733" s="4">
        <v>64.331999999999994</v>
      </c>
    </row>
    <row r="2734" spans="1:8" s="5" customFormat="1" ht="24.75" hidden="1" customHeight="1" outlineLevel="1" x14ac:dyDescent="0.25">
      <c r="A2734" s="4">
        <v>678</v>
      </c>
      <c r="B2734" s="4" t="s">
        <v>117</v>
      </c>
      <c r="C2734" s="38" t="s">
        <v>1011</v>
      </c>
      <c r="D2734" s="4">
        <v>2020</v>
      </c>
      <c r="E2734" s="4" t="s">
        <v>21</v>
      </c>
      <c r="F2734" s="4">
        <v>260</v>
      </c>
      <c r="G2734" s="4">
        <v>14</v>
      </c>
      <c r="H2734" s="4">
        <v>164.96199999999999</v>
      </c>
    </row>
    <row r="2735" spans="1:8" s="5" customFormat="1" ht="24.75" hidden="1" customHeight="1" outlineLevel="1" x14ac:dyDescent="0.25">
      <c r="A2735" s="4">
        <v>1130</v>
      </c>
      <c r="B2735" s="4" t="s">
        <v>117</v>
      </c>
      <c r="C2735" s="38" t="s">
        <v>1012</v>
      </c>
      <c r="D2735" s="4">
        <v>2020</v>
      </c>
      <c r="E2735" s="4" t="s">
        <v>21</v>
      </c>
      <c r="F2735" s="4">
        <v>130</v>
      </c>
      <c r="G2735" s="4">
        <v>30</v>
      </c>
      <c r="H2735" s="4">
        <v>144.41990000000001</v>
      </c>
    </row>
    <row r="2736" spans="1:8" s="5" customFormat="1" ht="24.75" hidden="1" customHeight="1" outlineLevel="1" x14ac:dyDescent="0.25">
      <c r="A2736" s="4">
        <v>1766</v>
      </c>
      <c r="B2736" s="4" t="s">
        <v>117</v>
      </c>
      <c r="C2736" s="38" t="s">
        <v>617</v>
      </c>
      <c r="D2736" s="4">
        <v>2020</v>
      </c>
      <c r="E2736" s="4" t="s">
        <v>21</v>
      </c>
      <c r="F2736" s="4">
        <v>261</v>
      </c>
      <c r="G2736" s="4">
        <v>45</v>
      </c>
      <c r="H2736" s="4">
        <v>366.49900000000002</v>
      </c>
    </row>
    <row r="2737" spans="1:8" s="5" customFormat="1" ht="24.75" hidden="1" customHeight="1" outlineLevel="1" x14ac:dyDescent="0.25">
      <c r="A2737" s="4">
        <v>1651</v>
      </c>
      <c r="B2737" s="4" t="s">
        <v>117</v>
      </c>
      <c r="C2737" s="38" t="s">
        <v>578</v>
      </c>
      <c r="D2737" s="4">
        <v>2020</v>
      </c>
      <c r="E2737" s="4" t="s">
        <v>21</v>
      </c>
      <c r="F2737" s="4">
        <v>50</v>
      </c>
      <c r="G2737" s="4">
        <v>15</v>
      </c>
      <c r="H2737" s="4">
        <v>75.546000000000006</v>
      </c>
    </row>
    <row r="2738" spans="1:8" s="5" customFormat="1" ht="24.75" hidden="1" customHeight="1" outlineLevel="1" x14ac:dyDescent="0.25">
      <c r="A2738" s="4">
        <v>771</v>
      </c>
      <c r="B2738" s="4" t="s">
        <v>117</v>
      </c>
      <c r="C2738" s="38" t="s">
        <v>579</v>
      </c>
      <c r="D2738" s="4">
        <v>2020</v>
      </c>
      <c r="E2738" s="4" t="s">
        <v>21</v>
      </c>
      <c r="F2738" s="4">
        <v>24</v>
      </c>
      <c r="G2738" s="4">
        <v>15</v>
      </c>
      <c r="H2738" s="4">
        <v>62.173999999999999</v>
      </c>
    </row>
    <row r="2739" spans="1:8" s="5" customFormat="1" ht="24.75" hidden="1" customHeight="1" outlineLevel="1" x14ac:dyDescent="0.25">
      <c r="A2739" s="4">
        <v>1671</v>
      </c>
      <c r="B2739" s="4" t="s">
        <v>117</v>
      </c>
      <c r="C2739" s="38" t="s">
        <v>580</v>
      </c>
      <c r="D2739" s="4">
        <v>2020</v>
      </c>
      <c r="E2739" s="4" t="s">
        <v>21</v>
      </c>
      <c r="F2739" s="4">
        <v>5</v>
      </c>
      <c r="G2739" s="4">
        <v>15</v>
      </c>
      <c r="H2739" s="4">
        <v>36.094000000000001</v>
      </c>
    </row>
    <row r="2740" spans="1:8" s="5" customFormat="1" ht="24.75" hidden="1" customHeight="1" outlineLevel="1" x14ac:dyDescent="0.25">
      <c r="A2740" s="4">
        <v>1556</v>
      </c>
      <c r="B2740" s="4" t="s">
        <v>117</v>
      </c>
      <c r="C2740" s="38" t="s">
        <v>1013</v>
      </c>
      <c r="D2740" s="4">
        <v>2020</v>
      </c>
      <c r="E2740" s="4" t="s">
        <v>21</v>
      </c>
      <c r="F2740" s="4">
        <v>275</v>
      </c>
      <c r="G2740" s="4">
        <v>90</v>
      </c>
      <c r="H2740" s="4">
        <v>361.64</v>
      </c>
    </row>
    <row r="2741" spans="1:8" s="5" customFormat="1" ht="24.75" hidden="1" customHeight="1" outlineLevel="1" x14ac:dyDescent="0.25">
      <c r="A2741" s="4">
        <v>949</v>
      </c>
      <c r="B2741" s="4" t="s">
        <v>117</v>
      </c>
      <c r="C2741" s="38" t="s">
        <v>1014</v>
      </c>
      <c r="D2741" s="4">
        <v>2020</v>
      </c>
      <c r="E2741" s="4" t="s">
        <v>21</v>
      </c>
      <c r="F2741" s="4">
        <v>650</v>
      </c>
      <c r="G2741" s="4">
        <v>90</v>
      </c>
      <c r="H2741" s="4">
        <v>568.31299999999999</v>
      </c>
    </row>
    <row r="2742" spans="1:8" s="5" customFormat="1" ht="24.75" hidden="1" customHeight="1" outlineLevel="1" x14ac:dyDescent="0.25">
      <c r="A2742" s="4">
        <v>913</v>
      </c>
      <c r="B2742" s="4" t="s">
        <v>117</v>
      </c>
      <c r="C2742" s="38" t="s">
        <v>1015</v>
      </c>
      <c r="D2742" s="4">
        <v>2020</v>
      </c>
      <c r="E2742" s="4" t="s">
        <v>21</v>
      </c>
      <c r="F2742" s="4">
        <v>630</v>
      </c>
      <c r="G2742" s="4">
        <v>120</v>
      </c>
      <c r="H2742" s="4">
        <v>546.71500000000003</v>
      </c>
    </row>
    <row r="2743" spans="1:8" s="5" customFormat="1" ht="24.75" hidden="1" customHeight="1" outlineLevel="1" x14ac:dyDescent="0.25">
      <c r="A2743" s="4">
        <v>999</v>
      </c>
      <c r="B2743" s="4" t="s">
        <v>117</v>
      </c>
      <c r="C2743" s="38" t="s">
        <v>1016</v>
      </c>
      <c r="D2743" s="4">
        <v>2020</v>
      </c>
      <c r="E2743" s="4" t="s">
        <v>21</v>
      </c>
      <c r="F2743" s="4">
        <v>230</v>
      </c>
      <c r="G2743" s="4">
        <v>15</v>
      </c>
      <c r="H2743" s="4">
        <v>262.86500000000001</v>
      </c>
    </row>
    <row r="2744" spans="1:8" s="5" customFormat="1" ht="17.25" hidden="1" customHeight="1" outlineLevel="1" x14ac:dyDescent="0.25">
      <c r="A2744" s="4">
        <v>1635</v>
      </c>
      <c r="B2744" s="4" t="s">
        <v>117</v>
      </c>
      <c r="C2744" s="38" t="s">
        <v>118</v>
      </c>
      <c r="D2744" s="4">
        <v>2020</v>
      </c>
      <c r="E2744" s="4" t="s">
        <v>21</v>
      </c>
      <c r="F2744" s="4">
        <v>60</v>
      </c>
      <c r="G2744" s="4">
        <v>15</v>
      </c>
      <c r="H2744" s="4">
        <v>172.74799999999999</v>
      </c>
    </row>
    <row r="2745" spans="1:8" s="5" customFormat="1" ht="17.25" hidden="1" customHeight="1" outlineLevel="1" x14ac:dyDescent="0.25">
      <c r="A2745" s="4">
        <v>812</v>
      </c>
      <c r="B2745" s="4" t="s">
        <v>117</v>
      </c>
      <c r="C2745" s="38" t="s">
        <v>119</v>
      </c>
      <c r="D2745" s="4">
        <v>2020</v>
      </c>
      <c r="E2745" s="4" t="s">
        <v>21</v>
      </c>
      <c r="F2745" s="4">
        <v>160</v>
      </c>
      <c r="G2745" s="4">
        <v>15</v>
      </c>
      <c r="H2745" s="4">
        <v>222.624</v>
      </c>
    </row>
    <row r="2746" spans="1:8" s="5" customFormat="1" ht="17.25" hidden="1" customHeight="1" outlineLevel="1" x14ac:dyDescent="0.25">
      <c r="A2746" s="4">
        <v>788</v>
      </c>
      <c r="B2746" s="4" t="s">
        <v>117</v>
      </c>
      <c r="C2746" s="38" t="s">
        <v>120</v>
      </c>
      <c r="D2746" s="4">
        <v>2020</v>
      </c>
      <c r="E2746" s="4" t="s">
        <v>21</v>
      </c>
      <c r="F2746" s="4">
        <v>94</v>
      </c>
      <c r="G2746" s="4">
        <v>3</v>
      </c>
      <c r="H2746" s="4">
        <v>184.80099999999999</v>
      </c>
    </row>
    <row r="2747" spans="1:8" s="5" customFormat="1" ht="17.25" hidden="1" customHeight="1" outlineLevel="1" x14ac:dyDescent="0.25">
      <c r="A2747" s="4">
        <v>840</v>
      </c>
      <c r="B2747" s="4" t="s">
        <v>117</v>
      </c>
      <c r="C2747" s="38" t="s">
        <v>121</v>
      </c>
      <c r="D2747" s="4">
        <v>2020</v>
      </c>
      <c r="E2747" s="4" t="s">
        <v>21</v>
      </c>
      <c r="F2747" s="4">
        <v>110</v>
      </c>
      <c r="G2747" s="4">
        <v>15</v>
      </c>
      <c r="H2747" s="4">
        <v>170.88900000000001</v>
      </c>
    </row>
    <row r="2748" spans="1:8" s="5" customFormat="1" ht="17.25" hidden="1" customHeight="1" outlineLevel="1" x14ac:dyDescent="0.25">
      <c r="A2748" s="4">
        <v>795</v>
      </c>
      <c r="B2748" s="4" t="s">
        <v>117</v>
      </c>
      <c r="C2748" s="38" t="s">
        <v>122</v>
      </c>
      <c r="D2748" s="4">
        <v>2020</v>
      </c>
      <c r="E2748" s="4" t="s">
        <v>21</v>
      </c>
      <c r="F2748" s="4">
        <v>182</v>
      </c>
      <c r="G2748" s="4">
        <v>40</v>
      </c>
      <c r="H2748" s="4">
        <v>287.03199999999998</v>
      </c>
    </row>
    <row r="2749" spans="1:8" s="5" customFormat="1" ht="17.25" hidden="1" customHeight="1" outlineLevel="1" x14ac:dyDescent="0.25">
      <c r="A2749" s="4">
        <v>586</v>
      </c>
      <c r="B2749" s="4" t="s">
        <v>117</v>
      </c>
      <c r="C2749" s="38" t="s">
        <v>123</v>
      </c>
      <c r="D2749" s="4">
        <v>2020</v>
      </c>
      <c r="E2749" s="4" t="s">
        <v>21</v>
      </c>
      <c r="F2749" s="4">
        <v>320</v>
      </c>
      <c r="G2749" s="4">
        <v>15</v>
      </c>
      <c r="H2749" s="4">
        <v>370.435</v>
      </c>
    </row>
    <row r="2750" spans="1:8" s="5" customFormat="1" ht="17.25" hidden="1" customHeight="1" outlineLevel="1" x14ac:dyDescent="0.25">
      <c r="A2750" s="4">
        <v>858</v>
      </c>
      <c r="B2750" s="4" t="s">
        <v>117</v>
      </c>
      <c r="C2750" s="38" t="s">
        <v>124</v>
      </c>
      <c r="D2750" s="4">
        <v>2020</v>
      </c>
      <c r="E2750" s="4" t="s">
        <v>21</v>
      </c>
      <c r="F2750" s="4">
        <v>300</v>
      </c>
      <c r="G2750" s="4">
        <v>15</v>
      </c>
      <c r="H2750" s="4">
        <v>292.41800000000001</v>
      </c>
    </row>
    <row r="2751" spans="1:8" s="5" customFormat="1" ht="17.25" hidden="1" customHeight="1" outlineLevel="1" x14ac:dyDescent="0.25">
      <c r="A2751" s="4">
        <v>456</v>
      </c>
      <c r="B2751" s="4" t="s">
        <v>117</v>
      </c>
      <c r="C2751" s="38" t="s">
        <v>125</v>
      </c>
      <c r="D2751" s="4">
        <v>2020</v>
      </c>
      <c r="E2751" s="4" t="s">
        <v>21</v>
      </c>
      <c r="F2751" s="4">
        <v>10</v>
      </c>
      <c r="G2751" s="4">
        <v>15</v>
      </c>
      <c r="H2751" s="4">
        <v>34.585999999999999</v>
      </c>
    </row>
    <row r="2752" spans="1:8" s="5" customFormat="1" ht="17.25" hidden="1" customHeight="1" outlineLevel="1" x14ac:dyDescent="0.25">
      <c r="A2752" s="4">
        <v>683</v>
      </c>
      <c r="B2752" s="4" t="s">
        <v>117</v>
      </c>
      <c r="C2752" s="38" t="s">
        <v>126</v>
      </c>
      <c r="D2752" s="4">
        <v>2020</v>
      </c>
      <c r="E2752" s="4" t="s">
        <v>21</v>
      </c>
      <c r="F2752" s="4">
        <v>10</v>
      </c>
      <c r="G2752" s="4">
        <v>15</v>
      </c>
      <c r="H2752" s="4">
        <v>33.207000000000001</v>
      </c>
    </row>
    <row r="2753" spans="1:8" s="5" customFormat="1" ht="17.25" hidden="1" customHeight="1" outlineLevel="1" x14ac:dyDescent="0.25">
      <c r="A2753" s="4">
        <v>1633</v>
      </c>
      <c r="B2753" s="4" t="s">
        <v>117</v>
      </c>
      <c r="C2753" s="38" t="s">
        <v>127</v>
      </c>
      <c r="D2753" s="4">
        <v>2020</v>
      </c>
      <c r="E2753" s="4" t="s">
        <v>21</v>
      </c>
      <c r="F2753" s="4">
        <v>55</v>
      </c>
      <c r="G2753" s="4">
        <v>10</v>
      </c>
      <c r="H2753" s="4">
        <v>176.52600000000001</v>
      </c>
    </row>
    <row r="2754" spans="1:8" s="5" customFormat="1" ht="17.25" hidden="1" customHeight="1" outlineLevel="1" x14ac:dyDescent="0.25">
      <c r="A2754" s="4">
        <v>1631</v>
      </c>
      <c r="B2754" s="4" t="s">
        <v>117</v>
      </c>
      <c r="C2754" s="38" t="s">
        <v>128</v>
      </c>
      <c r="D2754" s="4">
        <v>2020</v>
      </c>
      <c r="E2754" s="4" t="s">
        <v>21</v>
      </c>
      <c r="F2754" s="4">
        <v>270</v>
      </c>
      <c r="G2754" s="4">
        <v>15</v>
      </c>
      <c r="H2754" s="4">
        <v>331.56299999999999</v>
      </c>
    </row>
    <row r="2755" spans="1:8" s="5" customFormat="1" ht="17.25" hidden="1" customHeight="1" outlineLevel="1" x14ac:dyDescent="0.25">
      <c r="A2755" s="4">
        <v>935</v>
      </c>
      <c r="B2755" s="4" t="s">
        <v>117</v>
      </c>
      <c r="C2755" s="38" t="s">
        <v>129</v>
      </c>
      <c r="D2755" s="4">
        <v>2020</v>
      </c>
      <c r="E2755" s="4" t="s">
        <v>21</v>
      </c>
      <c r="F2755" s="4">
        <v>120</v>
      </c>
      <c r="G2755" s="4">
        <v>15</v>
      </c>
      <c r="H2755" s="4">
        <v>171.273</v>
      </c>
    </row>
    <row r="2756" spans="1:8" s="5" customFormat="1" ht="17.25" hidden="1" customHeight="1" outlineLevel="1" x14ac:dyDescent="0.25">
      <c r="A2756" s="4">
        <v>1632</v>
      </c>
      <c r="B2756" s="4" t="s">
        <v>117</v>
      </c>
      <c r="C2756" s="38" t="s">
        <v>130</v>
      </c>
      <c r="D2756" s="4">
        <v>2020</v>
      </c>
      <c r="E2756" s="4" t="s">
        <v>21</v>
      </c>
      <c r="F2756" s="4">
        <v>35</v>
      </c>
      <c r="G2756" s="4">
        <v>15</v>
      </c>
      <c r="H2756" s="4">
        <v>112.68</v>
      </c>
    </row>
    <row r="2757" spans="1:8" s="5" customFormat="1" ht="17.25" hidden="1" customHeight="1" outlineLevel="1" x14ac:dyDescent="0.25">
      <c r="A2757" s="4">
        <v>703</v>
      </c>
      <c r="B2757" s="4" t="s">
        <v>117</v>
      </c>
      <c r="C2757" s="38" t="s">
        <v>131</v>
      </c>
      <c r="D2757" s="4">
        <v>2020</v>
      </c>
      <c r="E2757" s="4" t="s">
        <v>21</v>
      </c>
      <c r="F2757" s="4">
        <v>370</v>
      </c>
      <c r="G2757" s="4">
        <v>15</v>
      </c>
      <c r="H2757" s="4">
        <v>347.685</v>
      </c>
    </row>
    <row r="2758" spans="1:8" s="5" customFormat="1" ht="17.25" hidden="1" customHeight="1" outlineLevel="1" x14ac:dyDescent="0.25">
      <c r="A2758" s="4">
        <v>1602</v>
      </c>
      <c r="B2758" s="4" t="s">
        <v>117</v>
      </c>
      <c r="C2758" s="38" t="s">
        <v>132</v>
      </c>
      <c r="D2758" s="4">
        <v>2020</v>
      </c>
      <c r="E2758" s="4" t="s">
        <v>21</v>
      </c>
      <c r="F2758" s="4">
        <v>60</v>
      </c>
      <c r="G2758" s="4">
        <v>15</v>
      </c>
      <c r="H2758" s="4">
        <v>135.31</v>
      </c>
    </row>
    <row r="2759" spans="1:8" s="5" customFormat="1" ht="17.25" hidden="1" customHeight="1" outlineLevel="1" x14ac:dyDescent="0.25">
      <c r="A2759" s="4">
        <v>987</v>
      </c>
      <c r="B2759" s="4" t="s">
        <v>117</v>
      </c>
      <c r="C2759" s="38" t="s">
        <v>133</v>
      </c>
      <c r="D2759" s="4">
        <v>2020</v>
      </c>
      <c r="E2759" s="4" t="s">
        <v>21</v>
      </c>
      <c r="F2759" s="4">
        <v>110</v>
      </c>
      <c r="G2759" s="4">
        <v>30</v>
      </c>
      <c r="H2759" s="4">
        <v>131.244</v>
      </c>
    </row>
    <row r="2760" spans="1:8" s="5" customFormat="1" ht="17.25" hidden="1" customHeight="1" outlineLevel="1" x14ac:dyDescent="0.25">
      <c r="A2760" s="4">
        <v>1050</v>
      </c>
      <c r="B2760" s="4" t="s">
        <v>117</v>
      </c>
      <c r="C2760" s="38" t="s">
        <v>134</v>
      </c>
      <c r="D2760" s="4">
        <v>2020</v>
      </c>
      <c r="E2760" s="4" t="s">
        <v>21</v>
      </c>
      <c r="F2760" s="4">
        <v>30</v>
      </c>
      <c r="G2760" s="4">
        <v>15</v>
      </c>
      <c r="H2760" s="4">
        <v>137.375</v>
      </c>
    </row>
    <row r="2761" spans="1:8" s="5" customFormat="1" ht="17.25" hidden="1" customHeight="1" outlineLevel="1" x14ac:dyDescent="0.25">
      <c r="A2761" s="4">
        <v>1074</v>
      </c>
      <c r="B2761" s="4" t="s">
        <v>117</v>
      </c>
      <c r="C2761" s="38" t="s">
        <v>135</v>
      </c>
      <c r="D2761" s="4">
        <v>2020</v>
      </c>
      <c r="E2761" s="4" t="s">
        <v>21</v>
      </c>
      <c r="F2761" s="4">
        <v>99</v>
      </c>
      <c r="G2761" s="4">
        <v>15</v>
      </c>
      <c r="H2761" s="4">
        <v>183.30600000000001</v>
      </c>
    </row>
    <row r="2762" spans="1:8" s="5" customFormat="1" ht="17.25" hidden="1" customHeight="1" outlineLevel="1" x14ac:dyDescent="0.25">
      <c r="A2762" s="4">
        <v>1080</v>
      </c>
      <c r="B2762" s="4" t="s">
        <v>117</v>
      </c>
      <c r="C2762" s="38" t="s">
        <v>136</v>
      </c>
      <c r="D2762" s="4">
        <v>2020</v>
      </c>
      <c r="E2762" s="4" t="s">
        <v>21</v>
      </c>
      <c r="F2762" s="4">
        <v>83</v>
      </c>
      <c r="G2762" s="4">
        <v>14</v>
      </c>
      <c r="H2762" s="4">
        <v>169.33500000000001</v>
      </c>
    </row>
    <row r="2763" spans="1:8" s="5" customFormat="1" ht="17.25" hidden="1" customHeight="1" outlineLevel="1" x14ac:dyDescent="0.25">
      <c r="A2763" s="4">
        <v>1081</v>
      </c>
      <c r="B2763" s="4" t="s">
        <v>117</v>
      </c>
      <c r="C2763" s="38" t="s">
        <v>137</v>
      </c>
      <c r="D2763" s="4">
        <v>2020</v>
      </c>
      <c r="E2763" s="4" t="s">
        <v>21</v>
      </c>
      <c r="F2763" s="4">
        <v>90</v>
      </c>
      <c r="G2763" s="4">
        <v>15</v>
      </c>
      <c r="H2763" s="4">
        <v>108.179</v>
      </c>
    </row>
    <row r="2764" spans="1:8" s="5" customFormat="1" ht="17.25" hidden="1" customHeight="1" outlineLevel="1" x14ac:dyDescent="0.25">
      <c r="A2764" s="4">
        <v>1105</v>
      </c>
      <c r="B2764" s="4" t="s">
        <v>117</v>
      </c>
      <c r="C2764" s="38" t="s">
        <v>138</v>
      </c>
      <c r="D2764" s="4">
        <v>2020</v>
      </c>
      <c r="E2764" s="4" t="s">
        <v>21</v>
      </c>
      <c r="F2764" s="4">
        <v>50</v>
      </c>
      <c r="G2764" s="4">
        <v>5</v>
      </c>
      <c r="H2764" s="4">
        <v>146.20599999999999</v>
      </c>
    </row>
    <row r="2765" spans="1:8" s="5" customFormat="1" ht="17.25" hidden="1" customHeight="1" outlineLevel="1" x14ac:dyDescent="0.25">
      <c r="A2765" s="4">
        <v>1091</v>
      </c>
      <c r="B2765" s="4" t="s">
        <v>117</v>
      </c>
      <c r="C2765" s="38" t="s">
        <v>139</v>
      </c>
      <c r="D2765" s="4">
        <v>2020</v>
      </c>
      <c r="E2765" s="4" t="s">
        <v>21</v>
      </c>
      <c r="F2765" s="4">
        <v>30</v>
      </c>
      <c r="G2765" s="4">
        <v>15</v>
      </c>
      <c r="H2765" s="4">
        <v>127.098</v>
      </c>
    </row>
    <row r="2766" spans="1:8" s="5" customFormat="1" ht="17.25" hidden="1" customHeight="1" outlineLevel="1" x14ac:dyDescent="0.25">
      <c r="A2766" s="4">
        <v>1634</v>
      </c>
      <c r="B2766" s="4" t="s">
        <v>117</v>
      </c>
      <c r="C2766" s="38" t="s">
        <v>140</v>
      </c>
      <c r="D2766" s="4">
        <v>2020</v>
      </c>
      <c r="E2766" s="4" t="s">
        <v>21</v>
      </c>
      <c r="F2766" s="4">
        <v>30</v>
      </c>
      <c r="G2766" s="4">
        <v>15</v>
      </c>
      <c r="H2766" s="4">
        <v>76.28</v>
      </c>
    </row>
    <row r="2767" spans="1:8" s="5" customFormat="1" ht="17.25" hidden="1" customHeight="1" outlineLevel="1" x14ac:dyDescent="0.25">
      <c r="A2767" s="4">
        <v>1144</v>
      </c>
      <c r="B2767" s="4" t="s">
        <v>117</v>
      </c>
      <c r="C2767" s="38" t="s">
        <v>141</v>
      </c>
      <c r="D2767" s="4">
        <v>2020</v>
      </c>
      <c r="E2767" s="4" t="s">
        <v>21</v>
      </c>
      <c r="F2767" s="4">
        <v>70</v>
      </c>
      <c r="G2767" s="4">
        <v>15</v>
      </c>
      <c r="H2767" s="4">
        <v>157.08500000000001</v>
      </c>
    </row>
    <row r="2768" spans="1:8" s="5" customFormat="1" ht="17.25" hidden="1" customHeight="1" outlineLevel="1" x14ac:dyDescent="0.25">
      <c r="A2768" s="4">
        <v>1139</v>
      </c>
      <c r="B2768" s="4" t="s">
        <v>117</v>
      </c>
      <c r="C2768" s="38" t="s">
        <v>142</v>
      </c>
      <c r="D2768" s="4">
        <v>2020</v>
      </c>
      <c r="E2768" s="4" t="s">
        <v>21</v>
      </c>
      <c r="F2768" s="4">
        <v>84</v>
      </c>
      <c r="G2768" s="4">
        <v>10</v>
      </c>
      <c r="H2768" s="4">
        <v>129.01499999999999</v>
      </c>
    </row>
    <row r="2769" spans="1:8" s="5" customFormat="1" ht="17.25" hidden="1" customHeight="1" outlineLevel="1" x14ac:dyDescent="0.25">
      <c r="A2769" s="4">
        <v>1164</v>
      </c>
      <c r="B2769" s="4" t="s">
        <v>117</v>
      </c>
      <c r="C2769" s="38" t="s">
        <v>143</v>
      </c>
      <c r="D2769" s="4">
        <v>2020</v>
      </c>
      <c r="E2769" s="4" t="s">
        <v>21</v>
      </c>
      <c r="F2769" s="4">
        <v>80</v>
      </c>
      <c r="G2769" s="4">
        <v>15</v>
      </c>
      <c r="H2769" s="4">
        <v>130.61099999999999</v>
      </c>
    </row>
    <row r="2770" spans="1:8" s="5" customFormat="1" ht="17.25" hidden="1" customHeight="1" outlineLevel="1" x14ac:dyDescent="0.25">
      <c r="A2770" s="4">
        <v>667</v>
      </c>
      <c r="B2770" s="4" t="s">
        <v>117</v>
      </c>
      <c r="C2770" s="38" t="s">
        <v>144</v>
      </c>
      <c r="D2770" s="4">
        <v>2020</v>
      </c>
      <c r="E2770" s="4" t="s">
        <v>21</v>
      </c>
      <c r="F2770" s="4">
        <v>30</v>
      </c>
      <c r="G2770" s="4">
        <v>15</v>
      </c>
      <c r="H2770" s="4">
        <v>147.88499999999999</v>
      </c>
    </row>
    <row r="2771" spans="1:8" s="5" customFormat="1" ht="17.25" hidden="1" customHeight="1" outlineLevel="1" x14ac:dyDescent="0.25">
      <c r="A2771" s="4">
        <v>1743</v>
      </c>
      <c r="B2771" s="4" t="s">
        <v>117</v>
      </c>
      <c r="C2771" s="38" t="s">
        <v>145</v>
      </c>
      <c r="D2771" s="4">
        <v>2020</v>
      </c>
      <c r="E2771" s="4" t="s">
        <v>21</v>
      </c>
      <c r="F2771" s="4">
        <v>20</v>
      </c>
      <c r="G2771" s="4">
        <v>150</v>
      </c>
      <c r="H2771" s="4">
        <v>66.600999999999999</v>
      </c>
    </row>
    <row r="2772" spans="1:8" s="5" customFormat="1" ht="17.25" hidden="1" customHeight="1" outlineLevel="1" x14ac:dyDescent="0.25">
      <c r="A2772" s="4">
        <v>1717</v>
      </c>
      <c r="B2772" s="4" t="s">
        <v>117</v>
      </c>
      <c r="C2772" s="38" t="s">
        <v>146</v>
      </c>
      <c r="D2772" s="4">
        <v>2020</v>
      </c>
      <c r="E2772" s="4" t="s">
        <v>21</v>
      </c>
      <c r="F2772" s="4">
        <v>306</v>
      </c>
      <c r="G2772" s="4">
        <v>7</v>
      </c>
      <c r="H2772" s="4">
        <v>444.46899999999999</v>
      </c>
    </row>
    <row r="2773" spans="1:8" s="5" customFormat="1" ht="17.25" hidden="1" customHeight="1" outlineLevel="1" x14ac:dyDescent="0.25">
      <c r="A2773" s="4">
        <v>1583</v>
      </c>
      <c r="B2773" s="4" t="s">
        <v>117</v>
      </c>
      <c r="C2773" s="38" t="s">
        <v>147</v>
      </c>
      <c r="D2773" s="4">
        <v>2020</v>
      </c>
      <c r="E2773" s="4" t="s">
        <v>21</v>
      </c>
      <c r="F2773" s="4">
        <v>40</v>
      </c>
      <c r="G2773" s="4">
        <v>15</v>
      </c>
      <c r="H2773" s="4">
        <v>126.444</v>
      </c>
    </row>
    <row r="2774" spans="1:8" s="5" customFormat="1" ht="17.25" hidden="1" customHeight="1" outlineLevel="1" x14ac:dyDescent="0.25">
      <c r="A2774" s="4">
        <v>1120</v>
      </c>
      <c r="B2774" s="4" t="s">
        <v>117</v>
      </c>
      <c r="C2774" s="38" t="s">
        <v>148</v>
      </c>
      <c r="D2774" s="4">
        <v>2020</v>
      </c>
      <c r="E2774" s="4" t="s">
        <v>21</v>
      </c>
      <c r="F2774" s="4">
        <v>95</v>
      </c>
      <c r="G2774" s="4">
        <v>15</v>
      </c>
      <c r="H2774" s="4">
        <v>83.378</v>
      </c>
    </row>
    <row r="2775" spans="1:8" s="5" customFormat="1" ht="17.25" hidden="1" customHeight="1" outlineLevel="1" x14ac:dyDescent="0.25">
      <c r="A2775" s="4">
        <v>1612</v>
      </c>
      <c r="B2775" s="4" t="s">
        <v>117</v>
      </c>
      <c r="C2775" s="38" t="s">
        <v>149</v>
      </c>
      <c r="D2775" s="4">
        <v>2020</v>
      </c>
      <c r="E2775" s="4" t="s">
        <v>21</v>
      </c>
      <c r="F2775" s="4">
        <v>61</v>
      </c>
      <c r="G2775" s="4">
        <v>15</v>
      </c>
      <c r="H2775" s="4">
        <v>126.081</v>
      </c>
    </row>
    <row r="2776" spans="1:8" s="5" customFormat="1" ht="17.25" hidden="1" customHeight="1" outlineLevel="1" x14ac:dyDescent="0.25">
      <c r="A2776" s="4">
        <v>1721</v>
      </c>
      <c r="B2776" s="4" t="s">
        <v>117</v>
      </c>
      <c r="C2776" s="38" t="s">
        <v>150</v>
      </c>
      <c r="D2776" s="4">
        <v>2020</v>
      </c>
      <c r="E2776" s="4" t="s">
        <v>21</v>
      </c>
      <c r="F2776" s="4">
        <v>107</v>
      </c>
      <c r="G2776" s="4">
        <v>45</v>
      </c>
      <c r="H2776" s="4">
        <v>187.91900000000001</v>
      </c>
    </row>
    <row r="2777" spans="1:8" s="5" customFormat="1" ht="17.25" hidden="1" customHeight="1" outlineLevel="1" x14ac:dyDescent="0.25">
      <c r="A2777" s="4">
        <v>1759</v>
      </c>
      <c r="B2777" s="4" t="s">
        <v>117</v>
      </c>
      <c r="C2777" s="38" t="s">
        <v>151</v>
      </c>
      <c r="D2777" s="4">
        <v>2020</v>
      </c>
      <c r="E2777" s="4" t="s">
        <v>21</v>
      </c>
      <c r="F2777" s="4">
        <v>5</v>
      </c>
      <c r="G2777" s="4">
        <v>30</v>
      </c>
      <c r="H2777" s="4">
        <v>26.154</v>
      </c>
    </row>
    <row r="2778" spans="1:8" s="5" customFormat="1" ht="17.25" hidden="1" customHeight="1" outlineLevel="1" x14ac:dyDescent="0.25">
      <c r="A2778" s="4">
        <v>1552</v>
      </c>
      <c r="B2778" s="4" t="s">
        <v>117</v>
      </c>
      <c r="C2778" s="38" t="s">
        <v>152</v>
      </c>
      <c r="D2778" s="4">
        <v>2020</v>
      </c>
      <c r="E2778" s="4" t="s">
        <v>21</v>
      </c>
      <c r="F2778" s="4">
        <v>285</v>
      </c>
      <c r="G2778" s="4">
        <v>30</v>
      </c>
      <c r="H2778" s="4">
        <v>249.791</v>
      </c>
    </row>
    <row r="2779" spans="1:8" s="5" customFormat="1" ht="17.25" hidden="1" customHeight="1" outlineLevel="1" x14ac:dyDescent="0.25">
      <c r="A2779" s="4">
        <v>981</v>
      </c>
      <c r="B2779" s="4" t="s">
        <v>117</v>
      </c>
      <c r="C2779" s="38" t="s">
        <v>153</v>
      </c>
      <c r="D2779" s="4">
        <v>2020</v>
      </c>
      <c r="E2779" s="4" t="s">
        <v>21</v>
      </c>
      <c r="F2779" s="4">
        <v>45</v>
      </c>
      <c r="G2779" s="4">
        <v>14</v>
      </c>
      <c r="H2779" s="4">
        <v>137.34399999999999</v>
      </c>
    </row>
    <row r="2780" spans="1:8" s="5" customFormat="1" ht="17.25" hidden="1" customHeight="1" outlineLevel="1" x14ac:dyDescent="0.25">
      <c r="A2780" s="4">
        <v>1065</v>
      </c>
      <c r="B2780" s="4" t="s">
        <v>117</v>
      </c>
      <c r="C2780" s="38" t="s">
        <v>154</v>
      </c>
      <c r="D2780" s="4">
        <v>2020</v>
      </c>
      <c r="E2780" s="4" t="s">
        <v>21</v>
      </c>
      <c r="F2780" s="4">
        <v>30</v>
      </c>
      <c r="G2780" s="4">
        <v>15</v>
      </c>
      <c r="H2780" s="4">
        <v>116.532</v>
      </c>
    </row>
    <row r="2781" spans="1:8" s="5" customFormat="1" ht="17.25" hidden="1" customHeight="1" outlineLevel="1" x14ac:dyDescent="0.25">
      <c r="A2781" s="4">
        <v>786</v>
      </c>
      <c r="B2781" s="4" t="s">
        <v>117</v>
      </c>
      <c r="C2781" s="38" t="s">
        <v>155</v>
      </c>
      <c r="D2781" s="4">
        <v>2020</v>
      </c>
      <c r="E2781" s="4" t="s">
        <v>21</v>
      </c>
      <c r="F2781" s="4">
        <v>211</v>
      </c>
      <c r="G2781" s="4">
        <v>30</v>
      </c>
      <c r="H2781" s="4">
        <v>329.90100000000001</v>
      </c>
    </row>
    <row r="2782" spans="1:8" s="5" customFormat="1" ht="17.25" hidden="1" customHeight="1" outlineLevel="1" x14ac:dyDescent="0.25">
      <c r="A2782" s="4">
        <v>1493</v>
      </c>
      <c r="B2782" s="4" t="s">
        <v>117</v>
      </c>
      <c r="C2782" s="38" t="s">
        <v>156</v>
      </c>
      <c r="D2782" s="4">
        <v>2020</v>
      </c>
      <c r="E2782" s="4" t="s">
        <v>21</v>
      </c>
      <c r="F2782" s="4">
        <v>15</v>
      </c>
      <c r="G2782" s="4">
        <v>5</v>
      </c>
      <c r="H2782" s="4">
        <v>87.207999999999998</v>
      </c>
    </row>
    <row r="2783" spans="1:8" s="5" customFormat="1" ht="17.25" hidden="1" customHeight="1" outlineLevel="1" x14ac:dyDescent="0.25">
      <c r="A2783" s="4">
        <v>1158</v>
      </c>
      <c r="B2783" s="4" t="s">
        <v>117</v>
      </c>
      <c r="C2783" s="38" t="s">
        <v>157</v>
      </c>
      <c r="D2783" s="4">
        <v>2020</v>
      </c>
      <c r="E2783" s="4" t="s">
        <v>21</v>
      </c>
      <c r="F2783" s="4">
        <v>5</v>
      </c>
      <c r="G2783" s="4">
        <v>7.0000000000000007E-2</v>
      </c>
      <c r="H2783" s="4">
        <v>51.701999999999998</v>
      </c>
    </row>
    <row r="2784" spans="1:8" s="5" customFormat="1" ht="17.25" hidden="1" customHeight="1" outlineLevel="1" x14ac:dyDescent="0.25">
      <c r="A2784" s="4">
        <v>1625</v>
      </c>
      <c r="B2784" s="4" t="s">
        <v>117</v>
      </c>
      <c r="C2784" s="38" t="s">
        <v>158</v>
      </c>
      <c r="D2784" s="4">
        <v>2020</v>
      </c>
      <c r="E2784" s="4" t="s">
        <v>21</v>
      </c>
      <c r="F2784" s="4">
        <v>66</v>
      </c>
      <c r="G2784" s="4">
        <v>20</v>
      </c>
      <c r="H2784" s="4">
        <v>105.46</v>
      </c>
    </row>
    <row r="2785" spans="1:33" s="5" customFormat="1" ht="17.25" hidden="1" customHeight="1" outlineLevel="1" x14ac:dyDescent="0.25">
      <c r="A2785" s="4">
        <v>860</v>
      </c>
      <c r="B2785" s="4" t="s">
        <v>117</v>
      </c>
      <c r="C2785" s="38" t="s">
        <v>159</v>
      </c>
      <c r="D2785" s="4">
        <v>2020</v>
      </c>
      <c r="E2785" s="4" t="s">
        <v>21</v>
      </c>
      <c r="F2785" s="4">
        <v>262</v>
      </c>
      <c r="G2785" s="4">
        <v>10</v>
      </c>
      <c r="H2785" s="4">
        <v>388.988</v>
      </c>
    </row>
    <row r="2786" spans="1:33" s="5" customFormat="1" ht="17.25" hidden="1" customHeight="1" outlineLevel="1" x14ac:dyDescent="0.25">
      <c r="A2786" s="4">
        <v>1641</v>
      </c>
      <c r="B2786" s="4" t="s">
        <v>117</v>
      </c>
      <c r="C2786" s="38" t="s">
        <v>160</v>
      </c>
      <c r="D2786" s="4">
        <v>2020</v>
      </c>
      <c r="E2786" s="4" t="s">
        <v>21</v>
      </c>
      <c r="F2786" s="4">
        <v>30</v>
      </c>
      <c r="G2786" s="4">
        <v>10</v>
      </c>
      <c r="H2786" s="4">
        <v>65.653999999999996</v>
      </c>
    </row>
    <row r="2787" spans="1:33" s="5" customFormat="1" ht="17.25" hidden="1" customHeight="1" outlineLevel="1" x14ac:dyDescent="0.25">
      <c r="A2787" s="4">
        <v>767</v>
      </c>
      <c r="B2787" s="4" t="s">
        <v>117</v>
      </c>
      <c r="C2787" s="38" t="s">
        <v>161</v>
      </c>
      <c r="D2787" s="4">
        <v>2020</v>
      </c>
      <c r="E2787" s="4" t="s">
        <v>21</v>
      </c>
      <c r="F2787" s="4">
        <v>115</v>
      </c>
      <c r="G2787" s="4">
        <v>5</v>
      </c>
      <c r="H2787" s="4">
        <v>339.58199999999999</v>
      </c>
    </row>
    <row r="2788" spans="1:33" s="5" customFormat="1" ht="15.75" collapsed="1" x14ac:dyDescent="0.25">
      <c r="A2788" s="208"/>
      <c r="B2788" s="174" t="s">
        <v>117</v>
      </c>
      <c r="C2788" s="189" t="s">
        <v>3189</v>
      </c>
      <c r="D2788" s="189"/>
      <c r="E2788" s="174" t="s">
        <v>22</v>
      </c>
      <c r="F2788" s="189"/>
      <c r="G2788" s="189"/>
      <c r="H2788" s="189"/>
    </row>
    <row r="2789" spans="1:33" s="5" customFormat="1" ht="18.75" customHeight="1" x14ac:dyDescent="0.25">
      <c r="A2789" s="210"/>
      <c r="B2789" s="188"/>
      <c r="C2789" s="190"/>
      <c r="D2789" s="190"/>
      <c r="E2789" s="188"/>
      <c r="F2789" s="190"/>
      <c r="G2789" s="190"/>
      <c r="H2789" s="190"/>
    </row>
    <row r="2790" spans="1:33" s="5" customFormat="1" ht="10.5" customHeight="1" x14ac:dyDescent="0.25">
      <c r="A2790" s="209"/>
      <c r="B2790" s="188"/>
      <c r="C2790" s="190"/>
      <c r="D2790" s="190"/>
      <c r="E2790" s="188" t="s">
        <v>22</v>
      </c>
      <c r="F2790" s="190"/>
      <c r="G2790" s="190"/>
      <c r="H2790" s="190"/>
    </row>
    <row r="2791" spans="1:33" s="5" customFormat="1" ht="18.75" hidden="1" customHeight="1" thickBot="1" x14ac:dyDescent="0.25">
      <c r="A2791" s="4"/>
      <c r="B2791" s="175"/>
      <c r="C2791" s="191"/>
      <c r="D2791" s="191"/>
      <c r="E2791" s="175"/>
      <c r="F2791" s="191"/>
      <c r="G2791" s="191"/>
      <c r="H2791" s="191"/>
    </row>
    <row r="2792" spans="1:33" s="5" customFormat="1" ht="18.75" customHeight="1" x14ac:dyDescent="0.25">
      <c r="A2792" s="4"/>
      <c r="B2792" s="11" t="s">
        <v>117</v>
      </c>
      <c r="C2792" s="12" t="s">
        <v>1102</v>
      </c>
      <c r="D2792" s="11">
        <v>2020</v>
      </c>
      <c r="E2792" s="11" t="s">
        <v>22</v>
      </c>
      <c r="F2792" s="11">
        <f>SUMIF($D$2795:$D$3049,$D$2792,$F$2795:$F$3049)</f>
        <v>22749</v>
      </c>
      <c r="G2792" s="14">
        <f>SUMIF($D$2795:$D$3049,$D$2792,$G$2795:$G$3049)</f>
        <v>11980.9</v>
      </c>
      <c r="H2792" s="14">
        <f>SUMIF($D$2795:$D$3049,$D$2792,$H$2795:$H$3049)</f>
        <v>47116.496499999979</v>
      </c>
    </row>
    <row r="2793" spans="1:33" s="25" customFormat="1" ht="18.75" customHeight="1" x14ac:dyDescent="0.25">
      <c r="A2793" s="4"/>
      <c r="B2793" s="11" t="s">
        <v>117</v>
      </c>
      <c r="C2793" s="12" t="s">
        <v>1102</v>
      </c>
      <c r="D2793" s="11">
        <v>2021</v>
      </c>
      <c r="E2793" s="11" t="s">
        <v>22</v>
      </c>
      <c r="F2793" s="11">
        <f>SUMIF($D$2795:$D$3049,$D$2793,$F$2795:$F$3049)</f>
        <v>25667</v>
      </c>
      <c r="G2793" s="14">
        <f>SUMIF($D$2795:$D$3049,$D$2793,$G$2795:$G$3049)</f>
        <v>9489.65</v>
      </c>
      <c r="H2793" s="14">
        <f>SUMIF($D$2795:$D$3049,$D$2793,$H$2795:$H$3049)</f>
        <v>49346.746430000007</v>
      </c>
      <c r="I2793" s="5"/>
      <c r="J2793" s="5"/>
      <c r="K2793" s="5"/>
      <c r="L2793" s="5"/>
      <c r="M2793" s="5"/>
      <c r="N2793" s="5"/>
      <c r="O2793" s="5"/>
      <c r="P2793" s="5"/>
      <c r="Q2793" s="5"/>
      <c r="R2793" s="5"/>
      <c r="S2793" s="5"/>
      <c r="T2793" s="5"/>
      <c r="U2793" s="5"/>
      <c r="V2793" s="5"/>
      <c r="W2793" s="5"/>
      <c r="X2793" s="5"/>
      <c r="Y2793" s="5"/>
      <c r="Z2793" s="5"/>
      <c r="AA2793" s="5"/>
      <c r="AB2793" s="5"/>
      <c r="AC2793" s="5"/>
      <c r="AD2793" s="5"/>
      <c r="AE2793" s="5"/>
      <c r="AF2793" s="5"/>
      <c r="AG2793" s="5"/>
    </row>
    <row r="2794" spans="1:33" s="5" customFormat="1" ht="15.75" x14ac:dyDescent="0.25">
      <c r="A2794" s="4"/>
      <c r="B2794" s="11" t="s">
        <v>117</v>
      </c>
      <c r="C2794" s="12" t="s">
        <v>3929</v>
      </c>
      <c r="D2794" s="11">
        <v>2022</v>
      </c>
      <c r="E2794" s="11" t="s">
        <v>22</v>
      </c>
      <c r="F2794" s="11">
        <f>SUMIF($D$2795:$D$3049,$D$2794,$F$2795:$F$3049)</f>
        <v>3862</v>
      </c>
      <c r="G2794" s="14">
        <f>SUMIF($D$2795:$D$3049,$D$2794,$G$2795:$G$3049)</f>
        <v>2891.9</v>
      </c>
      <c r="H2794" s="14">
        <f>SUMIF($D$2795:$D$3049,$D$2794,$H$2795:$H$3049)</f>
        <v>7085.1048300000002</v>
      </c>
    </row>
    <row r="2795" spans="1:33" s="5" customFormat="1" ht="18.75" hidden="1" customHeight="1" outlineLevel="1" x14ac:dyDescent="0.25">
      <c r="A2795" s="4">
        <v>4570</v>
      </c>
      <c r="B2795" s="4" t="s">
        <v>117</v>
      </c>
      <c r="C2795" s="38" t="s">
        <v>4071</v>
      </c>
      <c r="D2795" s="4">
        <v>2022</v>
      </c>
      <c r="E2795" s="4" t="s">
        <v>22</v>
      </c>
      <c r="F2795" s="4">
        <v>50</v>
      </c>
      <c r="G2795" s="113">
        <v>139.4</v>
      </c>
      <c r="H2795" s="42">
        <v>255</v>
      </c>
    </row>
    <row r="2796" spans="1:33" s="5" customFormat="1" ht="18.75" hidden="1" customHeight="1" outlineLevel="1" x14ac:dyDescent="0.25">
      <c r="A2796" s="4">
        <v>4580</v>
      </c>
      <c r="B2796" s="4" t="s">
        <v>117</v>
      </c>
      <c r="C2796" s="38" t="s">
        <v>4072</v>
      </c>
      <c r="D2796" s="4">
        <v>2022</v>
      </c>
      <c r="E2796" s="4" t="s">
        <v>22</v>
      </c>
      <c r="F2796" s="4">
        <v>40</v>
      </c>
      <c r="G2796" s="113">
        <v>134.5</v>
      </c>
      <c r="H2796" s="42">
        <v>244</v>
      </c>
    </row>
    <row r="2797" spans="1:33" s="5" customFormat="1" ht="18.75" hidden="1" customHeight="1" outlineLevel="1" x14ac:dyDescent="0.25">
      <c r="A2797" s="4">
        <v>4589</v>
      </c>
      <c r="B2797" s="4" t="s">
        <v>117</v>
      </c>
      <c r="C2797" s="38" t="s">
        <v>4082</v>
      </c>
      <c r="D2797" s="4">
        <v>2022</v>
      </c>
      <c r="E2797" s="4" t="s">
        <v>22</v>
      </c>
      <c r="F2797" s="4">
        <v>155</v>
      </c>
      <c r="G2797" s="113">
        <v>20</v>
      </c>
      <c r="H2797" s="42">
        <v>238</v>
      </c>
    </row>
    <row r="2798" spans="1:33" s="5" customFormat="1" ht="18.75" hidden="1" customHeight="1" outlineLevel="1" x14ac:dyDescent="0.25">
      <c r="A2798" s="4">
        <v>4829</v>
      </c>
      <c r="B2798" s="4" t="s">
        <v>117</v>
      </c>
      <c r="C2798" s="38" t="s">
        <v>4095</v>
      </c>
      <c r="D2798" s="4">
        <v>2022</v>
      </c>
      <c r="E2798" s="4" t="s">
        <v>22</v>
      </c>
      <c r="F2798" s="4">
        <v>86</v>
      </c>
      <c r="G2798" s="113">
        <v>15</v>
      </c>
      <c r="H2798" s="42">
        <v>234.99</v>
      </c>
    </row>
    <row r="2799" spans="1:33" s="5" customFormat="1" ht="18.75" hidden="1" customHeight="1" outlineLevel="1" x14ac:dyDescent="0.25">
      <c r="A2799" s="4">
        <v>4944</v>
      </c>
      <c r="B2799" s="4" t="s">
        <v>117</v>
      </c>
      <c r="C2799" s="38" t="s">
        <v>4101</v>
      </c>
      <c r="D2799" s="4">
        <v>2022</v>
      </c>
      <c r="E2799" s="4" t="s">
        <v>22</v>
      </c>
      <c r="F2799" s="4">
        <v>185</v>
      </c>
      <c r="G2799" s="42">
        <v>30</v>
      </c>
      <c r="H2799" s="42">
        <v>512</v>
      </c>
    </row>
    <row r="2800" spans="1:33" s="5" customFormat="1" ht="18.75" hidden="1" customHeight="1" outlineLevel="1" x14ac:dyDescent="0.25">
      <c r="A2800" s="4">
        <v>4702</v>
      </c>
      <c r="B2800" s="4" t="s">
        <v>117</v>
      </c>
      <c r="C2800" s="38" t="s">
        <v>4128</v>
      </c>
      <c r="D2800" s="4">
        <v>2022</v>
      </c>
      <c r="E2800" s="4" t="s">
        <v>22</v>
      </c>
      <c r="F2800" s="4">
        <v>14</v>
      </c>
      <c r="G2800" s="113">
        <v>100</v>
      </c>
      <c r="H2800" s="42">
        <v>76.906999999999996</v>
      </c>
    </row>
    <row r="2801" spans="1:8" s="5" customFormat="1" ht="18.75" hidden="1" customHeight="1" outlineLevel="1" x14ac:dyDescent="0.25">
      <c r="A2801" s="4">
        <v>1944</v>
      </c>
      <c r="B2801" s="4" t="s">
        <v>117</v>
      </c>
      <c r="C2801" s="38" t="s">
        <v>4199</v>
      </c>
      <c r="D2801" s="4">
        <v>2022</v>
      </c>
      <c r="E2801" s="4" t="s">
        <v>22</v>
      </c>
      <c r="F2801" s="4">
        <v>50</v>
      </c>
      <c r="G2801" s="42">
        <v>40</v>
      </c>
      <c r="H2801" s="42">
        <v>37.475999999999999</v>
      </c>
    </row>
    <row r="2802" spans="1:8" s="5" customFormat="1" ht="18.75" hidden="1" customHeight="1" outlineLevel="1" x14ac:dyDescent="0.25">
      <c r="A2802" s="4">
        <v>1891</v>
      </c>
      <c r="B2802" s="4" t="s">
        <v>117</v>
      </c>
      <c r="C2802" s="38" t="s">
        <v>4200</v>
      </c>
      <c r="D2802" s="4">
        <v>2022</v>
      </c>
      <c r="E2802" s="4" t="s">
        <v>22</v>
      </c>
      <c r="F2802" s="4">
        <v>50</v>
      </c>
      <c r="G2802" s="42">
        <v>150</v>
      </c>
      <c r="H2802" s="42">
        <v>19.332999999999998</v>
      </c>
    </row>
    <row r="2803" spans="1:8" s="5" customFormat="1" ht="18.75" hidden="1" customHeight="1" outlineLevel="1" x14ac:dyDescent="0.25">
      <c r="A2803" s="4">
        <v>2009</v>
      </c>
      <c r="B2803" s="4" t="s">
        <v>117</v>
      </c>
      <c r="C2803" s="38" t="s">
        <v>4201</v>
      </c>
      <c r="D2803" s="4">
        <v>2022</v>
      </c>
      <c r="E2803" s="4" t="s">
        <v>22</v>
      </c>
      <c r="F2803" s="4">
        <v>15</v>
      </c>
      <c r="G2803" s="42">
        <v>150</v>
      </c>
      <c r="H2803" s="42">
        <v>24.145</v>
      </c>
    </row>
    <row r="2804" spans="1:8" s="5" customFormat="1" ht="18.75" hidden="1" customHeight="1" outlineLevel="1" x14ac:dyDescent="0.25">
      <c r="A2804" s="4">
        <v>2067</v>
      </c>
      <c r="B2804" s="4" t="s">
        <v>117</v>
      </c>
      <c r="C2804" s="38" t="s">
        <v>4202</v>
      </c>
      <c r="D2804" s="4">
        <v>2022</v>
      </c>
      <c r="E2804" s="4" t="s">
        <v>22</v>
      </c>
      <c r="F2804" s="4">
        <v>60</v>
      </c>
      <c r="G2804" s="42">
        <v>145</v>
      </c>
      <c r="H2804" s="42">
        <v>29.908999999999999</v>
      </c>
    </row>
    <row r="2805" spans="1:8" s="5" customFormat="1" ht="18.75" hidden="1" customHeight="1" outlineLevel="1" x14ac:dyDescent="0.25">
      <c r="A2805" s="4">
        <v>2007</v>
      </c>
      <c r="B2805" s="4" t="s">
        <v>117</v>
      </c>
      <c r="C2805" s="38" t="s">
        <v>4203</v>
      </c>
      <c r="D2805" s="4">
        <v>2022</v>
      </c>
      <c r="E2805" s="4" t="s">
        <v>22</v>
      </c>
      <c r="F2805" s="4">
        <v>807</v>
      </c>
      <c r="G2805" s="42">
        <v>15</v>
      </c>
      <c r="H2805" s="42">
        <v>1523.692</v>
      </c>
    </row>
    <row r="2806" spans="1:8" s="5" customFormat="1" ht="18.75" hidden="1" customHeight="1" outlineLevel="1" x14ac:dyDescent="0.25">
      <c r="A2806" s="4">
        <v>1869</v>
      </c>
      <c r="B2806" s="4" t="s">
        <v>117</v>
      </c>
      <c r="C2806" s="38" t="s">
        <v>4204</v>
      </c>
      <c r="D2806" s="4">
        <v>2022</v>
      </c>
      <c r="E2806" s="4" t="s">
        <v>22</v>
      </c>
      <c r="F2806" s="4">
        <v>15</v>
      </c>
      <c r="G2806" s="42">
        <v>4</v>
      </c>
      <c r="H2806" s="42">
        <v>5.665</v>
      </c>
    </row>
    <row r="2807" spans="1:8" s="5" customFormat="1" ht="18.75" hidden="1" customHeight="1" outlineLevel="1" x14ac:dyDescent="0.25">
      <c r="A2807" s="4">
        <v>1940</v>
      </c>
      <c r="B2807" s="4" t="s">
        <v>117</v>
      </c>
      <c r="C2807" s="38" t="s">
        <v>4205</v>
      </c>
      <c r="D2807" s="4">
        <v>2022</v>
      </c>
      <c r="E2807" s="4" t="s">
        <v>22</v>
      </c>
      <c r="F2807" s="4">
        <v>55</v>
      </c>
      <c r="G2807" s="42">
        <v>10</v>
      </c>
      <c r="H2807" s="42">
        <v>30.956</v>
      </c>
    </row>
    <row r="2808" spans="1:8" s="5" customFormat="1" ht="18.75" hidden="1" customHeight="1" outlineLevel="1" x14ac:dyDescent="0.25">
      <c r="A2808" s="4">
        <v>2070</v>
      </c>
      <c r="B2808" s="4" t="s">
        <v>117</v>
      </c>
      <c r="C2808" s="38" t="s">
        <v>4206</v>
      </c>
      <c r="D2808" s="4">
        <v>2022</v>
      </c>
      <c r="E2808" s="4" t="s">
        <v>22</v>
      </c>
      <c r="F2808" s="4">
        <v>20</v>
      </c>
      <c r="G2808" s="42">
        <v>150</v>
      </c>
      <c r="H2808" s="42">
        <v>9.9350000000000005</v>
      </c>
    </row>
    <row r="2809" spans="1:8" s="5" customFormat="1" ht="18.75" hidden="1" customHeight="1" outlineLevel="1" x14ac:dyDescent="0.25">
      <c r="A2809" s="4">
        <v>2242</v>
      </c>
      <c r="B2809" s="4" t="s">
        <v>117</v>
      </c>
      <c r="C2809" s="38" t="s">
        <v>4207</v>
      </c>
      <c r="D2809" s="4">
        <v>2022</v>
      </c>
      <c r="E2809" s="4" t="s">
        <v>22</v>
      </c>
      <c r="F2809" s="4">
        <v>106</v>
      </c>
      <c r="G2809" s="42">
        <v>15</v>
      </c>
      <c r="H2809" s="42">
        <v>29.95</v>
      </c>
    </row>
    <row r="2810" spans="1:8" s="5" customFormat="1" ht="18.75" hidden="1" customHeight="1" outlineLevel="1" x14ac:dyDescent="0.25">
      <c r="A2810" s="4">
        <v>2243</v>
      </c>
      <c r="B2810" s="4" t="s">
        <v>117</v>
      </c>
      <c r="C2810" s="38" t="s">
        <v>4208</v>
      </c>
      <c r="D2810" s="4">
        <v>2022</v>
      </c>
      <c r="E2810" s="4" t="s">
        <v>22</v>
      </c>
      <c r="F2810" s="4">
        <v>40</v>
      </c>
      <c r="G2810" s="42">
        <v>100</v>
      </c>
      <c r="H2810" s="42">
        <v>12.06771</v>
      </c>
    </row>
    <row r="2811" spans="1:8" s="5" customFormat="1" ht="18.75" hidden="1" customHeight="1" outlineLevel="1" x14ac:dyDescent="0.25">
      <c r="A2811" s="4">
        <v>2410</v>
      </c>
      <c r="B2811" s="4" t="s">
        <v>117</v>
      </c>
      <c r="C2811" s="38" t="s">
        <v>4209</v>
      </c>
      <c r="D2811" s="4">
        <v>2022</v>
      </c>
      <c r="E2811" s="4" t="s">
        <v>22</v>
      </c>
      <c r="F2811" s="4">
        <v>1069</v>
      </c>
      <c r="G2811" s="42">
        <v>600</v>
      </c>
      <c r="H2811" s="42">
        <v>626.57812999999999</v>
      </c>
    </row>
    <row r="2812" spans="1:8" s="5" customFormat="1" ht="18.75" hidden="1" customHeight="1" outlineLevel="1" x14ac:dyDescent="0.25">
      <c r="A2812" s="4">
        <v>2253</v>
      </c>
      <c r="B2812" s="4" t="s">
        <v>117</v>
      </c>
      <c r="C2812" s="38" t="s">
        <v>4165</v>
      </c>
      <c r="D2812" s="4">
        <v>2022</v>
      </c>
      <c r="E2812" s="4" t="s">
        <v>22</v>
      </c>
      <c r="F2812" s="4">
        <v>10</v>
      </c>
      <c r="G2812" s="42">
        <v>14</v>
      </c>
      <c r="H2812" s="42">
        <v>12.103859999999999</v>
      </c>
    </row>
    <row r="2813" spans="1:8" s="5" customFormat="1" ht="18.75" hidden="1" customHeight="1" outlineLevel="1" x14ac:dyDescent="0.25">
      <c r="A2813" s="4">
        <v>2416</v>
      </c>
      <c r="B2813" s="4" t="s">
        <v>117</v>
      </c>
      <c r="C2813" s="38" t="s">
        <v>4210</v>
      </c>
      <c r="D2813" s="4">
        <v>2022</v>
      </c>
      <c r="E2813" s="4" t="s">
        <v>22</v>
      </c>
      <c r="F2813" s="4">
        <v>5</v>
      </c>
      <c r="G2813" s="42">
        <v>150</v>
      </c>
      <c r="H2813" s="42">
        <v>11.020999999999999</v>
      </c>
    </row>
    <row r="2814" spans="1:8" s="5" customFormat="1" ht="18.75" hidden="1" customHeight="1" outlineLevel="1" x14ac:dyDescent="0.25">
      <c r="A2814" s="4">
        <v>2543</v>
      </c>
      <c r="B2814" s="4" t="s">
        <v>117</v>
      </c>
      <c r="C2814" s="38" t="s">
        <v>4211</v>
      </c>
      <c r="D2814" s="4">
        <v>2022</v>
      </c>
      <c r="E2814" s="4" t="s">
        <v>22</v>
      </c>
      <c r="F2814" s="4">
        <v>8</v>
      </c>
      <c r="G2814" s="42">
        <v>150</v>
      </c>
      <c r="H2814" s="42">
        <v>146.529</v>
      </c>
    </row>
    <row r="2815" spans="1:8" s="5" customFormat="1" ht="18.75" hidden="1" customHeight="1" outlineLevel="1" x14ac:dyDescent="0.25">
      <c r="A2815" s="4">
        <v>2544</v>
      </c>
      <c r="B2815" s="4" t="s">
        <v>117</v>
      </c>
      <c r="C2815" s="38" t="s">
        <v>4174</v>
      </c>
      <c r="D2815" s="4">
        <v>2022</v>
      </c>
      <c r="E2815" s="4" t="s">
        <v>22</v>
      </c>
      <c r="F2815" s="4">
        <v>397</v>
      </c>
      <c r="G2815" s="42">
        <v>15</v>
      </c>
      <c r="H2815" s="42">
        <v>1131.2159999999999</v>
      </c>
    </row>
    <row r="2816" spans="1:8" s="5" customFormat="1" ht="18.75" hidden="1" customHeight="1" outlineLevel="1" x14ac:dyDescent="0.25">
      <c r="A2816" s="4">
        <v>2068</v>
      </c>
      <c r="B2816" s="4" t="s">
        <v>117</v>
      </c>
      <c r="C2816" s="38" t="s">
        <v>4212</v>
      </c>
      <c r="D2816" s="4">
        <v>2022</v>
      </c>
      <c r="E2816" s="4" t="s">
        <v>22</v>
      </c>
      <c r="F2816" s="4">
        <v>15</v>
      </c>
      <c r="G2816" s="42">
        <v>150</v>
      </c>
      <c r="H2816" s="42">
        <v>27.672630000000002</v>
      </c>
    </row>
    <row r="2817" spans="1:8" s="5" customFormat="1" ht="18.75" hidden="1" customHeight="1" outlineLevel="1" x14ac:dyDescent="0.25">
      <c r="A2817" s="4">
        <v>2069</v>
      </c>
      <c r="B2817" s="4" t="s">
        <v>117</v>
      </c>
      <c r="C2817" s="38" t="s">
        <v>4213</v>
      </c>
      <c r="D2817" s="4">
        <v>2022</v>
      </c>
      <c r="E2817" s="4" t="s">
        <v>22</v>
      </c>
      <c r="F2817" s="4">
        <v>15</v>
      </c>
      <c r="G2817" s="42">
        <v>80</v>
      </c>
      <c r="H2817" s="42">
        <v>30.045999999999999</v>
      </c>
    </row>
    <row r="2818" spans="1:8" s="5" customFormat="1" ht="18.75" hidden="1" customHeight="1" outlineLevel="1" x14ac:dyDescent="0.25">
      <c r="A2818" s="4">
        <v>2431</v>
      </c>
      <c r="B2818" s="4" t="s">
        <v>117</v>
      </c>
      <c r="C2818" s="38" t="s">
        <v>4214</v>
      </c>
      <c r="D2818" s="4">
        <v>2022</v>
      </c>
      <c r="E2818" s="4" t="s">
        <v>22</v>
      </c>
      <c r="F2818" s="4">
        <v>20</v>
      </c>
      <c r="G2818" s="42">
        <v>150</v>
      </c>
      <c r="H2818" s="42">
        <v>45.910800000000002</v>
      </c>
    </row>
    <row r="2819" spans="1:8" s="5" customFormat="1" ht="18.75" hidden="1" customHeight="1" outlineLevel="1" x14ac:dyDescent="0.25">
      <c r="A2819" s="4">
        <v>2510</v>
      </c>
      <c r="B2819" s="4" t="s">
        <v>117</v>
      </c>
      <c r="C2819" s="38" t="s">
        <v>4215</v>
      </c>
      <c r="D2819" s="4">
        <v>2022</v>
      </c>
      <c r="E2819" s="4" t="s">
        <v>22</v>
      </c>
      <c r="F2819" s="4">
        <v>20</v>
      </c>
      <c r="G2819" s="42">
        <v>200</v>
      </c>
      <c r="H2819" s="42">
        <v>23.405700000000003</v>
      </c>
    </row>
    <row r="2820" spans="1:8" s="5" customFormat="1" ht="18.75" hidden="1" customHeight="1" outlineLevel="1" x14ac:dyDescent="0.25">
      <c r="A2820" s="4">
        <v>2565</v>
      </c>
      <c r="B2820" s="4" t="s">
        <v>117</v>
      </c>
      <c r="C2820" s="38" t="s">
        <v>4196</v>
      </c>
      <c r="D2820" s="4">
        <v>2022</v>
      </c>
      <c r="E2820" s="4" t="s">
        <v>22</v>
      </c>
      <c r="F2820" s="4">
        <v>177</v>
      </c>
      <c r="G2820" s="42">
        <v>15</v>
      </c>
      <c r="H2820" s="42">
        <v>433.125</v>
      </c>
    </row>
    <row r="2821" spans="1:8" s="5" customFormat="1" ht="18.75" hidden="1" customHeight="1" outlineLevel="1" x14ac:dyDescent="0.25">
      <c r="A2821" s="4">
        <v>2567</v>
      </c>
      <c r="B2821" s="4" t="s">
        <v>117</v>
      </c>
      <c r="C2821" s="38" t="s">
        <v>4216</v>
      </c>
      <c r="D2821" s="4">
        <v>2022</v>
      </c>
      <c r="E2821" s="4" t="s">
        <v>22</v>
      </c>
      <c r="F2821" s="4">
        <v>378</v>
      </c>
      <c r="G2821" s="42">
        <v>150</v>
      </c>
      <c r="H2821" s="42">
        <v>1313.471</v>
      </c>
    </row>
    <row r="2822" spans="1:8" s="5" customFormat="1" ht="24.75" hidden="1" customHeight="1" outlineLevel="1" x14ac:dyDescent="0.25">
      <c r="A2822" s="42">
        <v>9741</v>
      </c>
      <c r="B2822" s="4" t="s">
        <v>117</v>
      </c>
      <c r="C2822" s="38" t="s">
        <v>1805</v>
      </c>
      <c r="D2822" s="4">
        <v>2021</v>
      </c>
      <c r="E2822" s="4" t="s">
        <v>22</v>
      </c>
      <c r="F2822" s="4">
        <v>34</v>
      </c>
      <c r="G2822" s="4">
        <v>50</v>
      </c>
      <c r="H2822" s="4">
        <v>273</v>
      </c>
    </row>
    <row r="2823" spans="1:8" s="5" customFormat="1" ht="24.75" hidden="1" customHeight="1" outlineLevel="1" x14ac:dyDescent="0.25">
      <c r="A2823" s="42">
        <v>9743</v>
      </c>
      <c r="B2823" s="4" t="s">
        <v>117</v>
      </c>
      <c r="C2823" s="38" t="s">
        <v>1806</v>
      </c>
      <c r="D2823" s="4">
        <v>2021</v>
      </c>
      <c r="E2823" s="4" t="s">
        <v>22</v>
      </c>
      <c r="F2823" s="4">
        <v>6</v>
      </c>
      <c r="G2823" s="4">
        <v>15</v>
      </c>
      <c r="H2823" s="4">
        <v>51</v>
      </c>
    </row>
    <row r="2824" spans="1:8" s="5" customFormat="1" ht="24.75" hidden="1" customHeight="1" outlineLevel="1" x14ac:dyDescent="0.25">
      <c r="A2824" s="42">
        <v>9744</v>
      </c>
      <c r="B2824" s="4" t="s">
        <v>117</v>
      </c>
      <c r="C2824" s="38" t="s">
        <v>1807</v>
      </c>
      <c r="D2824" s="4">
        <v>2021</v>
      </c>
      <c r="E2824" s="4" t="s">
        <v>22</v>
      </c>
      <c r="F2824" s="4">
        <v>40</v>
      </c>
      <c r="G2824" s="4">
        <v>3</v>
      </c>
      <c r="H2824" s="4">
        <v>194</v>
      </c>
    </row>
    <row r="2825" spans="1:8" s="5" customFormat="1" ht="24.75" hidden="1" customHeight="1" outlineLevel="1" x14ac:dyDescent="0.25">
      <c r="A2825" s="43">
        <v>1304</v>
      </c>
      <c r="B2825" s="4" t="s">
        <v>117</v>
      </c>
      <c r="C2825" s="38" t="s">
        <v>1808</v>
      </c>
      <c r="D2825" s="4">
        <v>2021</v>
      </c>
      <c r="E2825" s="4" t="s">
        <v>22</v>
      </c>
      <c r="F2825" s="4">
        <v>10</v>
      </c>
      <c r="G2825" s="4">
        <v>150</v>
      </c>
      <c r="H2825" s="4">
        <v>70</v>
      </c>
    </row>
    <row r="2826" spans="1:8" s="5" customFormat="1" ht="24.75" hidden="1" customHeight="1" outlineLevel="1" x14ac:dyDescent="0.25">
      <c r="A2826" s="43">
        <v>1272</v>
      </c>
      <c r="B2826" s="4" t="s">
        <v>117</v>
      </c>
      <c r="C2826" s="38" t="s">
        <v>1396</v>
      </c>
      <c r="D2826" s="4">
        <v>2021</v>
      </c>
      <c r="E2826" s="4" t="s">
        <v>22</v>
      </c>
      <c r="F2826" s="4">
        <v>20</v>
      </c>
      <c r="G2826" s="4">
        <v>100</v>
      </c>
      <c r="H2826" s="4">
        <v>176</v>
      </c>
    </row>
    <row r="2827" spans="1:8" s="5" customFormat="1" ht="24.75" hidden="1" customHeight="1" outlineLevel="1" x14ac:dyDescent="0.25">
      <c r="A2827" s="43">
        <v>3838</v>
      </c>
      <c r="B2827" s="4" t="s">
        <v>117</v>
      </c>
      <c r="C2827" s="38" t="s">
        <v>1809</v>
      </c>
      <c r="D2827" s="4">
        <v>2021</v>
      </c>
      <c r="E2827" s="4" t="s">
        <v>22</v>
      </c>
      <c r="F2827" s="4">
        <v>2</v>
      </c>
      <c r="G2827" s="4">
        <v>60.75</v>
      </c>
      <c r="H2827" s="4">
        <v>53</v>
      </c>
    </row>
    <row r="2828" spans="1:8" s="5" customFormat="1" ht="24.75" hidden="1" customHeight="1" outlineLevel="1" x14ac:dyDescent="0.25">
      <c r="A2828" s="43">
        <v>1273</v>
      </c>
      <c r="B2828" s="4" t="s">
        <v>117</v>
      </c>
      <c r="C2828" s="38" t="s">
        <v>1411</v>
      </c>
      <c r="D2828" s="4">
        <v>2021</v>
      </c>
      <c r="E2828" s="4" t="s">
        <v>22</v>
      </c>
      <c r="F2828" s="4">
        <v>15</v>
      </c>
      <c r="G2828" s="4">
        <v>40</v>
      </c>
      <c r="H2828" s="4">
        <v>107</v>
      </c>
    </row>
    <row r="2829" spans="1:8" s="5" customFormat="1" ht="24.75" hidden="1" customHeight="1" outlineLevel="1" x14ac:dyDescent="0.25">
      <c r="A2829" s="42">
        <v>9745</v>
      </c>
      <c r="B2829" s="4" t="s">
        <v>117</v>
      </c>
      <c r="C2829" s="38" t="s">
        <v>1810</v>
      </c>
      <c r="D2829" s="4">
        <v>2021</v>
      </c>
      <c r="E2829" s="4" t="s">
        <v>22</v>
      </c>
      <c r="F2829" s="4">
        <v>31</v>
      </c>
      <c r="G2829" s="4">
        <v>15</v>
      </c>
      <c r="H2829" s="4">
        <v>181</v>
      </c>
    </row>
    <row r="2830" spans="1:8" s="5" customFormat="1" ht="24.75" hidden="1" customHeight="1" outlineLevel="1" x14ac:dyDescent="0.25">
      <c r="A2830" s="42">
        <v>9746</v>
      </c>
      <c r="B2830" s="4" t="s">
        <v>117</v>
      </c>
      <c r="C2830" s="38" t="s">
        <v>1421</v>
      </c>
      <c r="D2830" s="4">
        <v>2021</v>
      </c>
      <c r="E2830" s="4" t="s">
        <v>22</v>
      </c>
      <c r="F2830" s="4">
        <v>6</v>
      </c>
      <c r="G2830" s="4">
        <v>15</v>
      </c>
      <c r="H2830" s="4">
        <v>55</v>
      </c>
    </row>
    <row r="2831" spans="1:8" s="5" customFormat="1" ht="24.75" hidden="1" customHeight="1" outlineLevel="1" x14ac:dyDescent="0.25">
      <c r="A2831" s="42">
        <v>9742</v>
      </c>
      <c r="B2831" s="4" t="s">
        <v>117</v>
      </c>
      <c r="C2831" s="38" t="s">
        <v>1811</v>
      </c>
      <c r="D2831" s="4">
        <v>2021</v>
      </c>
      <c r="E2831" s="4" t="s">
        <v>22</v>
      </c>
      <c r="F2831" s="4">
        <v>10</v>
      </c>
      <c r="G2831" s="4">
        <v>20</v>
      </c>
      <c r="H2831" s="4">
        <v>85</v>
      </c>
    </row>
    <row r="2832" spans="1:8" s="5" customFormat="1" ht="24.75" hidden="1" customHeight="1" outlineLevel="1" x14ac:dyDescent="0.25">
      <c r="A2832" s="43">
        <v>1124</v>
      </c>
      <c r="B2832" s="4" t="s">
        <v>117</v>
      </c>
      <c r="C2832" s="38" t="s">
        <v>1551</v>
      </c>
      <c r="D2832" s="4">
        <v>2021</v>
      </c>
      <c r="E2832" s="4" t="s">
        <v>22</v>
      </c>
      <c r="F2832" s="4">
        <v>200</v>
      </c>
      <c r="G2832" s="4">
        <v>150</v>
      </c>
      <c r="H2832" s="4">
        <v>278</v>
      </c>
    </row>
    <row r="2833" spans="1:8" s="5" customFormat="1" ht="24.75" hidden="1" customHeight="1" outlineLevel="1" x14ac:dyDescent="0.25">
      <c r="A2833" s="42">
        <v>9451</v>
      </c>
      <c r="B2833" s="4" t="s">
        <v>117</v>
      </c>
      <c r="C2833" s="38" t="s">
        <v>1812</v>
      </c>
      <c r="D2833" s="4">
        <v>2021</v>
      </c>
      <c r="E2833" s="4" t="s">
        <v>22</v>
      </c>
      <c r="F2833" s="4">
        <v>195</v>
      </c>
      <c r="G2833" s="4">
        <v>150</v>
      </c>
      <c r="H2833" s="4">
        <v>186</v>
      </c>
    </row>
    <row r="2834" spans="1:8" s="5" customFormat="1" ht="24.75" hidden="1" customHeight="1" outlineLevel="1" x14ac:dyDescent="0.25">
      <c r="A2834" s="42">
        <v>9609</v>
      </c>
      <c r="B2834" s="4" t="s">
        <v>117</v>
      </c>
      <c r="C2834" s="38" t="s">
        <v>1813</v>
      </c>
      <c r="D2834" s="4">
        <v>2021</v>
      </c>
      <c r="E2834" s="4" t="s">
        <v>22</v>
      </c>
      <c r="F2834" s="4">
        <v>12</v>
      </c>
      <c r="G2834" s="4">
        <v>25</v>
      </c>
      <c r="H2834" s="4">
        <v>89</v>
      </c>
    </row>
    <row r="2835" spans="1:8" s="5" customFormat="1" ht="24.75" hidden="1" customHeight="1" outlineLevel="1" x14ac:dyDescent="0.25">
      <c r="A2835" s="42">
        <v>9668</v>
      </c>
      <c r="B2835" s="4" t="s">
        <v>117</v>
      </c>
      <c r="C2835" s="38" t="s">
        <v>1814</v>
      </c>
      <c r="D2835" s="4">
        <v>2021</v>
      </c>
      <c r="E2835" s="4" t="s">
        <v>22</v>
      </c>
      <c r="F2835" s="4">
        <v>352</v>
      </c>
      <c r="G2835" s="4">
        <v>100</v>
      </c>
      <c r="H2835" s="4">
        <v>604</v>
      </c>
    </row>
    <row r="2836" spans="1:8" s="5" customFormat="1" ht="78.75" hidden="1" outlineLevel="1" x14ac:dyDescent="0.25">
      <c r="A2836" s="43">
        <v>3757</v>
      </c>
      <c r="B2836" s="4" t="s">
        <v>117</v>
      </c>
      <c r="C2836" s="38" t="s">
        <v>1567</v>
      </c>
      <c r="D2836" s="4">
        <v>2021</v>
      </c>
      <c r="E2836" s="4" t="s">
        <v>22</v>
      </c>
      <c r="F2836" s="4">
        <v>8</v>
      </c>
      <c r="G2836" s="4">
        <v>5</v>
      </c>
      <c r="H2836" s="4">
        <v>88</v>
      </c>
    </row>
    <row r="2837" spans="1:8" s="5" customFormat="1" ht="24.75" hidden="1" customHeight="1" outlineLevel="1" x14ac:dyDescent="0.25">
      <c r="A2837" s="43">
        <v>1142</v>
      </c>
      <c r="B2837" s="4" t="s">
        <v>117</v>
      </c>
      <c r="C2837" s="38" t="s">
        <v>1815</v>
      </c>
      <c r="D2837" s="4">
        <v>2021</v>
      </c>
      <c r="E2837" s="4" t="s">
        <v>22</v>
      </c>
      <c r="F2837" s="4">
        <v>7</v>
      </c>
      <c r="G2837" s="4">
        <v>150</v>
      </c>
      <c r="H2837" s="4">
        <v>87</v>
      </c>
    </row>
    <row r="2838" spans="1:8" s="5" customFormat="1" ht="24.75" hidden="1" customHeight="1" outlineLevel="1" x14ac:dyDescent="0.25">
      <c r="A2838" s="42">
        <v>9662</v>
      </c>
      <c r="B2838" s="4" t="s">
        <v>117</v>
      </c>
      <c r="C2838" s="38" t="s">
        <v>1572</v>
      </c>
      <c r="D2838" s="4">
        <v>2021</v>
      </c>
      <c r="E2838" s="4" t="s">
        <v>22</v>
      </c>
      <c r="F2838" s="4">
        <v>10</v>
      </c>
      <c r="G2838" s="4">
        <v>15</v>
      </c>
      <c r="H2838" s="4">
        <v>159</v>
      </c>
    </row>
    <row r="2839" spans="1:8" s="5" customFormat="1" ht="24.75" hidden="1" customHeight="1" outlineLevel="1" x14ac:dyDescent="0.25">
      <c r="A2839" s="42">
        <v>9656</v>
      </c>
      <c r="B2839" s="4" t="s">
        <v>117</v>
      </c>
      <c r="C2839" s="38" t="s">
        <v>1574</v>
      </c>
      <c r="D2839" s="4">
        <v>2021</v>
      </c>
      <c r="E2839" s="4" t="s">
        <v>22</v>
      </c>
      <c r="F2839" s="4">
        <v>10</v>
      </c>
      <c r="G2839" s="4">
        <v>140</v>
      </c>
      <c r="H2839" s="4">
        <v>81</v>
      </c>
    </row>
    <row r="2840" spans="1:8" s="5" customFormat="1" ht="24.75" hidden="1" customHeight="1" outlineLevel="1" x14ac:dyDescent="0.25">
      <c r="A2840" s="42">
        <v>9665</v>
      </c>
      <c r="B2840" s="4" t="s">
        <v>117</v>
      </c>
      <c r="C2840" s="38" t="s">
        <v>1579</v>
      </c>
      <c r="D2840" s="4">
        <v>2021</v>
      </c>
      <c r="E2840" s="4" t="s">
        <v>22</v>
      </c>
      <c r="F2840" s="4">
        <v>7</v>
      </c>
      <c r="G2840" s="4">
        <v>100</v>
      </c>
      <c r="H2840" s="4">
        <v>79</v>
      </c>
    </row>
    <row r="2841" spans="1:8" s="5" customFormat="1" ht="24.75" hidden="1" customHeight="1" outlineLevel="1" x14ac:dyDescent="0.25">
      <c r="A2841" s="43">
        <v>913</v>
      </c>
      <c r="B2841" s="4" t="s">
        <v>117</v>
      </c>
      <c r="C2841" s="38" t="s">
        <v>1816</v>
      </c>
      <c r="D2841" s="4">
        <v>2021</v>
      </c>
      <c r="E2841" s="4" t="s">
        <v>22</v>
      </c>
      <c r="F2841" s="4">
        <v>10</v>
      </c>
      <c r="G2841" s="4">
        <v>50</v>
      </c>
      <c r="H2841" s="4">
        <v>123</v>
      </c>
    </row>
    <row r="2842" spans="1:8" s="5" customFormat="1" ht="24.75" hidden="1" customHeight="1" outlineLevel="1" x14ac:dyDescent="0.25">
      <c r="A2842" s="43">
        <v>3796</v>
      </c>
      <c r="B2842" s="4" t="s">
        <v>117</v>
      </c>
      <c r="C2842" s="38" t="s">
        <v>1817</v>
      </c>
      <c r="D2842" s="4">
        <v>2021</v>
      </c>
      <c r="E2842" s="4" t="s">
        <v>22</v>
      </c>
      <c r="F2842" s="4">
        <v>613</v>
      </c>
      <c r="G2842" s="4">
        <v>150</v>
      </c>
      <c r="H2842" s="4">
        <v>1291</v>
      </c>
    </row>
    <row r="2843" spans="1:8" s="5" customFormat="1" ht="24.75" hidden="1" customHeight="1" outlineLevel="1" x14ac:dyDescent="0.25">
      <c r="A2843" s="43">
        <v>1143</v>
      </c>
      <c r="B2843" s="4" t="s">
        <v>117</v>
      </c>
      <c r="C2843" s="38" t="s">
        <v>1818</v>
      </c>
      <c r="D2843" s="4">
        <v>2021</v>
      </c>
      <c r="E2843" s="4" t="s">
        <v>22</v>
      </c>
      <c r="F2843" s="4">
        <v>401</v>
      </c>
      <c r="G2843" s="4">
        <v>290</v>
      </c>
      <c r="H2843" s="4">
        <v>1238</v>
      </c>
    </row>
    <row r="2844" spans="1:8" s="5" customFormat="1" ht="24.75" hidden="1" customHeight="1" outlineLevel="1" x14ac:dyDescent="0.25">
      <c r="A2844" s="42">
        <v>9674</v>
      </c>
      <c r="B2844" s="4" t="s">
        <v>117</v>
      </c>
      <c r="C2844" s="38" t="s">
        <v>1589</v>
      </c>
      <c r="D2844" s="4">
        <v>2021</v>
      </c>
      <c r="E2844" s="4" t="s">
        <v>22</v>
      </c>
      <c r="F2844" s="4">
        <v>10</v>
      </c>
      <c r="G2844" s="4">
        <v>50</v>
      </c>
      <c r="H2844" s="4">
        <v>36</v>
      </c>
    </row>
    <row r="2845" spans="1:8" s="5" customFormat="1" ht="24.75" hidden="1" customHeight="1" outlineLevel="1" x14ac:dyDescent="0.25">
      <c r="A2845" s="42">
        <v>9663</v>
      </c>
      <c r="B2845" s="4" t="s">
        <v>117</v>
      </c>
      <c r="C2845" s="38" t="s">
        <v>1819</v>
      </c>
      <c r="D2845" s="4">
        <v>2021</v>
      </c>
      <c r="E2845" s="4" t="s">
        <v>22</v>
      </c>
      <c r="F2845" s="4">
        <v>22</v>
      </c>
      <c r="G2845" s="4">
        <v>100</v>
      </c>
      <c r="H2845" s="4">
        <v>106</v>
      </c>
    </row>
    <row r="2846" spans="1:8" s="5" customFormat="1" ht="24.75" hidden="1" customHeight="1" outlineLevel="1" x14ac:dyDescent="0.25">
      <c r="A2846" s="43">
        <v>1148</v>
      </c>
      <c r="B2846" s="4" t="s">
        <v>117</v>
      </c>
      <c r="C2846" s="38" t="s">
        <v>1820</v>
      </c>
      <c r="D2846" s="4">
        <v>2021</v>
      </c>
      <c r="E2846" s="4" t="s">
        <v>22</v>
      </c>
      <c r="F2846" s="4">
        <v>39</v>
      </c>
      <c r="G2846" s="4">
        <v>150</v>
      </c>
      <c r="H2846" s="4">
        <v>207</v>
      </c>
    </row>
    <row r="2847" spans="1:8" s="5" customFormat="1" ht="24.75" hidden="1" customHeight="1" outlineLevel="1" x14ac:dyDescent="0.25">
      <c r="A2847" s="42">
        <v>9664</v>
      </c>
      <c r="B2847" s="4" t="s">
        <v>117</v>
      </c>
      <c r="C2847" s="38" t="s">
        <v>1821</v>
      </c>
      <c r="D2847" s="4">
        <v>2021</v>
      </c>
      <c r="E2847" s="4" t="s">
        <v>22</v>
      </c>
      <c r="F2847" s="4">
        <v>25</v>
      </c>
      <c r="G2847" s="4">
        <v>150</v>
      </c>
      <c r="H2847" s="4">
        <v>201</v>
      </c>
    </row>
    <row r="2848" spans="1:8" s="5" customFormat="1" ht="24.75" hidden="1" customHeight="1" outlineLevel="1" x14ac:dyDescent="0.25">
      <c r="A2848" s="42">
        <v>9653</v>
      </c>
      <c r="B2848" s="4" t="s">
        <v>117</v>
      </c>
      <c r="C2848" s="38" t="s">
        <v>1595</v>
      </c>
      <c r="D2848" s="4">
        <v>2021</v>
      </c>
      <c r="E2848" s="4" t="s">
        <v>22</v>
      </c>
      <c r="F2848" s="4">
        <v>85</v>
      </c>
      <c r="G2848" s="4">
        <v>150</v>
      </c>
      <c r="H2848" s="4">
        <v>120</v>
      </c>
    </row>
    <row r="2849" spans="1:8" s="5" customFormat="1" ht="24.75" hidden="1" customHeight="1" outlineLevel="1" x14ac:dyDescent="0.25">
      <c r="A2849" s="42">
        <v>9601</v>
      </c>
      <c r="B2849" s="4" t="s">
        <v>117</v>
      </c>
      <c r="C2849" s="38" t="s">
        <v>1822</v>
      </c>
      <c r="D2849" s="4">
        <v>2021</v>
      </c>
      <c r="E2849" s="4" t="s">
        <v>22</v>
      </c>
      <c r="F2849" s="4">
        <v>945</v>
      </c>
      <c r="G2849" s="4">
        <v>537</v>
      </c>
      <c r="H2849" s="4">
        <v>1525</v>
      </c>
    </row>
    <row r="2850" spans="1:8" s="5" customFormat="1" ht="24.75" hidden="1" customHeight="1" outlineLevel="1" x14ac:dyDescent="0.25">
      <c r="A2850" s="42">
        <v>9453</v>
      </c>
      <c r="B2850" s="4" t="s">
        <v>117</v>
      </c>
      <c r="C2850" s="38" t="s">
        <v>1604</v>
      </c>
      <c r="D2850" s="4">
        <v>2021</v>
      </c>
      <c r="E2850" s="4" t="s">
        <v>22</v>
      </c>
      <c r="F2850" s="4">
        <v>727</v>
      </c>
      <c r="G2850" s="4">
        <v>20</v>
      </c>
      <c r="H2850" s="4">
        <v>1533</v>
      </c>
    </row>
    <row r="2851" spans="1:8" s="5" customFormat="1" ht="24.75" hidden="1" customHeight="1" outlineLevel="1" x14ac:dyDescent="0.25">
      <c r="A2851" s="42">
        <v>9441</v>
      </c>
      <c r="B2851" s="4" t="s">
        <v>117</v>
      </c>
      <c r="C2851" s="38" t="s">
        <v>1823</v>
      </c>
      <c r="D2851" s="4">
        <v>2021</v>
      </c>
      <c r="E2851" s="4" t="s">
        <v>22</v>
      </c>
      <c r="F2851" s="4">
        <v>1145</v>
      </c>
      <c r="G2851" s="4">
        <v>105</v>
      </c>
      <c r="H2851" s="4">
        <v>50</v>
      </c>
    </row>
    <row r="2852" spans="1:8" s="5" customFormat="1" ht="24.75" hidden="1" customHeight="1" outlineLevel="1" x14ac:dyDescent="0.25">
      <c r="A2852" s="43">
        <v>3797</v>
      </c>
      <c r="B2852" s="4" t="s">
        <v>117</v>
      </c>
      <c r="C2852" s="38" t="s">
        <v>1824</v>
      </c>
      <c r="D2852" s="4">
        <v>2021</v>
      </c>
      <c r="E2852" s="4" t="s">
        <v>22</v>
      </c>
      <c r="F2852" s="4">
        <v>83</v>
      </c>
      <c r="G2852" s="4">
        <v>149</v>
      </c>
      <c r="H2852" s="4">
        <v>353</v>
      </c>
    </row>
    <row r="2853" spans="1:8" s="5" customFormat="1" ht="24.75" hidden="1" customHeight="1" outlineLevel="1" x14ac:dyDescent="0.25">
      <c r="A2853" s="42">
        <v>9613</v>
      </c>
      <c r="B2853" s="4" t="s">
        <v>117</v>
      </c>
      <c r="C2853" s="38" t="s">
        <v>1825</v>
      </c>
      <c r="D2853" s="4">
        <v>2021</v>
      </c>
      <c r="E2853" s="4" t="s">
        <v>22</v>
      </c>
      <c r="F2853" s="4">
        <v>15</v>
      </c>
      <c r="G2853" s="4">
        <v>20</v>
      </c>
      <c r="H2853" s="4">
        <v>145</v>
      </c>
    </row>
    <row r="2854" spans="1:8" s="5" customFormat="1" ht="24.75" hidden="1" customHeight="1" outlineLevel="1" x14ac:dyDescent="0.25">
      <c r="A2854" s="43">
        <v>920</v>
      </c>
      <c r="B2854" s="4" t="s">
        <v>117</v>
      </c>
      <c r="C2854" s="38" t="s">
        <v>1611</v>
      </c>
      <c r="D2854" s="4">
        <v>2021</v>
      </c>
      <c r="E2854" s="4" t="s">
        <v>22</v>
      </c>
      <c r="F2854" s="4">
        <v>18</v>
      </c>
      <c r="G2854" s="4">
        <v>15</v>
      </c>
      <c r="H2854" s="4">
        <v>197</v>
      </c>
    </row>
    <row r="2855" spans="1:8" s="5" customFormat="1" ht="24.75" hidden="1" customHeight="1" outlineLevel="1" x14ac:dyDescent="0.25">
      <c r="A2855" s="42">
        <v>9605</v>
      </c>
      <c r="B2855" s="4" t="s">
        <v>117</v>
      </c>
      <c r="C2855" s="38" t="s">
        <v>1826</v>
      </c>
      <c r="D2855" s="4">
        <v>2021</v>
      </c>
      <c r="E2855" s="4" t="s">
        <v>22</v>
      </c>
      <c r="F2855" s="4">
        <v>679</v>
      </c>
      <c r="G2855" s="4">
        <v>72</v>
      </c>
      <c r="H2855" s="4">
        <v>1223</v>
      </c>
    </row>
    <row r="2856" spans="1:8" s="5" customFormat="1" ht="24.75" hidden="1" customHeight="1" outlineLevel="1" x14ac:dyDescent="0.25">
      <c r="A2856" s="43">
        <v>3750</v>
      </c>
      <c r="B2856" s="4" t="s">
        <v>117</v>
      </c>
      <c r="C2856" s="38" t="s">
        <v>1613</v>
      </c>
      <c r="D2856" s="4">
        <v>2021</v>
      </c>
      <c r="E2856" s="4" t="s">
        <v>22</v>
      </c>
      <c r="F2856" s="4">
        <v>287</v>
      </c>
      <c r="G2856" s="4">
        <v>15</v>
      </c>
      <c r="H2856" s="4">
        <v>838</v>
      </c>
    </row>
    <row r="2857" spans="1:8" s="5" customFormat="1" ht="24.75" hidden="1" customHeight="1" outlineLevel="1" x14ac:dyDescent="0.25">
      <c r="A2857" s="42">
        <v>9590</v>
      </c>
      <c r="B2857" s="4" t="s">
        <v>117</v>
      </c>
      <c r="C2857" s="38" t="s">
        <v>1614</v>
      </c>
      <c r="D2857" s="4">
        <v>2021</v>
      </c>
      <c r="E2857" s="4" t="s">
        <v>22</v>
      </c>
      <c r="F2857" s="4">
        <v>386</v>
      </c>
      <c r="G2857" s="4">
        <v>15</v>
      </c>
      <c r="H2857" s="4">
        <v>591</v>
      </c>
    </row>
    <row r="2858" spans="1:8" s="5" customFormat="1" ht="24.75" hidden="1" customHeight="1" outlineLevel="1" x14ac:dyDescent="0.25">
      <c r="A2858" s="42">
        <v>9644</v>
      </c>
      <c r="B2858" s="4" t="s">
        <v>117</v>
      </c>
      <c r="C2858" s="38" t="s">
        <v>1615</v>
      </c>
      <c r="D2858" s="4">
        <v>2021</v>
      </c>
      <c r="E2858" s="4" t="s">
        <v>22</v>
      </c>
      <c r="F2858" s="4">
        <v>473</v>
      </c>
      <c r="G2858" s="4">
        <v>100</v>
      </c>
      <c r="H2858" s="4">
        <v>913</v>
      </c>
    </row>
    <row r="2859" spans="1:8" s="5" customFormat="1" ht="24.75" hidden="1" customHeight="1" outlineLevel="1" x14ac:dyDescent="0.25">
      <c r="A2859" s="43">
        <v>1129</v>
      </c>
      <c r="B2859" s="4" t="s">
        <v>117</v>
      </c>
      <c r="C2859" s="38" t="s">
        <v>1827</v>
      </c>
      <c r="D2859" s="4">
        <v>2021</v>
      </c>
      <c r="E2859" s="4" t="s">
        <v>22</v>
      </c>
      <c r="F2859" s="4">
        <v>382</v>
      </c>
      <c r="G2859" s="4">
        <v>150</v>
      </c>
      <c r="H2859" s="4">
        <v>944</v>
      </c>
    </row>
    <row r="2860" spans="1:8" s="5" customFormat="1" ht="24.75" hidden="1" customHeight="1" outlineLevel="1" x14ac:dyDescent="0.25">
      <c r="A2860" s="42">
        <v>9642</v>
      </c>
      <c r="B2860" s="4" t="s">
        <v>117</v>
      </c>
      <c r="C2860" s="22" t="s">
        <v>1828</v>
      </c>
      <c r="D2860" s="4">
        <v>2021</v>
      </c>
      <c r="E2860" s="4" t="s">
        <v>22</v>
      </c>
      <c r="F2860" s="4">
        <v>10</v>
      </c>
      <c r="G2860" s="4">
        <v>100</v>
      </c>
      <c r="H2860" s="4">
        <v>89</v>
      </c>
    </row>
    <row r="2861" spans="1:8" s="5" customFormat="1" ht="24.75" hidden="1" customHeight="1" outlineLevel="1" x14ac:dyDescent="0.25">
      <c r="A2861" s="42">
        <v>9596</v>
      </c>
      <c r="B2861" s="4" t="s">
        <v>117</v>
      </c>
      <c r="C2861" s="38" t="s">
        <v>1617</v>
      </c>
      <c r="D2861" s="4">
        <v>2021</v>
      </c>
      <c r="E2861" s="4" t="s">
        <v>22</v>
      </c>
      <c r="F2861" s="4">
        <v>10</v>
      </c>
      <c r="G2861" s="4">
        <v>60</v>
      </c>
      <c r="H2861" s="4">
        <v>112</v>
      </c>
    </row>
    <row r="2862" spans="1:8" s="5" customFormat="1" ht="24.75" hidden="1" customHeight="1" outlineLevel="1" x14ac:dyDescent="0.25">
      <c r="A2862" s="43">
        <v>1132</v>
      </c>
      <c r="B2862" s="4" t="s">
        <v>117</v>
      </c>
      <c r="C2862" s="38" t="s">
        <v>1619</v>
      </c>
      <c r="D2862" s="4">
        <v>2021</v>
      </c>
      <c r="E2862" s="4" t="s">
        <v>22</v>
      </c>
      <c r="F2862" s="4">
        <v>20</v>
      </c>
      <c r="G2862" s="4">
        <v>145</v>
      </c>
      <c r="H2862" s="4">
        <v>70</v>
      </c>
    </row>
    <row r="2863" spans="1:8" s="5" customFormat="1" ht="24.75" hidden="1" customHeight="1" outlineLevel="1" x14ac:dyDescent="0.25">
      <c r="A2863" s="42">
        <v>9673</v>
      </c>
      <c r="B2863" s="4" t="s">
        <v>117</v>
      </c>
      <c r="C2863" s="38" t="s">
        <v>1622</v>
      </c>
      <c r="D2863" s="4">
        <v>2021</v>
      </c>
      <c r="E2863" s="4" t="s">
        <v>22</v>
      </c>
      <c r="F2863" s="4">
        <v>63</v>
      </c>
      <c r="G2863" s="4">
        <v>50</v>
      </c>
      <c r="H2863" s="4">
        <v>74</v>
      </c>
    </row>
    <row r="2864" spans="1:8" s="5" customFormat="1" ht="24.75" hidden="1" customHeight="1" outlineLevel="1" x14ac:dyDescent="0.25">
      <c r="A2864" s="42">
        <v>9576</v>
      </c>
      <c r="B2864" s="4" t="s">
        <v>117</v>
      </c>
      <c r="C2864" s="38" t="s">
        <v>1625</v>
      </c>
      <c r="D2864" s="4">
        <v>2021</v>
      </c>
      <c r="E2864" s="4" t="s">
        <v>22</v>
      </c>
      <c r="F2864" s="4">
        <v>2350</v>
      </c>
      <c r="G2864" s="4">
        <v>390</v>
      </c>
      <c r="H2864" s="4">
        <v>3340</v>
      </c>
    </row>
    <row r="2865" spans="1:8" s="5" customFormat="1" ht="24.75" hidden="1" customHeight="1" outlineLevel="1" x14ac:dyDescent="0.25">
      <c r="A2865" s="42">
        <v>9657</v>
      </c>
      <c r="B2865" s="4" t="s">
        <v>117</v>
      </c>
      <c r="C2865" s="38" t="s">
        <v>1628</v>
      </c>
      <c r="D2865" s="4">
        <v>2021</v>
      </c>
      <c r="E2865" s="4" t="s">
        <v>22</v>
      </c>
      <c r="F2865" s="4">
        <v>55</v>
      </c>
      <c r="G2865" s="4">
        <v>15</v>
      </c>
      <c r="H2865" s="4">
        <v>131</v>
      </c>
    </row>
    <row r="2866" spans="1:8" s="5" customFormat="1" ht="24.75" hidden="1" customHeight="1" outlineLevel="1" x14ac:dyDescent="0.25">
      <c r="A2866" s="42">
        <v>9612</v>
      </c>
      <c r="B2866" s="4" t="s">
        <v>117</v>
      </c>
      <c r="C2866" s="38" t="s">
        <v>1829</v>
      </c>
      <c r="D2866" s="4">
        <v>2021</v>
      </c>
      <c r="E2866" s="4" t="s">
        <v>22</v>
      </c>
      <c r="F2866" s="4">
        <v>4</v>
      </c>
      <c r="G2866" s="4">
        <v>224</v>
      </c>
      <c r="H2866" s="4">
        <v>109</v>
      </c>
    </row>
    <row r="2867" spans="1:8" s="5" customFormat="1" ht="24.75" hidden="1" customHeight="1" outlineLevel="1" x14ac:dyDescent="0.25">
      <c r="A2867" s="42">
        <v>9592</v>
      </c>
      <c r="B2867" s="4" t="s">
        <v>117</v>
      </c>
      <c r="C2867" s="38" t="s">
        <v>1631</v>
      </c>
      <c r="D2867" s="4">
        <v>2021</v>
      </c>
      <c r="E2867" s="4" t="s">
        <v>22</v>
      </c>
      <c r="F2867" s="4">
        <v>310</v>
      </c>
      <c r="G2867" s="4">
        <v>90</v>
      </c>
      <c r="H2867" s="4">
        <v>706</v>
      </c>
    </row>
    <row r="2868" spans="1:8" s="5" customFormat="1" ht="24.75" hidden="1" customHeight="1" outlineLevel="1" x14ac:dyDescent="0.25">
      <c r="A2868" s="42">
        <v>9608</v>
      </c>
      <c r="B2868" s="4" t="s">
        <v>117</v>
      </c>
      <c r="C2868" s="38" t="s">
        <v>1633</v>
      </c>
      <c r="D2868" s="4">
        <v>2021</v>
      </c>
      <c r="E2868" s="4" t="s">
        <v>22</v>
      </c>
      <c r="F2868" s="4">
        <v>1216</v>
      </c>
      <c r="G2868" s="4">
        <v>15</v>
      </c>
      <c r="H2868" s="4">
        <v>2493</v>
      </c>
    </row>
    <row r="2869" spans="1:8" s="5" customFormat="1" ht="24.75" hidden="1" customHeight="1" outlineLevel="1" x14ac:dyDescent="0.25">
      <c r="A2869" s="42">
        <v>9584</v>
      </c>
      <c r="B2869" s="4" t="s">
        <v>117</v>
      </c>
      <c r="C2869" s="38" t="s">
        <v>1637</v>
      </c>
      <c r="D2869" s="4">
        <v>2021</v>
      </c>
      <c r="E2869" s="4" t="s">
        <v>22</v>
      </c>
      <c r="F2869" s="4">
        <v>1029</v>
      </c>
      <c r="G2869" s="4">
        <v>14</v>
      </c>
      <c r="H2869" s="4">
        <v>1553</v>
      </c>
    </row>
    <row r="2870" spans="1:8" s="5" customFormat="1" ht="24.75" hidden="1" customHeight="1" outlineLevel="1" x14ac:dyDescent="0.25">
      <c r="A2870" s="42">
        <v>9582</v>
      </c>
      <c r="B2870" s="4" t="s">
        <v>117</v>
      </c>
      <c r="C2870" s="38" t="s">
        <v>1640</v>
      </c>
      <c r="D2870" s="4">
        <v>2021</v>
      </c>
      <c r="E2870" s="4" t="s">
        <v>22</v>
      </c>
      <c r="F2870" s="4">
        <v>65</v>
      </c>
      <c r="G2870" s="4">
        <v>14</v>
      </c>
      <c r="H2870" s="4">
        <v>293</v>
      </c>
    </row>
    <row r="2871" spans="1:8" s="5" customFormat="1" ht="24.75" hidden="1" customHeight="1" outlineLevel="1" x14ac:dyDescent="0.25">
      <c r="A2871" s="42">
        <v>9593</v>
      </c>
      <c r="B2871" s="4" t="s">
        <v>117</v>
      </c>
      <c r="C2871" s="38" t="s">
        <v>1641</v>
      </c>
      <c r="D2871" s="4">
        <v>2021</v>
      </c>
      <c r="E2871" s="4" t="s">
        <v>22</v>
      </c>
      <c r="F2871" s="4">
        <v>30</v>
      </c>
      <c r="G2871" s="4">
        <v>15</v>
      </c>
      <c r="H2871" s="4">
        <v>63</v>
      </c>
    </row>
    <row r="2872" spans="1:8" s="5" customFormat="1" ht="24.75" hidden="1" customHeight="1" outlineLevel="1" x14ac:dyDescent="0.25">
      <c r="A2872" s="42">
        <v>9597</v>
      </c>
      <c r="B2872" s="4" t="s">
        <v>117</v>
      </c>
      <c r="C2872" s="38" t="s">
        <v>1645</v>
      </c>
      <c r="D2872" s="4">
        <v>2021</v>
      </c>
      <c r="E2872" s="4" t="s">
        <v>22</v>
      </c>
      <c r="F2872" s="4">
        <v>30</v>
      </c>
      <c r="G2872" s="4">
        <v>150</v>
      </c>
      <c r="H2872" s="4">
        <v>61</v>
      </c>
    </row>
    <row r="2873" spans="1:8" s="5" customFormat="1" ht="24.75" hidden="1" customHeight="1" outlineLevel="1" x14ac:dyDescent="0.25">
      <c r="A2873" s="43">
        <v>1130</v>
      </c>
      <c r="B2873" s="4" t="s">
        <v>117</v>
      </c>
      <c r="C2873" s="38" t="s">
        <v>1646</v>
      </c>
      <c r="D2873" s="4">
        <v>2021</v>
      </c>
      <c r="E2873" s="4" t="s">
        <v>22</v>
      </c>
      <c r="F2873" s="4">
        <v>30</v>
      </c>
      <c r="G2873" s="4">
        <v>110</v>
      </c>
      <c r="H2873" s="4">
        <v>59</v>
      </c>
    </row>
    <row r="2874" spans="1:8" s="5" customFormat="1" ht="24.75" hidden="1" customHeight="1" outlineLevel="1" x14ac:dyDescent="0.25">
      <c r="A2874" s="42">
        <v>9606</v>
      </c>
      <c r="B2874" s="4" t="s">
        <v>117</v>
      </c>
      <c r="C2874" s="38" t="s">
        <v>1647</v>
      </c>
      <c r="D2874" s="4">
        <v>2021</v>
      </c>
      <c r="E2874" s="4" t="s">
        <v>22</v>
      </c>
      <c r="F2874" s="4">
        <v>3447</v>
      </c>
      <c r="G2874" s="4">
        <v>15</v>
      </c>
      <c r="H2874" s="4">
        <v>4909</v>
      </c>
    </row>
    <row r="2875" spans="1:8" s="5" customFormat="1" ht="24.75" hidden="1" customHeight="1" outlineLevel="1" x14ac:dyDescent="0.25">
      <c r="A2875" s="42">
        <v>9586</v>
      </c>
      <c r="B2875" s="4" t="s">
        <v>117</v>
      </c>
      <c r="C2875" s="38" t="s">
        <v>1648</v>
      </c>
      <c r="D2875" s="4">
        <v>2021</v>
      </c>
      <c r="E2875" s="4" t="s">
        <v>22</v>
      </c>
      <c r="F2875" s="4">
        <v>332</v>
      </c>
      <c r="G2875" s="4">
        <v>45</v>
      </c>
      <c r="H2875" s="4">
        <v>982</v>
      </c>
    </row>
    <row r="2876" spans="1:8" s="5" customFormat="1" ht="24.75" hidden="1" customHeight="1" outlineLevel="1" x14ac:dyDescent="0.25">
      <c r="A2876" s="43">
        <v>1147</v>
      </c>
      <c r="B2876" s="4" t="s">
        <v>117</v>
      </c>
      <c r="C2876" s="38" t="s">
        <v>1650</v>
      </c>
      <c r="D2876" s="4">
        <v>2021</v>
      </c>
      <c r="E2876" s="4" t="s">
        <v>22</v>
      </c>
      <c r="F2876" s="4">
        <v>125</v>
      </c>
      <c r="G2876" s="4">
        <v>104</v>
      </c>
      <c r="H2876" s="4">
        <v>290</v>
      </c>
    </row>
    <row r="2877" spans="1:8" s="5" customFormat="1" ht="24.75" hidden="1" customHeight="1" outlineLevel="1" x14ac:dyDescent="0.25">
      <c r="A2877" s="42">
        <v>9651</v>
      </c>
      <c r="B2877" s="4" t="s">
        <v>117</v>
      </c>
      <c r="C2877" s="38" t="s">
        <v>1651</v>
      </c>
      <c r="D2877" s="4">
        <v>2021</v>
      </c>
      <c r="E2877" s="4" t="s">
        <v>22</v>
      </c>
      <c r="F2877" s="4">
        <v>15</v>
      </c>
      <c r="G2877" s="4">
        <v>5</v>
      </c>
      <c r="H2877" s="4">
        <v>123</v>
      </c>
    </row>
    <row r="2878" spans="1:8" s="5" customFormat="1" ht="24.75" hidden="1" customHeight="1" outlineLevel="1" x14ac:dyDescent="0.25">
      <c r="A2878" s="42">
        <v>9454</v>
      </c>
      <c r="B2878" s="4" t="s">
        <v>117</v>
      </c>
      <c r="C2878" s="38" t="s">
        <v>1830</v>
      </c>
      <c r="D2878" s="4">
        <v>2021</v>
      </c>
      <c r="E2878" s="4" t="s">
        <v>22</v>
      </c>
      <c r="F2878" s="4">
        <v>200</v>
      </c>
      <c r="G2878" s="4">
        <v>63</v>
      </c>
      <c r="H2878" s="4">
        <v>256</v>
      </c>
    </row>
    <row r="2879" spans="1:8" s="5" customFormat="1" ht="24.75" hidden="1" customHeight="1" outlineLevel="1" x14ac:dyDescent="0.25">
      <c r="A2879" s="42">
        <v>9632</v>
      </c>
      <c r="B2879" s="4" t="s">
        <v>117</v>
      </c>
      <c r="C2879" s="38" t="s">
        <v>1831</v>
      </c>
      <c r="D2879" s="4">
        <v>2021</v>
      </c>
      <c r="E2879" s="4" t="s">
        <v>22</v>
      </c>
      <c r="F2879" s="4">
        <v>559</v>
      </c>
      <c r="G2879" s="4">
        <v>60</v>
      </c>
      <c r="H2879" s="4">
        <v>1720</v>
      </c>
    </row>
    <row r="2880" spans="1:8" s="5" customFormat="1" ht="24.75" hidden="1" customHeight="1" outlineLevel="1" x14ac:dyDescent="0.25">
      <c r="A2880" s="42">
        <v>9671</v>
      </c>
      <c r="B2880" s="4" t="s">
        <v>117</v>
      </c>
      <c r="C2880" s="38" t="s">
        <v>1832</v>
      </c>
      <c r="D2880" s="4">
        <v>2021</v>
      </c>
      <c r="E2880" s="4" t="s">
        <v>22</v>
      </c>
      <c r="F2880" s="4">
        <v>30</v>
      </c>
      <c r="G2880" s="4">
        <v>150</v>
      </c>
      <c r="H2880" s="4">
        <v>36</v>
      </c>
    </row>
    <row r="2881" spans="1:8" s="5" customFormat="1" ht="24.75" hidden="1" customHeight="1" outlineLevel="1" x14ac:dyDescent="0.25">
      <c r="A2881" s="42">
        <v>9588</v>
      </c>
      <c r="B2881" s="4" t="s">
        <v>117</v>
      </c>
      <c r="C2881" s="38" t="s">
        <v>1833</v>
      </c>
      <c r="D2881" s="4">
        <v>2021</v>
      </c>
      <c r="E2881" s="4" t="s">
        <v>22</v>
      </c>
      <c r="F2881" s="4">
        <v>7</v>
      </c>
      <c r="G2881" s="4">
        <v>30</v>
      </c>
      <c r="H2881" s="4">
        <v>98</v>
      </c>
    </row>
    <row r="2882" spans="1:8" s="5" customFormat="1" ht="24.75" hidden="1" customHeight="1" outlineLevel="1" x14ac:dyDescent="0.25">
      <c r="A2882" s="42">
        <v>9583</v>
      </c>
      <c r="B2882" s="4" t="s">
        <v>117</v>
      </c>
      <c r="C2882" s="38" t="s">
        <v>1834</v>
      </c>
      <c r="D2882" s="4">
        <v>2021</v>
      </c>
      <c r="E2882" s="4" t="s">
        <v>22</v>
      </c>
      <c r="F2882" s="4">
        <v>20</v>
      </c>
      <c r="G2882" s="4">
        <v>150</v>
      </c>
      <c r="H2882" s="4">
        <v>45</v>
      </c>
    </row>
    <row r="2883" spans="1:8" s="5" customFormat="1" ht="24.75" hidden="1" customHeight="1" outlineLevel="1" x14ac:dyDescent="0.25">
      <c r="A2883" s="42">
        <v>9652</v>
      </c>
      <c r="B2883" s="4" t="s">
        <v>117</v>
      </c>
      <c r="C2883" s="38" t="s">
        <v>1835</v>
      </c>
      <c r="D2883" s="4">
        <v>2021</v>
      </c>
      <c r="E2883" s="4" t="s">
        <v>22</v>
      </c>
      <c r="F2883" s="4">
        <v>40</v>
      </c>
      <c r="G2883" s="4">
        <v>145</v>
      </c>
      <c r="H2883" s="4">
        <v>76</v>
      </c>
    </row>
    <row r="2884" spans="1:8" s="5" customFormat="1" ht="24.75" hidden="1" customHeight="1" outlineLevel="1" x14ac:dyDescent="0.25">
      <c r="A2884" s="42">
        <v>9645</v>
      </c>
      <c r="B2884" s="4" t="s">
        <v>117</v>
      </c>
      <c r="C2884" s="38" t="s">
        <v>1836</v>
      </c>
      <c r="D2884" s="4">
        <v>2021</v>
      </c>
      <c r="E2884" s="4" t="s">
        <v>22</v>
      </c>
      <c r="F2884" s="4">
        <v>60</v>
      </c>
      <c r="G2884" s="4">
        <v>150</v>
      </c>
      <c r="H2884" s="4">
        <v>104</v>
      </c>
    </row>
    <row r="2885" spans="1:8" s="5" customFormat="1" ht="24.75" hidden="1" customHeight="1" outlineLevel="1" x14ac:dyDescent="0.25">
      <c r="A2885" s="42">
        <v>9595</v>
      </c>
      <c r="B2885" s="4" t="s">
        <v>117</v>
      </c>
      <c r="C2885" s="38" t="s">
        <v>1837</v>
      </c>
      <c r="D2885" s="4">
        <v>2021</v>
      </c>
      <c r="E2885" s="4" t="s">
        <v>22</v>
      </c>
      <c r="F2885" s="4">
        <v>527</v>
      </c>
      <c r="G2885" s="4">
        <v>285</v>
      </c>
      <c r="H2885" s="4">
        <v>1506</v>
      </c>
    </row>
    <row r="2886" spans="1:8" s="5" customFormat="1" ht="24.75" hidden="1" customHeight="1" outlineLevel="1" x14ac:dyDescent="0.25">
      <c r="A2886" s="42">
        <v>9672</v>
      </c>
      <c r="B2886" s="4" t="s">
        <v>117</v>
      </c>
      <c r="C2886" s="38" t="s">
        <v>1838</v>
      </c>
      <c r="D2886" s="4">
        <v>2021</v>
      </c>
      <c r="E2886" s="4" t="s">
        <v>22</v>
      </c>
      <c r="F2886" s="4">
        <v>105</v>
      </c>
      <c r="G2886" s="4">
        <v>70</v>
      </c>
      <c r="H2886" s="4">
        <v>347</v>
      </c>
    </row>
    <row r="2887" spans="1:8" s="5" customFormat="1" ht="24.75" hidden="1" customHeight="1" outlineLevel="1" x14ac:dyDescent="0.25">
      <c r="A2887" s="42">
        <v>9646</v>
      </c>
      <c r="B2887" s="4" t="s">
        <v>117</v>
      </c>
      <c r="C2887" s="38" t="s">
        <v>1839</v>
      </c>
      <c r="D2887" s="4">
        <v>2021</v>
      </c>
      <c r="E2887" s="4" t="s">
        <v>22</v>
      </c>
      <c r="F2887" s="4">
        <v>320</v>
      </c>
      <c r="G2887" s="4">
        <v>150</v>
      </c>
      <c r="H2887" s="4">
        <v>288</v>
      </c>
    </row>
    <row r="2888" spans="1:8" s="5" customFormat="1" ht="24.75" hidden="1" customHeight="1" outlineLevel="1" x14ac:dyDescent="0.25">
      <c r="A2888" s="42">
        <v>9611</v>
      </c>
      <c r="B2888" s="4" t="s">
        <v>117</v>
      </c>
      <c r="C2888" s="38" t="s">
        <v>1840</v>
      </c>
      <c r="D2888" s="4">
        <v>2021</v>
      </c>
      <c r="E2888" s="4" t="s">
        <v>22</v>
      </c>
      <c r="F2888" s="4">
        <v>30</v>
      </c>
      <c r="G2888" s="4">
        <v>15</v>
      </c>
      <c r="H2888" s="4">
        <v>61</v>
      </c>
    </row>
    <row r="2889" spans="1:8" s="5" customFormat="1" ht="24.75" hidden="1" customHeight="1" outlineLevel="1" x14ac:dyDescent="0.25">
      <c r="A2889" s="42">
        <v>9604</v>
      </c>
      <c r="B2889" s="4" t="s">
        <v>117</v>
      </c>
      <c r="C2889" s="38" t="s">
        <v>1841</v>
      </c>
      <c r="D2889" s="4">
        <v>2021</v>
      </c>
      <c r="E2889" s="4" t="s">
        <v>22</v>
      </c>
      <c r="F2889" s="4">
        <v>20</v>
      </c>
      <c r="G2889" s="4">
        <v>15</v>
      </c>
      <c r="H2889" s="4">
        <v>104</v>
      </c>
    </row>
    <row r="2890" spans="1:8" s="5" customFormat="1" ht="24.75" hidden="1" customHeight="1" outlineLevel="1" x14ac:dyDescent="0.25">
      <c r="A2890" s="42">
        <v>9666</v>
      </c>
      <c r="B2890" s="4" t="s">
        <v>117</v>
      </c>
      <c r="C2890" s="38" t="s">
        <v>1842</v>
      </c>
      <c r="D2890" s="4">
        <v>2021</v>
      </c>
      <c r="E2890" s="4" t="s">
        <v>22</v>
      </c>
      <c r="F2890" s="4">
        <v>10</v>
      </c>
      <c r="G2890" s="4">
        <v>90</v>
      </c>
      <c r="H2890" s="4">
        <v>145</v>
      </c>
    </row>
    <row r="2891" spans="1:8" s="5" customFormat="1" ht="24.75" hidden="1" customHeight="1" outlineLevel="1" x14ac:dyDescent="0.25">
      <c r="A2891" s="42">
        <v>9771</v>
      </c>
      <c r="B2891" s="4" t="s">
        <v>117</v>
      </c>
      <c r="C2891" s="38" t="s">
        <v>1843</v>
      </c>
      <c r="D2891" s="4">
        <v>2021</v>
      </c>
      <c r="E2891" s="4" t="s">
        <v>22</v>
      </c>
      <c r="F2891" s="4">
        <v>187</v>
      </c>
      <c r="G2891" s="4">
        <v>10</v>
      </c>
      <c r="H2891" s="4">
        <v>333.04962999999998</v>
      </c>
    </row>
    <row r="2892" spans="1:8" s="5" customFormat="1" ht="24.75" hidden="1" customHeight="1" outlineLevel="1" x14ac:dyDescent="0.25">
      <c r="A2892" s="42">
        <v>9523</v>
      </c>
      <c r="B2892" s="4" t="s">
        <v>117</v>
      </c>
      <c r="C2892" s="59" t="s">
        <v>1844</v>
      </c>
      <c r="D2892" s="4">
        <v>2021</v>
      </c>
      <c r="E2892" s="4" t="s">
        <v>22</v>
      </c>
      <c r="F2892" s="4">
        <v>288</v>
      </c>
      <c r="G2892" s="4">
        <v>100</v>
      </c>
      <c r="H2892" s="4">
        <v>1359.52081</v>
      </c>
    </row>
    <row r="2893" spans="1:8" s="5" customFormat="1" ht="24.75" hidden="1" customHeight="1" outlineLevel="1" x14ac:dyDescent="0.25">
      <c r="A2893" s="42">
        <v>9624</v>
      </c>
      <c r="B2893" s="4" t="s">
        <v>117</v>
      </c>
      <c r="C2893" s="38" t="s">
        <v>1845</v>
      </c>
      <c r="D2893" s="4">
        <v>2021</v>
      </c>
      <c r="E2893" s="4" t="s">
        <v>22</v>
      </c>
      <c r="F2893" s="4">
        <v>180</v>
      </c>
      <c r="G2893" s="4">
        <v>100</v>
      </c>
      <c r="H2893" s="4">
        <v>195.33134000000001</v>
      </c>
    </row>
    <row r="2894" spans="1:8" s="5" customFormat="1" ht="24.75" hidden="1" customHeight="1" outlineLevel="1" x14ac:dyDescent="0.25">
      <c r="A2894" s="42">
        <v>9864</v>
      </c>
      <c r="B2894" s="4" t="s">
        <v>117</v>
      </c>
      <c r="C2894" s="38" t="s">
        <v>1846</v>
      </c>
      <c r="D2894" s="4">
        <v>2021</v>
      </c>
      <c r="E2894" s="4" t="s">
        <v>22</v>
      </c>
      <c r="F2894" s="4">
        <v>170</v>
      </c>
      <c r="G2894" s="4">
        <v>10</v>
      </c>
      <c r="H2894" s="4">
        <v>127.87049</v>
      </c>
    </row>
    <row r="2895" spans="1:8" s="5" customFormat="1" ht="24.75" hidden="1" customHeight="1" outlineLevel="1" x14ac:dyDescent="0.25">
      <c r="A2895" s="42">
        <v>9846</v>
      </c>
      <c r="B2895" s="4" t="s">
        <v>117</v>
      </c>
      <c r="C2895" s="38" t="s">
        <v>1847</v>
      </c>
      <c r="D2895" s="4">
        <v>2021</v>
      </c>
      <c r="E2895" s="4" t="s">
        <v>22</v>
      </c>
      <c r="F2895" s="4">
        <v>100</v>
      </c>
      <c r="G2895" s="4">
        <v>15</v>
      </c>
      <c r="H2895" s="4">
        <v>150.96399</v>
      </c>
    </row>
    <row r="2896" spans="1:8" s="5" customFormat="1" ht="24.75" hidden="1" customHeight="1" outlineLevel="1" x14ac:dyDescent="0.25">
      <c r="A2896" s="42">
        <v>9640</v>
      </c>
      <c r="B2896" s="4" t="s">
        <v>117</v>
      </c>
      <c r="C2896" s="59" t="s">
        <v>1848</v>
      </c>
      <c r="D2896" s="4">
        <v>2021</v>
      </c>
      <c r="E2896" s="4" t="s">
        <v>22</v>
      </c>
      <c r="F2896" s="4">
        <v>50</v>
      </c>
      <c r="G2896" s="4">
        <v>15</v>
      </c>
      <c r="H2896" s="4">
        <v>520.84402</v>
      </c>
    </row>
    <row r="2897" spans="1:8" s="5" customFormat="1" ht="24.75" hidden="1" customHeight="1" outlineLevel="1" x14ac:dyDescent="0.25">
      <c r="A2897" s="42">
        <v>9626</v>
      </c>
      <c r="B2897" s="4" t="s">
        <v>117</v>
      </c>
      <c r="C2897" s="59" t="s">
        <v>1849</v>
      </c>
      <c r="D2897" s="4">
        <v>2021</v>
      </c>
      <c r="E2897" s="4" t="s">
        <v>22</v>
      </c>
      <c r="F2897" s="4">
        <v>140</v>
      </c>
      <c r="G2897" s="4">
        <v>150</v>
      </c>
      <c r="H2897" s="4">
        <v>102.8965</v>
      </c>
    </row>
    <row r="2898" spans="1:8" s="5" customFormat="1" ht="24.75" hidden="1" customHeight="1" outlineLevel="1" x14ac:dyDescent="0.25">
      <c r="A2898" s="42">
        <v>9631</v>
      </c>
      <c r="B2898" s="4" t="s">
        <v>117</v>
      </c>
      <c r="C2898" s="38" t="s">
        <v>1850</v>
      </c>
      <c r="D2898" s="4">
        <v>2021</v>
      </c>
      <c r="E2898" s="4" t="s">
        <v>22</v>
      </c>
      <c r="F2898" s="4">
        <v>40</v>
      </c>
      <c r="G2898" s="4">
        <v>150</v>
      </c>
      <c r="H2898" s="4">
        <v>58.1873</v>
      </c>
    </row>
    <row r="2899" spans="1:8" s="5" customFormat="1" ht="24.75" hidden="1" customHeight="1" outlineLevel="1" x14ac:dyDescent="0.25">
      <c r="A2899" s="43">
        <v>3877</v>
      </c>
      <c r="B2899" s="4" t="s">
        <v>117</v>
      </c>
      <c r="C2899" s="38" t="s">
        <v>1851</v>
      </c>
      <c r="D2899" s="4">
        <v>2021</v>
      </c>
      <c r="E2899" s="4" t="s">
        <v>22</v>
      </c>
      <c r="F2899" s="4">
        <v>9</v>
      </c>
      <c r="G2899" s="4">
        <v>50</v>
      </c>
      <c r="H2899" s="4">
        <v>49.842329999999997</v>
      </c>
    </row>
    <row r="2900" spans="1:8" s="5" customFormat="1" ht="24.75" hidden="1" customHeight="1" outlineLevel="1" x14ac:dyDescent="0.25">
      <c r="A2900" s="43">
        <v>764</v>
      </c>
      <c r="B2900" s="4" t="s">
        <v>117</v>
      </c>
      <c r="C2900" s="38" t="s">
        <v>1852</v>
      </c>
      <c r="D2900" s="4">
        <v>2021</v>
      </c>
      <c r="E2900" s="4" t="s">
        <v>22</v>
      </c>
      <c r="F2900" s="4">
        <v>3</v>
      </c>
      <c r="G2900" s="4">
        <v>95</v>
      </c>
      <c r="H2900" s="4">
        <v>50.465499999999999</v>
      </c>
    </row>
    <row r="2901" spans="1:8" s="5" customFormat="1" ht="24.75" hidden="1" customHeight="1" outlineLevel="1" x14ac:dyDescent="0.25">
      <c r="A2901" s="43">
        <v>3881</v>
      </c>
      <c r="B2901" s="4" t="s">
        <v>117</v>
      </c>
      <c r="C2901" s="38" t="s">
        <v>1679</v>
      </c>
      <c r="D2901" s="4">
        <v>2021</v>
      </c>
      <c r="E2901" s="4" t="s">
        <v>22</v>
      </c>
      <c r="F2901" s="4">
        <v>40</v>
      </c>
      <c r="G2901" s="4">
        <v>1.4</v>
      </c>
      <c r="H2901" s="4">
        <v>120.14547</v>
      </c>
    </row>
    <row r="2902" spans="1:8" s="5" customFormat="1" ht="24.75" hidden="1" customHeight="1" outlineLevel="1" x14ac:dyDescent="0.25">
      <c r="A2902" s="42">
        <v>9634</v>
      </c>
      <c r="B2902" s="4" t="s">
        <v>117</v>
      </c>
      <c r="C2902" s="38" t="s">
        <v>1853</v>
      </c>
      <c r="D2902" s="4">
        <v>2021</v>
      </c>
      <c r="E2902" s="4" t="s">
        <v>22</v>
      </c>
      <c r="F2902" s="4">
        <v>45</v>
      </c>
      <c r="G2902" s="4">
        <v>15</v>
      </c>
      <c r="H2902" s="4">
        <v>179.17115000000001</v>
      </c>
    </row>
    <row r="2903" spans="1:8" s="5" customFormat="1" ht="24.75" hidden="1" customHeight="1" outlineLevel="1" x14ac:dyDescent="0.25">
      <c r="A2903" s="42">
        <v>9630</v>
      </c>
      <c r="B2903" s="4" t="s">
        <v>117</v>
      </c>
      <c r="C2903" s="38" t="s">
        <v>1854</v>
      </c>
      <c r="D2903" s="4">
        <v>2021</v>
      </c>
      <c r="E2903" s="4" t="s">
        <v>22</v>
      </c>
      <c r="F2903" s="4">
        <v>120</v>
      </c>
      <c r="G2903" s="4">
        <v>100</v>
      </c>
      <c r="H2903" s="4">
        <v>156.59897000000001</v>
      </c>
    </row>
    <row r="2904" spans="1:8" s="5" customFormat="1" ht="24.75" hidden="1" customHeight="1" outlineLevel="1" x14ac:dyDescent="0.25">
      <c r="A2904" s="42">
        <v>9511</v>
      </c>
      <c r="B2904" s="4" t="s">
        <v>117</v>
      </c>
      <c r="C2904" s="38" t="s">
        <v>1685</v>
      </c>
      <c r="D2904" s="4">
        <v>2021</v>
      </c>
      <c r="E2904" s="4" t="s">
        <v>22</v>
      </c>
      <c r="F2904" s="4">
        <v>48</v>
      </c>
      <c r="G2904" s="4">
        <v>15</v>
      </c>
      <c r="H2904" s="4">
        <v>149.62369000000001</v>
      </c>
    </row>
    <row r="2905" spans="1:8" s="5" customFormat="1" ht="24.75" hidden="1" customHeight="1" outlineLevel="1" x14ac:dyDescent="0.25">
      <c r="A2905" s="42">
        <v>9490</v>
      </c>
      <c r="B2905" s="4" t="s">
        <v>117</v>
      </c>
      <c r="C2905" s="38" t="s">
        <v>1855</v>
      </c>
      <c r="D2905" s="4">
        <v>2021</v>
      </c>
      <c r="E2905" s="4" t="s">
        <v>22</v>
      </c>
      <c r="F2905" s="4">
        <v>26</v>
      </c>
      <c r="G2905" s="4">
        <v>150</v>
      </c>
      <c r="H2905" s="4">
        <v>129.94582</v>
      </c>
    </row>
    <row r="2906" spans="1:8" s="5" customFormat="1" ht="24.75" hidden="1" customHeight="1" outlineLevel="1" x14ac:dyDescent="0.25">
      <c r="A2906" s="43">
        <v>3880</v>
      </c>
      <c r="B2906" s="4" t="s">
        <v>117</v>
      </c>
      <c r="C2906" s="38" t="s">
        <v>1856</v>
      </c>
      <c r="D2906" s="4">
        <v>2021</v>
      </c>
      <c r="E2906" s="4" t="s">
        <v>22</v>
      </c>
      <c r="F2906" s="4">
        <v>10</v>
      </c>
      <c r="G2906" s="4">
        <v>105</v>
      </c>
      <c r="H2906" s="4">
        <v>43.695369999999997</v>
      </c>
    </row>
    <row r="2907" spans="1:8" s="5" customFormat="1" ht="24.75" hidden="1" customHeight="1" outlineLevel="1" x14ac:dyDescent="0.25">
      <c r="A2907" s="42">
        <v>9487</v>
      </c>
      <c r="B2907" s="4" t="s">
        <v>117</v>
      </c>
      <c r="C2907" s="38" t="s">
        <v>1857</v>
      </c>
      <c r="D2907" s="4">
        <v>2021</v>
      </c>
      <c r="E2907" s="4" t="s">
        <v>22</v>
      </c>
      <c r="F2907" s="4">
        <v>14</v>
      </c>
      <c r="G2907" s="4">
        <v>45</v>
      </c>
      <c r="H2907" s="4">
        <v>113.9406</v>
      </c>
    </row>
    <row r="2908" spans="1:8" s="5" customFormat="1" ht="24.75" hidden="1" customHeight="1" outlineLevel="1" x14ac:dyDescent="0.25">
      <c r="A2908" s="42">
        <v>9678</v>
      </c>
      <c r="B2908" s="4" t="s">
        <v>117</v>
      </c>
      <c r="C2908" s="38" t="s">
        <v>1858</v>
      </c>
      <c r="D2908" s="4">
        <v>2021</v>
      </c>
      <c r="E2908" s="4" t="s">
        <v>22</v>
      </c>
      <c r="F2908" s="4">
        <v>15</v>
      </c>
      <c r="G2908" s="4">
        <v>46</v>
      </c>
      <c r="H2908" s="4">
        <v>220.95017000000001</v>
      </c>
    </row>
    <row r="2909" spans="1:8" s="5" customFormat="1" ht="24.75" hidden="1" customHeight="1" outlineLevel="1" x14ac:dyDescent="0.25">
      <c r="A2909" s="43">
        <v>728</v>
      </c>
      <c r="B2909" s="4" t="s">
        <v>117</v>
      </c>
      <c r="C2909" s="38" t="s">
        <v>1859</v>
      </c>
      <c r="D2909" s="4">
        <v>2021</v>
      </c>
      <c r="E2909" s="4" t="s">
        <v>22</v>
      </c>
      <c r="F2909" s="4">
        <v>17</v>
      </c>
      <c r="G2909" s="4">
        <v>10</v>
      </c>
      <c r="H2909" s="4">
        <v>165.61770000000001</v>
      </c>
    </row>
    <row r="2910" spans="1:8" s="5" customFormat="1" ht="24.75" hidden="1" customHeight="1" outlineLevel="1" x14ac:dyDescent="0.25">
      <c r="A2910" s="43">
        <v>3879</v>
      </c>
      <c r="B2910" s="4" t="s">
        <v>117</v>
      </c>
      <c r="C2910" s="38" t="s">
        <v>1692</v>
      </c>
      <c r="D2910" s="4">
        <v>2021</v>
      </c>
      <c r="E2910" s="4" t="s">
        <v>22</v>
      </c>
      <c r="F2910" s="4">
        <v>20</v>
      </c>
      <c r="G2910" s="4">
        <v>40</v>
      </c>
      <c r="H2910" s="4">
        <v>86.560329999999993</v>
      </c>
    </row>
    <row r="2911" spans="1:8" s="5" customFormat="1" ht="24.75" hidden="1" customHeight="1" outlineLevel="1" x14ac:dyDescent="0.25">
      <c r="A2911" s="42">
        <v>9625</v>
      </c>
      <c r="B2911" s="4" t="s">
        <v>117</v>
      </c>
      <c r="C2911" s="38" t="s">
        <v>1860</v>
      </c>
      <c r="D2911" s="4">
        <v>2021</v>
      </c>
      <c r="E2911" s="4" t="s">
        <v>22</v>
      </c>
      <c r="F2911" s="4">
        <v>110</v>
      </c>
      <c r="G2911" s="4">
        <v>150</v>
      </c>
      <c r="H2911" s="4">
        <v>115.82391</v>
      </c>
    </row>
    <row r="2912" spans="1:8" s="5" customFormat="1" ht="24.75" hidden="1" customHeight="1" outlineLevel="1" x14ac:dyDescent="0.25">
      <c r="A2912" s="43">
        <v>1121</v>
      </c>
      <c r="B2912" s="4" t="s">
        <v>117</v>
      </c>
      <c r="C2912" s="38" t="s">
        <v>1696</v>
      </c>
      <c r="D2912" s="4">
        <v>2021</v>
      </c>
      <c r="E2912" s="4" t="s">
        <v>22</v>
      </c>
      <c r="F2912" s="4">
        <v>30</v>
      </c>
      <c r="G2912" s="4">
        <v>25</v>
      </c>
      <c r="H2912" s="4">
        <v>5.4537399999999998</v>
      </c>
    </row>
    <row r="2913" spans="1:8" s="5" customFormat="1" ht="24.75" hidden="1" customHeight="1" outlineLevel="1" x14ac:dyDescent="0.25">
      <c r="A2913" s="42">
        <v>9494</v>
      </c>
      <c r="B2913" s="4" t="s">
        <v>117</v>
      </c>
      <c r="C2913" s="38" t="s">
        <v>1697</v>
      </c>
      <c r="D2913" s="4">
        <v>2021</v>
      </c>
      <c r="E2913" s="4" t="s">
        <v>22</v>
      </c>
      <c r="F2913" s="4">
        <v>20</v>
      </c>
      <c r="G2913" s="4">
        <v>8</v>
      </c>
      <c r="H2913" s="4">
        <v>57.98189</v>
      </c>
    </row>
    <row r="2914" spans="1:8" s="5" customFormat="1" ht="24.75" hidden="1" customHeight="1" outlineLevel="1" x14ac:dyDescent="0.25">
      <c r="A2914" s="42">
        <v>9628</v>
      </c>
      <c r="B2914" s="4" t="s">
        <v>117</v>
      </c>
      <c r="C2914" s="59" t="s">
        <v>1861</v>
      </c>
      <c r="D2914" s="4">
        <v>2021</v>
      </c>
      <c r="E2914" s="4" t="s">
        <v>22</v>
      </c>
      <c r="F2914" s="4">
        <v>30</v>
      </c>
      <c r="G2914" s="4">
        <v>100</v>
      </c>
      <c r="H2914" s="4">
        <v>39.177309999999999</v>
      </c>
    </row>
    <row r="2915" spans="1:8" s="5" customFormat="1" ht="24.75" hidden="1" customHeight="1" outlineLevel="1" x14ac:dyDescent="0.25">
      <c r="A2915" s="42">
        <v>9483</v>
      </c>
      <c r="B2915" s="4" t="s">
        <v>117</v>
      </c>
      <c r="C2915" s="38" t="s">
        <v>1862</v>
      </c>
      <c r="D2915" s="4">
        <v>2021</v>
      </c>
      <c r="E2915" s="4" t="s">
        <v>22</v>
      </c>
      <c r="F2915" s="4">
        <v>90</v>
      </c>
      <c r="G2915" s="4">
        <v>15</v>
      </c>
      <c r="H2915" s="4">
        <v>125.02838</v>
      </c>
    </row>
    <row r="2916" spans="1:8" s="5" customFormat="1" ht="24.75" hidden="1" customHeight="1" outlineLevel="1" x14ac:dyDescent="0.25">
      <c r="A2916" s="42">
        <v>9623</v>
      </c>
      <c r="B2916" s="4" t="s">
        <v>117</v>
      </c>
      <c r="C2916" s="38" t="s">
        <v>1863</v>
      </c>
      <c r="D2916" s="4">
        <v>2021</v>
      </c>
      <c r="E2916" s="4" t="s">
        <v>22</v>
      </c>
      <c r="F2916" s="4">
        <v>471</v>
      </c>
      <c r="G2916" s="4">
        <v>9.5</v>
      </c>
      <c r="H2916" s="4">
        <v>892.77390000000003</v>
      </c>
    </row>
    <row r="2917" spans="1:8" s="5" customFormat="1" ht="24.75" hidden="1" customHeight="1" outlineLevel="1" x14ac:dyDescent="0.25">
      <c r="A2917" s="43">
        <v>726</v>
      </c>
      <c r="B2917" s="4" t="s">
        <v>117</v>
      </c>
      <c r="C2917" s="38" t="s">
        <v>1864</v>
      </c>
      <c r="D2917" s="4">
        <v>2021</v>
      </c>
      <c r="E2917" s="4" t="s">
        <v>22</v>
      </c>
      <c r="F2917" s="4">
        <v>20</v>
      </c>
      <c r="G2917" s="4">
        <v>15</v>
      </c>
      <c r="H2917" s="4">
        <v>93.115110000000001</v>
      </c>
    </row>
    <row r="2918" spans="1:8" s="5" customFormat="1" ht="24.75" hidden="1" customHeight="1" outlineLevel="1" x14ac:dyDescent="0.25">
      <c r="A2918" s="42">
        <v>9492</v>
      </c>
      <c r="B2918" s="4" t="s">
        <v>117</v>
      </c>
      <c r="C2918" s="38" t="s">
        <v>1865</v>
      </c>
      <c r="D2918" s="4">
        <v>2021</v>
      </c>
      <c r="E2918" s="4" t="s">
        <v>22</v>
      </c>
      <c r="F2918" s="4">
        <v>10</v>
      </c>
      <c r="G2918" s="4">
        <v>60</v>
      </c>
      <c r="H2918" s="4">
        <v>4.0281500000000001</v>
      </c>
    </row>
    <row r="2919" spans="1:8" s="5" customFormat="1" ht="24.75" hidden="1" customHeight="1" outlineLevel="1" x14ac:dyDescent="0.25">
      <c r="A2919" s="42">
        <v>9512</v>
      </c>
      <c r="B2919" s="4" t="s">
        <v>117</v>
      </c>
      <c r="C2919" s="38" t="s">
        <v>1768</v>
      </c>
      <c r="D2919" s="4">
        <v>2021</v>
      </c>
      <c r="E2919" s="4" t="s">
        <v>22</v>
      </c>
      <c r="F2919" s="4">
        <v>531</v>
      </c>
      <c r="G2919" s="4">
        <v>15</v>
      </c>
      <c r="H2919" s="4">
        <v>1058.16212</v>
      </c>
    </row>
    <row r="2920" spans="1:8" s="5" customFormat="1" ht="24.75" hidden="1" customHeight="1" outlineLevel="1" x14ac:dyDescent="0.25">
      <c r="A2920" s="42">
        <v>9517</v>
      </c>
      <c r="B2920" s="4" t="s">
        <v>117</v>
      </c>
      <c r="C2920" s="38" t="s">
        <v>1735</v>
      </c>
      <c r="D2920" s="4">
        <v>2021</v>
      </c>
      <c r="E2920" s="4" t="s">
        <v>22</v>
      </c>
      <c r="F2920" s="4">
        <v>117</v>
      </c>
      <c r="G2920" s="4">
        <v>105</v>
      </c>
      <c r="H2920" s="4">
        <v>301.22345000000001</v>
      </c>
    </row>
    <row r="2921" spans="1:8" s="5" customFormat="1" ht="24.75" hidden="1" customHeight="1" outlineLevel="1" x14ac:dyDescent="0.25">
      <c r="A2921" s="42">
        <v>9527</v>
      </c>
      <c r="B2921" s="4" t="s">
        <v>117</v>
      </c>
      <c r="C2921" s="38" t="s">
        <v>1866</v>
      </c>
      <c r="D2921" s="4">
        <v>2021</v>
      </c>
      <c r="E2921" s="4" t="s">
        <v>22</v>
      </c>
      <c r="F2921" s="4">
        <v>868</v>
      </c>
      <c r="G2921" s="4">
        <v>15</v>
      </c>
      <c r="H2921" s="4">
        <v>925.25022000000001</v>
      </c>
    </row>
    <row r="2922" spans="1:8" s="5" customFormat="1" ht="24.75" hidden="1" customHeight="1" outlineLevel="1" x14ac:dyDescent="0.25">
      <c r="A2922" s="42">
        <v>9627</v>
      </c>
      <c r="B2922" s="4" t="s">
        <v>117</v>
      </c>
      <c r="C2922" s="38" t="s">
        <v>1742</v>
      </c>
      <c r="D2922" s="4">
        <v>2021</v>
      </c>
      <c r="E2922" s="4" t="s">
        <v>22</v>
      </c>
      <c r="F2922" s="4">
        <v>150</v>
      </c>
      <c r="G2922" s="4">
        <v>150</v>
      </c>
      <c r="H2922" s="4">
        <v>302.98597000000001</v>
      </c>
    </row>
    <row r="2923" spans="1:8" s="5" customFormat="1" ht="24.75" hidden="1" customHeight="1" outlineLevel="1" x14ac:dyDescent="0.25">
      <c r="A2923" s="42">
        <v>9619</v>
      </c>
      <c r="B2923" s="4" t="s">
        <v>117</v>
      </c>
      <c r="C2923" s="38" t="s">
        <v>1867</v>
      </c>
      <c r="D2923" s="4">
        <v>2021</v>
      </c>
      <c r="E2923" s="4" t="s">
        <v>22</v>
      </c>
      <c r="F2923" s="4">
        <v>11</v>
      </c>
      <c r="G2923" s="4">
        <v>150</v>
      </c>
      <c r="H2923" s="4">
        <v>106.3329</v>
      </c>
    </row>
    <row r="2924" spans="1:8" s="5" customFormat="1" ht="24.75" hidden="1" customHeight="1" outlineLevel="1" x14ac:dyDescent="0.25">
      <c r="A2924" s="42">
        <v>9484</v>
      </c>
      <c r="B2924" s="4" t="s">
        <v>117</v>
      </c>
      <c r="C2924" s="38" t="s">
        <v>1750</v>
      </c>
      <c r="D2924" s="4">
        <v>2021</v>
      </c>
      <c r="E2924" s="4" t="s">
        <v>22</v>
      </c>
      <c r="F2924" s="4">
        <v>115</v>
      </c>
      <c r="G2924" s="4">
        <v>15</v>
      </c>
      <c r="H2924" s="4">
        <v>252.42639</v>
      </c>
    </row>
    <row r="2925" spans="1:8" s="5" customFormat="1" ht="24.75" hidden="1" customHeight="1" outlineLevel="1" x14ac:dyDescent="0.25">
      <c r="A2925" s="42">
        <v>9518</v>
      </c>
      <c r="B2925" s="4" t="s">
        <v>117</v>
      </c>
      <c r="C2925" s="59" t="s">
        <v>1868</v>
      </c>
      <c r="D2925" s="4">
        <v>2021</v>
      </c>
      <c r="E2925" s="4" t="s">
        <v>22</v>
      </c>
      <c r="F2925" s="4">
        <v>30</v>
      </c>
      <c r="G2925" s="4">
        <v>150</v>
      </c>
      <c r="H2925" s="4">
        <v>160.11350999999999</v>
      </c>
    </row>
    <row r="2926" spans="1:8" s="5" customFormat="1" ht="24.75" hidden="1" customHeight="1" outlineLevel="1" x14ac:dyDescent="0.25">
      <c r="A2926" s="43">
        <v>3882</v>
      </c>
      <c r="B2926" s="4" t="s">
        <v>117</v>
      </c>
      <c r="C2926" s="38" t="s">
        <v>1869</v>
      </c>
      <c r="D2926" s="4">
        <v>2021</v>
      </c>
      <c r="E2926" s="4" t="s">
        <v>22</v>
      </c>
      <c r="F2926" s="4">
        <v>103</v>
      </c>
      <c r="G2926" s="4">
        <v>45</v>
      </c>
      <c r="H2926" s="4">
        <v>232.56639999999999</v>
      </c>
    </row>
    <row r="2927" spans="1:8" s="5" customFormat="1" ht="24.75" hidden="1" customHeight="1" outlineLevel="1" x14ac:dyDescent="0.25">
      <c r="A2927" s="43">
        <v>3740</v>
      </c>
      <c r="B2927" s="4" t="s">
        <v>117</v>
      </c>
      <c r="C2927" s="38" t="s">
        <v>1870</v>
      </c>
      <c r="D2927" s="4">
        <v>2021</v>
      </c>
      <c r="E2927" s="4" t="s">
        <v>22</v>
      </c>
      <c r="F2927" s="4">
        <v>10</v>
      </c>
      <c r="G2927" s="4">
        <v>99</v>
      </c>
      <c r="H2927" s="4">
        <v>79.018289999999993</v>
      </c>
    </row>
    <row r="2928" spans="1:8" s="5" customFormat="1" ht="24.75" hidden="1" customHeight="1" outlineLevel="1" x14ac:dyDescent="0.25">
      <c r="A2928" s="42">
        <v>9447</v>
      </c>
      <c r="B2928" s="4" t="s">
        <v>117</v>
      </c>
      <c r="C2928" s="38" t="s">
        <v>1765</v>
      </c>
      <c r="D2928" s="4">
        <v>2021</v>
      </c>
      <c r="E2928" s="4" t="s">
        <v>22</v>
      </c>
      <c r="F2928" s="4">
        <v>30</v>
      </c>
      <c r="G2928" s="4">
        <v>10</v>
      </c>
      <c r="H2928" s="4">
        <v>102.55503</v>
      </c>
    </row>
    <row r="2929" spans="1:8" s="5" customFormat="1" ht="24.75" hidden="1" customHeight="1" outlineLevel="1" x14ac:dyDescent="0.25">
      <c r="A2929" s="42">
        <v>9456</v>
      </c>
      <c r="B2929" s="4" t="s">
        <v>117</v>
      </c>
      <c r="C2929" s="38" t="s">
        <v>1767</v>
      </c>
      <c r="D2929" s="4">
        <v>2021</v>
      </c>
      <c r="E2929" s="4" t="s">
        <v>22</v>
      </c>
      <c r="F2929" s="4">
        <v>15</v>
      </c>
      <c r="G2929" s="4">
        <v>15</v>
      </c>
      <c r="H2929" s="4">
        <v>34.720910000000003</v>
      </c>
    </row>
    <row r="2930" spans="1:8" s="5" customFormat="1" ht="24.75" hidden="1" customHeight="1" outlineLevel="1" x14ac:dyDescent="0.25">
      <c r="A2930" s="42">
        <v>9089</v>
      </c>
      <c r="B2930" s="4" t="s">
        <v>117</v>
      </c>
      <c r="C2930" s="38" t="s">
        <v>1871</v>
      </c>
      <c r="D2930" s="4">
        <v>2021</v>
      </c>
      <c r="E2930" s="4" t="s">
        <v>22</v>
      </c>
      <c r="F2930" s="4">
        <v>3</v>
      </c>
      <c r="G2930" s="4">
        <v>15</v>
      </c>
      <c r="H2930" s="4">
        <v>223.79179999999999</v>
      </c>
    </row>
    <row r="2931" spans="1:8" s="5" customFormat="1" ht="24.75" hidden="1" customHeight="1" outlineLevel="1" x14ac:dyDescent="0.25">
      <c r="A2931" s="42">
        <v>9488</v>
      </c>
      <c r="B2931" s="4" t="s">
        <v>117</v>
      </c>
      <c r="C2931" s="38" t="s">
        <v>1872</v>
      </c>
      <c r="D2931" s="4">
        <v>2021</v>
      </c>
      <c r="E2931" s="4" t="s">
        <v>22</v>
      </c>
      <c r="F2931" s="4">
        <v>32</v>
      </c>
      <c r="G2931" s="4">
        <v>150</v>
      </c>
      <c r="H2931" s="4">
        <v>237.22846999999999</v>
      </c>
    </row>
    <row r="2932" spans="1:8" s="5" customFormat="1" ht="24.75" hidden="1" customHeight="1" outlineLevel="1" x14ac:dyDescent="0.25">
      <c r="A2932" s="43">
        <v>663</v>
      </c>
      <c r="B2932" s="4" t="s">
        <v>117</v>
      </c>
      <c r="C2932" s="38" t="s">
        <v>1873</v>
      </c>
      <c r="D2932" s="4">
        <v>2021</v>
      </c>
      <c r="E2932" s="4" t="s">
        <v>22</v>
      </c>
      <c r="F2932" s="4">
        <v>70</v>
      </c>
      <c r="G2932" s="4">
        <v>15</v>
      </c>
      <c r="H2932" s="4">
        <v>75.659509999999997</v>
      </c>
    </row>
    <row r="2933" spans="1:8" s="5" customFormat="1" ht="24.75" hidden="1" customHeight="1" outlineLevel="1" x14ac:dyDescent="0.25">
      <c r="A2933" s="42">
        <v>9873</v>
      </c>
      <c r="B2933" s="4" t="s">
        <v>117</v>
      </c>
      <c r="C2933" s="38" t="s">
        <v>1773</v>
      </c>
      <c r="D2933" s="4">
        <v>2021</v>
      </c>
      <c r="E2933" s="4" t="s">
        <v>22</v>
      </c>
      <c r="F2933" s="4">
        <v>287</v>
      </c>
      <c r="G2933" s="4">
        <v>10</v>
      </c>
      <c r="H2933" s="4">
        <v>424.85665999999998</v>
      </c>
    </row>
    <row r="2934" spans="1:8" s="5" customFormat="1" ht="24.75" hidden="1" customHeight="1" outlineLevel="1" x14ac:dyDescent="0.25">
      <c r="A2934" s="42">
        <v>9532</v>
      </c>
      <c r="B2934" s="4" t="s">
        <v>117</v>
      </c>
      <c r="C2934" s="38" t="s">
        <v>1874</v>
      </c>
      <c r="D2934" s="4">
        <v>2021</v>
      </c>
      <c r="E2934" s="4" t="s">
        <v>22</v>
      </c>
      <c r="F2934" s="4">
        <v>406</v>
      </c>
      <c r="G2934" s="4">
        <v>15</v>
      </c>
      <c r="H2934" s="4">
        <v>711.58798999999999</v>
      </c>
    </row>
    <row r="2935" spans="1:8" s="5" customFormat="1" ht="24.75" hidden="1" customHeight="1" outlineLevel="1" x14ac:dyDescent="0.25">
      <c r="A2935" s="42">
        <v>9616</v>
      </c>
      <c r="B2935" s="4" t="s">
        <v>117</v>
      </c>
      <c r="C2935" s="38" t="s">
        <v>1875</v>
      </c>
      <c r="D2935" s="4">
        <v>2021</v>
      </c>
      <c r="E2935" s="4" t="s">
        <v>22</v>
      </c>
      <c r="F2935" s="4">
        <v>145</v>
      </c>
      <c r="G2935" s="4">
        <v>150</v>
      </c>
      <c r="H2935" s="4">
        <v>683.33082999999999</v>
      </c>
    </row>
    <row r="2936" spans="1:8" s="5" customFormat="1" ht="24.75" hidden="1" customHeight="1" outlineLevel="1" x14ac:dyDescent="0.25">
      <c r="A2936" s="42">
        <v>9446</v>
      </c>
      <c r="B2936" s="4" t="s">
        <v>117</v>
      </c>
      <c r="C2936" s="38" t="s">
        <v>1876</v>
      </c>
      <c r="D2936" s="4">
        <v>2021</v>
      </c>
      <c r="E2936" s="4" t="s">
        <v>22</v>
      </c>
      <c r="F2936" s="4">
        <v>40</v>
      </c>
      <c r="G2936" s="4">
        <v>150</v>
      </c>
      <c r="H2936" s="4">
        <v>87.893780000000007</v>
      </c>
    </row>
    <row r="2937" spans="1:8" s="5" customFormat="1" ht="24.75" hidden="1" customHeight="1" outlineLevel="1" x14ac:dyDescent="0.25">
      <c r="A2937" s="42">
        <v>9491</v>
      </c>
      <c r="B2937" s="4" t="s">
        <v>117</v>
      </c>
      <c r="C2937" s="38" t="s">
        <v>1776</v>
      </c>
      <c r="D2937" s="4">
        <v>2021</v>
      </c>
      <c r="E2937" s="4" t="s">
        <v>22</v>
      </c>
      <c r="F2937" s="4">
        <v>321</v>
      </c>
      <c r="G2937" s="4">
        <v>10</v>
      </c>
      <c r="H2937" s="4">
        <v>580.43293000000006</v>
      </c>
    </row>
    <row r="2938" spans="1:8" s="5" customFormat="1" ht="24.75" hidden="1" customHeight="1" outlineLevel="1" x14ac:dyDescent="0.25">
      <c r="A2938" s="43">
        <v>722</v>
      </c>
      <c r="B2938" s="4" t="s">
        <v>117</v>
      </c>
      <c r="C2938" s="38" t="s">
        <v>1777</v>
      </c>
      <c r="D2938" s="4">
        <v>2021</v>
      </c>
      <c r="E2938" s="4" t="s">
        <v>22</v>
      </c>
      <c r="F2938" s="4">
        <v>60</v>
      </c>
      <c r="G2938" s="4">
        <v>15</v>
      </c>
      <c r="H2938" s="4">
        <v>189.66792000000001</v>
      </c>
    </row>
    <row r="2939" spans="1:8" s="5" customFormat="1" ht="24.75" hidden="1" customHeight="1" outlineLevel="1" x14ac:dyDescent="0.25">
      <c r="A2939" s="42">
        <v>9448</v>
      </c>
      <c r="B2939" s="4" t="s">
        <v>117</v>
      </c>
      <c r="C2939" s="38" t="s">
        <v>1785</v>
      </c>
      <c r="D2939" s="4">
        <v>2021</v>
      </c>
      <c r="E2939" s="4" t="s">
        <v>22</v>
      </c>
      <c r="F2939" s="4">
        <v>791</v>
      </c>
      <c r="G2939" s="4">
        <v>15</v>
      </c>
      <c r="H2939" s="4">
        <v>949.38739999999996</v>
      </c>
    </row>
    <row r="2940" spans="1:8" s="5" customFormat="1" ht="24.75" hidden="1" customHeight="1" outlineLevel="1" x14ac:dyDescent="0.25">
      <c r="A2940" s="43">
        <v>963</v>
      </c>
      <c r="B2940" s="4" t="s">
        <v>117</v>
      </c>
      <c r="C2940" s="38" t="s">
        <v>1877</v>
      </c>
      <c r="D2940" s="4">
        <v>2021</v>
      </c>
      <c r="E2940" s="4" t="s">
        <v>22</v>
      </c>
      <c r="F2940" s="4">
        <v>840</v>
      </c>
      <c r="G2940" s="4">
        <v>45</v>
      </c>
      <c r="H2940" s="4">
        <v>1205.95038</v>
      </c>
    </row>
    <row r="2941" spans="1:8" s="5" customFormat="1" ht="17.25" hidden="1" customHeight="1" outlineLevel="1" x14ac:dyDescent="0.25">
      <c r="A2941" s="4">
        <v>161</v>
      </c>
      <c r="B2941" s="4" t="s">
        <v>117</v>
      </c>
      <c r="C2941" s="38" t="s">
        <v>495</v>
      </c>
      <c r="D2941" s="4">
        <v>2020</v>
      </c>
      <c r="E2941" s="4" t="s">
        <v>22</v>
      </c>
      <c r="F2941" s="4">
        <v>192</v>
      </c>
      <c r="G2941" s="4">
        <v>45</v>
      </c>
      <c r="H2941" s="4">
        <v>380</v>
      </c>
    </row>
    <row r="2942" spans="1:8" s="5" customFormat="1" ht="17.25" hidden="1" customHeight="1" outlineLevel="1" x14ac:dyDescent="0.25">
      <c r="A2942" s="4">
        <v>1820</v>
      </c>
      <c r="B2942" s="4" t="s">
        <v>117</v>
      </c>
      <c r="C2942" s="38" t="s">
        <v>496</v>
      </c>
      <c r="D2942" s="4">
        <v>2020</v>
      </c>
      <c r="E2942" s="4" t="s">
        <v>22</v>
      </c>
      <c r="F2942" s="4">
        <v>610</v>
      </c>
      <c r="G2942" s="4">
        <v>15</v>
      </c>
      <c r="H2942" s="4">
        <v>869</v>
      </c>
    </row>
    <row r="2943" spans="1:8" s="5" customFormat="1" ht="17.25" hidden="1" customHeight="1" outlineLevel="1" x14ac:dyDescent="0.25">
      <c r="A2943" s="4">
        <v>1822</v>
      </c>
      <c r="B2943" s="4" t="s">
        <v>117</v>
      </c>
      <c r="C2943" s="38" t="s">
        <v>497</v>
      </c>
      <c r="D2943" s="4">
        <v>2020</v>
      </c>
      <c r="E2943" s="4" t="s">
        <v>22</v>
      </c>
      <c r="F2943" s="4">
        <v>90</v>
      </c>
      <c r="G2943" s="4">
        <v>42</v>
      </c>
      <c r="H2943" s="4">
        <v>481</v>
      </c>
    </row>
    <row r="2944" spans="1:8" s="5" customFormat="1" ht="17.25" hidden="1" customHeight="1" outlineLevel="1" x14ac:dyDescent="0.25">
      <c r="A2944" s="4">
        <v>717</v>
      </c>
      <c r="B2944" s="4" t="s">
        <v>117</v>
      </c>
      <c r="C2944" s="38" t="s">
        <v>498</v>
      </c>
      <c r="D2944" s="4">
        <v>2020</v>
      </c>
      <c r="E2944" s="4" t="s">
        <v>22</v>
      </c>
      <c r="F2944" s="4">
        <v>158</v>
      </c>
      <c r="G2944" s="4">
        <v>50</v>
      </c>
      <c r="H2944" s="4">
        <v>525</v>
      </c>
    </row>
    <row r="2945" spans="1:8" s="5" customFormat="1" ht="17.25" hidden="1" customHeight="1" outlineLevel="1" x14ac:dyDescent="0.25">
      <c r="A2945" s="4">
        <v>365</v>
      </c>
      <c r="B2945" s="4" t="s">
        <v>117</v>
      </c>
      <c r="C2945" s="38" t="s">
        <v>499</v>
      </c>
      <c r="D2945" s="4">
        <v>2020</v>
      </c>
      <c r="E2945" s="4" t="s">
        <v>22</v>
      </c>
      <c r="F2945" s="4">
        <v>65</v>
      </c>
      <c r="G2945" s="4">
        <v>15</v>
      </c>
      <c r="H2945" s="4">
        <v>200</v>
      </c>
    </row>
    <row r="2946" spans="1:8" s="5" customFormat="1" ht="17.25" hidden="1" customHeight="1" outlineLevel="1" x14ac:dyDescent="0.25">
      <c r="A2946" s="4">
        <v>1825</v>
      </c>
      <c r="B2946" s="4" t="s">
        <v>117</v>
      </c>
      <c r="C2946" s="38" t="s">
        <v>500</v>
      </c>
      <c r="D2946" s="4">
        <v>2020</v>
      </c>
      <c r="E2946" s="4" t="s">
        <v>22</v>
      </c>
      <c r="F2946" s="4">
        <v>300</v>
      </c>
      <c r="G2946" s="4">
        <v>45</v>
      </c>
      <c r="H2946" s="4">
        <v>867</v>
      </c>
    </row>
    <row r="2947" spans="1:8" s="5" customFormat="1" ht="17.25" hidden="1" customHeight="1" outlineLevel="1" x14ac:dyDescent="0.25">
      <c r="A2947" s="4">
        <v>1805</v>
      </c>
      <c r="B2947" s="4" t="s">
        <v>117</v>
      </c>
      <c r="C2947" s="38" t="s">
        <v>501</v>
      </c>
      <c r="D2947" s="4">
        <v>2020</v>
      </c>
      <c r="E2947" s="4" t="s">
        <v>22</v>
      </c>
      <c r="F2947" s="4">
        <v>687</v>
      </c>
      <c r="G2947" s="4">
        <v>100</v>
      </c>
      <c r="H2947" s="4">
        <v>943</v>
      </c>
    </row>
    <row r="2948" spans="1:8" s="5" customFormat="1" ht="17.25" hidden="1" customHeight="1" outlineLevel="1" x14ac:dyDescent="0.25">
      <c r="A2948" s="4">
        <v>188</v>
      </c>
      <c r="B2948" s="4" t="s">
        <v>117</v>
      </c>
      <c r="C2948" s="38" t="s">
        <v>502</v>
      </c>
      <c r="D2948" s="4">
        <v>2020</v>
      </c>
      <c r="E2948" s="4" t="s">
        <v>22</v>
      </c>
      <c r="F2948" s="4">
        <v>203</v>
      </c>
      <c r="G2948" s="4">
        <v>52</v>
      </c>
      <c r="H2948" s="4">
        <v>318</v>
      </c>
    </row>
    <row r="2949" spans="1:8" s="5" customFormat="1" ht="17.25" hidden="1" customHeight="1" outlineLevel="1" x14ac:dyDescent="0.25">
      <c r="A2949" s="4">
        <v>857</v>
      </c>
      <c r="B2949" s="4" t="s">
        <v>117</v>
      </c>
      <c r="C2949" s="38" t="s">
        <v>503</v>
      </c>
      <c r="D2949" s="4">
        <v>2020</v>
      </c>
      <c r="E2949" s="4" t="s">
        <v>22</v>
      </c>
      <c r="F2949" s="4">
        <v>351</v>
      </c>
      <c r="G2949" s="4">
        <v>15</v>
      </c>
      <c r="H2949" s="4">
        <v>371</v>
      </c>
    </row>
    <row r="2950" spans="1:8" s="5" customFormat="1" ht="17.25" hidden="1" customHeight="1" outlineLevel="1" x14ac:dyDescent="0.25">
      <c r="A2950" s="4">
        <v>1816</v>
      </c>
      <c r="B2950" s="4" t="s">
        <v>117</v>
      </c>
      <c r="C2950" s="38" t="s">
        <v>504</v>
      </c>
      <c r="D2950" s="4">
        <v>2020</v>
      </c>
      <c r="E2950" s="4" t="s">
        <v>22</v>
      </c>
      <c r="F2950" s="4">
        <v>100</v>
      </c>
      <c r="G2950" s="4">
        <v>125.9</v>
      </c>
      <c r="H2950" s="4">
        <v>457</v>
      </c>
    </row>
    <row r="2951" spans="1:8" s="5" customFormat="1" ht="17.25" hidden="1" customHeight="1" outlineLevel="1" x14ac:dyDescent="0.25">
      <c r="A2951" s="4">
        <v>236</v>
      </c>
      <c r="B2951" s="4" t="s">
        <v>117</v>
      </c>
      <c r="C2951" s="38" t="s">
        <v>505</v>
      </c>
      <c r="D2951" s="4">
        <v>2020</v>
      </c>
      <c r="E2951" s="4" t="s">
        <v>22</v>
      </c>
      <c r="F2951" s="4">
        <v>45</v>
      </c>
      <c r="G2951" s="4">
        <v>20</v>
      </c>
      <c r="H2951" s="4">
        <v>259</v>
      </c>
    </row>
    <row r="2952" spans="1:8" s="5" customFormat="1" ht="17.25" hidden="1" customHeight="1" outlineLevel="1" x14ac:dyDescent="0.25">
      <c r="A2952" s="4">
        <v>1818</v>
      </c>
      <c r="B2952" s="4" t="s">
        <v>117</v>
      </c>
      <c r="C2952" s="38" t="s">
        <v>506</v>
      </c>
      <c r="D2952" s="4">
        <v>2020</v>
      </c>
      <c r="E2952" s="4" t="s">
        <v>22</v>
      </c>
      <c r="F2952" s="4">
        <v>346</v>
      </c>
      <c r="G2952" s="4">
        <v>50</v>
      </c>
      <c r="H2952" s="4">
        <v>498</v>
      </c>
    </row>
    <row r="2953" spans="1:8" s="5" customFormat="1" ht="17.25" hidden="1" customHeight="1" outlineLevel="1" x14ac:dyDescent="0.25">
      <c r="A2953" s="4">
        <v>93</v>
      </c>
      <c r="B2953" s="4" t="s">
        <v>117</v>
      </c>
      <c r="C2953" s="38" t="s">
        <v>507</v>
      </c>
      <c r="D2953" s="4">
        <v>2020</v>
      </c>
      <c r="E2953" s="4" t="s">
        <v>22</v>
      </c>
      <c r="F2953" s="4">
        <v>10</v>
      </c>
      <c r="G2953" s="4">
        <v>30</v>
      </c>
      <c r="H2953" s="4">
        <v>79</v>
      </c>
    </row>
    <row r="2954" spans="1:8" s="5" customFormat="1" ht="17.25" hidden="1" customHeight="1" outlineLevel="1" x14ac:dyDescent="0.25">
      <c r="A2954" s="4">
        <v>1824</v>
      </c>
      <c r="B2954" s="4" t="s">
        <v>117</v>
      </c>
      <c r="C2954" s="38" t="s">
        <v>508</v>
      </c>
      <c r="D2954" s="4">
        <v>2020</v>
      </c>
      <c r="E2954" s="4" t="s">
        <v>22</v>
      </c>
      <c r="F2954" s="4">
        <v>45</v>
      </c>
      <c r="G2954" s="4">
        <v>15</v>
      </c>
      <c r="H2954" s="4">
        <v>89</v>
      </c>
    </row>
    <row r="2955" spans="1:8" s="5" customFormat="1" ht="17.25" hidden="1" customHeight="1" outlineLevel="1" x14ac:dyDescent="0.25">
      <c r="A2955" s="4">
        <v>291</v>
      </c>
      <c r="B2955" s="4" t="s">
        <v>117</v>
      </c>
      <c r="C2955" s="38" t="s">
        <v>509</v>
      </c>
      <c r="D2955" s="4">
        <v>2020</v>
      </c>
      <c r="E2955" s="4" t="s">
        <v>22</v>
      </c>
      <c r="F2955" s="4">
        <v>5</v>
      </c>
      <c r="G2955" s="4">
        <v>15</v>
      </c>
      <c r="H2955" s="4">
        <v>81</v>
      </c>
    </row>
    <row r="2956" spans="1:8" s="5" customFormat="1" ht="17.25" hidden="1" customHeight="1" outlineLevel="1" x14ac:dyDescent="0.25">
      <c r="A2956" s="4">
        <v>516</v>
      </c>
      <c r="B2956" s="4" t="s">
        <v>117</v>
      </c>
      <c r="C2956" s="38" t="s">
        <v>510</v>
      </c>
      <c r="D2956" s="4">
        <v>2020</v>
      </c>
      <c r="E2956" s="4" t="s">
        <v>22</v>
      </c>
      <c r="F2956" s="4">
        <v>140</v>
      </c>
      <c r="G2956" s="4">
        <v>205</v>
      </c>
      <c r="H2956" s="4">
        <v>139</v>
      </c>
    </row>
    <row r="2957" spans="1:8" s="5" customFormat="1" ht="17.25" hidden="1" customHeight="1" outlineLevel="1" x14ac:dyDescent="0.25">
      <c r="A2957" s="4">
        <v>1815</v>
      </c>
      <c r="B2957" s="4" t="s">
        <v>117</v>
      </c>
      <c r="C2957" s="38" t="s">
        <v>511</v>
      </c>
      <c r="D2957" s="4">
        <v>2020</v>
      </c>
      <c r="E2957" s="4" t="s">
        <v>22</v>
      </c>
      <c r="F2957" s="4">
        <v>135</v>
      </c>
      <c r="G2957" s="4">
        <v>15</v>
      </c>
      <c r="H2957" s="4">
        <v>279</v>
      </c>
    </row>
    <row r="2958" spans="1:8" s="5" customFormat="1" ht="17.25" hidden="1" customHeight="1" outlineLevel="1" x14ac:dyDescent="0.25">
      <c r="A2958" s="4">
        <v>1660</v>
      </c>
      <c r="B2958" s="4" t="s">
        <v>117</v>
      </c>
      <c r="C2958" s="38" t="s">
        <v>512</v>
      </c>
      <c r="D2958" s="4">
        <v>2020</v>
      </c>
      <c r="E2958" s="4" t="s">
        <v>22</v>
      </c>
      <c r="F2958" s="4">
        <v>55</v>
      </c>
      <c r="G2958" s="4">
        <v>437</v>
      </c>
      <c r="H2958" s="4">
        <v>347.51499999999999</v>
      </c>
    </row>
    <row r="2959" spans="1:8" s="5" customFormat="1" ht="17.25" hidden="1" customHeight="1" outlineLevel="1" x14ac:dyDescent="0.25">
      <c r="A2959" s="4">
        <v>147</v>
      </c>
      <c r="B2959" s="4" t="s">
        <v>117</v>
      </c>
      <c r="C2959" s="38" t="s">
        <v>513</v>
      </c>
      <c r="D2959" s="4">
        <v>2020</v>
      </c>
      <c r="E2959" s="4" t="s">
        <v>22</v>
      </c>
      <c r="F2959" s="4">
        <v>475</v>
      </c>
      <c r="G2959" s="4">
        <v>300</v>
      </c>
      <c r="H2959" s="4">
        <v>911.03899999999999</v>
      </c>
    </row>
    <row r="2960" spans="1:8" s="5" customFormat="1" ht="17.25" hidden="1" customHeight="1" outlineLevel="1" x14ac:dyDescent="0.25">
      <c r="A2960" s="4">
        <v>177</v>
      </c>
      <c r="B2960" s="4" t="s">
        <v>117</v>
      </c>
      <c r="C2960" s="38" t="s">
        <v>514</v>
      </c>
      <c r="D2960" s="4">
        <v>2020</v>
      </c>
      <c r="E2960" s="4" t="s">
        <v>22</v>
      </c>
      <c r="F2960" s="4">
        <v>149</v>
      </c>
      <c r="G2960" s="4">
        <v>75</v>
      </c>
      <c r="H2960" s="4">
        <v>475.476</v>
      </c>
    </row>
    <row r="2961" spans="1:8" s="5" customFormat="1" ht="17.25" hidden="1" customHeight="1" outlineLevel="1" x14ac:dyDescent="0.25">
      <c r="A2961" s="4">
        <v>1761</v>
      </c>
      <c r="B2961" s="4" t="s">
        <v>117</v>
      </c>
      <c r="C2961" s="38" t="s">
        <v>515</v>
      </c>
      <c r="D2961" s="4">
        <v>2020</v>
      </c>
      <c r="E2961" s="4" t="s">
        <v>22</v>
      </c>
      <c r="F2961" s="4">
        <v>59</v>
      </c>
      <c r="G2961" s="4">
        <v>100</v>
      </c>
      <c r="H2961" s="4">
        <v>272.08100000000002</v>
      </c>
    </row>
    <row r="2962" spans="1:8" s="5" customFormat="1" ht="17.25" hidden="1" customHeight="1" outlineLevel="1" x14ac:dyDescent="0.25">
      <c r="A2962" s="4">
        <v>444</v>
      </c>
      <c r="B2962" s="4" t="s">
        <v>117</v>
      </c>
      <c r="C2962" s="38" t="s">
        <v>516</v>
      </c>
      <c r="D2962" s="4">
        <v>2020</v>
      </c>
      <c r="E2962" s="4" t="s">
        <v>22</v>
      </c>
      <c r="F2962" s="4">
        <v>585</v>
      </c>
      <c r="G2962" s="4">
        <v>642</v>
      </c>
      <c r="H2962" s="4">
        <v>1634.4880000000001</v>
      </c>
    </row>
    <row r="2963" spans="1:8" s="5" customFormat="1" ht="17.25" hidden="1" customHeight="1" outlineLevel="1" x14ac:dyDescent="0.25">
      <c r="A2963" s="4">
        <v>1751</v>
      </c>
      <c r="B2963" s="4" t="s">
        <v>117</v>
      </c>
      <c r="C2963" s="38" t="s">
        <v>517</v>
      </c>
      <c r="D2963" s="4">
        <v>2020</v>
      </c>
      <c r="E2963" s="4" t="s">
        <v>22</v>
      </c>
      <c r="F2963" s="4">
        <v>478</v>
      </c>
      <c r="G2963" s="4">
        <v>90</v>
      </c>
      <c r="H2963" s="4">
        <v>733.32100000000003</v>
      </c>
    </row>
    <row r="2964" spans="1:8" s="5" customFormat="1" ht="17.25" hidden="1" customHeight="1" outlineLevel="1" x14ac:dyDescent="0.25">
      <c r="A2964" s="4">
        <v>1750</v>
      </c>
      <c r="B2964" s="4" t="s">
        <v>117</v>
      </c>
      <c r="C2964" s="38" t="s">
        <v>518</v>
      </c>
      <c r="D2964" s="4">
        <v>2020</v>
      </c>
      <c r="E2964" s="4" t="s">
        <v>22</v>
      </c>
      <c r="F2964" s="4">
        <v>917</v>
      </c>
      <c r="G2964" s="4">
        <v>50</v>
      </c>
      <c r="H2964" s="4">
        <v>1347.22</v>
      </c>
    </row>
    <row r="2965" spans="1:8" s="5" customFormat="1" ht="17.25" hidden="1" customHeight="1" outlineLevel="1" x14ac:dyDescent="0.25">
      <c r="A2965" s="4">
        <v>1715</v>
      </c>
      <c r="B2965" s="4" t="s">
        <v>117</v>
      </c>
      <c r="C2965" s="38" t="s">
        <v>519</v>
      </c>
      <c r="D2965" s="4">
        <v>2020</v>
      </c>
      <c r="E2965" s="4" t="s">
        <v>22</v>
      </c>
      <c r="F2965" s="4">
        <v>5</v>
      </c>
      <c r="G2965" s="4">
        <v>90</v>
      </c>
      <c r="H2965" s="4">
        <v>56.856000000000002</v>
      </c>
    </row>
    <row r="2966" spans="1:8" s="5" customFormat="1" ht="17.25" hidden="1" customHeight="1" outlineLevel="1" x14ac:dyDescent="0.25">
      <c r="A2966" s="4">
        <v>1620</v>
      </c>
      <c r="B2966" s="4" t="s">
        <v>117</v>
      </c>
      <c r="C2966" s="38" t="s">
        <v>520</v>
      </c>
      <c r="D2966" s="4">
        <v>2020</v>
      </c>
      <c r="E2966" s="4" t="s">
        <v>22</v>
      </c>
      <c r="F2966" s="4">
        <v>90</v>
      </c>
      <c r="G2966" s="4">
        <v>100</v>
      </c>
      <c r="H2966" s="4">
        <v>186.20500000000001</v>
      </c>
    </row>
    <row r="2967" spans="1:8" s="5" customFormat="1" ht="17.25" hidden="1" customHeight="1" outlineLevel="1" x14ac:dyDescent="0.25">
      <c r="A2967" s="4">
        <v>684</v>
      </c>
      <c r="B2967" s="4" t="s">
        <v>117</v>
      </c>
      <c r="C2967" s="38" t="s">
        <v>521</v>
      </c>
      <c r="D2967" s="4">
        <v>2020</v>
      </c>
      <c r="E2967" s="4" t="s">
        <v>22</v>
      </c>
      <c r="F2967" s="4">
        <v>23</v>
      </c>
      <c r="G2967" s="4">
        <v>150</v>
      </c>
      <c r="H2967" s="4">
        <v>81.602000000000004</v>
      </c>
    </row>
    <row r="2968" spans="1:8" s="5" customFormat="1" ht="17.25" hidden="1" customHeight="1" outlineLevel="1" x14ac:dyDescent="0.25">
      <c r="A2968" s="4">
        <v>240</v>
      </c>
      <c r="B2968" s="4" t="s">
        <v>117</v>
      </c>
      <c r="C2968" s="38" t="s">
        <v>522</v>
      </c>
      <c r="D2968" s="4">
        <v>2020</v>
      </c>
      <c r="E2968" s="4" t="s">
        <v>22</v>
      </c>
      <c r="F2968" s="4">
        <v>6</v>
      </c>
      <c r="G2968" s="4">
        <v>172.5</v>
      </c>
      <c r="H2968" s="4">
        <v>28.097999999999999</v>
      </c>
    </row>
    <row r="2969" spans="1:8" s="5" customFormat="1" ht="17.25" hidden="1" customHeight="1" outlineLevel="1" x14ac:dyDescent="0.25">
      <c r="A2969" s="4">
        <v>544</v>
      </c>
      <c r="B2969" s="4" t="s">
        <v>117</v>
      </c>
      <c r="C2969" s="38" t="s">
        <v>523</v>
      </c>
      <c r="D2969" s="4">
        <v>2020</v>
      </c>
      <c r="E2969" s="4" t="s">
        <v>22</v>
      </c>
      <c r="F2969" s="4">
        <v>60</v>
      </c>
      <c r="G2969" s="4">
        <v>15</v>
      </c>
      <c r="H2969" s="4">
        <v>71.87</v>
      </c>
    </row>
    <row r="2970" spans="1:8" s="5" customFormat="1" ht="17.25" hidden="1" customHeight="1" outlineLevel="1" x14ac:dyDescent="0.25">
      <c r="A2970" s="4">
        <v>1720</v>
      </c>
      <c r="B2970" s="4" t="s">
        <v>117</v>
      </c>
      <c r="C2970" s="38" t="s">
        <v>524</v>
      </c>
      <c r="D2970" s="4">
        <v>2020</v>
      </c>
      <c r="E2970" s="4" t="s">
        <v>22</v>
      </c>
      <c r="F2970" s="4">
        <v>41</v>
      </c>
      <c r="G2970" s="4">
        <v>10</v>
      </c>
      <c r="H2970" s="4">
        <v>230.76900000000001</v>
      </c>
    </row>
    <row r="2971" spans="1:8" s="5" customFormat="1" ht="17.25" hidden="1" customHeight="1" outlineLevel="1" x14ac:dyDescent="0.25">
      <c r="A2971" s="4">
        <v>984</v>
      </c>
      <c r="B2971" s="4" t="s">
        <v>117</v>
      </c>
      <c r="C2971" s="38" t="s">
        <v>525</v>
      </c>
      <c r="D2971" s="4">
        <v>2020</v>
      </c>
      <c r="E2971" s="4" t="s">
        <v>22</v>
      </c>
      <c r="F2971" s="4">
        <v>120</v>
      </c>
      <c r="G2971" s="4">
        <v>40</v>
      </c>
      <c r="H2971" s="4">
        <v>250.47900000000001</v>
      </c>
    </row>
    <row r="2972" spans="1:8" s="5" customFormat="1" ht="17.25" hidden="1" customHeight="1" outlineLevel="1" x14ac:dyDescent="0.25">
      <c r="A2972" s="4">
        <v>1744</v>
      </c>
      <c r="B2972" s="4" t="s">
        <v>117</v>
      </c>
      <c r="C2972" s="38" t="s">
        <v>526</v>
      </c>
      <c r="D2972" s="4">
        <v>2020</v>
      </c>
      <c r="E2972" s="4" t="s">
        <v>22</v>
      </c>
      <c r="F2972" s="4">
        <v>20</v>
      </c>
      <c r="G2972" s="4">
        <v>63</v>
      </c>
      <c r="H2972" s="4">
        <v>98.501999999999995</v>
      </c>
    </row>
    <row r="2973" spans="1:8" s="5" customFormat="1" ht="17.25" hidden="1" customHeight="1" outlineLevel="1" x14ac:dyDescent="0.25">
      <c r="A2973" s="4">
        <v>471</v>
      </c>
      <c r="B2973" s="4" t="s">
        <v>117</v>
      </c>
      <c r="C2973" s="38" t="s">
        <v>527</v>
      </c>
      <c r="D2973" s="4">
        <v>2020</v>
      </c>
      <c r="E2973" s="4" t="s">
        <v>22</v>
      </c>
      <c r="F2973" s="4">
        <v>46</v>
      </c>
      <c r="G2973" s="4">
        <v>60</v>
      </c>
      <c r="H2973" s="4">
        <v>199.363</v>
      </c>
    </row>
    <row r="2974" spans="1:8" s="5" customFormat="1" ht="17.25" hidden="1" customHeight="1" outlineLevel="1" x14ac:dyDescent="0.25">
      <c r="A2974" s="4">
        <v>1722</v>
      </c>
      <c r="B2974" s="4" t="s">
        <v>117</v>
      </c>
      <c r="C2974" s="38" t="s">
        <v>528</v>
      </c>
      <c r="D2974" s="4">
        <v>2020</v>
      </c>
      <c r="E2974" s="4" t="s">
        <v>22</v>
      </c>
      <c r="F2974" s="4">
        <v>5</v>
      </c>
      <c r="G2974" s="4">
        <v>180</v>
      </c>
      <c r="H2974" s="4">
        <v>89.468000000000004</v>
      </c>
    </row>
    <row r="2975" spans="1:8" s="5" customFormat="1" ht="17.25" hidden="1" customHeight="1" outlineLevel="1" x14ac:dyDescent="0.25">
      <c r="A2975" s="4">
        <v>577</v>
      </c>
      <c r="B2975" s="4" t="s">
        <v>117</v>
      </c>
      <c r="C2975" s="38" t="s">
        <v>529</v>
      </c>
      <c r="D2975" s="4">
        <v>2020</v>
      </c>
      <c r="E2975" s="4" t="s">
        <v>22</v>
      </c>
      <c r="F2975" s="4">
        <v>13</v>
      </c>
      <c r="G2975" s="4">
        <v>150</v>
      </c>
      <c r="H2975" s="4">
        <v>133.02500000000001</v>
      </c>
    </row>
    <row r="2976" spans="1:8" s="5" customFormat="1" ht="17.25" hidden="1" customHeight="1" outlineLevel="1" x14ac:dyDescent="0.25">
      <c r="A2976" s="4">
        <v>1647</v>
      </c>
      <c r="B2976" s="4" t="s">
        <v>117</v>
      </c>
      <c r="C2976" s="38" t="s">
        <v>530</v>
      </c>
      <c r="D2976" s="4">
        <v>2020</v>
      </c>
      <c r="E2976" s="4" t="s">
        <v>22</v>
      </c>
      <c r="F2976" s="4">
        <v>6</v>
      </c>
      <c r="G2976" s="4">
        <v>145</v>
      </c>
      <c r="H2976" s="4">
        <v>87.748999999999995</v>
      </c>
    </row>
    <row r="2977" spans="1:8" s="5" customFormat="1" ht="17.25" hidden="1" customHeight="1" outlineLevel="1" x14ac:dyDescent="0.25">
      <c r="A2977" s="4">
        <v>370</v>
      </c>
      <c r="B2977" s="4" t="s">
        <v>117</v>
      </c>
      <c r="C2977" s="38" t="s">
        <v>531</v>
      </c>
      <c r="D2977" s="4">
        <v>2020</v>
      </c>
      <c r="E2977" s="4" t="s">
        <v>22</v>
      </c>
      <c r="F2977" s="4">
        <v>7</v>
      </c>
      <c r="G2977" s="4">
        <v>150</v>
      </c>
      <c r="H2977" s="4">
        <v>73.891000000000005</v>
      </c>
    </row>
    <row r="2978" spans="1:8" s="5" customFormat="1" ht="17.25" hidden="1" customHeight="1" outlineLevel="1" x14ac:dyDescent="0.25">
      <c r="A2978" s="4">
        <v>1072</v>
      </c>
      <c r="B2978" s="4" t="s">
        <v>117</v>
      </c>
      <c r="C2978" s="38" t="s">
        <v>532</v>
      </c>
      <c r="D2978" s="4">
        <v>2020</v>
      </c>
      <c r="E2978" s="4" t="s">
        <v>22</v>
      </c>
      <c r="F2978" s="4">
        <v>20</v>
      </c>
      <c r="G2978" s="4">
        <v>15</v>
      </c>
      <c r="H2978" s="4">
        <v>41.87</v>
      </c>
    </row>
    <row r="2979" spans="1:8" s="5" customFormat="1" ht="17.25" hidden="1" customHeight="1" outlineLevel="1" x14ac:dyDescent="0.25">
      <c r="A2979" s="4">
        <v>396</v>
      </c>
      <c r="B2979" s="4" t="s">
        <v>117</v>
      </c>
      <c r="C2979" s="38" t="s">
        <v>10</v>
      </c>
      <c r="D2979" s="4">
        <v>2020</v>
      </c>
      <c r="E2979" s="4" t="s">
        <v>22</v>
      </c>
      <c r="F2979" s="4">
        <v>3</v>
      </c>
      <c r="G2979" s="4">
        <v>115</v>
      </c>
      <c r="H2979" s="4">
        <v>64.91</v>
      </c>
    </row>
    <row r="2980" spans="1:8" s="5" customFormat="1" ht="17.25" hidden="1" customHeight="1" outlineLevel="1" x14ac:dyDescent="0.25">
      <c r="A2980" s="4">
        <v>397</v>
      </c>
      <c r="B2980" s="4" t="s">
        <v>117</v>
      </c>
      <c r="C2980" s="38" t="s">
        <v>533</v>
      </c>
      <c r="D2980" s="4">
        <v>2020</v>
      </c>
      <c r="E2980" s="4" t="s">
        <v>22</v>
      </c>
      <c r="F2980" s="4">
        <v>63</v>
      </c>
      <c r="G2980" s="4">
        <v>150</v>
      </c>
      <c r="H2980" s="4">
        <v>74.902000000000001</v>
      </c>
    </row>
    <row r="2981" spans="1:8" s="5" customFormat="1" ht="17.25" hidden="1" customHeight="1" outlineLevel="1" x14ac:dyDescent="0.25">
      <c r="A2981" s="4">
        <v>1741</v>
      </c>
      <c r="B2981" s="4" t="s">
        <v>117</v>
      </c>
      <c r="C2981" s="38" t="s">
        <v>534</v>
      </c>
      <c r="D2981" s="4">
        <v>2020</v>
      </c>
      <c r="E2981" s="4" t="s">
        <v>22</v>
      </c>
      <c r="F2981" s="4">
        <v>160</v>
      </c>
      <c r="G2981" s="4">
        <v>150</v>
      </c>
      <c r="H2981" s="4">
        <v>453.65300000000002</v>
      </c>
    </row>
    <row r="2982" spans="1:8" s="5" customFormat="1" ht="17.25" hidden="1" customHeight="1" outlineLevel="1" x14ac:dyDescent="0.25">
      <c r="A2982" s="4">
        <v>104</v>
      </c>
      <c r="B2982" s="4" t="s">
        <v>117</v>
      </c>
      <c r="C2982" s="38" t="s">
        <v>535</v>
      </c>
      <c r="D2982" s="4">
        <v>2020</v>
      </c>
      <c r="E2982" s="4" t="s">
        <v>22</v>
      </c>
      <c r="F2982" s="4">
        <v>5</v>
      </c>
      <c r="G2982" s="4">
        <v>40</v>
      </c>
      <c r="H2982" s="4">
        <v>87.028000000000006</v>
      </c>
    </row>
    <row r="2983" spans="1:8" s="5" customFormat="1" ht="17.25" hidden="1" customHeight="1" outlineLevel="1" x14ac:dyDescent="0.25">
      <c r="A2983" s="4">
        <v>794</v>
      </c>
      <c r="B2983" s="4" t="s">
        <v>117</v>
      </c>
      <c r="C2983" s="38" t="s">
        <v>536</v>
      </c>
      <c r="D2983" s="4">
        <v>2020</v>
      </c>
      <c r="E2983" s="4" t="s">
        <v>22</v>
      </c>
      <c r="F2983" s="4">
        <v>5</v>
      </c>
      <c r="G2983" s="4">
        <v>15</v>
      </c>
      <c r="H2983" s="4">
        <v>86.906000000000006</v>
      </c>
    </row>
    <row r="2984" spans="1:8" s="5" customFormat="1" ht="17.25" hidden="1" customHeight="1" outlineLevel="1" x14ac:dyDescent="0.25">
      <c r="A2984" s="4">
        <v>1760</v>
      </c>
      <c r="B2984" s="4" t="s">
        <v>117</v>
      </c>
      <c r="C2984" s="38" t="s">
        <v>537</v>
      </c>
      <c r="D2984" s="4">
        <v>2020</v>
      </c>
      <c r="E2984" s="4" t="s">
        <v>22</v>
      </c>
      <c r="F2984" s="4">
        <v>463</v>
      </c>
      <c r="G2984" s="4">
        <v>150</v>
      </c>
      <c r="H2984" s="4">
        <v>1204.5170000000001</v>
      </c>
    </row>
    <row r="2985" spans="1:8" s="5" customFormat="1" ht="17.25" hidden="1" customHeight="1" outlineLevel="1" x14ac:dyDescent="0.25">
      <c r="A2985" s="4">
        <v>1742</v>
      </c>
      <c r="B2985" s="4" t="s">
        <v>117</v>
      </c>
      <c r="C2985" s="38" t="s">
        <v>538</v>
      </c>
      <c r="D2985" s="4">
        <v>2020</v>
      </c>
      <c r="E2985" s="4" t="s">
        <v>22</v>
      </c>
      <c r="F2985" s="4">
        <v>15</v>
      </c>
      <c r="G2985" s="4">
        <v>150</v>
      </c>
      <c r="H2985" s="4">
        <v>80.954999999999998</v>
      </c>
    </row>
    <row r="2986" spans="1:8" s="5" customFormat="1" ht="17.25" hidden="1" customHeight="1" outlineLevel="1" x14ac:dyDescent="0.25">
      <c r="A2986" s="4">
        <v>1737</v>
      </c>
      <c r="B2986" s="4" t="s">
        <v>117</v>
      </c>
      <c r="C2986" s="38" t="s">
        <v>539</v>
      </c>
      <c r="D2986" s="4">
        <v>2020</v>
      </c>
      <c r="E2986" s="4" t="s">
        <v>22</v>
      </c>
      <c r="F2986" s="4">
        <v>10</v>
      </c>
      <c r="G2986" s="4">
        <v>50</v>
      </c>
      <c r="H2986" s="4">
        <v>72.694000000000003</v>
      </c>
    </row>
    <row r="2987" spans="1:8" s="5" customFormat="1" ht="17.25" hidden="1" customHeight="1" outlineLevel="1" x14ac:dyDescent="0.25">
      <c r="A2987" s="4">
        <v>1719</v>
      </c>
      <c r="B2987" s="4" t="s">
        <v>117</v>
      </c>
      <c r="C2987" s="38" t="s">
        <v>540</v>
      </c>
      <c r="D2987" s="4">
        <v>2020</v>
      </c>
      <c r="E2987" s="4" t="s">
        <v>22</v>
      </c>
      <c r="F2987" s="4">
        <v>10</v>
      </c>
      <c r="G2987" s="4">
        <v>100</v>
      </c>
      <c r="H2987" s="4">
        <v>60.308999999999997</v>
      </c>
    </row>
    <row r="2988" spans="1:8" s="5" customFormat="1" ht="17.25" hidden="1" customHeight="1" outlineLevel="1" x14ac:dyDescent="0.25">
      <c r="A2988" s="4">
        <v>1738</v>
      </c>
      <c r="B2988" s="4" t="s">
        <v>117</v>
      </c>
      <c r="C2988" s="38" t="s">
        <v>541</v>
      </c>
      <c r="D2988" s="4">
        <v>2020</v>
      </c>
      <c r="E2988" s="4" t="s">
        <v>22</v>
      </c>
      <c r="F2988" s="4">
        <v>225</v>
      </c>
      <c r="G2988" s="4">
        <v>50</v>
      </c>
      <c r="H2988" s="4">
        <v>554.08699999999999</v>
      </c>
    </row>
    <row r="2989" spans="1:8" s="5" customFormat="1" ht="17.25" hidden="1" customHeight="1" outlineLevel="1" x14ac:dyDescent="0.25">
      <c r="A2989" s="4">
        <v>1736</v>
      </c>
      <c r="B2989" s="4" t="s">
        <v>117</v>
      </c>
      <c r="C2989" s="38" t="s">
        <v>542</v>
      </c>
      <c r="D2989" s="4">
        <v>2020</v>
      </c>
      <c r="E2989" s="4" t="s">
        <v>22</v>
      </c>
      <c r="F2989" s="4">
        <v>39</v>
      </c>
      <c r="G2989" s="4">
        <v>100</v>
      </c>
      <c r="H2989" s="4">
        <v>116.01300000000001</v>
      </c>
    </row>
    <row r="2990" spans="1:8" s="5" customFormat="1" ht="17.25" hidden="1" customHeight="1" outlineLevel="1" x14ac:dyDescent="0.25">
      <c r="A2990" s="4">
        <v>1713</v>
      </c>
      <c r="B2990" s="4" t="s">
        <v>117</v>
      </c>
      <c r="C2990" s="38" t="s">
        <v>543</v>
      </c>
      <c r="D2990" s="4">
        <v>2020</v>
      </c>
      <c r="E2990" s="4" t="s">
        <v>22</v>
      </c>
      <c r="F2990" s="4">
        <v>25</v>
      </c>
      <c r="G2990" s="4">
        <v>150</v>
      </c>
      <c r="H2990" s="4">
        <v>180.76</v>
      </c>
    </row>
    <row r="2991" spans="1:8" s="5" customFormat="1" ht="17.25" hidden="1" customHeight="1" outlineLevel="1" x14ac:dyDescent="0.25">
      <c r="A2991" s="4">
        <v>1747</v>
      </c>
      <c r="B2991" s="4" t="s">
        <v>117</v>
      </c>
      <c r="C2991" s="38" t="s">
        <v>544</v>
      </c>
      <c r="D2991" s="4">
        <v>2020</v>
      </c>
      <c r="E2991" s="4" t="s">
        <v>22</v>
      </c>
      <c r="F2991" s="4">
        <v>21</v>
      </c>
      <c r="G2991" s="4">
        <v>150</v>
      </c>
      <c r="H2991" s="4">
        <v>156.036</v>
      </c>
    </row>
    <row r="2992" spans="1:8" s="5" customFormat="1" ht="17.25" hidden="1" customHeight="1" outlineLevel="1" x14ac:dyDescent="0.25">
      <c r="A2992" s="4">
        <v>1701</v>
      </c>
      <c r="B2992" s="4" t="s">
        <v>117</v>
      </c>
      <c r="C2992" s="38" t="s">
        <v>545</v>
      </c>
      <c r="D2992" s="4">
        <v>2020</v>
      </c>
      <c r="E2992" s="4" t="s">
        <v>22</v>
      </c>
      <c r="F2992" s="4">
        <v>20</v>
      </c>
      <c r="G2992" s="4">
        <v>150</v>
      </c>
      <c r="H2992" s="4">
        <v>189.40199999999999</v>
      </c>
    </row>
    <row r="2993" spans="1:8" s="5" customFormat="1" ht="17.25" hidden="1" customHeight="1" outlineLevel="1" x14ac:dyDescent="0.25">
      <c r="A2993" s="4">
        <v>1145</v>
      </c>
      <c r="B2993" s="4" t="s">
        <v>117</v>
      </c>
      <c r="C2993" s="38" t="s">
        <v>546</v>
      </c>
      <c r="D2993" s="4">
        <v>2020</v>
      </c>
      <c r="E2993" s="4" t="s">
        <v>22</v>
      </c>
      <c r="F2993" s="4">
        <v>15</v>
      </c>
      <c r="G2993" s="4">
        <v>15</v>
      </c>
      <c r="H2993" s="4">
        <v>77.724000000000004</v>
      </c>
    </row>
    <row r="2994" spans="1:8" s="5" customFormat="1" ht="17.25" hidden="1" customHeight="1" outlineLevel="1" x14ac:dyDescent="0.25">
      <c r="A2994" s="4">
        <v>1756</v>
      </c>
      <c r="B2994" s="4" t="s">
        <v>117</v>
      </c>
      <c r="C2994" s="38" t="s">
        <v>547</v>
      </c>
      <c r="D2994" s="4">
        <v>2020</v>
      </c>
      <c r="E2994" s="4" t="s">
        <v>22</v>
      </c>
      <c r="F2994" s="4">
        <v>10</v>
      </c>
      <c r="G2994" s="4">
        <v>145</v>
      </c>
      <c r="H2994" s="4">
        <v>67.727000000000004</v>
      </c>
    </row>
    <row r="2995" spans="1:8" s="5" customFormat="1" ht="17.25" hidden="1" customHeight="1" outlineLevel="1" x14ac:dyDescent="0.25">
      <c r="A2995" s="4">
        <v>1749</v>
      </c>
      <c r="B2995" s="4" t="s">
        <v>117</v>
      </c>
      <c r="C2995" s="38" t="s">
        <v>548</v>
      </c>
      <c r="D2995" s="4">
        <v>2020</v>
      </c>
      <c r="E2995" s="4" t="s">
        <v>22</v>
      </c>
      <c r="F2995" s="4">
        <v>1176</v>
      </c>
      <c r="G2995" s="4">
        <v>15</v>
      </c>
      <c r="H2995" s="4">
        <v>1796.3630000000001</v>
      </c>
    </row>
    <row r="2996" spans="1:8" s="5" customFormat="1" ht="17.25" hidden="1" customHeight="1" outlineLevel="1" x14ac:dyDescent="0.25">
      <c r="A2996" s="4">
        <v>1704</v>
      </c>
      <c r="B2996" s="4" t="s">
        <v>117</v>
      </c>
      <c r="C2996" s="38" t="s">
        <v>549</v>
      </c>
      <c r="D2996" s="4">
        <v>2020</v>
      </c>
      <c r="E2996" s="4" t="s">
        <v>22</v>
      </c>
      <c r="F2996" s="4">
        <v>32</v>
      </c>
      <c r="G2996" s="4">
        <v>1020</v>
      </c>
      <c r="H2996" s="4">
        <v>530.10799999999995</v>
      </c>
    </row>
    <row r="2997" spans="1:8" s="5" customFormat="1" ht="17.25" hidden="1" customHeight="1" outlineLevel="1" x14ac:dyDescent="0.25">
      <c r="A2997" s="4">
        <v>1658</v>
      </c>
      <c r="B2997" s="4" t="s">
        <v>117</v>
      </c>
      <c r="C2997" s="38" t="s">
        <v>550</v>
      </c>
      <c r="D2997" s="4">
        <v>2020</v>
      </c>
      <c r="E2997" s="4" t="s">
        <v>22</v>
      </c>
      <c r="F2997" s="4">
        <v>50</v>
      </c>
      <c r="G2997" s="4">
        <v>15</v>
      </c>
      <c r="H2997" s="4">
        <v>94.620999999999995</v>
      </c>
    </row>
    <row r="2998" spans="1:8" s="5" customFormat="1" ht="17.25" hidden="1" customHeight="1" outlineLevel="1" x14ac:dyDescent="0.25">
      <c r="A2998" s="4">
        <v>256</v>
      </c>
      <c r="B2998" s="4" t="s">
        <v>117</v>
      </c>
      <c r="C2998" s="38" t="s">
        <v>551</v>
      </c>
      <c r="D2998" s="4">
        <v>2020</v>
      </c>
      <c r="E2998" s="4" t="s">
        <v>22</v>
      </c>
      <c r="F2998" s="4">
        <v>118</v>
      </c>
      <c r="G2998" s="4">
        <v>90</v>
      </c>
      <c r="H2998" s="4">
        <v>446.19600000000003</v>
      </c>
    </row>
    <row r="2999" spans="1:8" s="5" customFormat="1" ht="17.25" hidden="1" customHeight="1" outlineLevel="1" x14ac:dyDescent="0.25">
      <c r="A2999" s="4">
        <v>1622</v>
      </c>
      <c r="B2999" s="4" t="s">
        <v>117</v>
      </c>
      <c r="C2999" s="38" t="s">
        <v>552</v>
      </c>
      <c r="D2999" s="4">
        <v>2020</v>
      </c>
      <c r="E2999" s="4" t="s">
        <v>22</v>
      </c>
      <c r="F2999" s="4">
        <v>693</v>
      </c>
      <c r="G2999" s="4">
        <v>75</v>
      </c>
      <c r="H2999" s="4">
        <v>1003.1495</v>
      </c>
    </row>
    <row r="3000" spans="1:8" s="5" customFormat="1" ht="17.25" hidden="1" customHeight="1" outlineLevel="1" x14ac:dyDescent="0.25">
      <c r="A3000" s="4">
        <v>1665</v>
      </c>
      <c r="B3000" s="4" t="s">
        <v>117</v>
      </c>
      <c r="C3000" s="38" t="s">
        <v>553</v>
      </c>
      <c r="D3000" s="4">
        <v>2020</v>
      </c>
      <c r="E3000" s="4" t="s">
        <v>22</v>
      </c>
      <c r="F3000" s="4">
        <v>60</v>
      </c>
      <c r="G3000" s="4">
        <v>150</v>
      </c>
      <c r="H3000" s="4">
        <v>113.905</v>
      </c>
    </row>
    <row r="3001" spans="1:8" s="5" customFormat="1" ht="17.25" hidden="1" customHeight="1" outlineLevel="1" x14ac:dyDescent="0.25">
      <c r="A3001" s="4">
        <v>517</v>
      </c>
      <c r="B3001" s="4" t="s">
        <v>117</v>
      </c>
      <c r="C3001" s="38" t="s">
        <v>554</v>
      </c>
      <c r="D3001" s="4">
        <v>2020</v>
      </c>
      <c r="E3001" s="4" t="s">
        <v>22</v>
      </c>
      <c r="F3001" s="4">
        <v>110</v>
      </c>
      <c r="G3001" s="4">
        <v>68</v>
      </c>
      <c r="H3001" s="4">
        <v>341.81</v>
      </c>
    </row>
    <row r="3002" spans="1:8" s="5" customFormat="1" ht="17.25" hidden="1" customHeight="1" outlineLevel="1" x14ac:dyDescent="0.25">
      <c r="A3002" s="4">
        <v>1670</v>
      </c>
      <c r="B3002" s="4" t="s">
        <v>117</v>
      </c>
      <c r="C3002" s="38" t="s">
        <v>555</v>
      </c>
      <c r="D3002" s="4">
        <v>2020</v>
      </c>
      <c r="E3002" s="4" t="s">
        <v>22</v>
      </c>
      <c r="F3002" s="4">
        <v>27</v>
      </c>
      <c r="G3002" s="4">
        <v>15</v>
      </c>
      <c r="H3002" s="4">
        <v>65.072999999999993</v>
      </c>
    </row>
    <row r="3003" spans="1:8" s="5" customFormat="1" ht="17.25" hidden="1" customHeight="1" outlineLevel="1" x14ac:dyDescent="0.25">
      <c r="A3003" s="4">
        <v>123</v>
      </c>
      <c r="B3003" s="4" t="s">
        <v>117</v>
      </c>
      <c r="C3003" s="38" t="s">
        <v>556</v>
      </c>
      <c r="D3003" s="4">
        <v>2020</v>
      </c>
      <c r="E3003" s="4" t="s">
        <v>22</v>
      </c>
      <c r="F3003" s="4">
        <v>348</v>
      </c>
      <c r="G3003" s="4">
        <v>30</v>
      </c>
      <c r="H3003" s="4">
        <v>527.89099999999996</v>
      </c>
    </row>
    <row r="3004" spans="1:8" s="5" customFormat="1" ht="17.25" hidden="1" customHeight="1" outlineLevel="1" x14ac:dyDescent="0.25">
      <c r="A3004" s="4">
        <v>1666</v>
      </c>
      <c r="B3004" s="4" t="s">
        <v>117</v>
      </c>
      <c r="C3004" s="38" t="s">
        <v>557</v>
      </c>
      <c r="D3004" s="4">
        <v>2020</v>
      </c>
      <c r="E3004" s="4" t="s">
        <v>22</v>
      </c>
      <c r="F3004" s="4">
        <v>458</v>
      </c>
      <c r="G3004" s="4">
        <v>10</v>
      </c>
      <c r="H3004" s="4">
        <v>556.952</v>
      </c>
    </row>
    <row r="3005" spans="1:8" s="5" customFormat="1" ht="17.25" hidden="1" customHeight="1" outlineLevel="1" x14ac:dyDescent="0.25">
      <c r="A3005" s="4">
        <v>1657</v>
      </c>
      <c r="B3005" s="4" t="s">
        <v>117</v>
      </c>
      <c r="C3005" s="38" t="s">
        <v>558</v>
      </c>
      <c r="D3005" s="4">
        <v>2020</v>
      </c>
      <c r="E3005" s="4" t="s">
        <v>22</v>
      </c>
      <c r="F3005" s="4">
        <v>56</v>
      </c>
      <c r="G3005" s="4">
        <v>35</v>
      </c>
      <c r="H3005" s="4">
        <v>222.85499999999999</v>
      </c>
    </row>
    <row r="3006" spans="1:8" s="5" customFormat="1" ht="17.25" hidden="1" customHeight="1" outlineLevel="1" x14ac:dyDescent="0.25">
      <c r="A3006" s="4">
        <v>1656</v>
      </c>
      <c r="B3006" s="4" t="s">
        <v>117</v>
      </c>
      <c r="C3006" s="38" t="s">
        <v>559</v>
      </c>
      <c r="D3006" s="4">
        <v>2020</v>
      </c>
      <c r="E3006" s="4" t="s">
        <v>22</v>
      </c>
      <c r="F3006" s="4">
        <v>1026</v>
      </c>
      <c r="G3006" s="4">
        <v>150</v>
      </c>
      <c r="H3006" s="4">
        <v>1642.3150000000001</v>
      </c>
    </row>
    <row r="3007" spans="1:8" s="5" customFormat="1" ht="17.25" hidden="1" customHeight="1" outlineLevel="1" x14ac:dyDescent="0.25">
      <c r="A3007" s="4">
        <v>542</v>
      </c>
      <c r="B3007" s="4" t="s">
        <v>117</v>
      </c>
      <c r="C3007" s="38" t="s">
        <v>560</v>
      </c>
      <c r="D3007" s="4">
        <v>2020</v>
      </c>
      <c r="E3007" s="4" t="s">
        <v>22</v>
      </c>
      <c r="F3007" s="4">
        <v>6</v>
      </c>
      <c r="G3007" s="4">
        <v>130</v>
      </c>
      <c r="H3007" s="4">
        <v>73.025000000000006</v>
      </c>
    </row>
    <row r="3008" spans="1:8" s="5" customFormat="1" ht="17.25" hidden="1" customHeight="1" outlineLevel="1" x14ac:dyDescent="0.25">
      <c r="A3008" s="4">
        <v>1046</v>
      </c>
      <c r="B3008" s="4" t="s">
        <v>117</v>
      </c>
      <c r="C3008" s="38" t="s">
        <v>561</v>
      </c>
      <c r="D3008" s="4">
        <v>2020</v>
      </c>
      <c r="E3008" s="4" t="s">
        <v>22</v>
      </c>
      <c r="F3008" s="4">
        <v>30</v>
      </c>
      <c r="G3008" s="4">
        <v>150</v>
      </c>
      <c r="H3008" s="4">
        <v>118.721</v>
      </c>
    </row>
    <row r="3009" spans="1:8" s="5" customFormat="1" ht="17.25" hidden="1" customHeight="1" outlineLevel="1" x14ac:dyDescent="0.25">
      <c r="A3009" s="4">
        <v>398</v>
      </c>
      <c r="B3009" s="4" t="s">
        <v>117</v>
      </c>
      <c r="C3009" s="38" t="s">
        <v>562</v>
      </c>
      <c r="D3009" s="4">
        <v>2020</v>
      </c>
      <c r="E3009" s="4" t="s">
        <v>22</v>
      </c>
      <c r="F3009" s="4">
        <v>334</v>
      </c>
      <c r="G3009" s="4">
        <v>310</v>
      </c>
      <c r="H3009" s="4">
        <v>389.31799999999998</v>
      </c>
    </row>
    <row r="3010" spans="1:8" s="5" customFormat="1" ht="17.25" hidden="1" customHeight="1" outlineLevel="1" x14ac:dyDescent="0.25">
      <c r="A3010" s="4">
        <v>1026</v>
      </c>
      <c r="B3010" s="4" t="s">
        <v>117</v>
      </c>
      <c r="C3010" s="38" t="s">
        <v>563</v>
      </c>
      <c r="D3010" s="4">
        <v>2020</v>
      </c>
      <c r="E3010" s="4" t="s">
        <v>22</v>
      </c>
      <c r="F3010" s="4">
        <v>672</v>
      </c>
      <c r="G3010" s="4">
        <v>150</v>
      </c>
      <c r="H3010" s="4">
        <v>1155.8009999999999</v>
      </c>
    </row>
    <row r="3011" spans="1:8" s="5" customFormat="1" ht="17.25" hidden="1" customHeight="1" outlineLevel="1" x14ac:dyDescent="0.25">
      <c r="A3011" s="4">
        <v>1669</v>
      </c>
      <c r="B3011" s="4" t="s">
        <v>117</v>
      </c>
      <c r="C3011" s="38" t="s">
        <v>564</v>
      </c>
      <c r="D3011" s="4">
        <v>2020</v>
      </c>
      <c r="E3011" s="4" t="s">
        <v>22</v>
      </c>
      <c r="F3011" s="4">
        <v>243</v>
      </c>
      <c r="G3011" s="4">
        <v>70</v>
      </c>
      <c r="H3011" s="4">
        <v>362.16</v>
      </c>
    </row>
    <row r="3012" spans="1:8" s="5" customFormat="1" ht="17.25" hidden="1" customHeight="1" outlineLevel="1" x14ac:dyDescent="0.25">
      <c r="A3012" s="4">
        <v>742</v>
      </c>
      <c r="B3012" s="4" t="s">
        <v>117</v>
      </c>
      <c r="C3012" s="38" t="s">
        <v>565</v>
      </c>
      <c r="D3012" s="4">
        <v>2020</v>
      </c>
      <c r="E3012" s="4" t="s">
        <v>22</v>
      </c>
      <c r="F3012" s="4">
        <v>1226</v>
      </c>
      <c r="G3012" s="4">
        <v>150</v>
      </c>
      <c r="H3012" s="4">
        <v>1580.2049999999999</v>
      </c>
    </row>
    <row r="3013" spans="1:8" s="5" customFormat="1" ht="17.25" hidden="1" customHeight="1" outlineLevel="1" x14ac:dyDescent="0.25">
      <c r="A3013" s="4">
        <v>646</v>
      </c>
      <c r="B3013" s="4" t="s">
        <v>117</v>
      </c>
      <c r="C3013" s="38" t="s">
        <v>566</v>
      </c>
      <c r="D3013" s="4">
        <v>2020</v>
      </c>
      <c r="E3013" s="4" t="s">
        <v>22</v>
      </c>
      <c r="F3013" s="4">
        <v>75</v>
      </c>
      <c r="G3013" s="4">
        <v>70</v>
      </c>
      <c r="H3013" s="4">
        <v>244.23400000000001</v>
      </c>
    </row>
    <row r="3014" spans="1:8" s="5" customFormat="1" ht="17.25" hidden="1" customHeight="1" outlineLevel="1" x14ac:dyDescent="0.25">
      <c r="A3014" s="4">
        <v>1652</v>
      </c>
      <c r="B3014" s="4" t="s">
        <v>117</v>
      </c>
      <c r="C3014" s="38" t="s">
        <v>567</v>
      </c>
      <c r="D3014" s="4">
        <v>2020</v>
      </c>
      <c r="E3014" s="4" t="s">
        <v>22</v>
      </c>
      <c r="F3014" s="4">
        <v>3113</v>
      </c>
      <c r="G3014" s="4">
        <v>15</v>
      </c>
      <c r="H3014" s="4">
        <v>5274.9930000000004</v>
      </c>
    </row>
    <row r="3015" spans="1:8" s="5" customFormat="1" ht="17.25" hidden="1" customHeight="1" outlineLevel="1" x14ac:dyDescent="0.25">
      <c r="A3015" s="4">
        <v>1767</v>
      </c>
      <c r="B3015" s="4" t="s">
        <v>117</v>
      </c>
      <c r="C3015" s="38" t="s">
        <v>568</v>
      </c>
      <c r="D3015" s="4">
        <v>2020</v>
      </c>
      <c r="E3015" s="4" t="s">
        <v>22</v>
      </c>
      <c r="F3015" s="4">
        <v>3</v>
      </c>
      <c r="G3015" s="4">
        <v>110</v>
      </c>
      <c r="H3015" s="4">
        <v>87.506</v>
      </c>
    </row>
    <row r="3016" spans="1:8" s="5" customFormat="1" ht="17.25" hidden="1" customHeight="1" outlineLevel="1" x14ac:dyDescent="0.25">
      <c r="A3016" s="4">
        <v>1728</v>
      </c>
      <c r="B3016" s="4" t="s">
        <v>117</v>
      </c>
      <c r="C3016" s="38" t="s">
        <v>569</v>
      </c>
      <c r="D3016" s="4">
        <v>2020</v>
      </c>
      <c r="E3016" s="4" t="s">
        <v>22</v>
      </c>
      <c r="F3016" s="4">
        <v>10</v>
      </c>
      <c r="G3016" s="4">
        <v>150</v>
      </c>
      <c r="H3016" s="4">
        <v>35.28</v>
      </c>
    </row>
    <row r="3017" spans="1:8" s="5" customFormat="1" ht="17.25" hidden="1" customHeight="1" outlineLevel="1" x14ac:dyDescent="0.25">
      <c r="A3017" s="4">
        <v>1913</v>
      </c>
      <c r="B3017" s="4" t="s">
        <v>117</v>
      </c>
      <c r="C3017" s="38" t="s">
        <v>570</v>
      </c>
      <c r="D3017" s="4">
        <v>2020</v>
      </c>
      <c r="E3017" s="4" t="s">
        <v>22</v>
      </c>
      <c r="F3017" s="4">
        <v>250</v>
      </c>
      <c r="G3017" s="4">
        <v>150</v>
      </c>
      <c r="H3017" s="4">
        <v>348.27100000000002</v>
      </c>
    </row>
    <row r="3018" spans="1:8" s="5" customFormat="1" ht="17.25" hidden="1" customHeight="1" outlineLevel="1" x14ac:dyDescent="0.25">
      <c r="A3018" s="4">
        <v>1653</v>
      </c>
      <c r="B3018" s="4" t="s">
        <v>117</v>
      </c>
      <c r="C3018" s="38" t="s">
        <v>571</v>
      </c>
      <c r="D3018" s="4">
        <v>2020</v>
      </c>
      <c r="E3018" s="4" t="s">
        <v>22</v>
      </c>
      <c r="F3018" s="4">
        <v>15</v>
      </c>
      <c r="G3018" s="4">
        <v>149</v>
      </c>
      <c r="H3018" s="4">
        <v>32.145000000000003</v>
      </c>
    </row>
    <row r="3019" spans="1:8" s="5" customFormat="1" ht="66.75" hidden="1" customHeight="1" outlineLevel="1" x14ac:dyDescent="0.25">
      <c r="A3019" s="4">
        <v>1649</v>
      </c>
      <c r="B3019" s="4" t="s">
        <v>117</v>
      </c>
      <c r="C3019" s="38" t="s">
        <v>572</v>
      </c>
      <c r="D3019" s="4">
        <v>2020</v>
      </c>
      <c r="E3019" s="4" t="s">
        <v>22</v>
      </c>
      <c r="F3019" s="4">
        <v>5</v>
      </c>
      <c r="G3019" s="4">
        <v>423</v>
      </c>
      <c r="H3019" s="4">
        <v>245.84</v>
      </c>
    </row>
    <row r="3020" spans="1:8" s="5" customFormat="1" ht="17.25" hidden="1" customHeight="1" outlineLevel="1" x14ac:dyDescent="0.25">
      <c r="A3020" s="4">
        <v>1729</v>
      </c>
      <c r="B3020" s="4" t="s">
        <v>117</v>
      </c>
      <c r="C3020" s="38" t="s">
        <v>573</v>
      </c>
      <c r="D3020" s="4">
        <v>2020</v>
      </c>
      <c r="E3020" s="4" t="s">
        <v>22</v>
      </c>
      <c r="F3020" s="4">
        <v>38</v>
      </c>
      <c r="G3020" s="4">
        <v>135</v>
      </c>
      <c r="H3020" s="4">
        <v>267.33600000000001</v>
      </c>
    </row>
    <row r="3021" spans="1:8" s="5" customFormat="1" ht="17.25" hidden="1" customHeight="1" outlineLevel="1" x14ac:dyDescent="0.25">
      <c r="A3021" s="4">
        <v>172</v>
      </c>
      <c r="B3021" s="4" t="s">
        <v>117</v>
      </c>
      <c r="C3021" s="38" t="s">
        <v>574</v>
      </c>
      <c r="D3021" s="4">
        <v>2020</v>
      </c>
      <c r="E3021" s="4" t="s">
        <v>22</v>
      </c>
      <c r="F3021" s="4">
        <v>10</v>
      </c>
      <c r="G3021" s="4">
        <v>100</v>
      </c>
      <c r="H3021" s="4">
        <v>43.908999999999999</v>
      </c>
    </row>
    <row r="3022" spans="1:8" s="5" customFormat="1" ht="17.25" hidden="1" customHeight="1" outlineLevel="1" x14ac:dyDescent="0.25">
      <c r="A3022" s="4">
        <v>1708</v>
      </c>
      <c r="B3022" s="4" t="s">
        <v>117</v>
      </c>
      <c r="C3022" s="38" t="s">
        <v>575</v>
      </c>
      <c r="D3022" s="4">
        <v>2020</v>
      </c>
      <c r="E3022" s="4" t="s">
        <v>22</v>
      </c>
      <c r="F3022" s="4">
        <v>643</v>
      </c>
      <c r="G3022" s="4">
        <v>368</v>
      </c>
      <c r="H3022" s="4">
        <v>2416.9029999999998</v>
      </c>
    </row>
    <row r="3023" spans="1:8" s="5" customFormat="1" ht="17.25" hidden="1" customHeight="1" outlineLevel="1" x14ac:dyDescent="0.25">
      <c r="A3023" s="4">
        <v>854</v>
      </c>
      <c r="B3023" s="4" t="s">
        <v>117</v>
      </c>
      <c r="C3023" s="38" t="s">
        <v>576</v>
      </c>
      <c r="D3023" s="4">
        <v>2020</v>
      </c>
      <c r="E3023" s="4" t="s">
        <v>22</v>
      </c>
      <c r="F3023" s="4">
        <v>60</v>
      </c>
      <c r="G3023" s="4">
        <v>80</v>
      </c>
      <c r="H3023" s="4">
        <v>158.11799999999999</v>
      </c>
    </row>
    <row r="3024" spans="1:8" s="5" customFormat="1" ht="17.25" hidden="1" customHeight="1" outlineLevel="1" x14ac:dyDescent="0.25">
      <c r="A3024" s="4">
        <v>64</v>
      </c>
      <c r="B3024" s="4" t="s">
        <v>117</v>
      </c>
      <c r="C3024" s="38" t="s">
        <v>577</v>
      </c>
      <c r="D3024" s="4">
        <v>2020</v>
      </c>
      <c r="E3024" s="4" t="s">
        <v>22</v>
      </c>
      <c r="F3024" s="4">
        <v>187</v>
      </c>
      <c r="G3024" s="4">
        <v>15</v>
      </c>
      <c r="H3024" s="4">
        <v>491.108</v>
      </c>
    </row>
    <row r="3025" spans="1:8" s="5" customFormat="1" ht="17.25" hidden="1" customHeight="1" outlineLevel="1" x14ac:dyDescent="0.25">
      <c r="A3025" s="4">
        <v>1651</v>
      </c>
      <c r="B3025" s="4" t="s">
        <v>117</v>
      </c>
      <c r="C3025" s="38" t="s">
        <v>578</v>
      </c>
      <c r="D3025" s="4">
        <v>2020</v>
      </c>
      <c r="E3025" s="4" t="s">
        <v>22</v>
      </c>
      <c r="F3025" s="4">
        <v>274</v>
      </c>
      <c r="G3025" s="4">
        <v>15</v>
      </c>
      <c r="H3025" s="4">
        <v>810.39499999999998</v>
      </c>
    </row>
    <row r="3026" spans="1:8" s="5" customFormat="1" ht="17.25" hidden="1" customHeight="1" outlineLevel="1" x14ac:dyDescent="0.25">
      <c r="A3026" s="4">
        <v>771</v>
      </c>
      <c r="B3026" s="4" t="s">
        <v>117</v>
      </c>
      <c r="C3026" s="38" t="s">
        <v>579</v>
      </c>
      <c r="D3026" s="4">
        <v>2020</v>
      </c>
      <c r="E3026" s="4" t="s">
        <v>22</v>
      </c>
      <c r="F3026" s="4">
        <v>13</v>
      </c>
      <c r="G3026" s="4">
        <v>15</v>
      </c>
      <c r="H3026" s="4">
        <v>93.822999999999993</v>
      </c>
    </row>
    <row r="3027" spans="1:8" s="5" customFormat="1" ht="17.25" hidden="1" customHeight="1" outlineLevel="1" x14ac:dyDescent="0.25">
      <c r="A3027" s="4">
        <v>1671</v>
      </c>
      <c r="B3027" s="4" t="s">
        <v>117</v>
      </c>
      <c r="C3027" s="38" t="s">
        <v>580</v>
      </c>
      <c r="D3027" s="4">
        <v>2020</v>
      </c>
      <c r="E3027" s="4" t="s">
        <v>22</v>
      </c>
      <c r="F3027" s="4">
        <v>1294</v>
      </c>
      <c r="G3027" s="4">
        <v>15</v>
      </c>
      <c r="H3027" s="4">
        <v>2144.2910000000002</v>
      </c>
    </row>
    <row r="3028" spans="1:8" s="5" customFormat="1" ht="17.25" hidden="1" customHeight="1" outlineLevel="1" x14ac:dyDescent="0.25">
      <c r="A3028" s="4">
        <v>1705</v>
      </c>
      <c r="B3028" s="4" t="s">
        <v>117</v>
      </c>
      <c r="C3028" s="38" t="s">
        <v>581</v>
      </c>
      <c r="D3028" s="4">
        <v>2020</v>
      </c>
      <c r="E3028" s="4" t="s">
        <v>22</v>
      </c>
      <c r="F3028" s="4">
        <v>38</v>
      </c>
      <c r="G3028" s="4">
        <v>264</v>
      </c>
      <c r="H3028" s="4">
        <v>183.279</v>
      </c>
    </row>
    <row r="3029" spans="1:8" s="5" customFormat="1" ht="17.25" hidden="1" customHeight="1" outlineLevel="1" x14ac:dyDescent="0.25">
      <c r="A3029" s="4">
        <v>168</v>
      </c>
      <c r="B3029" s="4" t="s">
        <v>117</v>
      </c>
      <c r="C3029" s="38" t="s">
        <v>582</v>
      </c>
      <c r="D3029" s="4">
        <v>2020</v>
      </c>
      <c r="E3029" s="4" t="s">
        <v>22</v>
      </c>
      <c r="F3029" s="4">
        <v>45</v>
      </c>
      <c r="G3029" s="4">
        <v>70</v>
      </c>
      <c r="H3029" s="4">
        <v>175.363</v>
      </c>
    </row>
    <row r="3030" spans="1:8" s="5" customFormat="1" ht="17.25" hidden="1" customHeight="1" outlineLevel="1" x14ac:dyDescent="0.25">
      <c r="A3030" s="4">
        <v>137</v>
      </c>
      <c r="B3030" s="4" t="s">
        <v>117</v>
      </c>
      <c r="C3030" s="38" t="s">
        <v>583</v>
      </c>
      <c r="D3030" s="4">
        <v>2020</v>
      </c>
      <c r="E3030" s="4" t="s">
        <v>22</v>
      </c>
      <c r="F3030" s="4">
        <v>8</v>
      </c>
      <c r="G3030" s="4">
        <v>71</v>
      </c>
      <c r="H3030" s="4">
        <v>88.013999999999996</v>
      </c>
    </row>
    <row r="3031" spans="1:8" s="5" customFormat="1" ht="17.25" hidden="1" customHeight="1" outlineLevel="1" x14ac:dyDescent="0.25">
      <c r="A3031" s="4">
        <v>1667</v>
      </c>
      <c r="B3031" s="4" t="s">
        <v>117</v>
      </c>
      <c r="C3031" s="38" t="s">
        <v>584</v>
      </c>
      <c r="D3031" s="4">
        <v>2020</v>
      </c>
      <c r="E3031" s="4" t="s">
        <v>22</v>
      </c>
      <c r="F3031" s="4">
        <v>374</v>
      </c>
      <c r="G3031" s="4">
        <v>120</v>
      </c>
      <c r="H3031" s="4">
        <v>517.81299999999999</v>
      </c>
    </row>
    <row r="3032" spans="1:8" s="5" customFormat="1" ht="18.75" hidden="1" customHeight="1" outlineLevel="1" x14ac:dyDescent="0.25">
      <c r="A3032" s="4">
        <v>667</v>
      </c>
      <c r="B3032" s="4" t="s">
        <v>117</v>
      </c>
      <c r="C3032" s="38" t="s">
        <v>144</v>
      </c>
      <c r="D3032" s="4">
        <v>2020</v>
      </c>
      <c r="E3032" s="4" t="s">
        <v>22</v>
      </c>
      <c r="F3032" s="4">
        <v>545</v>
      </c>
      <c r="G3032" s="4">
        <v>15</v>
      </c>
      <c r="H3032" s="4">
        <v>1071.1949999999999</v>
      </c>
    </row>
    <row r="3033" spans="1:8" s="5" customFormat="1" ht="18.75" hidden="1" customHeight="1" outlineLevel="1" x14ac:dyDescent="0.25">
      <c r="A3033" s="4">
        <v>1806</v>
      </c>
      <c r="B3033" s="4" t="s">
        <v>117</v>
      </c>
      <c r="C3033" s="38" t="s">
        <v>168</v>
      </c>
      <c r="D3033" s="4">
        <v>2020</v>
      </c>
      <c r="E3033" s="4" t="s">
        <v>22</v>
      </c>
      <c r="F3033" s="4">
        <v>182</v>
      </c>
      <c r="G3033" s="4">
        <v>10</v>
      </c>
      <c r="H3033" s="4">
        <v>337</v>
      </c>
    </row>
    <row r="3034" spans="1:8" s="5" customFormat="1" ht="18.75" hidden="1" customHeight="1" outlineLevel="1" x14ac:dyDescent="0.25">
      <c r="A3034" s="4">
        <v>262</v>
      </c>
      <c r="B3034" s="4" t="s">
        <v>117</v>
      </c>
      <c r="C3034" s="38" t="s">
        <v>169</v>
      </c>
      <c r="D3034" s="4">
        <v>2020</v>
      </c>
      <c r="E3034" s="4" t="s">
        <v>22</v>
      </c>
      <c r="F3034" s="4">
        <v>25</v>
      </c>
      <c r="G3034" s="4">
        <v>80</v>
      </c>
      <c r="H3034" s="4">
        <v>109</v>
      </c>
    </row>
    <row r="3035" spans="1:8" s="5" customFormat="1" ht="18.75" hidden="1" customHeight="1" outlineLevel="1" x14ac:dyDescent="0.25">
      <c r="A3035" s="4">
        <v>934</v>
      </c>
      <c r="B3035" s="4" t="s">
        <v>117</v>
      </c>
      <c r="C3035" s="38" t="s">
        <v>170</v>
      </c>
      <c r="D3035" s="4">
        <v>2020</v>
      </c>
      <c r="E3035" s="4" t="s">
        <v>22</v>
      </c>
      <c r="F3035" s="4">
        <v>16</v>
      </c>
      <c r="G3035" s="4">
        <v>150</v>
      </c>
      <c r="H3035" s="4">
        <v>67</v>
      </c>
    </row>
    <row r="3036" spans="1:8" s="5" customFormat="1" ht="18.75" hidden="1" customHeight="1" outlineLevel="1" x14ac:dyDescent="0.25">
      <c r="A3036" s="4">
        <v>348</v>
      </c>
      <c r="B3036" s="4" t="s">
        <v>117</v>
      </c>
      <c r="C3036" s="38" t="s">
        <v>171</v>
      </c>
      <c r="D3036" s="4">
        <v>2020</v>
      </c>
      <c r="E3036" s="4" t="s">
        <v>22</v>
      </c>
      <c r="F3036" s="4">
        <v>25</v>
      </c>
      <c r="G3036" s="4">
        <v>30</v>
      </c>
      <c r="H3036" s="4">
        <v>163</v>
      </c>
    </row>
    <row r="3037" spans="1:8" s="5" customFormat="1" ht="18.75" hidden="1" customHeight="1" outlineLevel="1" x14ac:dyDescent="0.25">
      <c r="A3037" s="4">
        <v>1808</v>
      </c>
      <c r="B3037" s="4" t="s">
        <v>117</v>
      </c>
      <c r="C3037" s="38" t="s">
        <v>172</v>
      </c>
      <c r="D3037" s="4">
        <v>2020</v>
      </c>
      <c r="E3037" s="4" t="s">
        <v>22</v>
      </c>
      <c r="F3037" s="4">
        <v>20</v>
      </c>
      <c r="G3037" s="4">
        <v>1.2</v>
      </c>
      <c r="H3037" s="4">
        <v>93</v>
      </c>
    </row>
    <row r="3038" spans="1:8" s="5" customFormat="1" ht="18.75" hidden="1" customHeight="1" outlineLevel="1" x14ac:dyDescent="0.25">
      <c r="A3038" s="4">
        <v>218</v>
      </c>
      <c r="B3038" s="4" t="s">
        <v>117</v>
      </c>
      <c r="C3038" s="38" t="s">
        <v>173</v>
      </c>
      <c r="D3038" s="4">
        <v>2020</v>
      </c>
      <c r="E3038" s="4" t="s">
        <v>22</v>
      </c>
      <c r="F3038" s="4">
        <v>11</v>
      </c>
      <c r="G3038" s="4">
        <v>15</v>
      </c>
      <c r="H3038" s="4">
        <v>92</v>
      </c>
    </row>
    <row r="3039" spans="1:8" s="5" customFormat="1" ht="18.75" hidden="1" customHeight="1" outlineLevel="1" x14ac:dyDescent="0.25">
      <c r="A3039" s="4">
        <v>515</v>
      </c>
      <c r="B3039" s="4" t="s">
        <v>117</v>
      </c>
      <c r="C3039" s="38" t="s">
        <v>174</v>
      </c>
      <c r="D3039" s="4">
        <v>2020</v>
      </c>
      <c r="E3039" s="4" t="s">
        <v>22</v>
      </c>
      <c r="F3039" s="4">
        <v>16</v>
      </c>
      <c r="G3039" s="4">
        <v>145</v>
      </c>
      <c r="H3039" s="4">
        <v>109</v>
      </c>
    </row>
    <row r="3040" spans="1:8" s="5" customFormat="1" ht="18.75" hidden="1" customHeight="1" outlineLevel="1" x14ac:dyDescent="0.25">
      <c r="A3040" s="4">
        <v>1809</v>
      </c>
      <c r="B3040" s="4" t="s">
        <v>117</v>
      </c>
      <c r="C3040" s="38" t="s">
        <v>175</v>
      </c>
      <c r="D3040" s="4">
        <v>2020</v>
      </c>
      <c r="E3040" s="4" t="s">
        <v>22</v>
      </c>
      <c r="F3040" s="4">
        <v>5</v>
      </c>
      <c r="G3040" s="4">
        <v>10</v>
      </c>
      <c r="H3040" s="4">
        <v>74</v>
      </c>
    </row>
    <row r="3041" spans="1:33" s="5" customFormat="1" ht="18.75" hidden="1" customHeight="1" outlineLevel="1" x14ac:dyDescent="0.25">
      <c r="A3041" s="4">
        <v>263</v>
      </c>
      <c r="B3041" s="4" t="s">
        <v>117</v>
      </c>
      <c r="C3041" s="38" t="s">
        <v>176</v>
      </c>
      <c r="D3041" s="4">
        <v>2020</v>
      </c>
      <c r="E3041" s="4" t="s">
        <v>22</v>
      </c>
      <c r="F3041" s="4">
        <v>6</v>
      </c>
      <c r="G3041" s="4">
        <v>8</v>
      </c>
      <c r="H3041" s="4">
        <v>181</v>
      </c>
    </row>
    <row r="3042" spans="1:33" s="5" customFormat="1" ht="18.75" hidden="1" customHeight="1" outlineLevel="1" x14ac:dyDescent="0.25">
      <c r="A3042" s="4">
        <v>1807</v>
      </c>
      <c r="B3042" s="4" t="s">
        <v>117</v>
      </c>
      <c r="C3042" s="38" t="s">
        <v>177</v>
      </c>
      <c r="D3042" s="4">
        <v>2020</v>
      </c>
      <c r="E3042" s="4" t="s">
        <v>22</v>
      </c>
      <c r="F3042" s="4">
        <v>612</v>
      </c>
      <c r="G3042" s="4">
        <v>282.3</v>
      </c>
      <c r="H3042" s="4">
        <v>1013</v>
      </c>
    </row>
    <row r="3043" spans="1:33" s="5" customFormat="1" ht="18.75" hidden="1" customHeight="1" outlineLevel="1" x14ac:dyDescent="0.25">
      <c r="A3043" s="4">
        <v>220</v>
      </c>
      <c r="B3043" s="4" t="s">
        <v>117</v>
      </c>
      <c r="C3043" s="38" t="s">
        <v>178</v>
      </c>
      <c r="D3043" s="4">
        <v>2020</v>
      </c>
      <c r="E3043" s="4" t="s">
        <v>22</v>
      </c>
      <c r="F3043" s="4">
        <v>30</v>
      </c>
      <c r="G3043" s="4">
        <v>15</v>
      </c>
      <c r="H3043" s="4">
        <v>168</v>
      </c>
    </row>
    <row r="3044" spans="1:33" s="5" customFormat="1" ht="18.75" hidden="1" customHeight="1" outlineLevel="1" x14ac:dyDescent="0.25">
      <c r="A3044" s="4">
        <v>1743</v>
      </c>
      <c r="B3044" s="4" t="s">
        <v>117</v>
      </c>
      <c r="C3044" s="38" t="s">
        <v>145</v>
      </c>
      <c r="D3044" s="4">
        <v>2020</v>
      </c>
      <c r="E3044" s="4" t="s">
        <v>22</v>
      </c>
      <c r="F3044" s="4">
        <v>20</v>
      </c>
      <c r="G3044" s="4">
        <v>150</v>
      </c>
      <c r="H3044" s="4">
        <v>74.7</v>
      </c>
    </row>
    <row r="3045" spans="1:33" s="5" customFormat="1" ht="18.75" hidden="1" customHeight="1" outlineLevel="1" x14ac:dyDescent="0.25">
      <c r="A3045" s="4">
        <v>1717</v>
      </c>
      <c r="B3045" s="4" t="s">
        <v>117</v>
      </c>
      <c r="C3045" s="38" t="s">
        <v>146</v>
      </c>
      <c r="D3045" s="4">
        <v>2020</v>
      </c>
      <c r="E3045" s="4" t="s">
        <v>22</v>
      </c>
      <c r="F3045" s="4">
        <v>12</v>
      </c>
      <c r="G3045" s="4">
        <v>7</v>
      </c>
      <c r="H3045" s="4">
        <v>64.111000000000004</v>
      </c>
    </row>
    <row r="3046" spans="1:33" s="5" customFormat="1" ht="18.75" hidden="1" customHeight="1" outlineLevel="1" x14ac:dyDescent="0.25">
      <c r="A3046" s="4">
        <v>1721</v>
      </c>
      <c r="B3046" s="4" t="s">
        <v>117</v>
      </c>
      <c r="C3046" s="38" t="s">
        <v>150</v>
      </c>
      <c r="D3046" s="4">
        <v>2020</v>
      </c>
      <c r="E3046" s="4" t="s">
        <v>22</v>
      </c>
      <c r="F3046" s="4">
        <v>19</v>
      </c>
      <c r="G3046" s="4">
        <v>45</v>
      </c>
      <c r="H3046" s="4">
        <v>111.378</v>
      </c>
    </row>
    <row r="3047" spans="1:33" s="5" customFormat="1" ht="18.75" hidden="1" customHeight="1" outlineLevel="1" x14ac:dyDescent="0.25">
      <c r="A3047" s="4">
        <v>1759</v>
      </c>
      <c r="B3047" s="4" t="s">
        <v>117</v>
      </c>
      <c r="C3047" s="38" t="s">
        <v>151</v>
      </c>
      <c r="D3047" s="4">
        <v>2020</v>
      </c>
      <c r="E3047" s="4" t="s">
        <v>22</v>
      </c>
      <c r="F3047" s="4">
        <v>7</v>
      </c>
      <c r="G3047" s="4">
        <v>30</v>
      </c>
      <c r="H3047" s="4">
        <v>78.197000000000003</v>
      </c>
    </row>
    <row r="3048" spans="1:33" s="5" customFormat="1" ht="18.75" hidden="1" customHeight="1" outlineLevel="1" x14ac:dyDescent="0.25">
      <c r="A3048" s="4">
        <v>299</v>
      </c>
      <c r="B3048" s="4" t="s">
        <v>117</v>
      </c>
      <c r="C3048" s="38" t="s">
        <v>179</v>
      </c>
      <c r="D3048" s="4">
        <v>2020</v>
      </c>
      <c r="E3048" s="4" t="s">
        <v>22</v>
      </c>
      <c r="F3048" s="4">
        <v>324</v>
      </c>
      <c r="G3048" s="4">
        <v>150</v>
      </c>
      <c r="H3048" s="4">
        <v>848.81299999999999</v>
      </c>
    </row>
    <row r="3049" spans="1:33" s="5" customFormat="1" ht="18.75" hidden="1" customHeight="1" outlineLevel="1" x14ac:dyDescent="0.25">
      <c r="A3049" s="4">
        <v>480</v>
      </c>
      <c r="B3049" s="4" t="s">
        <v>117</v>
      </c>
      <c r="C3049" s="38" t="s">
        <v>180</v>
      </c>
      <c r="D3049" s="4">
        <v>2020</v>
      </c>
      <c r="E3049" s="4" t="s">
        <v>22</v>
      </c>
      <c r="F3049" s="4">
        <v>3</v>
      </c>
      <c r="G3049" s="4">
        <v>300</v>
      </c>
      <c r="H3049" s="4">
        <v>69.503</v>
      </c>
    </row>
    <row r="3050" spans="1:33" s="5" customFormat="1" ht="15.75" collapsed="1" x14ac:dyDescent="0.25">
      <c r="A3050" s="208"/>
      <c r="B3050" s="178" t="s">
        <v>181</v>
      </c>
      <c r="C3050" s="185" t="s">
        <v>3190</v>
      </c>
      <c r="D3050" s="185"/>
      <c r="E3050" s="178" t="s">
        <v>21</v>
      </c>
      <c r="F3050" s="178"/>
      <c r="G3050" s="178"/>
      <c r="H3050" s="178"/>
    </row>
    <row r="3051" spans="1:33" s="5" customFormat="1" ht="18.75" customHeight="1" x14ac:dyDescent="0.25">
      <c r="A3051" s="210"/>
      <c r="B3051" s="187"/>
      <c r="C3051" s="192"/>
      <c r="D3051" s="192"/>
      <c r="E3051" s="187"/>
      <c r="F3051" s="187"/>
      <c r="G3051" s="187"/>
      <c r="H3051" s="187"/>
    </row>
    <row r="3052" spans="1:33" s="5" customFormat="1" ht="17.25" customHeight="1" x14ac:dyDescent="0.25">
      <c r="A3052" s="209"/>
      <c r="B3052" s="187"/>
      <c r="C3052" s="192"/>
      <c r="D3052" s="192"/>
      <c r="E3052" s="187" t="s">
        <v>21</v>
      </c>
      <c r="F3052" s="187"/>
      <c r="G3052" s="187"/>
      <c r="H3052" s="187"/>
    </row>
    <row r="3053" spans="1:33" s="5" customFormat="1" ht="18.75" hidden="1" customHeight="1" thickBot="1" x14ac:dyDescent="0.25">
      <c r="A3053" s="4"/>
      <c r="B3053" s="179"/>
      <c r="C3053" s="193"/>
      <c r="D3053" s="193"/>
      <c r="E3053" s="179"/>
      <c r="F3053" s="179"/>
      <c r="G3053" s="179"/>
      <c r="H3053" s="179"/>
    </row>
    <row r="3054" spans="1:33" s="5" customFormat="1" ht="18.75" customHeight="1" x14ac:dyDescent="0.25">
      <c r="A3054" s="4"/>
      <c r="B3054" s="7" t="s">
        <v>181</v>
      </c>
      <c r="C3054" s="8" t="s">
        <v>1102</v>
      </c>
      <c r="D3054" s="7">
        <v>2020</v>
      </c>
      <c r="E3054" s="7" t="s">
        <v>21</v>
      </c>
      <c r="F3054" s="7">
        <f>SUMIF($D$3057:$D$3363,$D$3054,$F$3057:$F$3363)</f>
        <v>40162</v>
      </c>
      <c r="G3054" s="10">
        <f>SUMIF($D$3057:$D$3363,$D$3054,$G$3057:$G$3363)</f>
        <v>14444.13</v>
      </c>
      <c r="H3054" s="10">
        <f>SUMIF($D$3057:$D$3363,$D$3054,$H$3057:$H$3363)</f>
        <v>56759.46372</v>
      </c>
    </row>
    <row r="3055" spans="1:33" s="25" customFormat="1" ht="18.75" customHeight="1" x14ac:dyDescent="0.25">
      <c r="A3055" s="4"/>
      <c r="B3055" s="7" t="s">
        <v>181</v>
      </c>
      <c r="C3055" s="8" t="s">
        <v>1102</v>
      </c>
      <c r="D3055" s="7">
        <v>2021</v>
      </c>
      <c r="E3055" s="7" t="s">
        <v>21</v>
      </c>
      <c r="F3055" s="7">
        <f>SUMIF($D$3057:$D$3363,$D$3055,$F$3057:$F$3363)</f>
        <v>48210</v>
      </c>
      <c r="G3055" s="10">
        <f>SUMIF($D$3057:$D$3363,$D$3055,$G$3057:$G$3363)</f>
        <v>10278.85</v>
      </c>
      <c r="H3055" s="10">
        <f>SUMIF($D$3057:$D$3363,$D$3055,$H$3057:$H$3363)</f>
        <v>72976.646380000006</v>
      </c>
      <c r="I3055" s="5"/>
      <c r="J3055" s="5"/>
      <c r="K3055" s="5"/>
      <c r="L3055" s="5"/>
      <c r="M3055" s="5"/>
      <c r="N3055" s="5"/>
      <c r="O3055" s="5"/>
      <c r="P3055" s="5"/>
      <c r="Q3055" s="5"/>
      <c r="R3055" s="5"/>
      <c r="S3055" s="5"/>
      <c r="T3055" s="5"/>
      <c r="U3055" s="5"/>
      <c r="V3055" s="5"/>
      <c r="W3055" s="5"/>
      <c r="X3055" s="5"/>
      <c r="Y3055" s="5"/>
      <c r="Z3055" s="5"/>
      <c r="AA3055" s="5"/>
      <c r="AB3055" s="5"/>
      <c r="AC3055" s="5"/>
      <c r="AD3055" s="5"/>
      <c r="AE3055" s="5"/>
      <c r="AF3055" s="5"/>
      <c r="AG3055" s="5"/>
    </row>
    <row r="3056" spans="1:33" s="25" customFormat="1" ht="29.25" customHeight="1" x14ac:dyDescent="0.25">
      <c r="A3056" s="4"/>
      <c r="B3056" s="7" t="s">
        <v>181</v>
      </c>
      <c r="C3056" s="8" t="s">
        <v>1102</v>
      </c>
      <c r="D3056" s="7">
        <v>2022</v>
      </c>
      <c r="E3056" s="7" t="s">
        <v>21</v>
      </c>
      <c r="F3056" s="7">
        <f>SUMIF($D$3057:$D$3363,$D$3056,$F$3057:$F$3363)</f>
        <v>6455</v>
      </c>
      <c r="G3056" s="10">
        <f>SUMIF($D$3057:$D$3363,$D$3056,$G$3057:$G$3363)</f>
        <v>2655.3</v>
      </c>
      <c r="H3056" s="10">
        <f>SUMIF($D$3057:$D$3363,$D$3056,$H$3057:$H$3363)</f>
        <v>11501.40957</v>
      </c>
      <c r="I3056" s="5"/>
      <c r="J3056" s="5"/>
      <c r="K3056" s="5"/>
      <c r="L3056" s="5"/>
      <c r="M3056" s="5"/>
      <c r="N3056" s="5"/>
      <c r="O3056" s="5"/>
      <c r="P3056" s="5"/>
      <c r="Q3056" s="5"/>
      <c r="R3056" s="5"/>
      <c r="S3056" s="5"/>
      <c r="T3056" s="5"/>
      <c r="U3056" s="5"/>
      <c r="V3056" s="5"/>
      <c r="W3056" s="5"/>
      <c r="X3056" s="5"/>
      <c r="Y3056" s="5"/>
      <c r="Z3056" s="5"/>
      <c r="AA3056" s="5"/>
      <c r="AB3056" s="5"/>
      <c r="AC3056" s="5"/>
      <c r="AD3056" s="5"/>
      <c r="AE3056" s="5"/>
      <c r="AF3056" s="5"/>
      <c r="AG3056" s="5"/>
    </row>
    <row r="3057" spans="1:8" s="5" customFormat="1" ht="18.75" hidden="1" customHeight="1" outlineLevel="1" x14ac:dyDescent="0.25">
      <c r="A3057" s="4">
        <v>4792</v>
      </c>
      <c r="B3057" s="4" t="s">
        <v>181</v>
      </c>
      <c r="C3057" s="38" t="s">
        <v>3960</v>
      </c>
      <c r="D3057" s="4">
        <v>2022</v>
      </c>
      <c r="E3057" s="4" t="s">
        <v>21</v>
      </c>
      <c r="F3057" s="4">
        <v>211</v>
      </c>
      <c r="G3057" s="113">
        <v>30.3</v>
      </c>
      <c r="H3057" s="42">
        <v>590</v>
      </c>
    </row>
    <row r="3058" spans="1:8" s="5" customFormat="1" ht="18.75" hidden="1" customHeight="1" outlineLevel="1" x14ac:dyDescent="0.25">
      <c r="A3058" s="4">
        <v>4798</v>
      </c>
      <c r="B3058" s="4" t="s">
        <v>181</v>
      </c>
      <c r="C3058" s="38" t="s">
        <v>4217</v>
      </c>
      <c r="D3058" s="4">
        <v>2022</v>
      </c>
      <c r="E3058" s="4" t="s">
        <v>21</v>
      </c>
      <c r="F3058" s="4">
        <v>377</v>
      </c>
      <c r="G3058" s="113">
        <v>15</v>
      </c>
      <c r="H3058" s="42">
        <v>604</v>
      </c>
    </row>
    <row r="3059" spans="1:8" s="5" customFormat="1" ht="18.75" hidden="1" customHeight="1" outlineLevel="1" x14ac:dyDescent="0.25">
      <c r="A3059" s="4">
        <v>4796</v>
      </c>
      <c r="B3059" s="4" t="s">
        <v>181</v>
      </c>
      <c r="C3059" s="38" t="s">
        <v>4218</v>
      </c>
      <c r="D3059" s="4">
        <v>2022</v>
      </c>
      <c r="E3059" s="4" t="s">
        <v>21</v>
      </c>
      <c r="F3059" s="4">
        <v>138</v>
      </c>
      <c r="G3059" s="113">
        <v>15</v>
      </c>
      <c r="H3059" s="42">
        <v>275</v>
      </c>
    </row>
    <row r="3060" spans="1:8" s="5" customFormat="1" ht="18.75" hidden="1" customHeight="1" outlineLevel="1" x14ac:dyDescent="0.25">
      <c r="A3060" s="4">
        <v>4878</v>
      </c>
      <c r="B3060" s="4" t="s">
        <v>181</v>
      </c>
      <c r="C3060" s="38" t="s">
        <v>3970</v>
      </c>
      <c r="D3060" s="4">
        <v>2022</v>
      </c>
      <c r="E3060" s="4" t="s">
        <v>21</v>
      </c>
      <c r="F3060" s="4">
        <v>161</v>
      </c>
      <c r="G3060" s="113">
        <v>90</v>
      </c>
      <c r="H3060" s="42">
        <v>440</v>
      </c>
    </row>
    <row r="3061" spans="1:8" s="5" customFormat="1" ht="18.75" hidden="1" customHeight="1" outlineLevel="1" x14ac:dyDescent="0.25">
      <c r="A3061" s="4">
        <v>4832</v>
      </c>
      <c r="B3061" s="4" t="s">
        <v>181</v>
      </c>
      <c r="C3061" s="38" t="s">
        <v>4219</v>
      </c>
      <c r="D3061" s="4">
        <v>2022</v>
      </c>
      <c r="E3061" s="4" t="s">
        <v>21</v>
      </c>
      <c r="F3061" s="4">
        <v>140</v>
      </c>
      <c r="G3061" s="113">
        <v>15</v>
      </c>
      <c r="H3061" s="42">
        <v>158.06</v>
      </c>
    </row>
    <row r="3062" spans="1:8" s="5" customFormat="1" ht="18.75" hidden="1" customHeight="1" outlineLevel="1" x14ac:dyDescent="0.25">
      <c r="A3062" s="4">
        <v>4831</v>
      </c>
      <c r="B3062" s="4" t="s">
        <v>181</v>
      </c>
      <c r="C3062" s="38" t="s">
        <v>4220</v>
      </c>
      <c r="D3062" s="4">
        <v>2022</v>
      </c>
      <c r="E3062" s="4" t="s">
        <v>21</v>
      </c>
      <c r="F3062" s="4">
        <v>150</v>
      </c>
      <c r="G3062" s="113">
        <v>15</v>
      </c>
      <c r="H3062" s="42">
        <v>166</v>
      </c>
    </row>
    <row r="3063" spans="1:8" s="5" customFormat="1" ht="18.75" hidden="1" customHeight="1" outlineLevel="1" x14ac:dyDescent="0.25">
      <c r="A3063" s="4">
        <v>4947</v>
      </c>
      <c r="B3063" s="4" t="s">
        <v>181</v>
      </c>
      <c r="C3063" s="38" t="s">
        <v>4221</v>
      </c>
      <c r="D3063" s="4">
        <v>2022</v>
      </c>
      <c r="E3063" s="4" t="s">
        <v>21</v>
      </c>
      <c r="F3063" s="4">
        <v>389</v>
      </c>
      <c r="G3063" s="113">
        <v>15</v>
      </c>
      <c r="H3063" s="42">
        <v>788</v>
      </c>
    </row>
    <row r="3064" spans="1:8" s="5" customFormat="1" ht="18.75" hidden="1" customHeight="1" outlineLevel="1" x14ac:dyDescent="0.25">
      <c r="A3064" s="4">
        <v>4913</v>
      </c>
      <c r="B3064" s="4" t="s">
        <v>181</v>
      </c>
      <c r="C3064" s="38" t="s">
        <v>4222</v>
      </c>
      <c r="D3064" s="4">
        <v>2022</v>
      </c>
      <c r="E3064" s="4" t="s">
        <v>21</v>
      </c>
      <c r="F3064" s="4">
        <v>782</v>
      </c>
      <c r="G3064" s="42">
        <v>25</v>
      </c>
      <c r="H3064" s="42">
        <v>1248.539</v>
      </c>
    </row>
    <row r="3065" spans="1:8" s="5" customFormat="1" ht="18.75" hidden="1" customHeight="1" outlineLevel="1" x14ac:dyDescent="0.25">
      <c r="A3065" s="4">
        <v>4616</v>
      </c>
      <c r="B3065" s="4" t="s">
        <v>181</v>
      </c>
      <c r="C3065" s="38" t="s">
        <v>3974</v>
      </c>
      <c r="D3065" s="4">
        <v>2022</v>
      </c>
      <c r="E3065" s="4" t="s">
        <v>21</v>
      </c>
      <c r="F3065" s="4">
        <v>10</v>
      </c>
      <c r="G3065" s="113">
        <v>100</v>
      </c>
      <c r="H3065" s="42">
        <v>38.933</v>
      </c>
    </row>
    <row r="3066" spans="1:8" s="5" customFormat="1" ht="18.75" hidden="1" customHeight="1" outlineLevel="1" x14ac:dyDescent="0.25">
      <c r="A3066" s="4">
        <v>4853</v>
      </c>
      <c r="B3066" s="4" t="s">
        <v>181</v>
      </c>
      <c r="C3066" s="38" t="s">
        <v>4223</v>
      </c>
      <c r="D3066" s="4">
        <v>2022</v>
      </c>
      <c r="E3066" s="4" t="s">
        <v>21</v>
      </c>
      <c r="F3066" s="4">
        <v>326</v>
      </c>
      <c r="G3066" s="113">
        <v>150</v>
      </c>
      <c r="H3066" s="42">
        <v>616.87199999999996</v>
      </c>
    </row>
    <row r="3067" spans="1:8" s="5" customFormat="1" ht="18.75" hidden="1" customHeight="1" outlineLevel="1" x14ac:dyDescent="0.25">
      <c r="A3067" s="4">
        <v>5048</v>
      </c>
      <c r="B3067" s="4" t="s">
        <v>181</v>
      </c>
      <c r="C3067" s="38" t="s">
        <v>3976</v>
      </c>
      <c r="D3067" s="4">
        <v>2022</v>
      </c>
      <c r="E3067" s="4" t="s">
        <v>21</v>
      </c>
      <c r="F3067" s="4">
        <v>41</v>
      </c>
      <c r="G3067" s="113">
        <v>150</v>
      </c>
      <c r="H3067" s="42">
        <v>174.29500000000002</v>
      </c>
    </row>
    <row r="3068" spans="1:8" s="5" customFormat="1" ht="18.75" hidden="1" customHeight="1" outlineLevel="1" x14ac:dyDescent="0.25">
      <c r="A3068" s="4">
        <v>4826</v>
      </c>
      <c r="B3068" s="4" t="s">
        <v>181</v>
      </c>
      <c r="C3068" s="38" t="s">
        <v>4129</v>
      </c>
      <c r="D3068" s="4">
        <v>2022</v>
      </c>
      <c r="E3068" s="4" t="s">
        <v>21</v>
      </c>
      <c r="F3068" s="4">
        <v>1007</v>
      </c>
      <c r="G3068" s="42">
        <v>55</v>
      </c>
      <c r="H3068" s="42">
        <v>1255.393</v>
      </c>
    </row>
    <row r="3069" spans="1:8" s="5" customFormat="1" ht="18.75" hidden="1" customHeight="1" outlineLevel="1" x14ac:dyDescent="0.25">
      <c r="A3069" s="4">
        <v>4918</v>
      </c>
      <c r="B3069" s="4" t="s">
        <v>181</v>
      </c>
      <c r="C3069" s="38" t="s">
        <v>4130</v>
      </c>
      <c r="D3069" s="4">
        <v>2022</v>
      </c>
      <c r="E3069" s="4" t="s">
        <v>21</v>
      </c>
      <c r="F3069" s="4">
        <v>146</v>
      </c>
      <c r="G3069" s="113">
        <v>15</v>
      </c>
      <c r="H3069" s="42">
        <v>381.50700000000001</v>
      </c>
    </row>
    <row r="3070" spans="1:8" s="5" customFormat="1" ht="18.75" hidden="1" customHeight="1" outlineLevel="1" x14ac:dyDescent="0.25">
      <c r="A3070" s="4">
        <v>4919</v>
      </c>
      <c r="B3070" s="4" t="s">
        <v>181</v>
      </c>
      <c r="C3070" s="38" t="s">
        <v>4131</v>
      </c>
      <c r="D3070" s="4">
        <v>2022</v>
      </c>
      <c r="E3070" s="4" t="s">
        <v>21</v>
      </c>
      <c r="F3070" s="4">
        <v>409</v>
      </c>
      <c r="G3070" s="113">
        <v>15</v>
      </c>
      <c r="H3070" s="42">
        <v>648.73099999999999</v>
      </c>
    </row>
    <row r="3071" spans="1:8" s="5" customFormat="1" ht="18.75" hidden="1" customHeight="1" outlineLevel="1" x14ac:dyDescent="0.25">
      <c r="A3071" s="4">
        <v>5053</v>
      </c>
      <c r="B3071" s="4" t="s">
        <v>181</v>
      </c>
      <c r="C3071" s="38" t="s">
        <v>4132</v>
      </c>
      <c r="D3071" s="4">
        <v>2022</v>
      </c>
      <c r="E3071" s="4" t="s">
        <v>21</v>
      </c>
      <c r="F3071" s="4">
        <v>185</v>
      </c>
      <c r="G3071" s="113">
        <v>15</v>
      </c>
      <c r="H3071" s="42">
        <v>379.07</v>
      </c>
    </row>
    <row r="3072" spans="1:8" s="5" customFormat="1" ht="18.75" hidden="1" customHeight="1" outlineLevel="1" x14ac:dyDescent="0.25">
      <c r="A3072" s="4">
        <v>1891</v>
      </c>
      <c r="B3072" s="4" t="s">
        <v>181</v>
      </c>
      <c r="C3072" s="38" t="s">
        <v>4200</v>
      </c>
      <c r="D3072" s="4">
        <v>2022</v>
      </c>
      <c r="E3072" s="4" t="s">
        <v>21</v>
      </c>
      <c r="F3072" s="4">
        <v>20</v>
      </c>
      <c r="G3072" s="42">
        <v>150</v>
      </c>
      <c r="H3072" s="42">
        <v>12.397</v>
      </c>
    </row>
    <row r="3073" spans="1:8" s="5" customFormat="1" ht="18.75" hidden="1" customHeight="1" outlineLevel="1" x14ac:dyDescent="0.25">
      <c r="A3073" s="4">
        <v>2009</v>
      </c>
      <c r="B3073" s="4" t="s">
        <v>181</v>
      </c>
      <c r="C3073" s="38" t="s">
        <v>4201</v>
      </c>
      <c r="D3073" s="4">
        <v>2022</v>
      </c>
      <c r="E3073" s="4" t="s">
        <v>21</v>
      </c>
      <c r="F3073" s="4">
        <v>30</v>
      </c>
      <c r="G3073" s="42">
        <v>150</v>
      </c>
      <c r="H3073" s="42">
        <v>15.481999999999999</v>
      </c>
    </row>
    <row r="3074" spans="1:8" s="5" customFormat="1" ht="18.75" hidden="1" customHeight="1" outlineLevel="1" x14ac:dyDescent="0.25">
      <c r="A3074" s="4">
        <v>2067</v>
      </c>
      <c r="B3074" s="4" t="s">
        <v>181</v>
      </c>
      <c r="C3074" s="38" t="s">
        <v>4202</v>
      </c>
      <c r="D3074" s="4">
        <v>2022</v>
      </c>
      <c r="E3074" s="4" t="s">
        <v>21</v>
      </c>
      <c r="F3074" s="4">
        <v>30</v>
      </c>
      <c r="G3074" s="42">
        <v>145</v>
      </c>
      <c r="H3074" s="42">
        <v>19.178000000000001</v>
      </c>
    </row>
    <row r="3075" spans="1:8" s="5" customFormat="1" ht="18.75" hidden="1" customHeight="1" outlineLevel="1" x14ac:dyDescent="0.25">
      <c r="A3075" s="4">
        <v>1825</v>
      </c>
      <c r="B3075" s="4" t="s">
        <v>181</v>
      </c>
      <c r="C3075" s="38" t="s">
        <v>4224</v>
      </c>
      <c r="D3075" s="4">
        <v>2022</v>
      </c>
      <c r="E3075" s="4" t="s">
        <v>21</v>
      </c>
      <c r="F3075" s="4">
        <v>130</v>
      </c>
      <c r="G3075" s="42">
        <v>15</v>
      </c>
      <c r="H3075" s="42">
        <v>308.02100000000002</v>
      </c>
    </row>
    <row r="3076" spans="1:8" s="5" customFormat="1" ht="18.75" hidden="1" customHeight="1" outlineLevel="1" x14ac:dyDescent="0.25">
      <c r="A3076" s="4">
        <v>2070</v>
      </c>
      <c r="B3076" s="4" t="s">
        <v>181</v>
      </c>
      <c r="C3076" s="38" t="s">
        <v>4206</v>
      </c>
      <c r="D3076" s="4">
        <v>2022</v>
      </c>
      <c r="E3076" s="4" t="s">
        <v>21</v>
      </c>
      <c r="F3076" s="4">
        <v>20</v>
      </c>
      <c r="G3076" s="42">
        <v>150</v>
      </c>
      <c r="H3076" s="42">
        <v>7.86</v>
      </c>
    </row>
    <row r="3077" spans="1:8" s="5" customFormat="1" ht="18.75" hidden="1" customHeight="1" outlineLevel="1" x14ac:dyDescent="0.25">
      <c r="A3077" s="4">
        <v>2315</v>
      </c>
      <c r="B3077" s="4" t="s">
        <v>181</v>
      </c>
      <c r="C3077" s="38" t="s">
        <v>4225</v>
      </c>
      <c r="D3077" s="4">
        <v>2022</v>
      </c>
      <c r="E3077" s="4" t="s">
        <v>21</v>
      </c>
      <c r="F3077" s="4">
        <v>725</v>
      </c>
      <c r="G3077" s="42">
        <v>15</v>
      </c>
      <c r="H3077" s="42">
        <v>1050.807</v>
      </c>
    </row>
    <row r="3078" spans="1:8" s="5" customFormat="1" ht="18.75" hidden="1" customHeight="1" outlineLevel="1" x14ac:dyDescent="0.25">
      <c r="A3078" s="4">
        <v>2243</v>
      </c>
      <c r="B3078" s="4" t="s">
        <v>181</v>
      </c>
      <c r="C3078" s="38" t="s">
        <v>4208</v>
      </c>
      <c r="D3078" s="4">
        <v>2022</v>
      </c>
      <c r="E3078" s="4" t="s">
        <v>21</v>
      </c>
      <c r="F3078" s="4">
        <v>20</v>
      </c>
      <c r="G3078" s="42">
        <v>100</v>
      </c>
      <c r="H3078" s="42">
        <v>10.970650000000001</v>
      </c>
    </row>
    <row r="3079" spans="1:8" s="5" customFormat="1" ht="18.75" hidden="1" customHeight="1" outlineLevel="1" x14ac:dyDescent="0.25">
      <c r="A3079" s="4">
        <v>2416</v>
      </c>
      <c r="B3079" s="4" t="s">
        <v>181</v>
      </c>
      <c r="C3079" s="38" t="s">
        <v>4210</v>
      </c>
      <c r="D3079" s="4">
        <v>2022</v>
      </c>
      <c r="E3079" s="4" t="s">
        <v>21</v>
      </c>
      <c r="F3079" s="4">
        <v>40</v>
      </c>
      <c r="G3079" s="42">
        <v>150</v>
      </c>
      <c r="H3079" s="42">
        <v>18.391999999999999</v>
      </c>
    </row>
    <row r="3080" spans="1:8" s="5" customFormat="1" ht="18.75" hidden="1" customHeight="1" outlineLevel="1" x14ac:dyDescent="0.25">
      <c r="A3080" s="4">
        <v>2542</v>
      </c>
      <c r="B3080" s="4" t="s">
        <v>181</v>
      </c>
      <c r="C3080" s="38" t="s">
        <v>4226</v>
      </c>
      <c r="D3080" s="4">
        <v>2022</v>
      </c>
      <c r="E3080" s="4" t="s">
        <v>21</v>
      </c>
      <c r="F3080" s="4">
        <v>174</v>
      </c>
      <c r="G3080" s="42">
        <v>150</v>
      </c>
      <c r="H3080" s="42">
        <v>525.99587999999994</v>
      </c>
    </row>
    <row r="3081" spans="1:8" s="5" customFormat="1" ht="18.75" hidden="1" customHeight="1" outlineLevel="1" x14ac:dyDescent="0.25">
      <c r="A3081" s="4">
        <v>2543</v>
      </c>
      <c r="B3081" s="4" t="s">
        <v>181</v>
      </c>
      <c r="C3081" s="38" t="s">
        <v>4211</v>
      </c>
      <c r="D3081" s="4">
        <v>2022</v>
      </c>
      <c r="E3081" s="4" t="s">
        <v>21</v>
      </c>
      <c r="F3081" s="4">
        <v>5</v>
      </c>
      <c r="G3081" s="42">
        <v>150</v>
      </c>
      <c r="H3081" s="42">
        <v>115.76599999999999</v>
      </c>
    </row>
    <row r="3082" spans="1:8" s="5" customFormat="1" ht="18.75" hidden="1" customHeight="1" outlineLevel="1" x14ac:dyDescent="0.25">
      <c r="A3082" s="4">
        <v>2545</v>
      </c>
      <c r="B3082" s="4" t="s">
        <v>181</v>
      </c>
      <c r="C3082" s="38" t="s">
        <v>4227</v>
      </c>
      <c r="D3082" s="4">
        <v>2022</v>
      </c>
      <c r="E3082" s="4" t="s">
        <v>21</v>
      </c>
      <c r="F3082" s="4">
        <v>625</v>
      </c>
      <c r="G3082" s="42">
        <v>30</v>
      </c>
      <c r="H3082" s="42">
        <v>1386.752</v>
      </c>
    </row>
    <row r="3083" spans="1:8" s="5" customFormat="1" ht="18.75" hidden="1" customHeight="1" outlineLevel="1" x14ac:dyDescent="0.25">
      <c r="A3083" s="4">
        <v>2068</v>
      </c>
      <c r="B3083" s="4" t="s">
        <v>181</v>
      </c>
      <c r="C3083" s="38" t="s">
        <v>4212</v>
      </c>
      <c r="D3083" s="4">
        <v>2022</v>
      </c>
      <c r="E3083" s="4" t="s">
        <v>21</v>
      </c>
      <c r="F3083" s="4">
        <v>15</v>
      </c>
      <c r="G3083" s="42">
        <v>150</v>
      </c>
      <c r="H3083" s="42">
        <v>41.708689999999997</v>
      </c>
    </row>
    <row r="3084" spans="1:8" s="5" customFormat="1" ht="18.75" hidden="1" customHeight="1" outlineLevel="1" x14ac:dyDescent="0.25">
      <c r="A3084" s="4">
        <v>2069</v>
      </c>
      <c r="B3084" s="4" t="s">
        <v>181</v>
      </c>
      <c r="C3084" s="38" t="s">
        <v>4213</v>
      </c>
      <c r="D3084" s="4">
        <v>2022</v>
      </c>
      <c r="E3084" s="4" t="s">
        <v>21</v>
      </c>
      <c r="F3084" s="4">
        <v>15</v>
      </c>
      <c r="G3084" s="42">
        <v>80</v>
      </c>
      <c r="H3084" s="42">
        <v>46.338570000000004</v>
      </c>
    </row>
    <row r="3085" spans="1:8" s="5" customFormat="1" ht="18.75" hidden="1" customHeight="1" outlineLevel="1" x14ac:dyDescent="0.25">
      <c r="A3085" s="4">
        <v>2431</v>
      </c>
      <c r="B3085" s="4" t="s">
        <v>181</v>
      </c>
      <c r="C3085" s="38" t="s">
        <v>4214</v>
      </c>
      <c r="D3085" s="4">
        <v>2022</v>
      </c>
      <c r="E3085" s="4" t="s">
        <v>21</v>
      </c>
      <c r="F3085" s="4">
        <v>50</v>
      </c>
      <c r="G3085" s="42">
        <v>150</v>
      </c>
      <c r="H3085" s="42">
        <v>51.610780000000005</v>
      </c>
    </row>
    <row r="3086" spans="1:8" s="5" customFormat="1" ht="18.75" hidden="1" customHeight="1" outlineLevel="1" x14ac:dyDescent="0.25">
      <c r="A3086" s="4">
        <v>2510</v>
      </c>
      <c r="B3086" s="4" t="s">
        <v>181</v>
      </c>
      <c r="C3086" s="38" t="s">
        <v>4215</v>
      </c>
      <c r="D3086" s="4">
        <v>2022</v>
      </c>
      <c r="E3086" s="4" t="s">
        <v>21</v>
      </c>
      <c r="F3086" s="4">
        <v>80</v>
      </c>
      <c r="G3086" s="42">
        <v>200</v>
      </c>
      <c r="H3086" s="42">
        <v>14.727</v>
      </c>
    </row>
    <row r="3087" spans="1:8" s="5" customFormat="1" ht="18.75" hidden="1" customHeight="1" outlineLevel="1" x14ac:dyDescent="0.25">
      <c r="A3087" s="4">
        <v>2567</v>
      </c>
      <c r="B3087" s="4" t="s">
        <v>181</v>
      </c>
      <c r="C3087" s="38" t="s">
        <v>4216</v>
      </c>
      <c r="D3087" s="4">
        <v>2022</v>
      </c>
      <c r="E3087" s="4" t="s">
        <v>21</v>
      </c>
      <c r="F3087" s="4">
        <v>4</v>
      </c>
      <c r="G3087" s="42">
        <v>150</v>
      </c>
      <c r="H3087" s="42">
        <v>111.003</v>
      </c>
    </row>
    <row r="3088" spans="1:8" s="5" customFormat="1" ht="30" hidden="1" customHeight="1" outlineLevel="1" x14ac:dyDescent="0.25">
      <c r="A3088" s="42">
        <v>9743</v>
      </c>
      <c r="B3088" s="4" t="s">
        <v>181</v>
      </c>
      <c r="C3088" s="38" t="s">
        <v>1806</v>
      </c>
      <c r="D3088" s="4">
        <v>2021</v>
      </c>
      <c r="E3088" s="4"/>
      <c r="F3088" s="4">
        <v>95</v>
      </c>
      <c r="G3088" s="4">
        <v>15</v>
      </c>
      <c r="H3088" s="4">
        <v>191</v>
      </c>
    </row>
    <row r="3089" spans="1:8" s="5" customFormat="1" ht="30" hidden="1" customHeight="1" outlineLevel="1" x14ac:dyDescent="0.25">
      <c r="A3089" s="42">
        <v>9741</v>
      </c>
      <c r="B3089" s="4" t="s">
        <v>181</v>
      </c>
      <c r="C3089" s="38" t="s">
        <v>1805</v>
      </c>
      <c r="D3089" s="4">
        <v>2021</v>
      </c>
      <c r="E3089" s="4"/>
      <c r="F3089" s="4">
        <v>24</v>
      </c>
      <c r="G3089" s="4">
        <v>50</v>
      </c>
      <c r="H3089" s="4">
        <v>54</v>
      </c>
    </row>
    <row r="3090" spans="1:8" s="5" customFormat="1" ht="30" hidden="1" customHeight="1" outlineLevel="1" x14ac:dyDescent="0.25">
      <c r="A3090" s="42">
        <v>9731</v>
      </c>
      <c r="B3090" s="4" t="s">
        <v>181</v>
      </c>
      <c r="C3090" s="38" t="s">
        <v>1878</v>
      </c>
      <c r="D3090" s="4">
        <v>2021</v>
      </c>
      <c r="E3090" s="4"/>
      <c r="F3090" s="4">
        <v>27</v>
      </c>
      <c r="G3090" s="4">
        <v>40</v>
      </c>
      <c r="H3090" s="4">
        <v>105</v>
      </c>
    </row>
    <row r="3091" spans="1:8" s="5" customFormat="1" ht="30" hidden="1" customHeight="1" outlineLevel="1" x14ac:dyDescent="0.25">
      <c r="A3091" s="42">
        <v>9774</v>
      </c>
      <c r="B3091" s="4" t="s">
        <v>181</v>
      </c>
      <c r="C3091" s="38" t="s">
        <v>1879</v>
      </c>
      <c r="D3091" s="4">
        <v>2021</v>
      </c>
      <c r="E3091" s="4"/>
      <c r="F3091" s="4">
        <v>120</v>
      </c>
      <c r="G3091" s="4">
        <v>10</v>
      </c>
      <c r="H3091" s="4">
        <v>165</v>
      </c>
    </row>
    <row r="3092" spans="1:8" s="5" customFormat="1" ht="30" hidden="1" customHeight="1" outlineLevel="1" x14ac:dyDescent="0.25">
      <c r="A3092" s="43">
        <v>1413</v>
      </c>
      <c r="B3092" s="4" t="s">
        <v>181</v>
      </c>
      <c r="C3092" s="38" t="s">
        <v>1880</v>
      </c>
      <c r="D3092" s="4">
        <v>2021</v>
      </c>
      <c r="E3092" s="4"/>
      <c r="F3092" s="4">
        <v>371</v>
      </c>
      <c r="G3092" s="4">
        <v>15</v>
      </c>
      <c r="H3092" s="4">
        <v>522</v>
      </c>
    </row>
    <row r="3093" spans="1:8" s="5" customFormat="1" ht="30" hidden="1" customHeight="1" outlineLevel="1" x14ac:dyDescent="0.25">
      <c r="A3093" s="43">
        <v>1304</v>
      </c>
      <c r="B3093" s="4" t="s">
        <v>181</v>
      </c>
      <c r="C3093" s="38" t="s">
        <v>1808</v>
      </c>
      <c r="D3093" s="4">
        <v>2021</v>
      </c>
      <c r="E3093" s="4"/>
      <c r="F3093" s="4">
        <v>10</v>
      </c>
      <c r="G3093" s="4">
        <v>150</v>
      </c>
      <c r="H3093" s="4">
        <v>54</v>
      </c>
    </row>
    <row r="3094" spans="1:8" s="5" customFormat="1" ht="30" hidden="1" customHeight="1" outlineLevel="1" x14ac:dyDescent="0.25">
      <c r="A3094" s="42">
        <v>9797</v>
      </c>
      <c r="B3094" s="4" t="s">
        <v>181</v>
      </c>
      <c r="C3094" s="38" t="s">
        <v>1881</v>
      </c>
      <c r="D3094" s="4">
        <v>2021</v>
      </c>
      <c r="E3094" s="4"/>
      <c r="F3094" s="4">
        <v>380</v>
      </c>
      <c r="G3094" s="4">
        <v>15</v>
      </c>
      <c r="H3094" s="4">
        <v>525</v>
      </c>
    </row>
    <row r="3095" spans="1:8" s="5" customFormat="1" ht="30" hidden="1" customHeight="1" outlineLevel="1" x14ac:dyDescent="0.25">
      <c r="A3095" s="43">
        <v>833</v>
      </c>
      <c r="B3095" s="4" t="s">
        <v>181</v>
      </c>
      <c r="C3095" s="38" t="s">
        <v>1882</v>
      </c>
      <c r="D3095" s="4">
        <v>2021</v>
      </c>
      <c r="E3095" s="4"/>
      <c r="F3095" s="4">
        <v>212</v>
      </c>
      <c r="G3095" s="4">
        <v>15</v>
      </c>
      <c r="H3095" s="4">
        <v>288</v>
      </c>
    </row>
    <row r="3096" spans="1:8" s="5" customFormat="1" ht="30" hidden="1" customHeight="1" outlineLevel="1" x14ac:dyDescent="0.25">
      <c r="A3096" s="43">
        <v>3838</v>
      </c>
      <c r="B3096" s="4" t="s">
        <v>181</v>
      </c>
      <c r="C3096" s="38" t="s">
        <v>1809</v>
      </c>
      <c r="D3096" s="4">
        <v>2021</v>
      </c>
      <c r="E3096" s="4"/>
      <c r="F3096" s="4">
        <v>53</v>
      </c>
      <c r="G3096" s="4">
        <v>60.75</v>
      </c>
      <c r="H3096" s="4">
        <v>116</v>
      </c>
    </row>
    <row r="3097" spans="1:8" s="5" customFormat="1" ht="30" hidden="1" customHeight="1" outlineLevel="1" x14ac:dyDescent="0.25">
      <c r="A3097" s="42">
        <v>9745</v>
      </c>
      <c r="B3097" s="4" t="s">
        <v>181</v>
      </c>
      <c r="C3097" s="38" t="s">
        <v>1810</v>
      </c>
      <c r="D3097" s="4">
        <v>2021</v>
      </c>
      <c r="E3097" s="4"/>
      <c r="F3097" s="4">
        <v>18</v>
      </c>
      <c r="G3097" s="4">
        <v>15</v>
      </c>
      <c r="H3097" s="4">
        <v>106</v>
      </c>
    </row>
    <row r="3098" spans="1:8" s="5" customFormat="1" ht="30" hidden="1" customHeight="1" outlineLevel="1" x14ac:dyDescent="0.25">
      <c r="A3098" s="42">
        <v>9777</v>
      </c>
      <c r="B3098" s="4" t="s">
        <v>181</v>
      </c>
      <c r="C3098" s="38" t="s">
        <v>1883</v>
      </c>
      <c r="D3098" s="4">
        <v>2021</v>
      </c>
      <c r="E3098" s="4"/>
      <c r="F3098" s="4">
        <v>770</v>
      </c>
      <c r="G3098" s="4">
        <v>14</v>
      </c>
      <c r="H3098" s="4">
        <v>981</v>
      </c>
    </row>
    <row r="3099" spans="1:8" s="5" customFormat="1" ht="30" hidden="1" customHeight="1" outlineLevel="1" x14ac:dyDescent="0.25">
      <c r="A3099" s="42">
        <v>9786</v>
      </c>
      <c r="B3099" s="4" t="s">
        <v>181</v>
      </c>
      <c r="C3099" s="38" t="s">
        <v>1884</v>
      </c>
      <c r="D3099" s="4">
        <v>2021</v>
      </c>
      <c r="E3099" s="4"/>
      <c r="F3099" s="4">
        <v>197</v>
      </c>
      <c r="G3099" s="4">
        <v>20</v>
      </c>
      <c r="H3099" s="4">
        <v>345</v>
      </c>
    </row>
    <row r="3100" spans="1:8" s="5" customFormat="1" ht="30" hidden="1" customHeight="1" outlineLevel="1" x14ac:dyDescent="0.25">
      <c r="A3100" s="42">
        <v>9742</v>
      </c>
      <c r="B3100" s="4" t="s">
        <v>181</v>
      </c>
      <c r="C3100" s="38" t="s">
        <v>1811</v>
      </c>
      <c r="D3100" s="4">
        <v>2021</v>
      </c>
      <c r="E3100" s="4"/>
      <c r="F3100" s="4">
        <v>418</v>
      </c>
      <c r="G3100" s="4">
        <v>20</v>
      </c>
      <c r="H3100" s="4">
        <v>704</v>
      </c>
    </row>
    <row r="3101" spans="1:8" s="5" customFormat="1" ht="30" hidden="1" customHeight="1" outlineLevel="1" x14ac:dyDescent="0.25">
      <c r="A3101" s="42">
        <v>9569</v>
      </c>
      <c r="B3101" s="4" t="s">
        <v>181</v>
      </c>
      <c r="C3101" s="38" t="s">
        <v>1885</v>
      </c>
      <c r="D3101" s="4">
        <v>2021</v>
      </c>
      <c r="E3101" s="4"/>
      <c r="F3101" s="4">
        <v>1233</v>
      </c>
      <c r="G3101" s="4">
        <v>20</v>
      </c>
      <c r="H3101" s="4">
        <v>1471</v>
      </c>
    </row>
    <row r="3102" spans="1:8" s="5" customFormat="1" ht="30" hidden="1" customHeight="1" outlineLevel="1" x14ac:dyDescent="0.25">
      <c r="A3102" s="42">
        <v>9730</v>
      </c>
      <c r="B3102" s="4" t="s">
        <v>181</v>
      </c>
      <c r="C3102" s="38" t="s">
        <v>1886</v>
      </c>
      <c r="D3102" s="4">
        <v>2021</v>
      </c>
      <c r="E3102" s="4"/>
      <c r="F3102" s="4">
        <v>5</v>
      </c>
      <c r="G3102" s="4">
        <v>140</v>
      </c>
      <c r="H3102" s="4">
        <v>83</v>
      </c>
    </row>
    <row r="3103" spans="1:8" s="5" customFormat="1" ht="30" hidden="1" customHeight="1" outlineLevel="1" x14ac:dyDescent="0.25">
      <c r="A3103" s="43">
        <v>3821</v>
      </c>
      <c r="B3103" s="4" t="s">
        <v>181</v>
      </c>
      <c r="C3103" s="38" t="s">
        <v>1887</v>
      </c>
      <c r="D3103" s="4">
        <v>2021</v>
      </c>
      <c r="E3103" s="4"/>
      <c r="F3103" s="4">
        <v>448</v>
      </c>
      <c r="G3103" s="4" t="s">
        <v>1447</v>
      </c>
      <c r="H3103" s="4">
        <v>585</v>
      </c>
    </row>
    <row r="3104" spans="1:8" s="5" customFormat="1" ht="30" hidden="1" customHeight="1" outlineLevel="1" x14ac:dyDescent="0.25">
      <c r="A3104" s="43">
        <v>3819</v>
      </c>
      <c r="B3104" s="4" t="s">
        <v>181</v>
      </c>
      <c r="C3104" s="38" t="s">
        <v>1888</v>
      </c>
      <c r="D3104" s="4">
        <v>2021</v>
      </c>
      <c r="E3104" s="4"/>
      <c r="F3104" s="4">
        <v>155</v>
      </c>
      <c r="G3104" s="4">
        <v>30</v>
      </c>
      <c r="H3104" s="4">
        <v>263</v>
      </c>
    </row>
    <row r="3105" spans="1:8" s="5" customFormat="1" ht="30" hidden="1" customHeight="1" outlineLevel="1" x14ac:dyDescent="0.25">
      <c r="A3105" s="43">
        <v>1201</v>
      </c>
      <c r="B3105" s="4" t="s">
        <v>181</v>
      </c>
      <c r="C3105" s="38" t="s">
        <v>1889</v>
      </c>
      <c r="D3105" s="4">
        <v>2021</v>
      </c>
      <c r="E3105" s="4"/>
      <c r="F3105" s="4">
        <v>515</v>
      </c>
      <c r="G3105" s="4" t="s">
        <v>1447</v>
      </c>
      <c r="H3105" s="4">
        <v>685</v>
      </c>
    </row>
    <row r="3106" spans="1:8" s="5" customFormat="1" ht="30" hidden="1" customHeight="1" outlineLevel="1" x14ac:dyDescent="0.25">
      <c r="A3106" s="42">
        <v>9692</v>
      </c>
      <c r="B3106" s="4" t="s">
        <v>181</v>
      </c>
      <c r="C3106" s="38" t="s">
        <v>1890</v>
      </c>
      <c r="D3106" s="4">
        <v>2021</v>
      </c>
      <c r="E3106" s="4"/>
      <c r="F3106" s="4">
        <v>355</v>
      </c>
      <c r="G3106" s="4" t="s">
        <v>1447</v>
      </c>
      <c r="H3106" s="4">
        <v>393</v>
      </c>
    </row>
    <row r="3107" spans="1:8" s="5" customFormat="1" ht="30" hidden="1" customHeight="1" outlineLevel="1" x14ac:dyDescent="0.25">
      <c r="A3107" s="42">
        <v>9696</v>
      </c>
      <c r="B3107" s="4" t="s">
        <v>181</v>
      </c>
      <c r="C3107" s="38" t="s">
        <v>1891</v>
      </c>
      <c r="D3107" s="4">
        <v>2021</v>
      </c>
      <c r="E3107" s="4"/>
      <c r="F3107" s="4">
        <v>586</v>
      </c>
      <c r="G3107" s="4">
        <v>30</v>
      </c>
      <c r="H3107" s="4">
        <v>789</v>
      </c>
    </row>
    <row r="3108" spans="1:8" s="5" customFormat="1" ht="30" hidden="1" customHeight="1" outlineLevel="1" x14ac:dyDescent="0.25">
      <c r="A3108" s="42">
        <v>9711</v>
      </c>
      <c r="B3108" s="4" t="s">
        <v>181</v>
      </c>
      <c r="C3108" s="38" t="s">
        <v>1892</v>
      </c>
      <c r="D3108" s="4">
        <v>2021</v>
      </c>
      <c r="E3108" s="4"/>
      <c r="F3108" s="4">
        <v>248</v>
      </c>
      <c r="G3108" s="4" t="s">
        <v>1198</v>
      </c>
      <c r="H3108" s="4">
        <v>398</v>
      </c>
    </row>
    <row r="3109" spans="1:8" s="5" customFormat="1" ht="30" hidden="1" customHeight="1" outlineLevel="1" x14ac:dyDescent="0.25">
      <c r="A3109" s="43">
        <v>1241</v>
      </c>
      <c r="B3109" s="4" t="s">
        <v>181</v>
      </c>
      <c r="C3109" s="38" t="s">
        <v>1893</v>
      </c>
      <c r="D3109" s="4">
        <v>2021</v>
      </c>
      <c r="E3109" s="4"/>
      <c r="F3109" s="4">
        <v>929</v>
      </c>
      <c r="G3109" s="4" t="s">
        <v>1447</v>
      </c>
      <c r="H3109" s="4">
        <v>1298</v>
      </c>
    </row>
    <row r="3110" spans="1:8" s="5" customFormat="1" ht="30" hidden="1" customHeight="1" outlineLevel="1" x14ac:dyDescent="0.25">
      <c r="A3110" s="42">
        <v>9691</v>
      </c>
      <c r="B3110" s="4" t="s">
        <v>181</v>
      </c>
      <c r="C3110" s="38" t="s">
        <v>1894</v>
      </c>
      <c r="D3110" s="4">
        <v>2021</v>
      </c>
      <c r="E3110" s="4"/>
      <c r="F3110" s="4">
        <v>1248</v>
      </c>
      <c r="G3110" s="4" t="s">
        <v>1451</v>
      </c>
      <c r="H3110" s="4">
        <v>1603</v>
      </c>
    </row>
    <row r="3111" spans="1:8" s="5" customFormat="1" ht="30" hidden="1" customHeight="1" outlineLevel="1" x14ac:dyDescent="0.25">
      <c r="A3111" s="43">
        <v>1243</v>
      </c>
      <c r="B3111" s="4" t="s">
        <v>181</v>
      </c>
      <c r="C3111" s="38" t="s">
        <v>1895</v>
      </c>
      <c r="D3111" s="4">
        <v>2021</v>
      </c>
      <c r="E3111" s="4"/>
      <c r="F3111" s="4">
        <v>268</v>
      </c>
      <c r="G3111" s="4" t="s">
        <v>1447</v>
      </c>
      <c r="H3111" s="4">
        <v>351</v>
      </c>
    </row>
    <row r="3112" spans="1:8" s="5" customFormat="1" ht="30" hidden="1" customHeight="1" outlineLevel="1" x14ac:dyDescent="0.25">
      <c r="A3112" s="42">
        <v>9508</v>
      </c>
      <c r="B3112" s="4" t="s">
        <v>181</v>
      </c>
      <c r="C3112" s="38" t="s">
        <v>1181</v>
      </c>
      <c r="D3112" s="4">
        <v>2021</v>
      </c>
      <c r="E3112" s="4"/>
      <c r="F3112" s="4">
        <v>63</v>
      </c>
      <c r="G3112" s="4" t="s">
        <v>1896</v>
      </c>
      <c r="H3112" s="4">
        <v>141</v>
      </c>
    </row>
    <row r="3113" spans="1:8" s="5" customFormat="1" ht="30" hidden="1" customHeight="1" outlineLevel="1" x14ac:dyDescent="0.25">
      <c r="A3113" s="43">
        <v>3832</v>
      </c>
      <c r="B3113" s="4" t="s">
        <v>181</v>
      </c>
      <c r="C3113" s="38" t="s">
        <v>1183</v>
      </c>
      <c r="D3113" s="4">
        <v>2021</v>
      </c>
      <c r="E3113" s="4"/>
      <c r="F3113" s="4">
        <v>5</v>
      </c>
      <c r="G3113" s="4" t="s">
        <v>1447</v>
      </c>
      <c r="H3113" s="4">
        <v>82</v>
      </c>
    </row>
    <row r="3114" spans="1:8" s="5" customFormat="1" ht="30" hidden="1" customHeight="1" outlineLevel="1" x14ac:dyDescent="0.25">
      <c r="A3114" s="43">
        <v>3816</v>
      </c>
      <c r="B3114" s="4" t="s">
        <v>181</v>
      </c>
      <c r="C3114" s="38" t="s">
        <v>1897</v>
      </c>
      <c r="D3114" s="4">
        <v>2021</v>
      </c>
      <c r="E3114" s="4"/>
      <c r="F3114" s="4">
        <v>186</v>
      </c>
      <c r="G3114" s="4" t="s">
        <v>1447</v>
      </c>
      <c r="H3114" s="4">
        <v>342</v>
      </c>
    </row>
    <row r="3115" spans="1:8" s="5" customFormat="1" ht="30" hidden="1" customHeight="1" outlineLevel="1" x14ac:dyDescent="0.25">
      <c r="A3115" s="42">
        <v>9693</v>
      </c>
      <c r="B3115" s="4" t="s">
        <v>181</v>
      </c>
      <c r="C3115" s="38" t="s">
        <v>1898</v>
      </c>
      <c r="D3115" s="4">
        <v>2021</v>
      </c>
      <c r="E3115" s="4"/>
      <c r="F3115" s="4">
        <v>345</v>
      </c>
      <c r="G3115" s="4" t="s">
        <v>1447</v>
      </c>
      <c r="H3115" s="4">
        <v>621</v>
      </c>
    </row>
    <row r="3116" spans="1:8" s="5" customFormat="1" ht="30" hidden="1" customHeight="1" outlineLevel="1" x14ac:dyDescent="0.25">
      <c r="A3116" s="43">
        <v>1211</v>
      </c>
      <c r="B3116" s="4" t="s">
        <v>181</v>
      </c>
      <c r="C3116" s="38" t="s">
        <v>1899</v>
      </c>
      <c r="D3116" s="4">
        <v>2021</v>
      </c>
      <c r="E3116" s="4"/>
      <c r="F3116" s="4">
        <v>358</v>
      </c>
      <c r="G3116" s="4" t="s">
        <v>1447</v>
      </c>
      <c r="H3116" s="4">
        <v>734</v>
      </c>
    </row>
    <row r="3117" spans="1:8" s="5" customFormat="1" ht="30" hidden="1" customHeight="1" outlineLevel="1" x14ac:dyDescent="0.25">
      <c r="A3117" s="43">
        <v>1212</v>
      </c>
      <c r="B3117" s="4" t="s">
        <v>181</v>
      </c>
      <c r="C3117" s="38" t="s">
        <v>1900</v>
      </c>
      <c r="D3117" s="4">
        <v>2021</v>
      </c>
      <c r="E3117" s="4"/>
      <c r="F3117" s="4">
        <v>353</v>
      </c>
      <c r="G3117" s="4" t="s">
        <v>1447</v>
      </c>
      <c r="H3117" s="4">
        <v>734</v>
      </c>
    </row>
    <row r="3118" spans="1:8" s="5" customFormat="1" ht="30" hidden="1" customHeight="1" outlineLevel="1" x14ac:dyDescent="0.25">
      <c r="A3118" s="43">
        <v>3805</v>
      </c>
      <c r="B3118" s="4" t="s">
        <v>181</v>
      </c>
      <c r="C3118" s="38" t="s">
        <v>1901</v>
      </c>
      <c r="D3118" s="4">
        <v>2021</v>
      </c>
      <c r="E3118" s="4"/>
      <c r="F3118" s="4">
        <v>411</v>
      </c>
      <c r="G3118" s="4" t="s">
        <v>1447</v>
      </c>
      <c r="H3118" s="4">
        <v>579</v>
      </c>
    </row>
    <row r="3119" spans="1:8" s="5" customFormat="1" ht="30" hidden="1" customHeight="1" outlineLevel="1" x14ac:dyDescent="0.25">
      <c r="A3119" s="42">
        <v>9690</v>
      </c>
      <c r="B3119" s="4" t="s">
        <v>181</v>
      </c>
      <c r="C3119" s="38" t="s">
        <v>1902</v>
      </c>
      <c r="D3119" s="4">
        <v>2021</v>
      </c>
      <c r="E3119" s="4"/>
      <c r="F3119" s="4">
        <v>365</v>
      </c>
      <c r="G3119" s="4" t="s">
        <v>1447</v>
      </c>
      <c r="H3119" s="4">
        <v>419</v>
      </c>
    </row>
    <row r="3120" spans="1:8" s="5" customFormat="1" ht="30" hidden="1" customHeight="1" outlineLevel="1" x14ac:dyDescent="0.25">
      <c r="A3120" s="43">
        <v>1199</v>
      </c>
      <c r="B3120" s="4" t="s">
        <v>181</v>
      </c>
      <c r="C3120" s="38" t="s">
        <v>1903</v>
      </c>
      <c r="D3120" s="4">
        <v>2021</v>
      </c>
      <c r="E3120" s="4"/>
      <c r="F3120" s="4">
        <v>170</v>
      </c>
      <c r="G3120" s="4" t="s">
        <v>1896</v>
      </c>
      <c r="H3120" s="4">
        <v>197</v>
      </c>
    </row>
    <row r="3121" spans="1:8" s="5" customFormat="1" ht="30" hidden="1" customHeight="1" outlineLevel="1" x14ac:dyDescent="0.25">
      <c r="A3121" s="42">
        <v>9735</v>
      </c>
      <c r="B3121" s="4" t="s">
        <v>181</v>
      </c>
      <c r="C3121" s="38" t="s">
        <v>1904</v>
      </c>
      <c r="D3121" s="4">
        <v>2021</v>
      </c>
      <c r="E3121" s="4"/>
      <c r="F3121" s="4">
        <v>3</v>
      </c>
      <c r="G3121" s="4" t="s">
        <v>1905</v>
      </c>
      <c r="H3121" s="4">
        <v>73</v>
      </c>
    </row>
    <row r="3122" spans="1:8" s="5" customFormat="1" ht="30" hidden="1" customHeight="1" outlineLevel="1" x14ac:dyDescent="0.25">
      <c r="A3122" s="42">
        <v>9739</v>
      </c>
      <c r="B3122" s="4" t="s">
        <v>181</v>
      </c>
      <c r="C3122" s="59" t="s">
        <v>1188</v>
      </c>
      <c r="D3122" s="4">
        <v>2021</v>
      </c>
      <c r="E3122" s="4"/>
      <c r="F3122" s="4">
        <v>58</v>
      </c>
      <c r="G3122" s="4" t="s">
        <v>1447</v>
      </c>
      <c r="H3122" s="4">
        <v>141</v>
      </c>
    </row>
    <row r="3123" spans="1:8" s="5" customFormat="1" ht="30" hidden="1" customHeight="1" outlineLevel="1" x14ac:dyDescent="0.25">
      <c r="A3123" s="43">
        <v>3888</v>
      </c>
      <c r="B3123" s="4" t="s">
        <v>181</v>
      </c>
      <c r="C3123" s="38" t="s">
        <v>1906</v>
      </c>
      <c r="D3123" s="4">
        <v>2021</v>
      </c>
      <c r="E3123" s="4"/>
      <c r="F3123" s="4">
        <v>55</v>
      </c>
      <c r="G3123" s="4" t="s">
        <v>1447</v>
      </c>
      <c r="H3123" s="4">
        <v>169</v>
      </c>
    </row>
    <row r="3124" spans="1:8" s="5" customFormat="1" ht="30" hidden="1" customHeight="1" outlineLevel="1" x14ac:dyDescent="0.25">
      <c r="A3124" s="43">
        <v>1222</v>
      </c>
      <c r="B3124" s="4" t="s">
        <v>181</v>
      </c>
      <c r="C3124" s="38" t="s">
        <v>1907</v>
      </c>
      <c r="D3124" s="4">
        <v>2021</v>
      </c>
      <c r="E3124" s="4"/>
      <c r="F3124" s="4">
        <v>376</v>
      </c>
      <c r="G3124" s="4" t="s">
        <v>1447</v>
      </c>
      <c r="H3124" s="4">
        <v>621</v>
      </c>
    </row>
    <row r="3125" spans="1:8" s="5" customFormat="1" ht="30" hidden="1" customHeight="1" outlineLevel="1" x14ac:dyDescent="0.25">
      <c r="A3125" s="42">
        <v>9695</v>
      </c>
      <c r="B3125" s="4" t="s">
        <v>181</v>
      </c>
      <c r="C3125" s="38" t="s">
        <v>1908</v>
      </c>
      <c r="D3125" s="4">
        <v>2021</v>
      </c>
      <c r="E3125" s="4"/>
      <c r="F3125" s="4">
        <v>345</v>
      </c>
      <c r="G3125" s="4" t="s">
        <v>1447</v>
      </c>
      <c r="H3125" s="4">
        <v>611</v>
      </c>
    </row>
    <row r="3126" spans="1:8" s="5" customFormat="1" ht="30" hidden="1" customHeight="1" outlineLevel="1" x14ac:dyDescent="0.25">
      <c r="A3126" s="42">
        <v>9698</v>
      </c>
      <c r="B3126" s="4" t="s">
        <v>181</v>
      </c>
      <c r="C3126" s="38" t="s">
        <v>1909</v>
      </c>
      <c r="D3126" s="4">
        <v>2021</v>
      </c>
      <c r="E3126" s="4"/>
      <c r="F3126" s="4">
        <v>394</v>
      </c>
      <c r="G3126" s="4" t="s">
        <v>1447</v>
      </c>
      <c r="H3126" s="4">
        <v>599</v>
      </c>
    </row>
    <row r="3127" spans="1:8" s="5" customFormat="1" ht="30" hidden="1" customHeight="1" outlineLevel="1" x14ac:dyDescent="0.25">
      <c r="A3127" s="43">
        <v>1251</v>
      </c>
      <c r="B3127" s="4" t="s">
        <v>181</v>
      </c>
      <c r="C3127" s="38" t="s">
        <v>1190</v>
      </c>
      <c r="D3127" s="4">
        <v>2021</v>
      </c>
      <c r="E3127" s="4"/>
      <c r="F3127" s="4">
        <v>33</v>
      </c>
      <c r="G3127" s="4" t="s">
        <v>1447</v>
      </c>
      <c r="H3127" s="4">
        <v>133</v>
      </c>
    </row>
    <row r="3128" spans="1:8" s="5" customFormat="1" ht="30" hidden="1" customHeight="1" outlineLevel="1" x14ac:dyDescent="0.25">
      <c r="A3128" s="42">
        <v>9716</v>
      </c>
      <c r="B3128" s="4" t="s">
        <v>181</v>
      </c>
      <c r="C3128" s="38" t="s">
        <v>1910</v>
      </c>
      <c r="D3128" s="4">
        <v>2021</v>
      </c>
      <c r="E3128" s="4"/>
      <c r="F3128" s="4">
        <v>608</v>
      </c>
      <c r="G3128" s="4" t="s">
        <v>1447</v>
      </c>
      <c r="H3128" s="4">
        <v>757</v>
      </c>
    </row>
    <row r="3129" spans="1:8" s="5" customFormat="1" ht="30" hidden="1" customHeight="1" outlineLevel="1" x14ac:dyDescent="0.25">
      <c r="A3129" s="42">
        <v>9717</v>
      </c>
      <c r="B3129" s="4" t="s">
        <v>181</v>
      </c>
      <c r="C3129" s="38" t="s">
        <v>1911</v>
      </c>
      <c r="D3129" s="4">
        <v>2021</v>
      </c>
      <c r="E3129" s="4"/>
      <c r="F3129" s="4">
        <v>712</v>
      </c>
      <c r="G3129" s="4" t="s">
        <v>1447</v>
      </c>
      <c r="H3129" s="4">
        <v>893</v>
      </c>
    </row>
    <row r="3130" spans="1:8" s="5" customFormat="1" ht="30" hidden="1" customHeight="1" outlineLevel="1" x14ac:dyDescent="0.25">
      <c r="A3130" s="42">
        <v>9721</v>
      </c>
      <c r="B3130" s="4" t="s">
        <v>181</v>
      </c>
      <c r="C3130" s="38" t="s">
        <v>1912</v>
      </c>
      <c r="D3130" s="4">
        <v>2021</v>
      </c>
      <c r="E3130" s="4"/>
      <c r="F3130" s="4">
        <v>679</v>
      </c>
      <c r="G3130" s="4">
        <v>45</v>
      </c>
      <c r="H3130" s="4">
        <v>754</v>
      </c>
    </row>
    <row r="3131" spans="1:8" s="5" customFormat="1" ht="30" hidden="1" customHeight="1" outlineLevel="1" x14ac:dyDescent="0.25">
      <c r="A3131" s="42">
        <v>9723</v>
      </c>
      <c r="B3131" s="4" t="s">
        <v>181</v>
      </c>
      <c r="C3131" s="38" t="s">
        <v>1192</v>
      </c>
      <c r="D3131" s="4">
        <v>2021</v>
      </c>
      <c r="E3131" s="4"/>
      <c r="F3131" s="4">
        <v>53</v>
      </c>
      <c r="G3131" s="4" t="s">
        <v>1896</v>
      </c>
      <c r="H3131" s="4">
        <v>247</v>
      </c>
    </row>
    <row r="3132" spans="1:8" s="5" customFormat="1" ht="30" hidden="1" customHeight="1" outlineLevel="1" x14ac:dyDescent="0.25">
      <c r="A3132" s="42">
        <v>9724</v>
      </c>
      <c r="B3132" s="4" t="s">
        <v>181</v>
      </c>
      <c r="C3132" s="38" t="s">
        <v>1193</v>
      </c>
      <c r="D3132" s="4">
        <v>2021</v>
      </c>
      <c r="E3132" s="4"/>
      <c r="F3132" s="4">
        <v>7</v>
      </c>
      <c r="G3132" s="4" t="s">
        <v>1896</v>
      </c>
      <c r="H3132" s="4">
        <v>170</v>
      </c>
    </row>
    <row r="3133" spans="1:8" s="5" customFormat="1" ht="30" hidden="1" customHeight="1" outlineLevel="1" x14ac:dyDescent="0.25">
      <c r="A3133" s="42">
        <v>9514</v>
      </c>
      <c r="B3133" s="4" t="s">
        <v>181</v>
      </c>
      <c r="C3133" s="38" t="s">
        <v>1913</v>
      </c>
      <c r="D3133" s="4">
        <v>2021</v>
      </c>
      <c r="E3133" s="4"/>
      <c r="F3133" s="4">
        <v>715</v>
      </c>
      <c r="G3133" s="4">
        <v>280</v>
      </c>
      <c r="H3133" s="4">
        <v>851.61400000000003</v>
      </c>
    </row>
    <row r="3134" spans="1:8" s="5" customFormat="1" ht="30" hidden="1" customHeight="1" outlineLevel="1" x14ac:dyDescent="0.25">
      <c r="A3134" s="42">
        <v>9609</v>
      </c>
      <c r="B3134" s="4" t="s">
        <v>181</v>
      </c>
      <c r="C3134" s="38" t="s">
        <v>1813</v>
      </c>
      <c r="D3134" s="4">
        <v>2021</v>
      </c>
      <c r="E3134" s="4"/>
      <c r="F3134" s="4">
        <v>255</v>
      </c>
      <c r="G3134" s="4">
        <v>25</v>
      </c>
      <c r="H3134" s="4">
        <v>379</v>
      </c>
    </row>
    <row r="3135" spans="1:8" s="5" customFormat="1" ht="30" hidden="1" customHeight="1" outlineLevel="1" x14ac:dyDescent="0.25">
      <c r="A3135" s="42">
        <v>9668</v>
      </c>
      <c r="B3135" s="4" t="s">
        <v>181</v>
      </c>
      <c r="C3135" s="38" t="s">
        <v>1814</v>
      </c>
      <c r="D3135" s="4">
        <v>2021</v>
      </c>
      <c r="E3135" s="4"/>
      <c r="F3135" s="4">
        <v>10</v>
      </c>
      <c r="G3135" s="4">
        <v>100</v>
      </c>
      <c r="H3135" s="4">
        <v>59</v>
      </c>
    </row>
    <row r="3136" spans="1:8" s="5" customFormat="1" ht="30" hidden="1" customHeight="1" outlineLevel="1" x14ac:dyDescent="0.25">
      <c r="A3136" s="42">
        <v>9600</v>
      </c>
      <c r="B3136" s="4" t="s">
        <v>181</v>
      </c>
      <c r="C3136" s="38" t="s">
        <v>1914</v>
      </c>
      <c r="D3136" s="4">
        <v>2021</v>
      </c>
      <c r="E3136" s="4"/>
      <c r="F3136" s="4">
        <v>1283</v>
      </c>
      <c r="G3136" s="4">
        <v>240</v>
      </c>
      <c r="H3136" s="4">
        <v>2053</v>
      </c>
    </row>
    <row r="3137" spans="1:8" s="5" customFormat="1" ht="30" hidden="1" customHeight="1" outlineLevel="1" x14ac:dyDescent="0.25">
      <c r="A3137" s="42">
        <v>9658</v>
      </c>
      <c r="B3137" s="4" t="s">
        <v>181</v>
      </c>
      <c r="C3137" s="38" t="s">
        <v>1915</v>
      </c>
      <c r="D3137" s="4">
        <v>2021</v>
      </c>
      <c r="E3137" s="4"/>
      <c r="F3137" s="4">
        <v>4</v>
      </c>
      <c r="G3137" s="4">
        <v>150</v>
      </c>
      <c r="H3137" s="4">
        <v>92</v>
      </c>
    </row>
    <row r="3138" spans="1:8" s="5" customFormat="1" ht="30" hidden="1" customHeight="1" outlineLevel="1" x14ac:dyDescent="0.25">
      <c r="A3138" s="42">
        <v>9316</v>
      </c>
      <c r="B3138" s="4" t="s">
        <v>181</v>
      </c>
      <c r="C3138" s="38" t="s">
        <v>1916</v>
      </c>
      <c r="D3138" s="4">
        <v>2021</v>
      </c>
      <c r="E3138" s="4"/>
      <c r="F3138" s="4">
        <v>126</v>
      </c>
      <c r="G3138" s="4">
        <v>15</v>
      </c>
      <c r="H3138" s="4">
        <v>325</v>
      </c>
    </row>
    <row r="3139" spans="1:8" s="5" customFormat="1" ht="30" hidden="1" customHeight="1" outlineLevel="1" x14ac:dyDescent="0.25">
      <c r="A3139" s="43">
        <v>1142</v>
      </c>
      <c r="B3139" s="4" t="s">
        <v>181</v>
      </c>
      <c r="C3139" s="38" t="s">
        <v>1815</v>
      </c>
      <c r="D3139" s="4">
        <v>2021</v>
      </c>
      <c r="E3139" s="4"/>
      <c r="F3139" s="4">
        <v>127</v>
      </c>
      <c r="G3139" s="4">
        <v>150</v>
      </c>
      <c r="H3139" s="4">
        <v>235</v>
      </c>
    </row>
    <row r="3140" spans="1:8" s="5" customFormat="1" ht="30" hidden="1" customHeight="1" outlineLevel="1" x14ac:dyDescent="0.25">
      <c r="A3140" s="42">
        <v>9419</v>
      </c>
      <c r="B3140" s="4" t="s">
        <v>181</v>
      </c>
      <c r="C3140" s="38" t="s">
        <v>1917</v>
      </c>
      <c r="D3140" s="4">
        <v>2021</v>
      </c>
      <c r="E3140" s="4"/>
      <c r="F3140" s="4">
        <v>205</v>
      </c>
      <c r="G3140" s="4">
        <v>120</v>
      </c>
      <c r="H3140" s="4">
        <v>429</v>
      </c>
    </row>
    <row r="3141" spans="1:8" s="5" customFormat="1" ht="30" hidden="1" customHeight="1" outlineLevel="1" x14ac:dyDescent="0.25">
      <c r="A3141" s="43">
        <v>913</v>
      </c>
      <c r="B3141" s="4" t="s">
        <v>181</v>
      </c>
      <c r="C3141" s="38" t="s">
        <v>1816</v>
      </c>
      <c r="D3141" s="4">
        <v>2021</v>
      </c>
      <c r="E3141" s="4"/>
      <c r="F3141" s="4">
        <v>756</v>
      </c>
      <c r="G3141" s="4">
        <v>119</v>
      </c>
      <c r="H3141" s="4">
        <v>1117</v>
      </c>
    </row>
    <row r="3142" spans="1:8" s="5" customFormat="1" ht="30" hidden="1" customHeight="1" outlineLevel="1" x14ac:dyDescent="0.25">
      <c r="A3142" s="42">
        <v>9659</v>
      </c>
      <c r="B3142" s="4" t="s">
        <v>181</v>
      </c>
      <c r="C3142" s="38" t="s">
        <v>1918</v>
      </c>
      <c r="D3142" s="4">
        <v>2021</v>
      </c>
      <c r="E3142" s="4"/>
      <c r="F3142" s="4">
        <v>46</v>
      </c>
      <c r="G3142" s="4">
        <v>118.3</v>
      </c>
      <c r="H3142" s="4">
        <v>131</v>
      </c>
    </row>
    <row r="3143" spans="1:8" s="5" customFormat="1" ht="30" hidden="1" customHeight="1" outlineLevel="1" x14ac:dyDescent="0.25">
      <c r="A3143" s="43">
        <v>3796</v>
      </c>
      <c r="B3143" s="4" t="s">
        <v>181</v>
      </c>
      <c r="C3143" s="38" t="s">
        <v>1817</v>
      </c>
      <c r="D3143" s="4">
        <v>2021</v>
      </c>
      <c r="E3143" s="4"/>
      <c r="F3143" s="4">
        <v>7</v>
      </c>
      <c r="G3143" s="4">
        <v>150</v>
      </c>
      <c r="H3143" s="4">
        <v>30</v>
      </c>
    </row>
    <row r="3144" spans="1:8" s="5" customFormat="1" ht="30" hidden="1" customHeight="1" outlineLevel="1" x14ac:dyDescent="0.25">
      <c r="A3144" s="43">
        <v>1156</v>
      </c>
      <c r="B3144" s="4" t="s">
        <v>181</v>
      </c>
      <c r="C3144" s="38" t="s">
        <v>1919</v>
      </c>
      <c r="D3144" s="4">
        <v>2021</v>
      </c>
      <c r="E3144" s="4"/>
      <c r="F3144" s="4">
        <v>4</v>
      </c>
      <c r="G3144" s="4">
        <v>150</v>
      </c>
      <c r="H3144" s="4">
        <v>60</v>
      </c>
    </row>
    <row r="3145" spans="1:8" s="5" customFormat="1" ht="30" hidden="1" customHeight="1" outlineLevel="1" x14ac:dyDescent="0.25">
      <c r="A3145" s="43">
        <v>1143</v>
      </c>
      <c r="B3145" s="4" t="s">
        <v>181</v>
      </c>
      <c r="C3145" s="38" t="s">
        <v>1818</v>
      </c>
      <c r="D3145" s="4">
        <v>2021</v>
      </c>
      <c r="E3145" s="4"/>
      <c r="F3145" s="4">
        <v>58</v>
      </c>
      <c r="G3145" s="4">
        <v>290</v>
      </c>
      <c r="H3145" s="4">
        <v>273</v>
      </c>
    </row>
    <row r="3146" spans="1:8" s="5" customFormat="1" ht="30" hidden="1" customHeight="1" outlineLevel="1" x14ac:dyDescent="0.25">
      <c r="A3146" s="42">
        <v>9663</v>
      </c>
      <c r="B3146" s="4" t="s">
        <v>181</v>
      </c>
      <c r="C3146" s="38" t="s">
        <v>1819</v>
      </c>
      <c r="D3146" s="4">
        <v>2021</v>
      </c>
      <c r="E3146" s="4"/>
      <c r="F3146" s="4">
        <v>4</v>
      </c>
      <c r="G3146" s="4">
        <v>100</v>
      </c>
      <c r="H3146" s="4">
        <v>58</v>
      </c>
    </row>
    <row r="3147" spans="1:8" s="5" customFormat="1" ht="30" hidden="1" customHeight="1" outlineLevel="1" x14ac:dyDescent="0.25">
      <c r="A3147" s="43">
        <v>1148</v>
      </c>
      <c r="B3147" s="4" t="s">
        <v>181</v>
      </c>
      <c r="C3147" s="38" t="s">
        <v>1820</v>
      </c>
      <c r="D3147" s="4">
        <v>2021</v>
      </c>
      <c r="E3147" s="4"/>
      <c r="F3147" s="4">
        <v>14</v>
      </c>
      <c r="G3147" s="4">
        <v>150</v>
      </c>
      <c r="H3147" s="4">
        <v>35</v>
      </c>
    </row>
    <row r="3148" spans="1:8" s="5" customFormat="1" ht="30" hidden="1" customHeight="1" outlineLevel="1" x14ac:dyDescent="0.25">
      <c r="A3148" s="42">
        <v>9664</v>
      </c>
      <c r="B3148" s="4" t="s">
        <v>181</v>
      </c>
      <c r="C3148" s="38" t="s">
        <v>1821</v>
      </c>
      <c r="D3148" s="4">
        <v>2021</v>
      </c>
      <c r="E3148" s="4"/>
      <c r="F3148" s="4">
        <v>14</v>
      </c>
      <c r="G3148" s="4">
        <v>150</v>
      </c>
      <c r="H3148" s="4">
        <v>35</v>
      </c>
    </row>
    <row r="3149" spans="1:8" s="5" customFormat="1" ht="30" hidden="1" customHeight="1" outlineLevel="1" x14ac:dyDescent="0.25">
      <c r="A3149" s="42">
        <v>9875</v>
      </c>
      <c r="B3149" s="4" t="s">
        <v>181</v>
      </c>
      <c r="C3149" s="38" t="s">
        <v>1920</v>
      </c>
      <c r="D3149" s="4">
        <v>2021</v>
      </c>
      <c r="E3149" s="4"/>
      <c r="F3149" s="4">
        <v>221</v>
      </c>
      <c r="G3149" s="4">
        <v>25</v>
      </c>
      <c r="H3149" s="4">
        <v>355</v>
      </c>
    </row>
    <row r="3150" spans="1:8" s="5" customFormat="1" ht="30" hidden="1" customHeight="1" outlineLevel="1" x14ac:dyDescent="0.25">
      <c r="A3150" s="42">
        <v>9423</v>
      </c>
      <c r="B3150" s="4" t="s">
        <v>181</v>
      </c>
      <c r="C3150" s="38" t="s">
        <v>1921</v>
      </c>
      <c r="D3150" s="4">
        <v>2021</v>
      </c>
      <c r="E3150" s="4"/>
      <c r="F3150" s="4">
        <v>29</v>
      </c>
      <c r="G3150" s="4">
        <v>30</v>
      </c>
      <c r="H3150" s="4">
        <v>130</v>
      </c>
    </row>
    <row r="3151" spans="1:8" s="5" customFormat="1" ht="30" hidden="1" customHeight="1" outlineLevel="1" x14ac:dyDescent="0.25">
      <c r="A3151" s="42">
        <v>9291</v>
      </c>
      <c r="B3151" s="4" t="s">
        <v>181</v>
      </c>
      <c r="C3151" s="38" t="s">
        <v>1922</v>
      </c>
      <c r="D3151" s="4">
        <v>2021</v>
      </c>
      <c r="E3151" s="4"/>
      <c r="F3151" s="4">
        <v>108</v>
      </c>
      <c r="G3151" s="4">
        <v>30</v>
      </c>
      <c r="H3151" s="4">
        <v>256</v>
      </c>
    </row>
    <row r="3152" spans="1:8" s="5" customFormat="1" ht="30" hidden="1" customHeight="1" outlineLevel="1" x14ac:dyDescent="0.25">
      <c r="A3152" s="42">
        <v>9601</v>
      </c>
      <c r="B3152" s="4" t="s">
        <v>181</v>
      </c>
      <c r="C3152" s="38" t="s">
        <v>1822</v>
      </c>
      <c r="D3152" s="4">
        <v>2021</v>
      </c>
      <c r="E3152" s="4"/>
      <c r="F3152" s="4">
        <v>1039</v>
      </c>
      <c r="G3152" s="4">
        <v>537</v>
      </c>
      <c r="H3152" s="4">
        <v>2316</v>
      </c>
    </row>
    <row r="3153" spans="1:8" s="5" customFormat="1" ht="30" hidden="1" customHeight="1" outlineLevel="1" x14ac:dyDescent="0.25">
      <c r="A3153" s="42">
        <v>9591</v>
      </c>
      <c r="B3153" s="4" t="s">
        <v>181</v>
      </c>
      <c r="C3153" s="38" t="s">
        <v>1923</v>
      </c>
      <c r="D3153" s="4">
        <v>2021</v>
      </c>
      <c r="E3153" s="4"/>
      <c r="F3153" s="4">
        <v>2661</v>
      </c>
      <c r="G3153" s="4">
        <v>417</v>
      </c>
      <c r="H3153" s="4">
        <v>4712</v>
      </c>
    </row>
    <row r="3154" spans="1:8" s="5" customFormat="1" ht="30" hidden="1" customHeight="1" outlineLevel="1" x14ac:dyDescent="0.25">
      <c r="A3154" s="42">
        <v>9328</v>
      </c>
      <c r="B3154" s="4" t="s">
        <v>181</v>
      </c>
      <c r="C3154" s="38" t="s">
        <v>1924</v>
      </c>
      <c r="D3154" s="4">
        <v>2021</v>
      </c>
      <c r="E3154" s="4"/>
      <c r="F3154" s="4">
        <v>250</v>
      </c>
      <c r="G3154" s="4">
        <v>30</v>
      </c>
      <c r="H3154" s="4">
        <v>341</v>
      </c>
    </row>
    <row r="3155" spans="1:8" s="5" customFormat="1" ht="30" hidden="1" customHeight="1" outlineLevel="1" x14ac:dyDescent="0.25">
      <c r="A3155" s="42">
        <v>9401</v>
      </c>
      <c r="B3155" s="4" t="s">
        <v>181</v>
      </c>
      <c r="C3155" s="38" t="s">
        <v>1925</v>
      </c>
      <c r="D3155" s="4">
        <v>2021</v>
      </c>
      <c r="E3155" s="4"/>
      <c r="F3155" s="4">
        <v>550</v>
      </c>
      <c r="G3155" s="4">
        <v>15</v>
      </c>
      <c r="H3155" s="4">
        <v>562</v>
      </c>
    </row>
    <row r="3156" spans="1:8" s="5" customFormat="1" ht="30" hidden="1" customHeight="1" outlineLevel="1" x14ac:dyDescent="0.25">
      <c r="A3156" s="43">
        <v>335</v>
      </c>
      <c r="B3156" s="4" t="s">
        <v>181</v>
      </c>
      <c r="C3156" s="38" t="s">
        <v>1926</v>
      </c>
      <c r="D3156" s="4">
        <v>2021</v>
      </c>
      <c r="E3156" s="4"/>
      <c r="F3156" s="4">
        <v>950</v>
      </c>
      <c r="G3156" s="4">
        <v>15</v>
      </c>
      <c r="H3156" s="4">
        <v>776</v>
      </c>
    </row>
    <row r="3157" spans="1:8" s="5" customFormat="1" ht="30" hidden="1" customHeight="1" outlineLevel="1" x14ac:dyDescent="0.25">
      <c r="A3157" s="42">
        <v>9400</v>
      </c>
      <c r="B3157" s="4" t="s">
        <v>181</v>
      </c>
      <c r="C3157" s="38" t="s">
        <v>1927</v>
      </c>
      <c r="D3157" s="4">
        <v>2021</v>
      </c>
      <c r="E3157" s="4"/>
      <c r="F3157" s="4">
        <v>600</v>
      </c>
      <c r="G3157" s="4">
        <v>45</v>
      </c>
      <c r="H3157" s="4">
        <v>612</v>
      </c>
    </row>
    <row r="3158" spans="1:8" s="5" customFormat="1" ht="30" hidden="1" customHeight="1" outlineLevel="1" x14ac:dyDescent="0.25">
      <c r="A3158" s="43">
        <v>334</v>
      </c>
      <c r="B3158" s="4" t="s">
        <v>181</v>
      </c>
      <c r="C3158" s="38" t="s">
        <v>1928</v>
      </c>
      <c r="D3158" s="4">
        <v>2021</v>
      </c>
      <c r="E3158" s="4"/>
      <c r="F3158" s="4">
        <v>750</v>
      </c>
      <c r="G3158" s="4">
        <v>15</v>
      </c>
      <c r="H3158" s="4">
        <v>784</v>
      </c>
    </row>
    <row r="3159" spans="1:8" s="5" customFormat="1" ht="30" hidden="1" customHeight="1" outlineLevel="1" x14ac:dyDescent="0.25">
      <c r="A3159" s="42">
        <v>9344</v>
      </c>
      <c r="B3159" s="4" t="s">
        <v>181</v>
      </c>
      <c r="C3159" s="38" t="s">
        <v>1929</v>
      </c>
      <c r="D3159" s="4">
        <v>2021</v>
      </c>
      <c r="E3159" s="4"/>
      <c r="F3159" s="4">
        <v>273</v>
      </c>
      <c r="G3159" s="4">
        <v>92</v>
      </c>
      <c r="H3159" s="4">
        <v>544</v>
      </c>
    </row>
    <row r="3160" spans="1:8" s="5" customFormat="1" ht="30" hidden="1" customHeight="1" outlineLevel="1" x14ac:dyDescent="0.25">
      <c r="A3160" s="42">
        <v>9577</v>
      </c>
      <c r="B3160" s="4" t="s">
        <v>181</v>
      </c>
      <c r="C3160" s="38" t="s">
        <v>1930</v>
      </c>
      <c r="D3160" s="4">
        <v>2021</v>
      </c>
      <c r="E3160" s="4"/>
      <c r="F3160" s="4">
        <v>2530</v>
      </c>
      <c r="G3160" s="4">
        <v>195</v>
      </c>
      <c r="H3160" s="4">
        <v>3466</v>
      </c>
    </row>
    <row r="3161" spans="1:8" s="5" customFormat="1" ht="30" hidden="1" customHeight="1" outlineLevel="1" x14ac:dyDescent="0.25">
      <c r="A3161" s="42">
        <v>9677</v>
      </c>
      <c r="B3161" s="4" t="s">
        <v>181</v>
      </c>
      <c r="C3161" s="38" t="s">
        <v>1931</v>
      </c>
      <c r="D3161" s="4">
        <v>2021</v>
      </c>
      <c r="E3161" s="4"/>
      <c r="F3161" s="4">
        <v>325</v>
      </c>
      <c r="G3161" s="4">
        <v>150</v>
      </c>
      <c r="H3161" s="4">
        <v>519</v>
      </c>
    </row>
    <row r="3162" spans="1:8" s="5" customFormat="1" ht="30" hidden="1" customHeight="1" outlineLevel="1" x14ac:dyDescent="0.25">
      <c r="A3162" s="42">
        <v>9339</v>
      </c>
      <c r="B3162" s="4" t="s">
        <v>181</v>
      </c>
      <c r="C3162" s="38" t="s">
        <v>1932</v>
      </c>
      <c r="D3162" s="4">
        <v>2021</v>
      </c>
      <c r="E3162" s="4"/>
      <c r="F3162" s="4">
        <v>466</v>
      </c>
      <c r="G3162" s="4">
        <v>15</v>
      </c>
      <c r="H3162" s="4">
        <v>695</v>
      </c>
    </row>
    <row r="3163" spans="1:8" s="5" customFormat="1" ht="30" hidden="1" customHeight="1" outlineLevel="1" x14ac:dyDescent="0.25">
      <c r="A3163" s="42">
        <v>9441</v>
      </c>
      <c r="B3163" s="4" t="s">
        <v>181</v>
      </c>
      <c r="C3163" s="38" t="s">
        <v>1823</v>
      </c>
      <c r="D3163" s="4">
        <v>2021</v>
      </c>
      <c r="E3163" s="4"/>
      <c r="F3163" s="4">
        <v>490</v>
      </c>
      <c r="G3163" s="4">
        <v>105</v>
      </c>
      <c r="H3163" s="4">
        <v>70</v>
      </c>
    </row>
    <row r="3164" spans="1:8" s="5" customFormat="1" ht="30" hidden="1" customHeight="1" outlineLevel="1" x14ac:dyDescent="0.25">
      <c r="A3164" s="43">
        <v>909</v>
      </c>
      <c r="B3164" s="4" t="s">
        <v>181</v>
      </c>
      <c r="C3164" s="38" t="s">
        <v>1609</v>
      </c>
      <c r="D3164" s="4">
        <v>2021</v>
      </c>
      <c r="E3164" s="4"/>
      <c r="F3164" s="4">
        <v>211</v>
      </c>
      <c r="G3164" s="4">
        <v>15</v>
      </c>
      <c r="H3164" s="4">
        <v>50</v>
      </c>
    </row>
    <row r="3165" spans="1:8" s="5" customFormat="1" ht="30" hidden="1" customHeight="1" outlineLevel="1" x14ac:dyDescent="0.25">
      <c r="A3165" s="43">
        <v>3797</v>
      </c>
      <c r="B3165" s="4" t="s">
        <v>181</v>
      </c>
      <c r="C3165" s="38" t="s">
        <v>1824</v>
      </c>
      <c r="D3165" s="4">
        <v>2021</v>
      </c>
      <c r="E3165" s="4"/>
      <c r="F3165" s="4">
        <v>5</v>
      </c>
      <c r="G3165" s="4">
        <v>149.30000000000001</v>
      </c>
      <c r="H3165" s="4">
        <v>41</v>
      </c>
    </row>
    <row r="3166" spans="1:8" s="5" customFormat="1" ht="30" hidden="1" customHeight="1" outlineLevel="1" x14ac:dyDescent="0.25">
      <c r="A3166" s="42">
        <v>9613</v>
      </c>
      <c r="B3166" s="4" t="s">
        <v>181</v>
      </c>
      <c r="C3166" s="38" t="s">
        <v>1825</v>
      </c>
      <c r="D3166" s="4">
        <v>2021</v>
      </c>
      <c r="E3166" s="4"/>
      <c r="F3166" s="4">
        <v>688</v>
      </c>
      <c r="G3166" s="4">
        <v>20</v>
      </c>
      <c r="H3166" s="4">
        <v>1134</v>
      </c>
    </row>
    <row r="3167" spans="1:8" s="5" customFormat="1" ht="30" hidden="1" customHeight="1" outlineLevel="1" x14ac:dyDescent="0.25">
      <c r="A3167" s="42">
        <v>9886</v>
      </c>
      <c r="B3167" s="4" t="s">
        <v>181</v>
      </c>
      <c r="C3167" s="38" t="s">
        <v>1933</v>
      </c>
      <c r="D3167" s="4">
        <v>2021</v>
      </c>
      <c r="E3167" s="4"/>
      <c r="F3167" s="4">
        <v>358</v>
      </c>
      <c r="G3167" s="4">
        <v>30</v>
      </c>
      <c r="H3167" s="4">
        <v>394</v>
      </c>
    </row>
    <row r="3168" spans="1:8" s="5" customFormat="1" ht="30" hidden="1" customHeight="1" outlineLevel="1" x14ac:dyDescent="0.25">
      <c r="A3168" s="42">
        <v>9395</v>
      </c>
      <c r="B3168" s="4" t="s">
        <v>181</v>
      </c>
      <c r="C3168" s="38" t="s">
        <v>1934</v>
      </c>
      <c r="D3168" s="4">
        <v>2021</v>
      </c>
      <c r="E3168" s="4"/>
      <c r="F3168" s="4">
        <v>391</v>
      </c>
      <c r="G3168" s="4">
        <v>42</v>
      </c>
      <c r="H3168" s="4">
        <v>709</v>
      </c>
    </row>
    <row r="3169" spans="1:8" s="5" customFormat="1" ht="30" hidden="1" customHeight="1" outlineLevel="1" x14ac:dyDescent="0.25">
      <c r="A3169" s="42">
        <v>9605</v>
      </c>
      <c r="B3169" s="4" t="s">
        <v>181</v>
      </c>
      <c r="C3169" s="38" t="s">
        <v>1826</v>
      </c>
      <c r="D3169" s="4">
        <v>2021</v>
      </c>
      <c r="E3169" s="4"/>
      <c r="F3169" s="4">
        <v>324</v>
      </c>
      <c r="G3169" s="4">
        <v>72</v>
      </c>
      <c r="H3169" s="4">
        <v>422</v>
      </c>
    </row>
    <row r="3170" spans="1:8" s="5" customFormat="1" ht="30" hidden="1" customHeight="1" outlineLevel="1" x14ac:dyDescent="0.25">
      <c r="A3170" s="42">
        <v>9394</v>
      </c>
      <c r="B3170" s="4" t="s">
        <v>181</v>
      </c>
      <c r="C3170" s="38" t="s">
        <v>1935</v>
      </c>
      <c r="D3170" s="4">
        <v>2021</v>
      </c>
      <c r="E3170" s="4"/>
      <c r="F3170" s="4">
        <v>398</v>
      </c>
      <c r="G3170" s="4">
        <v>14</v>
      </c>
      <c r="H3170" s="4">
        <v>692</v>
      </c>
    </row>
    <row r="3171" spans="1:8" s="5" customFormat="1" ht="30" hidden="1" customHeight="1" outlineLevel="1" x14ac:dyDescent="0.25">
      <c r="A3171" s="43">
        <v>1129</v>
      </c>
      <c r="B3171" s="4" t="s">
        <v>181</v>
      </c>
      <c r="C3171" s="38" t="s">
        <v>1827</v>
      </c>
      <c r="D3171" s="4">
        <v>2021</v>
      </c>
      <c r="E3171" s="4"/>
      <c r="F3171" s="4">
        <v>2</v>
      </c>
      <c r="G3171" s="4">
        <v>150</v>
      </c>
      <c r="H3171" s="4">
        <v>41</v>
      </c>
    </row>
    <row r="3172" spans="1:8" s="5" customFormat="1" ht="30" hidden="1" customHeight="1" outlineLevel="1" x14ac:dyDescent="0.25">
      <c r="A3172" s="42">
        <v>9403</v>
      </c>
      <c r="B3172" s="4" t="s">
        <v>181</v>
      </c>
      <c r="C3172" s="38" t="s">
        <v>1936</v>
      </c>
      <c r="D3172" s="4">
        <v>2021</v>
      </c>
      <c r="E3172" s="4"/>
      <c r="F3172" s="4">
        <v>391</v>
      </c>
      <c r="G3172" s="4">
        <v>45</v>
      </c>
      <c r="H3172" s="4">
        <v>553</v>
      </c>
    </row>
    <row r="3173" spans="1:8" s="5" customFormat="1" ht="30" hidden="1" customHeight="1" outlineLevel="1" x14ac:dyDescent="0.25">
      <c r="A3173" s="42">
        <v>9883</v>
      </c>
      <c r="B3173" s="4" t="s">
        <v>181</v>
      </c>
      <c r="C3173" s="38" t="s">
        <v>1937</v>
      </c>
      <c r="D3173" s="4">
        <v>2021</v>
      </c>
      <c r="E3173" s="4"/>
      <c r="F3173" s="4">
        <v>588</v>
      </c>
      <c r="G3173" s="4">
        <v>15</v>
      </c>
      <c r="H3173" s="4">
        <v>1035</v>
      </c>
    </row>
    <row r="3174" spans="1:8" s="5" customFormat="1" ht="30" hidden="1" customHeight="1" outlineLevel="1" x14ac:dyDescent="0.25">
      <c r="A3174" s="42">
        <v>9427</v>
      </c>
      <c r="B3174" s="4" t="s">
        <v>181</v>
      </c>
      <c r="C3174" s="38" t="s">
        <v>1938</v>
      </c>
      <c r="D3174" s="4">
        <v>2021</v>
      </c>
      <c r="E3174" s="4"/>
      <c r="F3174" s="4">
        <v>1710</v>
      </c>
      <c r="G3174" s="4">
        <v>150</v>
      </c>
      <c r="H3174" s="4">
        <v>1916</v>
      </c>
    </row>
    <row r="3175" spans="1:8" s="5" customFormat="1" ht="30" hidden="1" customHeight="1" outlineLevel="1" x14ac:dyDescent="0.25">
      <c r="A3175" s="42">
        <v>9878</v>
      </c>
      <c r="B3175" s="4" t="s">
        <v>181</v>
      </c>
      <c r="C3175" s="38" t="s">
        <v>1939</v>
      </c>
      <c r="D3175" s="4">
        <v>2021</v>
      </c>
      <c r="E3175" s="4"/>
      <c r="F3175" s="4">
        <v>29</v>
      </c>
      <c r="G3175" s="4">
        <v>50</v>
      </c>
      <c r="H3175" s="4">
        <v>27</v>
      </c>
    </row>
    <row r="3176" spans="1:8" s="5" customFormat="1" ht="30" hidden="1" customHeight="1" outlineLevel="1" x14ac:dyDescent="0.25">
      <c r="A3176" s="43">
        <v>660</v>
      </c>
      <c r="B3176" s="4" t="s">
        <v>181</v>
      </c>
      <c r="C3176" s="38" t="s">
        <v>1940</v>
      </c>
      <c r="D3176" s="4">
        <v>2021</v>
      </c>
      <c r="E3176" s="4"/>
      <c r="F3176" s="4">
        <v>125</v>
      </c>
      <c r="G3176" s="4">
        <v>150</v>
      </c>
      <c r="H3176" s="4">
        <v>138</v>
      </c>
    </row>
    <row r="3177" spans="1:8" s="5" customFormat="1" ht="30" hidden="1" customHeight="1" outlineLevel="1" x14ac:dyDescent="0.25">
      <c r="A3177" s="42">
        <v>9612</v>
      </c>
      <c r="B3177" s="4" t="s">
        <v>181</v>
      </c>
      <c r="C3177" s="38" t="s">
        <v>1829</v>
      </c>
      <c r="D3177" s="4">
        <v>2021</v>
      </c>
      <c r="E3177" s="4"/>
      <c r="F3177" s="4">
        <v>532</v>
      </c>
      <c r="G3177" s="4">
        <v>224</v>
      </c>
      <c r="H3177" s="4">
        <v>899</v>
      </c>
    </row>
    <row r="3178" spans="1:8" s="5" customFormat="1" ht="30" hidden="1" customHeight="1" outlineLevel="1" x14ac:dyDescent="0.25">
      <c r="A3178" s="42">
        <v>9676</v>
      </c>
      <c r="B3178" s="4" t="s">
        <v>181</v>
      </c>
      <c r="C3178" s="38" t="s">
        <v>1941</v>
      </c>
      <c r="D3178" s="4">
        <v>2021</v>
      </c>
      <c r="E3178" s="4"/>
      <c r="F3178" s="4">
        <v>140</v>
      </c>
      <c r="G3178" s="4">
        <v>150</v>
      </c>
      <c r="H3178" s="4">
        <v>319</v>
      </c>
    </row>
    <row r="3179" spans="1:8" s="5" customFormat="1" ht="30" hidden="1" customHeight="1" outlineLevel="1" x14ac:dyDescent="0.25">
      <c r="A3179" s="42">
        <v>9887</v>
      </c>
      <c r="B3179" s="4" t="s">
        <v>181</v>
      </c>
      <c r="C3179" s="38" t="s">
        <v>1942</v>
      </c>
      <c r="D3179" s="4">
        <v>2021</v>
      </c>
      <c r="E3179" s="4"/>
      <c r="F3179" s="4">
        <v>191</v>
      </c>
      <c r="G3179" s="4">
        <v>100</v>
      </c>
      <c r="H3179" s="4">
        <v>388</v>
      </c>
    </row>
    <row r="3180" spans="1:8" s="5" customFormat="1" ht="30" hidden="1" customHeight="1" outlineLevel="1" x14ac:dyDescent="0.25">
      <c r="A3180" s="42">
        <v>9888</v>
      </c>
      <c r="B3180" s="4" t="s">
        <v>181</v>
      </c>
      <c r="C3180" s="38" t="s">
        <v>1943</v>
      </c>
      <c r="D3180" s="4">
        <v>2021</v>
      </c>
      <c r="E3180" s="4"/>
      <c r="F3180" s="4">
        <v>690</v>
      </c>
      <c r="G3180" s="4">
        <v>35</v>
      </c>
      <c r="H3180" s="4">
        <v>872</v>
      </c>
    </row>
    <row r="3181" spans="1:8" s="5" customFormat="1" ht="30" hidden="1" customHeight="1" outlineLevel="1" x14ac:dyDescent="0.25">
      <c r="A3181" s="42">
        <v>9418</v>
      </c>
      <c r="B3181" s="4" t="s">
        <v>181</v>
      </c>
      <c r="C3181" s="38" t="s">
        <v>1944</v>
      </c>
      <c r="D3181" s="4">
        <v>2021</v>
      </c>
      <c r="E3181" s="4"/>
      <c r="F3181" s="4">
        <v>2281</v>
      </c>
      <c r="G3181" s="4">
        <v>110</v>
      </c>
      <c r="H3181" s="4">
        <v>3132</v>
      </c>
    </row>
    <row r="3182" spans="1:8" s="5" customFormat="1" ht="30" hidden="1" customHeight="1" outlineLevel="1" x14ac:dyDescent="0.25">
      <c r="A3182" s="42">
        <v>9334</v>
      </c>
      <c r="B3182" s="4" t="s">
        <v>181</v>
      </c>
      <c r="C3182" s="38" t="s">
        <v>1945</v>
      </c>
      <c r="D3182" s="4">
        <v>2021</v>
      </c>
      <c r="E3182" s="4"/>
      <c r="F3182" s="4">
        <v>252</v>
      </c>
      <c r="G3182" s="4">
        <v>75</v>
      </c>
      <c r="H3182" s="4">
        <v>451</v>
      </c>
    </row>
    <row r="3183" spans="1:8" s="5" customFormat="1" ht="30" hidden="1" customHeight="1" outlineLevel="1" x14ac:dyDescent="0.25">
      <c r="A3183" s="42">
        <v>9343</v>
      </c>
      <c r="B3183" s="4" t="s">
        <v>181</v>
      </c>
      <c r="C3183" s="38" t="s">
        <v>1946</v>
      </c>
      <c r="D3183" s="4">
        <v>2021</v>
      </c>
      <c r="E3183" s="4"/>
      <c r="F3183" s="4">
        <v>261</v>
      </c>
      <c r="G3183" s="4">
        <v>15</v>
      </c>
      <c r="H3183" s="4">
        <v>417</v>
      </c>
    </row>
    <row r="3184" spans="1:8" s="5" customFormat="1" ht="30" hidden="1" customHeight="1" outlineLevel="1" x14ac:dyDescent="0.25">
      <c r="A3184" s="42">
        <v>9402</v>
      </c>
      <c r="B3184" s="4" t="s">
        <v>181</v>
      </c>
      <c r="C3184" s="38" t="s">
        <v>1947</v>
      </c>
      <c r="D3184" s="4">
        <v>2021</v>
      </c>
      <c r="E3184" s="4"/>
      <c r="F3184" s="4">
        <v>276</v>
      </c>
      <c r="G3184" s="4">
        <v>15</v>
      </c>
      <c r="H3184" s="4">
        <v>415</v>
      </c>
    </row>
    <row r="3185" spans="1:8" s="5" customFormat="1" ht="30" hidden="1" customHeight="1" outlineLevel="1" x14ac:dyDescent="0.25">
      <c r="A3185" s="42">
        <v>9396</v>
      </c>
      <c r="B3185" s="4" t="s">
        <v>181</v>
      </c>
      <c r="C3185" s="38" t="s">
        <v>1948</v>
      </c>
      <c r="D3185" s="4">
        <v>2021</v>
      </c>
      <c r="E3185" s="4"/>
      <c r="F3185" s="4">
        <v>151</v>
      </c>
      <c r="G3185" s="4">
        <v>15</v>
      </c>
      <c r="H3185" s="4">
        <v>297</v>
      </c>
    </row>
    <row r="3186" spans="1:8" s="5" customFormat="1" ht="30" hidden="1" customHeight="1" outlineLevel="1" x14ac:dyDescent="0.25">
      <c r="A3186" s="42">
        <v>9648</v>
      </c>
      <c r="B3186" s="4" t="s">
        <v>181</v>
      </c>
      <c r="C3186" s="38" t="s">
        <v>1949</v>
      </c>
      <c r="D3186" s="4">
        <v>2021</v>
      </c>
      <c r="E3186" s="4"/>
      <c r="F3186" s="4">
        <v>791</v>
      </c>
      <c r="G3186" s="4">
        <v>45</v>
      </c>
      <c r="H3186" s="4">
        <v>1160</v>
      </c>
    </row>
    <row r="3187" spans="1:8" s="5" customFormat="1" ht="30" hidden="1" customHeight="1" outlineLevel="1" x14ac:dyDescent="0.25">
      <c r="A3187" s="42">
        <v>9589</v>
      </c>
      <c r="B3187" s="4" t="s">
        <v>181</v>
      </c>
      <c r="C3187" s="38" t="s">
        <v>1950</v>
      </c>
      <c r="D3187" s="4">
        <v>2021</v>
      </c>
      <c r="E3187" s="4"/>
      <c r="F3187" s="4">
        <v>456</v>
      </c>
      <c r="G3187" s="4">
        <v>300</v>
      </c>
      <c r="H3187" s="4">
        <v>740</v>
      </c>
    </row>
    <row r="3188" spans="1:8" s="5" customFormat="1" ht="30" hidden="1" customHeight="1" outlineLevel="1" x14ac:dyDescent="0.25">
      <c r="A3188" s="42">
        <v>9424</v>
      </c>
      <c r="B3188" s="4" t="s">
        <v>181</v>
      </c>
      <c r="C3188" s="38" t="s">
        <v>1951</v>
      </c>
      <c r="D3188" s="4">
        <v>2021</v>
      </c>
      <c r="E3188" s="4"/>
      <c r="F3188" s="4">
        <v>247</v>
      </c>
      <c r="G3188" s="4">
        <v>15</v>
      </c>
      <c r="H3188" s="4">
        <v>575</v>
      </c>
    </row>
    <row r="3189" spans="1:8" s="5" customFormat="1" ht="30" hidden="1" customHeight="1" outlineLevel="1" x14ac:dyDescent="0.25">
      <c r="A3189" s="42">
        <v>9595</v>
      </c>
      <c r="B3189" s="4" t="s">
        <v>181</v>
      </c>
      <c r="C3189" s="38" t="s">
        <v>1837</v>
      </c>
      <c r="D3189" s="4">
        <v>2021</v>
      </c>
      <c r="E3189" s="4"/>
      <c r="F3189" s="4">
        <v>824</v>
      </c>
      <c r="G3189" s="4">
        <v>285</v>
      </c>
      <c r="H3189" s="4">
        <v>1118</v>
      </c>
    </row>
    <row r="3190" spans="1:8" s="5" customFormat="1" ht="30" hidden="1" customHeight="1" outlineLevel="1" x14ac:dyDescent="0.25">
      <c r="A3190" s="42">
        <v>9666</v>
      </c>
      <c r="B3190" s="4" t="s">
        <v>181</v>
      </c>
      <c r="C3190" s="38" t="s">
        <v>1842</v>
      </c>
      <c r="D3190" s="4">
        <v>2021</v>
      </c>
      <c r="E3190" s="4"/>
      <c r="F3190" s="4">
        <v>599</v>
      </c>
      <c r="G3190" s="4">
        <v>90</v>
      </c>
      <c r="H3190" s="4">
        <v>914</v>
      </c>
    </row>
    <row r="3191" spans="1:8" s="5" customFormat="1" ht="30" hidden="1" customHeight="1" outlineLevel="1" x14ac:dyDescent="0.25">
      <c r="A3191" s="43">
        <v>1536</v>
      </c>
      <c r="B3191" s="4" t="s">
        <v>181</v>
      </c>
      <c r="C3191" s="38" t="s">
        <v>1952</v>
      </c>
      <c r="D3191" s="4">
        <v>2021</v>
      </c>
      <c r="E3191" s="4"/>
      <c r="F3191" s="4">
        <v>216</v>
      </c>
      <c r="G3191" s="4">
        <v>15</v>
      </c>
      <c r="H3191" s="4">
        <v>342.00830000000002</v>
      </c>
    </row>
    <row r="3192" spans="1:8" s="5" customFormat="1" ht="30" hidden="1" customHeight="1" outlineLevel="1" x14ac:dyDescent="0.25">
      <c r="A3192" s="42">
        <v>9523</v>
      </c>
      <c r="B3192" s="4" t="s">
        <v>181</v>
      </c>
      <c r="C3192" s="38" t="s">
        <v>1844</v>
      </c>
      <c r="D3192" s="4">
        <v>2021</v>
      </c>
      <c r="E3192" s="4"/>
      <c r="F3192" s="4">
        <v>60</v>
      </c>
      <c r="G3192" s="4">
        <v>100</v>
      </c>
      <c r="H3192" s="4">
        <v>320.99797999999998</v>
      </c>
    </row>
    <row r="3193" spans="1:8" s="5" customFormat="1" ht="30" hidden="1" customHeight="1" outlineLevel="1" x14ac:dyDescent="0.25">
      <c r="A3193" s="42">
        <v>9624</v>
      </c>
      <c r="B3193" s="4" t="s">
        <v>181</v>
      </c>
      <c r="C3193" s="38" t="s">
        <v>1845</v>
      </c>
      <c r="D3193" s="4">
        <v>2021</v>
      </c>
      <c r="E3193" s="4"/>
      <c r="F3193" s="4">
        <v>30</v>
      </c>
      <c r="G3193" s="4">
        <v>100</v>
      </c>
      <c r="H3193" s="4">
        <v>120.75028</v>
      </c>
    </row>
    <row r="3194" spans="1:8" s="5" customFormat="1" ht="30" hidden="1" customHeight="1" outlineLevel="1" x14ac:dyDescent="0.25">
      <c r="A3194" s="42">
        <v>9626</v>
      </c>
      <c r="B3194" s="4" t="s">
        <v>181</v>
      </c>
      <c r="C3194" s="38" t="s">
        <v>1849</v>
      </c>
      <c r="D3194" s="4">
        <v>2021</v>
      </c>
      <c r="E3194" s="4"/>
      <c r="F3194" s="4">
        <v>30</v>
      </c>
      <c r="G3194" s="4">
        <v>150</v>
      </c>
      <c r="H3194" s="4">
        <v>54.598140000000001</v>
      </c>
    </row>
    <row r="3195" spans="1:8" s="5" customFormat="1" ht="30" hidden="1" customHeight="1" outlineLevel="1" x14ac:dyDescent="0.25">
      <c r="A3195" s="42">
        <v>9631</v>
      </c>
      <c r="B3195" s="4" t="s">
        <v>181</v>
      </c>
      <c r="C3195" s="38" t="s">
        <v>1850</v>
      </c>
      <c r="D3195" s="4">
        <v>2021</v>
      </c>
      <c r="E3195" s="4"/>
      <c r="F3195" s="4">
        <v>32</v>
      </c>
      <c r="G3195" s="4">
        <v>150</v>
      </c>
      <c r="H3195" s="4">
        <v>48.489420000000003</v>
      </c>
    </row>
    <row r="3196" spans="1:8" s="5" customFormat="1" ht="30" hidden="1" customHeight="1" outlineLevel="1" x14ac:dyDescent="0.25">
      <c r="A3196" s="43">
        <v>1532</v>
      </c>
      <c r="B3196" s="4" t="s">
        <v>181</v>
      </c>
      <c r="C3196" s="38" t="s">
        <v>1953</v>
      </c>
      <c r="D3196" s="4">
        <v>2021</v>
      </c>
      <c r="E3196" s="4"/>
      <c r="F3196" s="4">
        <v>60</v>
      </c>
      <c r="G3196" s="4">
        <v>80</v>
      </c>
      <c r="H3196" s="4">
        <v>73.040859999999995</v>
      </c>
    </row>
    <row r="3197" spans="1:8" s="5" customFormat="1" ht="30" hidden="1" customHeight="1" outlineLevel="1" x14ac:dyDescent="0.25">
      <c r="A3197" s="42">
        <v>9410</v>
      </c>
      <c r="B3197" s="4" t="s">
        <v>181</v>
      </c>
      <c r="C3197" s="38" t="s">
        <v>1954</v>
      </c>
      <c r="D3197" s="4">
        <v>2021</v>
      </c>
      <c r="E3197" s="4"/>
      <c r="F3197" s="4">
        <v>90</v>
      </c>
      <c r="G3197" s="4">
        <v>25</v>
      </c>
      <c r="H3197" s="4">
        <v>193.28373999999999</v>
      </c>
    </row>
    <row r="3198" spans="1:8" s="5" customFormat="1" ht="30" hidden="1" customHeight="1" outlineLevel="1" x14ac:dyDescent="0.25">
      <c r="A3198" s="43">
        <v>3878</v>
      </c>
      <c r="B3198" s="4" t="s">
        <v>181</v>
      </c>
      <c r="C3198" s="38" t="s">
        <v>1955</v>
      </c>
      <c r="D3198" s="4">
        <v>2021</v>
      </c>
      <c r="E3198" s="4"/>
      <c r="F3198" s="4">
        <v>200</v>
      </c>
      <c r="G3198" s="4">
        <v>120</v>
      </c>
      <c r="H3198" s="4">
        <v>308.76636999999999</v>
      </c>
    </row>
    <row r="3199" spans="1:8" s="5" customFormat="1" ht="30" hidden="1" customHeight="1" outlineLevel="1" x14ac:dyDescent="0.25">
      <c r="A3199" s="43">
        <v>3877</v>
      </c>
      <c r="B3199" s="4" t="s">
        <v>181</v>
      </c>
      <c r="C3199" s="38" t="s">
        <v>1851</v>
      </c>
      <c r="D3199" s="4">
        <v>2021</v>
      </c>
      <c r="E3199" s="4"/>
      <c r="F3199" s="4">
        <v>54</v>
      </c>
      <c r="G3199" s="4">
        <v>50</v>
      </c>
      <c r="H3199" s="4">
        <v>112.687</v>
      </c>
    </row>
    <row r="3200" spans="1:8" s="5" customFormat="1" ht="30" hidden="1" customHeight="1" outlineLevel="1" x14ac:dyDescent="0.25">
      <c r="A3200" s="43">
        <v>3876</v>
      </c>
      <c r="B3200" s="4" t="s">
        <v>181</v>
      </c>
      <c r="C3200" s="38" t="s">
        <v>1956</v>
      </c>
      <c r="D3200" s="4">
        <v>2021</v>
      </c>
      <c r="E3200" s="4"/>
      <c r="F3200" s="4">
        <v>39</v>
      </c>
      <c r="G3200" s="4">
        <v>120</v>
      </c>
      <c r="H3200" s="4">
        <v>76.107939999999999</v>
      </c>
    </row>
    <row r="3201" spans="1:8" s="5" customFormat="1" ht="30" hidden="1" customHeight="1" outlineLevel="1" x14ac:dyDescent="0.25">
      <c r="A3201" s="43">
        <v>764</v>
      </c>
      <c r="B3201" s="4" t="s">
        <v>181</v>
      </c>
      <c r="C3201" s="38" t="s">
        <v>1852</v>
      </c>
      <c r="D3201" s="4">
        <v>2021</v>
      </c>
      <c r="E3201" s="4"/>
      <c r="F3201" s="4">
        <v>3</v>
      </c>
      <c r="G3201" s="4">
        <v>95</v>
      </c>
      <c r="H3201" s="4">
        <v>37.952930000000002</v>
      </c>
    </row>
    <row r="3202" spans="1:8" s="5" customFormat="1" ht="30" hidden="1" customHeight="1" outlineLevel="1" x14ac:dyDescent="0.25">
      <c r="A3202" s="42">
        <v>9521</v>
      </c>
      <c r="B3202" s="4" t="s">
        <v>181</v>
      </c>
      <c r="C3202" s="38" t="s">
        <v>1957</v>
      </c>
      <c r="D3202" s="4">
        <v>2021</v>
      </c>
      <c r="E3202" s="4"/>
      <c r="F3202" s="4">
        <v>5</v>
      </c>
      <c r="G3202" s="4">
        <v>150</v>
      </c>
      <c r="H3202" s="4">
        <v>38.862929999999999</v>
      </c>
    </row>
    <row r="3203" spans="1:8" s="5" customFormat="1" ht="30" hidden="1" customHeight="1" outlineLevel="1" x14ac:dyDescent="0.25">
      <c r="A3203" s="42">
        <v>9630</v>
      </c>
      <c r="B3203" s="4" t="s">
        <v>181</v>
      </c>
      <c r="C3203" s="38" t="s">
        <v>1854</v>
      </c>
      <c r="D3203" s="4">
        <v>2021</v>
      </c>
      <c r="E3203" s="4"/>
      <c r="F3203" s="4">
        <v>30</v>
      </c>
      <c r="G3203" s="4">
        <v>100</v>
      </c>
      <c r="H3203" s="4">
        <v>47.177399999999999</v>
      </c>
    </row>
    <row r="3204" spans="1:8" s="5" customFormat="1" ht="30" hidden="1" customHeight="1" outlineLevel="1" x14ac:dyDescent="0.25">
      <c r="A3204" s="43">
        <v>3843</v>
      </c>
      <c r="B3204" s="4" t="s">
        <v>181</v>
      </c>
      <c r="C3204" s="38" t="s">
        <v>1958</v>
      </c>
      <c r="D3204" s="4">
        <v>2021</v>
      </c>
      <c r="E3204" s="4"/>
      <c r="F3204" s="4">
        <v>321</v>
      </c>
      <c r="G3204" s="4">
        <v>75</v>
      </c>
      <c r="H3204" s="4">
        <v>517.98856999999998</v>
      </c>
    </row>
    <row r="3205" spans="1:8" s="5" customFormat="1" ht="30" hidden="1" customHeight="1" outlineLevel="1" x14ac:dyDescent="0.25">
      <c r="A3205" s="42">
        <v>9490</v>
      </c>
      <c r="B3205" s="4" t="s">
        <v>181</v>
      </c>
      <c r="C3205" s="38" t="s">
        <v>1855</v>
      </c>
      <c r="D3205" s="4">
        <v>2021</v>
      </c>
      <c r="E3205" s="4"/>
      <c r="F3205" s="4">
        <v>7</v>
      </c>
      <c r="G3205" s="4">
        <v>150</v>
      </c>
      <c r="H3205" s="4">
        <v>25.702200000000001</v>
      </c>
    </row>
    <row r="3206" spans="1:8" s="5" customFormat="1" ht="30" hidden="1" customHeight="1" outlineLevel="1" x14ac:dyDescent="0.25">
      <c r="A3206" s="43">
        <v>3880</v>
      </c>
      <c r="B3206" s="4" t="s">
        <v>181</v>
      </c>
      <c r="C3206" s="38" t="s">
        <v>1959</v>
      </c>
      <c r="D3206" s="4">
        <v>2021</v>
      </c>
      <c r="E3206" s="4"/>
      <c r="F3206" s="4">
        <v>25</v>
      </c>
      <c r="G3206" s="4">
        <v>105</v>
      </c>
      <c r="H3206" s="4">
        <v>90.073629999999994</v>
      </c>
    </row>
    <row r="3207" spans="1:8" s="5" customFormat="1" ht="30" hidden="1" customHeight="1" outlineLevel="1" x14ac:dyDescent="0.25">
      <c r="A3207" s="42">
        <v>9487</v>
      </c>
      <c r="B3207" s="4" t="s">
        <v>181</v>
      </c>
      <c r="C3207" s="38" t="s">
        <v>1857</v>
      </c>
      <c r="D3207" s="4">
        <v>2021</v>
      </c>
      <c r="E3207" s="4"/>
      <c r="F3207" s="4">
        <v>450</v>
      </c>
      <c r="G3207" s="4">
        <v>45</v>
      </c>
      <c r="H3207" s="4">
        <v>561.31541000000004</v>
      </c>
    </row>
    <row r="3208" spans="1:8" s="5" customFormat="1" ht="30" hidden="1" customHeight="1" outlineLevel="1" x14ac:dyDescent="0.25">
      <c r="A3208" s="42">
        <v>9678</v>
      </c>
      <c r="B3208" s="4" t="s">
        <v>181</v>
      </c>
      <c r="C3208" s="38" t="s">
        <v>1960</v>
      </c>
      <c r="D3208" s="4">
        <v>2021</v>
      </c>
      <c r="E3208" s="4"/>
      <c r="F3208" s="4">
        <v>8</v>
      </c>
      <c r="G3208" s="4">
        <v>46</v>
      </c>
      <c r="H3208" s="4">
        <v>48.199440000000003</v>
      </c>
    </row>
    <row r="3209" spans="1:8" s="5" customFormat="1" ht="30" hidden="1" customHeight="1" outlineLevel="1" x14ac:dyDescent="0.25">
      <c r="A3209" s="43">
        <v>728</v>
      </c>
      <c r="B3209" s="4" t="s">
        <v>181</v>
      </c>
      <c r="C3209" s="38" t="s">
        <v>1859</v>
      </c>
      <c r="D3209" s="4">
        <v>2021</v>
      </c>
      <c r="E3209" s="4"/>
      <c r="F3209" s="4">
        <v>247</v>
      </c>
      <c r="G3209" s="4">
        <v>10</v>
      </c>
      <c r="H3209" s="4">
        <v>369.69290999999998</v>
      </c>
    </row>
    <row r="3210" spans="1:8" s="5" customFormat="1" ht="30" hidden="1" customHeight="1" outlineLevel="1" x14ac:dyDescent="0.25">
      <c r="A3210" s="42">
        <v>9625</v>
      </c>
      <c r="B3210" s="4" t="s">
        <v>181</v>
      </c>
      <c r="C3210" s="38" t="s">
        <v>1961</v>
      </c>
      <c r="D3210" s="4">
        <v>2021</v>
      </c>
      <c r="E3210" s="4"/>
      <c r="F3210" s="4">
        <v>220</v>
      </c>
      <c r="G3210" s="4">
        <v>150</v>
      </c>
      <c r="H3210" s="4">
        <v>297.74626999999998</v>
      </c>
    </row>
    <row r="3211" spans="1:8" s="5" customFormat="1" ht="30" hidden="1" customHeight="1" outlineLevel="1" x14ac:dyDescent="0.25">
      <c r="A3211" s="42">
        <v>9628</v>
      </c>
      <c r="B3211" s="4" t="s">
        <v>181</v>
      </c>
      <c r="C3211" s="38" t="s">
        <v>1861</v>
      </c>
      <c r="D3211" s="4">
        <v>2021</v>
      </c>
      <c r="E3211" s="4"/>
      <c r="F3211" s="4">
        <v>30</v>
      </c>
      <c r="G3211" s="4">
        <v>100</v>
      </c>
      <c r="H3211" s="4">
        <v>29.573709999999998</v>
      </c>
    </row>
    <row r="3212" spans="1:8" s="5" customFormat="1" ht="30" hidden="1" customHeight="1" outlineLevel="1" x14ac:dyDescent="0.25">
      <c r="A3212" s="43">
        <v>1468</v>
      </c>
      <c r="B3212" s="4" t="s">
        <v>181</v>
      </c>
      <c r="C3212" s="38" t="s">
        <v>1962</v>
      </c>
      <c r="D3212" s="4">
        <v>2021</v>
      </c>
      <c r="E3212" s="4"/>
      <c r="F3212" s="4">
        <v>218</v>
      </c>
      <c r="G3212" s="4">
        <v>15</v>
      </c>
      <c r="H3212" s="4">
        <v>398.09370000000001</v>
      </c>
    </row>
    <row r="3213" spans="1:8" s="5" customFormat="1" ht="30" hidden="1" customHeight="1" outlineLevel="1" x14ac:dyDescent="0.25">
      <c r="A3213" s="42">
        <v>9623</v>
      </c>
      <c r="B3213" s="4" t="s">
        <v>181</v>
      </c>
      <c r="C3213" s="38" t="s">
        <v>1863</v>
      </c>
      <c r="D3213" s="4">
        <v>2021</v>
      </c>
      <c r="E3213" s="4"/>
      <c r="F3213" s="4">
        <v>10</v>
      </c>
      <c r="G3213" s="4">
        <v>9.5</v>
      </c>
      <c r="H3213" s="4">
        <v>50.500749999999996</v>
      </c>
    </row>
    <row r="3214" spans="1:8" s="5" customFormat="1" ht="30" hidden="1" customHeight="1" outlineLevel="1" x14ac:dyDescent="0.25">
      <c r="A3214" s="42">
        <v>9838</v>
      </c>
      <c r="B3214" s="4" t="s">
        <v>181</v>
      </c>
      <c r="C3214" s="38" t="s">
        <v>1963</v>
      </c>
      <c r="D3214" s="4">
        <v>2021</v>
      </c>
      <c r="E3214" s="4"/>
      <c r="F3214" s="4">
        <v>214</v>
      </c>
      <c r="G3214" s="4">
        <v>15</v>
      </c>
      <c r="H3214" s="4">
        <v>364.96575000000001</v>
      </c>
    </row>
    <row r="3215" spans="1:8" s="5" customFormat="1" ht="30" hidden="1" customHeight="1" outlineLevel="1" x14ac:dyDescent="0.25">
      <c r="A3215" s="42">
        <v>9619</v>
      </c>
      <c r="B3215" s="4" t="s">
        <v>181</v>
      </c>
      <c r="C3215" s="38" t="s">
        <v>1867</v>
      </c>
      <c r="D3215" s="4">
        <v>2021</v>
      </c>
      <c r="E3215" s="4"/>
      <c r="F3215" s="4">
        <v>5</v>
      </c>
      <c r="G3215" s="4">
        <v>150</v>
      </c>
      <c r="H3215" s="4">
        <v>107.70749000000001</v>
      </c>
    </row>
    <row r="3216" spans="1:8" s="5" customFormat="1" ht="30" hidden="1" customHeight="1" outlineLevel="1" x14ac:dyDescent="0.25">
      <c r="A3216" s="42">
        <v>9518</v>
      </c>
      <c r="B3216" s="4" t="s">
        <v>181</v>
      </c>
      <c r="C3216" s="38" t="s">
        <v>1868</v>
      </c>
      <c r="D3216" s="4">
        <v>2021</v>
      </c>
      <c r="E3216" s="4"/>
      <c r="F3216" s="4">
        <v>30</v>
      </c>
      <c r="G3216" s="4">
        <v>150</v>
      </c>
      <c r="H3216" s="4">
        <v>100.3409</v>
      </c>
    </row>
    <row r="3217" spans="1:8" s="5" customFormat="1" ht="30" hidden="1" customHeight="1" outlineLevel="1" x14ac:dyDescent="0.25">
      <c r="A3217" s="42">
        <v>9097</v>
      </c>
      <c r="B3217" s="4" t="s">
        <v>181</v>
      </c>
      <c r="C3217" s="38" t="s">
        <v>1964</v>
      </c>
      <c r="D3217" s="4">
        <v>2021</v>
      </c>
      <c r="E3217" s="4"/>
      <c r="F3217" s="4">
        <v>723</v>
      </c>
      <c r="G3217" s="4">
        <v>50</v>
      </c>
      <c r="H3217" s="4">
        <v>1251.9037599999999</v>
      </c>
    </row>
    <row r="3218" spans="1:8" s="5" customFormat="1" ht="30" hidden="1" customHeight="1" outlineLevel="1" x14ac:dyDescent="0.25">
      <c r="A3218" s="42">
        <v>9866</v>
      </c>
      <c r="B3218" s="4" t="s">
        <v>181</v>
      </c>
      <c r="C3218" s="38" t="s">
        <v>1965</v>
      </c>
      <c r="D3218" s="4">
        <v>2021</v>
      </c>
      <c r="E3218" s="4"/>
      <c r="F3218" s="4">
        <v>693</v>
      </c>
      <c r="G3218" s="4">
        <v>15</v>
      </c>
      <c r="H3218" s="4">
        <v>979.83907999999997</v>
      </c>
    </row>
    <row r="3219" spans="1:8" s="5" customFormat="1" ht="30" hidden="1" customHeight="1" outlineLevel="1" x14ac:dyDescent="0.25">
      <c r="A3219" s="42">
        <v>9614</v>
      </c>
      <c r="B3219" s="4" t="s">
        <v>181</v>
      </c>
      <c r="C3219" s="38" t="s">
        <v>1966</v>
      </c>
      <c r="D3219" s="4">
        <v>2021</v>
      </c>
      <c r="E3219" s="4"/>
      <c r="F3219" s="4">
        <v>300</v>
      </c>
      <c r="G3219" s="4">
        <v>150</v>
      </c>
      <c r="H3219" s="4">
        <v>259.92338999999998</v>
      </c>
    </row>
    <row r="3220" spans="1:8" s="5" customFormat="1" ht="30" hidden="1" customHeight="1" outlineLevel="1" x14ac:dyDescent="0.25">
      <c r="A3220" s="43">
        <v>3882</v>
      </c>
      <c r="B3220" s="4" t="s">
        <v>181</v>
      </c>
      <c r="C3220" s="38" t="s">
        <v>1869</v>
      </c>
      <c r="D3220" s="4">
        <v>2021</v>
      </c>
      <c r="E3220" s="4"/>
      <c r="F3220" s="4">
        <v>70</v>
      </c>
      <c r="G3220" s="4">
        <v>45</v>
      </c>
      <c r="H3220" s="4">
        <v>169.28088</v>
      </c>
    </row>
    <row r="3221" spans="1:8" s="5" customFormat="1" ht="30" hidden="1" customHeight="1" outlineLevel="1" x14ac:dyDescent="0.25">
      <c r="A3221" s="43">
        <v>3740</v>
      </c>
      <c r="B3221" s="4" t="s">
        <v>181</v>
      </c>
      <c r="C3221" s="38" t="s">
        <v>1870</v>
      </c>
      <c r="D3221" s="4">
        <v>2021</v>
      </c>
      <c r="E3221" s="4"/>
      <c r="F3221" s="4">
        <v>30</v>
      </c>
      <c r="G3221" s="4">
        <v>99</v>
      </c>
      <c r="H3221" s="4">
        <v>93.06165</v>
      </c>
    </row>
    <row r="3222" spans="1:8" s="5" customFormat="1" ht="30" hidden="1" customHeight="1" outlineLevel="1" x14ac:dyDescent="0.25">
      <c r="A3222" s="42">
        <v>9881</v>
      </c>
      <c r="B3222" s="4" t="s">
        <v>181</v>
      </c>
      <c r="C3222" s="38" t="s">
        <v>1967</v>
      </c>
      <c r="D3222" s="4">
        <v>2021</v>
      </c>
      <c r="E3222" s="4"/>
      <c r="F3222" s="4">
        <v>40</v>
      </c>
      <c r="G3222" s="4">
        <v>20</v>
      </c>
      <c r="H3222" s="4">
        <v>130.99970999999999</v>
      </c>
    </row>
    <row r="3223" spans="1:8" s="5" customFormat="1" ht="30" hidden="1" customHeight="1" outlineLevel="1" x14ac:dyDescent="0.25">
      <c r="A3223" s="42">
        <v>9812</v>
      </c>
      <c r="B3223" s="4" t="s">
        <v>181</v>
      </c>
      <c r="C3223" s="38" t="s">
        <v>1968</v>
      </c>
      <c r="D3223" s="4">
        <v>2021</v>
      </c>
      <c r="E3223" s="4"/>
      <c r="F3223" s="4">
        <v>340</v>
      </c>
      <c r="G3223" s="4">
        <v>15</v>
      </c>
      <c r="H3223" s="4">
        <v>608.02256999999997</v>
      </c>
    </row>
    <row r="3224" spans="1:8" s="5" customFormat="1" ht="30" hidden="1" customHeight="1" outlineLevel="1" x14ac:dyDescent="0.25">
      <c r="A3224" s="42">
        <v>9616</v>
      </c>
      <c r="B3224" s="4" t="s">
        <v>181</v>
      </c>
      <c r="C3224" s="38" t="s">
        <v>1875</v>
      </c>
      <c r="D3224" s="4">
        <v>2021</v>
      </c>
      <c r="E3224" s="4"/>
      <c r="F3224" s="4">
        <v>5</v>
      </c>
      <c r="G3224" s="4">
        <v>150</v>
      </c>
      <c r="H3224" s="4">
        <v>161.20922999999999</v>
      </c>
    </row>
    <row r="3225" spans="1:8" s="5" customFormat="1" ht="30" hidden="1" customHeight="1" outlineLevel="1" x14ac:dyDescent="0.25">
      <c r="A3225" s="42">
        <v>9446</v>
      </c>
      <c r="B3225" s="4" t="s">
        <v>181</v>
      </c>
      <c r="C3225" s="38" t="s">
        <v>1876</v>
      </c>
      <c r="D3225" s="4">
        <v>2021</v>
      </c>
      <c r="E3225" s="4"/>
      <c r="F3225" s="4">
        <v>20</v>
      </c>
      <c r="G3225" s="4">
        <v>150</v>
      </c>
      <c r="H3225" s="4">
        <v>35.95993</v>
      </c>
    </row>
    <row r="3226" spans="1:8" s="5" customFormat="1" ht="30" hidden="1" customHeight="1" outlineLevel="1" x14ac:dyDescent="0.25">
      <c r="A3226" s="42">
        <v>9768</v>
      </c>
      <c r="B3226" s="4" t="s">
        <v>181</v>
      </c>
      <c r="C3226" s="38" t="s">
        <v>1969</v>
      </c>
      <c r="D3226" s="4">
        <v>2021</v>
      </c>
      <c r="E3226" s="4"/>
      <c r="F3226" s="4">
        <v>60</v>
      </c>
      <c r="G3226" s="4">
        <v>98</v>
      </c>
      <c r="H3226" s="4">
        <v>101.0093</v>
      </c>
    </row>
    <row r="3227" spans="1:8" s="5" customFormat="1" ht="30" hidden="1" customHeight="1" outlineLevel="1" x14ac:dyDescent="0.25">
      <c r="A3227" s="42">
        <v>9861</v>
      </c>
      <c r="B3227" s="4" t="s">
        <v>181</v>
      </c>
      <c r="C3227" s="38" t="s">
        <v>1970</v>
      </c>
      <c r="D3227" s="4">
        <v>2021</v>
      </c>
      <c r="E3227" s="4"/>
      <c r="F3227" s="4">
        <v>400</v>
      </c>
      <c r="G3227" s="4">
        <v>15</v>
      </c>
      <c r="H3227" s="4">
        <v>698.30994999999996</v>
      </c>
    </row>
    <row r="3228" spans="1:8" s="5" customFormat="1" ht="30" hidden="1" customHeight="1" outlineLevel="1" x14ac:dyDescent="0.25">
      <c r="A3228" s="42">
        <v>9877</v>
      </c>
      <c r="B3228" s="4" t="s">
        <v>181</v>
      </c>
      <c r="C3228" s="38" t="s">
        <v>1971</v>
      </c>
      <c r="D3228" s="4">
        <v>2021</v>
      </c>
      <c r="E3228" s="4"/>
      <c r="F3228" s="4">
        <v>367</v>
      </c>
      <c r="G3228" s="4">
        <v>15</v>
      </c>
      <c r="H3228" s="4">
        <v>744.91794000000004</v>
      </c>
    </row>
    <row r="3229" spans="1:8" s="5" customFormat="1" ht="30" hidden="1" customHeight="1" outlineLevel="1" x14ac:dyDescent="0.25">
      <c r="A3229" s="43">
        <v>963</v>
      </c>
      <c r="B3229" s="4" t="s">
        <v>181</v>
      </c>
      <c r="C3229" s="38" t="s">
        <v>1877</v>
      </c>
      <c r="D3229" s="4">
        <v>2021</v>
      </c>
      <c r="E3229" s="4"/>
      <c r="F3229" s="4">
        <v>27</v>
      </c>
      <c r="G3229" s="4">
        <v>45</v>
      </c>
      <c r="H3229" s="4">
        <v>85.465999999999994</v>
      </c>
    </row>
    <row r="3230" spans="1:8" s="5" customFormat="1" ht="30" hidden="1" customHeight="1" outlineLevel="1" x14ac:dyDescent="0.25">
      <c r="A3230" s="42">
        <v>9874</v>
      </c>
      <c r="B3230" s="4" t="s">
        <v>181</v>
      </c>
      <c r="C3230" s="38" t="s">
        <v>1972</v>
      </c>
      <c r="D3230" s="4">
        <v>2021</v>
      </c>
      <c r="E3230" s="4"/>
      <c r="F3230" s="4">
        <v>248</v>
      </c>
      <c r="G3230" s="4">
        <v>12</v>
      </c>
      <c r="H3230" s="4">
        <v>299.17219999999998</v>
      </c>
    </row>
    <row r="3231" spans="1:8" s="5" customFormat="1" ht="30" hidden="1" customHeight="1" outlineLevel="1" x14ac:dyDescent="0.25">
      <c r="A3231" s="42">
        <v>9455</v>
      </c>
      <c r="B3231" s="4" t="s">
        <v>181</v>
      </c>
      <c r="C3231" s="38" t="s">
        <v>1973</v>
      </c>
      <c r="D3231" s="4">
        <v>2021</v>
      </c>
      <c r="E3231" s="4"/>
      <c r="F3231" s="4">
        <v>208</v>
      </c>
      <c r="G3231" s="4">
        <v>20</v>
      </c>
      <c r="H3231" s="4">
        <v>379.33276999999998</v>
      </c>
    </row>
    <row r="3232" spans="1:8" s="5" customFormat="1" ht="21.75" hidden="1" customHeight="1" outlineLevel="1" x14ac:dyDescent="0.25">
      <c r="A3232" s="4">
        <v>218</v>
      </c>
      <c r="B3232" s="4" t="s">
        <v>181</v>
      </c>
      <c r="C3232" s="38" t="s">
        <v>173</v>
      </c>
      <c r="D3232" s="4">
        <v>2020</v>
      </c>
      <c r="E3232" s="4"/>
      <c r="F3232" s="4">
        <v>56</v>
      </c>
      <c r="G3232" s="4">
        <v>15</v>
      </c>
      <c r="H3232" s="4">
        <v>117</v>
      </c>
    </row>
    <row r="3233" spans="1:8" s="5" customFormat="1" ht="21.75" hidden="1" customHeight="1" outlineLevel="1" x14ac:dyDescent="0.25">
      <c r="A3233" s="4">
        <v>255</v>
      </c>
      <c r="B3233" s="4" t="s">
        <v>181</v>
      </c>
      <c r="C3233" s="38" t="s">
        <v>165</v>
      </c>
      <c r="D3233" s="4">
        <v>2020</v>
      </c>
      <c r="E3233" s="4"/>
      <c r="F3233" s="4">
        <v>1359</v>
      </c>
      <c r="G3233" s="4">
        <v>75</v>
      </c>
      <c r="H3233" s="4">
        <v>1598</v>
      </c>
    </row>
    <row r="3234" spans="1:8" s="5" customFormat="1" ht="21.75" hidden="1" customHeight="1" outlineLevel="1" x14ac:dyDescent="0.25">
      <c r="A3234" s="4">
        <v>1697</v>
      </c>
      <c r="B3234" s="4" t="s">
        <v>181</v>
      </c>
      <c r="C3234" s="38" t="s">
        <v>1017</v>
      </c>
      <c r="D3234" s="4">
        <v>2020</v>
      </c>
      <c r="E3234" s="4"/>
      <c r="F3234" s="4">
        <v>266</v>
      </c>
      <c r="G3234" s="4">
        <v>10</v>
      </c>
      <c r="H3234" s="4">
        <v>364</v>
      </c>
    </row>
    <row r="3235" spans="1:8" s="5" customFormat="1" ht="21.75" hidden="1" customHeight="1" outlineLevel="1" x14ac:dyDescent="0.25">
      <c r="A3235" s="4">
        <v>1826</v>
      </c>
      <c r="B3235" s="4" t="s">
        <v>181</v>
      </c>
      <c r="C3235" s="38" t="s">
        <v>589</v>
      </c>
      <c r="D3235" s="4">
        <v>2020</v>
      </c>
      <c r="E3235" s="4"/>
      <c r="F3235" s="4">
        <v>24</v>
      </c>
      <c r="G3235" s="4">
        <v>65</v>
      </c>
      <c r="H3235" s="4">
        <v>90</v>
      </c>
    </row>
    <row r="3236" spans="1:8" s="5" customFormat="1" ht="21.75" hidden="1" customHeight="1" outlineLevel="1" x14ac:dyDescent="0.25">
      <c r="A3236" s="4">
        <v>1823</v>
      </c>
      <c r="B3236" s="4" t="s">
        <v>181</v>
      </c>
      <c r="C3236" s="38" t="s">
        <v>1018</v>
      </c>
      <c r="D3236" s="4">
        <v>2020</v>
      </c>
      <c r="E3236" s="4"/>
      <c r="F3236" s="4">
        <v>4</v>
      </c>
      <c r="G3236" s="4">
        <v>100</v>
      </c>
      <c r="H3236" s="4">
        <v>26</v>
      </c>
    </row>
    <row r="3237" spans="1:8" s="5" customFormat="1" ht="21.75" hidden="1" customHeight="1" outlineLevel="1" x14ac:dyDescent="0.25">
      <c r="A3237" s="4">
        <v>587</v>
      </c>
      <c r="B3237" s="4" t="s">
        <v>181</v>
      </c>
      <c r="C3237" s="38" t="s">
        <v>1019</v>
      </c>
      <c r="D3237" s="4">
        <v>2020</v>
      </c>
      <c r="E3237" s="4"/>
      <c r="F3237" s="4">
        <v>1049</v>
      </c>
      <c r="G3237" s="4">
        <v>15</v>
      </c>
      <c r="H3237" s="4">
        <v>1183</v>
      </c>
    </row>
    <row r="3238" spans="1:8" s="5" customFormat="1" ht="21.75" hidden="1" customHeight="1" outlineLevel="1" x14ac:dyDescent="0.25">
      <c r="A3238" s="4">
        <v>224</v>
      </c>
      <c r="B3238" s="4" t="s">
        <v>181</v>
      </c>
      <c r="C3238" s="38" t="s">
        <v>1020</v>
      </c>
      <c r="D3238" s="4">
        <v>2020</v>
      </c>
      <c r="E3238" s="4"/>
      <c r="F3238" s="4">
        <v>582</v>
      </c>
      <c r="G3238" s="4">
        <v>10</v>
      </c>
      <c r="H3238" s="4">
        <v>778</v>
      </c>
    </row>
    <row r="3239" spans="1:8" s="5" customFormat="1" ht="21.75" hidden="1" customHeight="1" outlineLevel="1" x14ac:dyDescent="0.25">
      <c r="A3239" s="4">
        <v>210</v>
      </c>
      <c r="B3239" s="4" t="s">
        <v>181</v>
      </c>
      <c r="C3239" s="38" t="s">
        <v>1021</v>
      </c>
      <c r="D3239" s="4">
        <v>2020</v>
      </c>
      <c r="E3239" s="4"/>
      <c r="F3239" s="4">
        <v>697</v>
      </c>
      <c r="G3239" s="4">
        <v>5</v>
      </c>
      <c r="H3239" s="4">
        <v>663</v>
      </c>
    </row>
    <row r="3240" spans="1:8" s="5" customFormat="1" ht="21.75" hidden="1" customHeight="1" outlineLevel="1" x14ac:dyDescent="0.25">
      <c r="A3240" s="4">
        <v>229</v>
      </c>
      <c r="B3240" s="4" t="s">
        <v>181</v>
      </c>
      <c r="C3240" s="38" t="s">
        <v>1022</v>
      </c>
      <c r="D3240" s="4">
        <v>2020</v>
      </c>
      <c r="E3240" s="4"/>
      <c r="F3240" s="4">
        <v>205</v>
      </c>
      <c r="G3240" s="4">
        <v>5</v>
      </c>
      <c r="H3240" s="4">
        <v>288</v>
      </c>
    </row>
    <row r="3241" spans="1:8" s="5" customFormat="1" ht="21.75" hidden="1" customHeight="1" outlineLevel="1" x14ac:dyDescent="0.25">
      <c r="A3241" s="4">
        <v>1680</v>
      </c>
      <c r="B3241" s="4" t="s">
        <v>181</v>
      </c>
      <c r="C3241" s="38" t="s">
        <v>1023</v>
      </c>
      <c r="D3241" s="4">
        <v>2020</v>
      </c>
      <c r="E3241" s="4"/>
      <c r="F3241" s="4">
        <v>137</v>
      </c>
      <c r="G3241" s="4">
        <v>15</v>
      </c>
      <c r="H3241" s="4">
        <v>268</v>
      </c>
    </row>
    <row r="3242" spans="1:8" s="5" customFormat="1" ht="21.75" hidden="1" customHeight="1" outlineLevel="1" x14ac:dyDescent="0.25">
      <c r="A3242" s="4">
        <v>482</v>
      </c>
      <c r="B3242" s="4" t="s">
        <v>181</v>
      </c>
      <c r="C3242" s="38" t="s">
        <v>1024</v>
      </c>
      <c r="D3242" s="4">
        <v>2020</v>
      </c>
      <c r="E3242" s="4"/>
      <c r="F3242" s="4">
        <v>5</v>
      </c>
      <c r="G3242" s="4">
        <v>150</v>
      </c>
      <c r="H3242" s="4">
        <v>35</v>
      </c>
    </row>
    <row r="3243" spans="1:8" s="5" customFormat="1" ht="21.75" hidden="1" customHeight="1" outlineLevel="1" x14ac:dyDescent="0.25">
      <c r="A3243" s="4">
        <v>1821</v>
      </c>
      <c r="B3243" s="4" t="s">
        <v>181</v>
      </c>
      <c r="C3243" s="38" t="s">
        <v>590</v>
      </c>
      <c r="D3243" s="4">
        <v>2020</v>
      </c>
      <c r="E3243" s="4"/>
      <c r="F3243" s="4">
        <v>36</v>
      </c>
      <c r="G3243" s="4">
        <v>21.72</v>
      </c>
      <c r="H3243" s="4">
        <v>68</v>
      </c>
    </row>
    <row r="3244" spans="1:8" s="5" customFormat="1" ht="21.75" hidden="1" customHeight="1" outlineLevel="1" x14ac:dyDescent="0.25">
      <c r="A3244" s="4">
        <v>188</v>
      </c>
      <c r="B3244" s="4" t="s">
        <v>181</v>
      </c>
      <c r="C3244" s="38" t="s">
        <v>502</v>
      </c>
      <c r="D3244" s="4">
        <v>2020</v>
      </c>
      <c r="E3244" s="4"/>
      <c r="F3244" s="4">
        <v>263</v>
      </c>
      <c r="G3244" s="4">
        <v>52</v>
      </c>
      <c r="H3244" s="4">
        <v>320</v>
      </c>
    </row>
    <row r="3245" spans="1:8" s="5" customFormat="1" ht="21.75" hidden="1" customHeight="1" outlineLevel="1" x14ac:dyDescent="0.25">
      <c r="A3245" s="4">
        <v>744</v>
      </c>
      <c r="B3245" s="4" t="s">
        <v>181</v>
      </c>
      <c r="C3245" s="38" t="s">
        <v>1025</v>
      </c>
      <c r="D3245" s="4">
        <v>2020</v>
      </c>
      <c r="E3245" s="4"/>
      <c r="F3245" s="4">
        <v>200</v>
      </c>
      <c r="G3245" s="4">
        <v>15</v>
      </c>
      <c r="H3245" s="4">
        <v>268</v>
      </c>
    </row>
    <row r="3246" spans="1:8" s="5" customFormat="1" ht="21.75" hidden="1" customHeight="1" outlineLevel="1" x14ac:dyDescent="0.25">
      <c r="A3246" s="4">
        <v>187</v>
      </c>
      <c r="B3246" s="4" t="s">
        <v>181</v>
      </c>
      <c r="C3246" s="38" t="s">
        <v>1026</v>
      </c>
      <c r="D3246" s="4">
        <v>2020</v>
      </c>
      <c r="E3246" s="4"/>
      <c r="F3246" s="4">
        <v>147</v>
      </c>
      <c r="G3246" s="4">
        <v>5</v>
      </c>
      <c r="H3246" s="4">
        <v>248</v>
      </c>
    </row>
    <row r="3247" spans="1:8" s="5" customFormat="1" ht="21.75" hidden="1" customHeight="1" outlineLevel="1" x14ac:dyDescent="0.25">
      <c r="A3247" s="4">
        <v>1846</v>
      </c>
      <c r="B3247" s="4" t="s">
        <v>181</v>
      </c>
      <c r="C3247" s="38" t="s">
        <v>1027</v>
      </c>
      <c r="D3247" s="4">
        <v>2020</v>
      </c>
      <c r="E3247" s="4"/>
      <c r="F3247" s="4">
        <v>279</v>
      </c>
      <c r="G3247" s="4">
        <v>35</v>
      </c>
      <c r="H3247" s="4">
        <v>479</v>
      </c>
    </row>
    <row r="3248" spans="1:8" s="5" customFormat="1" ht="21.75" hidden="1" customHeight="1" outlineLevel="1" x14ac:dyDescent="0.25">
      <c r="A3248" s="4">
        <v>287</v>
      </c>
      <c r="B3248" s="4" t="s">
        <v>181</v>
      </c>
      <c r="C3248" s="38" t="s">
        <v>1028</v>
      </c>
      <c r="D3248" s="4">
        <v>2020</v>
      </c>
      <c r="E3248" s="4"/>
      <c r="F3248" s="4">
        <v>526</v>
      </c>
      <c r="G3248" s="4">
        <v>15</v>
      </c>
      <c r="H3248" s="4">
        <v>570</v>
      </c>
    </row>
    <row r="3249" spans="1:8" s="5" customFormat="1" ht="21.75" hidden="1" customHeight="1" outlineLevel="1" x14ac:dyDescent="0.25">
      <c r="A3249" s="4">
        <v>932</v>
      </c>
      <c r="B3249" s="4" t="s">
        <v>181</v>
      </c>
      <c r="C3249" s="38" t="s">
        <v>1029</v>
      </c>
      <c r="D3249" s="4">
        <v>2020</v>
      </c>
      <c r="E3249" s="4"/>
      <c r="F3249" s="4">
        <v>1010</v>
      </c>
      <c r="G3249" s="4">
        <v>30</v>
      </c>
      <c r="H3249" s="4">
        <v>1448</v>
      </c>
    </row>
    <row r="3250" spans="1:8" s="5" customFormat="1" ht="21.75" hidden="1" customHeight="1" outlineLevel="1" x14ac:dyDescent="0.25">
      <c r="A3250" s="4">
        <v>356</v>
      </c>
      <c r="B3250" s="4" t="s">
        <v>181</v>
      </c>
      <c r="C3250" s="38" t="s">
        <v>1030</v>
      </c>
      <c r="D3250" s="4">
        <v>2020</v>
      </c>
      <c r="E3250" s="4"/>
      <c r="F3250" s="4">
        <v>5</v>
      </c>
      <c r="G3250" s="4">
        <v>100</v>
      </c>
      <c r="H3250" s="4">
        <v>46</v>
      </c>
    </row>
    <row r="3251" spans="1:8" s="5" customFormat="1" ht="21.75" hidden="1" customHeight="1" outlineLevel="1" x14ac:dyDescent="0.25">
      <c r="A3251" s="4">
        <v>1849</v>
      </c>
      <c r="B3251" s="4" t="s">
        <v>181</v>
      </c>
      <c r="C3251" s="38" t="s">
        <v>1031</v>
      </c>
      <c r="D3251" s="4">
        <v>2020</v>
      </c>
      <c r="E3251" s="4"/>
      <c r="F3251" s="4">
        <v>501</v>
      </c>
      <c r="G3251" s="4">
        <v>13</v>
      </c>
      <c r="H3251" s="4">
        <v>669</v>
      </c>
    </row>
    <row r="3252" spans="1:8" s="5" customFormat="1" ht="21.75" hidden="1" customHeight="1" outlineLevel="1" x14ac:dyDescent="0.25">
      <c r="A3252" s="4">
        <v>1827</v>
      </c>
      <c r="B3252" s="4" t="s">
        <v>181</v>
      </c>
      <c r="C3252" s="38" t="s">
        <v>591</v>
      </c>
      <c r="D3252" s="4">
        <v>2020</v>
      </c>
      <c r="E3252" s="4"/>
      <c r="F3252" s="4">
        <v>330</v>
      </c>
      <c r="G3252" s="4">
        <v>100</v>
      </c>
      <c r="H3252" s="4">
        <v>382</v>
      </c>
    </row>
    <row r="3253" spans="1:8" s="5" customFormat="1" ht="21.75" hidden="1" customHeight="1" outlineLevel="1" x14ac:dyDescent="0.25">
      <c r="A3253" s="4">
        <v>291</v>
      </c>
      <c r="B3253" s="4" t="s">
        <v>181</v>
      </c>
      <c r="C3253" s="38" t="s">
        <v>509</v>
      </c>
      <c r="D3253" s="4">
        <v>2020</v>
      </c>
      <c r="E3253" s="4"/>
      <c r="F3253" s="4">
        <v>25</v>
      </c>
      <c r="G3253" s="4">
        <v>15</v>
      </c>
      <c r="H3253" s="4">
        <v>152</v>
      </c>
    </row>
    <row r="3254" spans="1:8" s="5" customFormat="1" ht="21.75" hidden="1" customHeight="1" outlineLevel="1" x14ac:dyDescent="0.25">
      <c r="A3254" s="4">
        <v>695</v>
      </c>
      <c r="B3254" s="4" t="s">
        <v>181</v>
      </c>
      <c r="C3254" s="38" t="s">
        <v>1032</v>
      </c>
      <c r="D3254" s="4">
        <v>2020</v>
      </c>
      <c r="E3254" s="4"/>
      <c r="F3254" s="4">
        <v>408</v>
      </c>
      <c r="G3254" s="4">
        <v>15</v>
      </c>
      <c r="H3254" s="4">
        <v>519</v>
      </c>
    </row>
    <row r="3255" spans="1:8" s="5" customFormat="1" ht="21.75" hidden="1" customHeight="1" outlineLevel="1" x14ac:dyDescent="0.25">
      <c r="A3255" s="4">
        <v>319</v>
      </c>
      <c r="B3255" s="4" t="s">
        <v>181</v>
      </c>
      <c r="C3255" s="38" t="s">
        <v>1033</v>
      </c>
      <c r="D3255" s="4">
        <v>2020</v>
      </c>
      <c r="E3255" s="4"/>
      <c r="F3255" s="4">
        <v>95</v>
      </c>
      <c r="G3255" s="4">
        <v>5</v>
      </c>
      <c r="H3255" s="4">
        <v>219</v>
      </c>
    </row>
    <row r="3256" spans="1:8" s="5" customFormat="1" ht="21.75" hidden="1" customHeight="1" outlineLevel="1" x14ac:dyDescent="0.25">
      <c r="A3256" s="4">
        <v>901</v>
      </c>
      <c r="B3256" s="4" t="s">
        <v>181</v>
      </c>
      <c r="C3256" s="38" t="s">
        <v>1034</v>
      </c>
      <c r="D3256" s="4">
        <v>2020</v>
      </c>
      <c r="E3256" s="4"/>
      <c r="F3256" s="4">
        <v>330</v>
      </c>
      <c r="G3256" s="4">
        <v>100</v>
      </c>
      <c r="H3256" s="4">
        <v>380.43400000000003</v>
      </c>
    </row>
    <row r="3257" spans="1:8" s="5" customFormat="1" ht="21.75" hidden="1" customHeight="1" outlineLevel="1" x14ac:dyDescent="0.25">
      <c r="A3257" s="4">
        <v>1664</v>
      </c>
      <c r="B3257" s="4" t="s">
        <v>181</v>
      </c>
      <c r="C3257" s="38" t="s">
        <v>1035</v>
      </c>
      <c r="D3257" s="4">
        <v>2020</v>
      </c>
      <c r="E3257" s="4"/>
      <c r="F3257" s="4">
        <v>7</v>
      </c>
      <c r="G3257" s="4">
        <v>145</v>
      </c>
      <c r="H3257" s="4">
        <v>120.742</v>
      </c>
    </row>
    <row r="3258" spans="1:8" s="5" customFormat="1" ht="21.75" hidden="1" customHeight="1" outlineLevel="1" x14ac:dyDescent="0.25">
      <c r="A3258" s="4">
        <v>1662</v>
      </c>
      <c r="B3258" s="4" t="s">
        <v>181</v>
      </c>
      <c r="C3258" s="38" t="s">
        <v>1036</v>
      </c>
      <c r="D3258" s="4">
        <v>2020</v>
      </c>
      <c r="E3258" s="4"/>
      <c r="F3258" s="4">
        <v>30</v>
      </c>
      <c r="G3258" s="4">
        <v>15</v>
      </c>
      <c r="H3258" s="4">
        <v>150.28299999999999</v>
      </c>
    </row>
    <row r="3259" spans="1:8" s="5" customFormat="1" ht="21.75" hidden="1" customHeight="1" outlineLevel="1" x14ac:dyDescent="0.25">
      <c r="A3259" s="4">
        <v>1577</v>
      </c>
      <c r="B3259" s="4" t="s">
        <v>181</v>
      </c>
      <c r="C3259" s="38" t="s">
        <v>1037</v>
      </c>
      <c r="D3259" s="4">
        <v>2020</v>
      </c>
      <c r="E3259" s="4"/>
      <c r="F3259" s="4">
        <v>10</v>
      </c>
      <c r="G3259" s="4">
        <v>15</v>
      </c>
      <c r="H3259" s="4">
        <v>38.51</v>
      </c>
    </row>
    <row r="3260" spans="1:8" s="5" customFormat="1" ht="21.75" hidden="1" customHeight="1" outlineLevel="1" x14ac:dyDescent="0.25">
      <c r="A3260" s="4">
        <v>550</v>
      </c>
      <c r="B3260" s="4" t="s">
        <v>181</v>
      </c>
      <c r="C3260" s="38" t="s">
        <v>1038</v>
      </c>
      <c r="D3260" s="4">
        <v>2020</v>
      </c>
      <c r="E3260" s="4"/>
      <c r="F3260" s="4">
        <v>5</v>
      </c>
      <c r="G3260" s="4">
        <v>15</v>
      </c>
      <c r="H3260" s="4">
        <v>45.505000000000003</v>
      </c>
    </row>
    <row r="3261" spans="1:8" s="5" customFormat="1" ht="21.75" hidden="1" customHeight="1" outlineLevel="1" x14ac:dyDescent="0.25">
      <c r="A3261" s="4">
        <v>1558</v>
      </c>
      <c r="B3261" s="4" t="s">
        <v>181</v>
      </c>
      <c r="C3261" s="38" t="s">
        <v>1039</v>
      </c>
      <c r="D3261" s="4">
        <v>2020</v>
      </c>
      <c r="E3261" s="4"/>
      <c r="F3261" s="4">
        <v>90</v>
      </c>
      <c r="G3261" s="4">
        <v>15</v>
      </c>
      <c r="H3261" s="4">
        <v>170.065</v>
      </c>
    </row>
    <row r="3262" spans="1:8" s="5" customFormat="1" ht="21.75" hidden="1" customHeight="1" outlineLevel="1" x14ac:dyDescent="0.25">
      <c r="A3262" s="4">
        <v>529</v>
      </c>
      <c r="B3262" s="4" t="s">
        <v>181</v>
      </c>
      <c r="C3262" s="38" t="s">
        <v>1040</v>
      </c>
      <c r="D3262" s="4">
        <v>2020</v>
      </c>
      <c r="E3262" s="4"/>
      <c r="F3262" s="4">
        <v>15</v>
      </c>
      <c r="G3262" s="4">
        <v>145</v>
      </c>
      <c r="H3262" s="4">
        <v>159.54400000000001</v>
      </c>
    </row>
    <row r="3263" spans="1:8" s="5" customFormat="1" ht="21.75" hidden="1" customHeight="1" outlineLevel="1" x14ac:dyDescent="0.25">
      <c r="A3263" s="4">
        <v>1210</v>
      </c>
      <c r="B3263" s="4" t="s">
        <v>181</v>
      </c>
      <c r="C3263" s="38" t="s">
        <v>1041</v>
      </c>
      <c r="D3263" s="4">
        <v>2020</v>
      </c>
      <c r="E3263" s="4"/>
      <c r="F3263" s="4">
        <v>175</v>
      </c>
      <c r="G3263" s="4">
        <v>50</v>
      </c>
      <c r="H3263" s="4">
        <v>263.45</v>
      </c>
    </row>
    <row r="3264" spans="1:8" s="5" customFormat="1" ht="21.75" hidden="1" customHeight="1" outlineLevel="1" x14ac:dyDescent="0.25">
      <c r="A3264" s="4">
        <v>147</v>
      </c>
      <c r="B3264" s="4" t="s">
        <v>181</v>
      </c>
      <c r="C3264" s="38" t="s">
        <v>513</v>
      </c>
      <c r="D3264" s="4">
        <v>2020</v>
      </c>
      <c r="E3264" s="4"/>
      <c r="F3264" s="4">
        <v>542</v>
      </c>
      <c r="G3264" s="4">
        <v>300</v>
      </c>
      <c r="H3264" s="4">
        <v>496.12900000000002</v>
      </c>
    </row>
    <row r="3265" spans="1:8" s="5" customFormat="1" ht="21.75" hidden="1" customHeight="1" outlineLevel="1" x14ac:dyDescent="0.25">
      <c r="A3265" s="4">
        <v>177</v>
      </c>
      <c r="B3265" s="4" t="s">
        <v>181</v>
      </c>
      <c r="C3265" s="38" t="s">
        <v>514</v>
      </c>
      <c r="D3265" s="4">
        <v>2020</v>
      </c>
      <c r="E3265" s="4"/>
      <c r="F3265" s="4">
        <v>860</v>
      </c>
      <c r="G3265" s="4">
        <v>75</v>
      </c>
      <c r="H3265" s="4">
        <v>1144.4749999999999</v>
      </c>
    </row>
    <row r="3266" spans="1:8" s="5" customFormat="1" ht="21.75" hidden="1" customHeight="1" outlineLevel="1" x14ac:dyDescent="0.25">
      <c r="A3266" s="4">
        <v>1761</v>
      </c>
      <c r="B3266" s="4" t="s">
        <v>181</v>
      </c>
      <c r="C3266" s="38" t="s">
        <v>515</v>
      </c>
      <c r="D3266" s="4">
        <v>2020</v>
      </c>
      <c r="E3266" s="4"/>
      <c r="F3266" s="4">
        <v>10</v>
      </c>
      <c r="G3266" s="4">
        <v>100</v>
      </c>
      <c r="H3266" s="4">
        <v>59.578000000000003</v>
      </c>
    </row>
    <row r="3267" spans="1:8" s="5" customFormat="1" ht="21.75" hidden="1" customHeight="1" outlineLevel="1" x14ac:dyDescent="0.25">
      <c r="A3267" s="4">
        <v>444</v>
      </c>
      <c r="B3267" s="4" t="s">
        <v>181</v>
      </c>
      <c r="C3267" s="38" t="s">
        <v>516</v>
      </c>
      <c r="D3267" s="4">
        <v>2020</v>
      </c>
      <c r="E3267" s="4"/>
      <c r="F3267" s="4">
        <v>1328</v>
      </c>
      <c r="G3267" s="4">
        <v>642</v>
      </c>
      <c r="H3267" s="4">
        <v>1420.1389999999999</v>
      </c>
    </row>
    <row r="3268" spans="1:8" s="5" customFormat="1" ht="21.75" hidden="1" customHeight="1" outlineLevel="1" x14ac:dyDescent="0.25">
      <c r="A3268" s="4">
        <v>1718</v>
      </c>
      <c r="B3268" s="4" t="s">
        <v>181</v>
      </c>
      <c r="C3268" s="38" t="s">
        <v>593</v>
      </c>
      <c r="D3268" s="4">
        <v>2020</v>
      </c>
      <c r="E3268" s="4"/>
      <c r="F3268" s="4">
        <v>3</v>
      </c>
      <c r="G3268" s="4">
        <v>15</v>
      </c>
      <c r="H3268" s="4">
        <v>49.942</v>
      </c>
    </row>
    <row r="3269" spans="1:8" s="5" customFormat="1" ht="21.75" hidden="1" customHeight="1" outlineLevel="1" x14ac:dyDescent="0.25">
      <c r="A3269" s="4">
        <v>249</v>
      </c>
      <c r="B3269" s="4" t="s">
        <v>181</v>
      </c>
      <c r="C3269" s="38" t="s">
        <v>594</v>
      </c>
      <c r="D3269" s="4">
        <v>2020</v>
      </c>
      <c r="E3269" s="4"/>
      <c r="F3269" s="4">
        <v>571</v>
      </c>
      <c r="G3269" s="4">
        <v>285</v>
      </c>
      <c r="H3269" s="4">
        <v>715.35299999999995</v>
      </c>
    </row>
    <row r="3270" spans="1:8" s="5" customFormat="1" ht="21.75" hidden="1" customHeight="1" outlineLevel="1" x14ac:dyDescent="0.25">
      <c r="A3270" s="4">
        <v>1746</v>
      </c>
      <c r="B3270" s="4" t="s">
        <v>181</v>
      </c>
      <c r="C3270" s="38" t="s">
        <v>785</v>
      </c>
      <c r="D3270" s="4">
        <v>2020</v>
      </c>
      <c r="E3270" s="4"/>
      <c r="F3270" s="4">
        <v>177</v>
      </c>
      <c r="G3270" s="4">
        <v>100</v>
      </c>
      <c r="H3270" s="4">
        <v>617.81799999999998</v>
      </c>
    </row>
    <row r="3271" spans="1:8" s="5" customFormat="1" ht="21.75" hidden="1" customHeight="1" outlineLevel="1" x14ac:dyDescent="0.25">
      <c r="A3271" s="4">
        <v>1715</v>
      </c>
      <c r="B3271" s="4" t="s">
        <v>181</v>
      </c>
      <c r="C3271" s="38" t="s">
        <v>519</v>
      </c>
      <c r="D3271" s="4">
        <v>2020</v>
      </c>
      <c r="E3271" s="4"/>
      <c r="F3271" s="4">
        <v>525</v>
      </c>
      <c r="G3271" s="4">
        <v>90</v>
      </c>
      <c r="H3271" s="4">
        <v>695.21299999999997</v>
      </c>
    </row>
    <row r="3272" spans="1:8" s="5" customFormat="1" ht="21.75" hidden="1" customHeight="1" outlineLevel="1" x14ac:dyDescent="0.25">
      <c r="A3272" s="4">
        <v>1446</v>
      </c>
      <c r="B3272" s="4" t="s">
        <v>181</v>
      </c>
      <c r="C3272" s="38" t="s">
        <v>1042</v>
      </c>
      <c r="D3272" s="4">
        <v>2020</v>
      </c>
      <c r="E3272" s="4"/>
      <c r="F3272" s="4">
        <v>65</v>
      </c>
      <c r="G3272" s="4">
        <v>15</v>
      </c>
      <c r="H3272" s="4">
        <v>180.30199999999999</v>
      </c>
    </row>
    <row r="3273" spans="1:8" s="5" customFormat="1" ht="21.75" hidden="1" customHeight="1" outlineLevel="1" x14ac:dyDescent="0.25">
      <c r="A3273" s="4">
        <v>395</v>
      </c>
      <c r="B3273" s="4" t="s">
        <v>181</v>
      </c>
      <c r="C3273" s="38" t="s">
        <v>1043</v>
      </c>
      <c r="D3273" s="4">
        <v>2020</v>
      </c>
      <c r="E3273" s="4"/>
      <c r="F3273" s="4">
        <v>523</v>
      </c>
      <c r="G3273" s="4">
        <v>15</v>
      </c>
      <c r="H3273" s="4">
        <v>657.31500000000005</v>
      </c>
    </row>
    <row r="3274" spans="1:8" s="5" customFormat="1" ht="21.75" hidden="1" customHeight="1" outlineLevel="1" x14ac:dyDescent="0.25">
      <c r="A3274" s="4">
        <v>684</v>
      </c>
      <c r="B3274" s="4" t="s">
        <v>181</v>
      </c>
      <c r="C3274" s="38" t="s">
        <v>521</v>
      </c>
      <c r="D3274" s="4">
        <v>2020</v>
      </c>
      <c r="E3274" s="4"/>
      <c r="F3274" s="4">
        <v>157</v>
      </c>
      <c r="G3274" s="4">
        <v>150</v>
      </c>
      <c r="H3274" s="4">
        <v>133.84</v>
      </c>
    </row>
    <row r="3275" spans="1:8" s="5" customFormat="1" ht="21.75" hidden="1" customHeight="1" outlineLevel="1" x14ac:dyDescent="0.25">
      <c r="A3275" s="4">
        <v>240</v>
      </c>
      <c r="B3275" s="4" t="s">
        <v>181</v>
      </c>
      <c r="C3275" s="38" t="s">
        <v>522</v>
      </c>
      <c r="D3275" s="4">
        <v>2020</v>
      </c>
      <c r="E3275" s="4"/>
      <c r="F3275" s="4">
        <v>940</v>
      </c>
      <c r="G3275" s="4">
        <v>172.5</v>
      </c>
      <c r="H3275" s="4">
        <v>1287.835</v>
      </c>
    </row>
    <row r="3276" spans="1:8" s="5" customFormat="1" ht="21.75" hidden="1" customHeight="1" outlineLevel="1" x14ac:dyDescent="0.25">
      <c r="A3276" s="4">
        <v>306</v>
      </c>
      <c r="B3276" s="4" t="s">
        <v>181</v>
      </c>
      <c r="C3276" s="38" t="s">
        <v>1044</v>
      </c>
      <c r="D3276" s="4">
        <v>2020</v>
      </c>
      <c r="E3276" s="4"/>
      <c r="F3276" s="4">
        <v>70</v>
      </c>
      <c r="G3276" s="4">
        <v>15</v>
      </c>
      <c r="H3276" s="4">
        <v>193.38300000000001</v>
      </c>
    </row>
    <row r="3277" spans="1:8" s="5" customFormat="1" ht="21.75" hidden="1" customHeight="1" outlineLevel="1" x14ac:dyDescent="0.25">
      <c r="A3277" s="4">
        <v>173</v>
      </c>
      <c r="B3277" s="4" t="s">
        <v>181</v>
      </c>
      <c r="C3277" s="38" t="s">
        <v>1045</v>
      </c>
      <c r="D3277" s="4">
        <v>2020</v>
      </c>
      <c r="E3277" s="4"/>
      <c r="F3277" s="4">
        <v>270</v>
      </c>
      <c r="G3277" s="4">
        <v>15</v>
      </c>
      <c r="H3277" s="4">
        <v>324.75599999999997</v>
      </c>
    </row>
    <row r="3278" spans="1:8" s="5" customFormat="1" ht="21.75" hidden="1" customHeight="1" outlineLevel="1" x14ac:dyDescent="0.25">
      <c r="A3278" s="4">
        <v>471</v>
      </c>
      <c r="B3278" s="4" t="s">
        <v>181</v>
      </c>
      <c r="C3278" s="38" t="s">
        <v>527</v>
      </c>
      <c r="D3278" s="4">
        <v>2020</v>
      </c>
      <c r="E3278" s="4"/>
      <c r="F3278" s="4">
        <v>4</v>
      </c>
      <c r="G3278" s="4">
        <v>60</v>
      </c>
      <c r="H3278" s="4">
        <v>59.26</v>
      </c>
    </row>
    <row r="3279" spans="1:8" s="5" customFormat="1" ht="21.75" hidden="1" customHeight="1" outlineLevel="1" x14ac:dyDescent="0.25">
      <c r="A3279" s="4">
        <v>1722</v>
      </c>
      <c r="B3279" s="4" t="s">
        <v>181</v>
      </c>
      <c r="C3279" s="38" t="s">
        <v>528</v>
      </c>
      <c r="D3279" s="4">
        <v>2020</v>
      </c>
      <c r="E3279" s="4"/>
      <c r="F3279" s="4">
        <v>341</v>
      </c>
      <c r="G3279" s="4">
        <v>180</v>
      </c>
      <c r="H3279" s="4">
        <v>555.82100000000003</v>
      </c>
    </row>
    <row r="3280" spans="1:8" s="5" customFormat="1" ht="21.75" hidden="1" customHeight="1" outlineLevel="1" x14ac:dyDescent="0.25">
      <c r="A3280" s="4">
        <v>577</v>
      </c>
      <c r="B3280" s="4" t="s">
        <v>181</v>
      </c>
      <c r="C3280" s="38" t="s">
        <v>529</v>
      </c>
      <c r="D3280" s="4">
        <v>2020</v>
      </c>
      <c r="E3280" s="4"/>
      <c r="F3280" s="4">
        <v>93</v>
      </c>
      <c r="G3280" s="4">
        <v>150</v>
      </c>
      <c r="H3280" s="4">
        <v>244.745</v>
      </c>
    </row>
    <row r="3281" spans="1:8" s="5" customFormat="1" ht="21.75" hidden="1" customHeight="1" outlineLevel="1" x14ac:dyDescent="0.25">
      <c r="A3281" s="4">
        <v>326</v>
      </c>
      <c r="B3281" s="4" t="s">
        <v>181</v>
      </c>
      <c r="C3281" s="38" t="s">
        <v>597</v>
      </c>
      <c r="D3281" s="4">
        <v>2020</v>
      </c>
      <c r="E3281" s="4"/>
      <c r="F3281" s="4">
        <v>3176</v>
      </c>
      <c r="G3281" s="4">
        <v>1440</v>
      </c>
      <c r="H3281" s="4">
        <v>3614.9259999999999</v>
      </c>
    </row>
    <row r="3282" spans="1:8" s="5" customFormat="1" ht="21.75" hidden="1" customHeight="1" outlineLevel="1" x14ac:dyDescent="0.25">
      <c r="A3282" s="4">
        <v>247</v>
      </c>
      <c r="B3282" s="4" t="s">
        <v>181</v>
      </c>
      <c r="C3282" s="38" t="s">
        <v>1046</v>
      </c>
      <c r="D3282" s="4">
        <v>2020</v>
      </c>
      <c r="E3282" s="4"/>
      <c r="F3282" s="4">
        <v>201</v>
      </c>
      <c r="G3282" s="4">
        <v>15</v>
      </c>
      <c r="H3282" s="4">
        <v>326.07400000000001</v>
      </c>
    </row>
    <row r="3283" spans="1:8" s="5" customFormat="1" ht="21.75" hidden="1" customHeight="1" outlineLevel="1" x14ac:dyDescent="0.25">
      <c r="A3283" s="4">
        <v>370</v>
      </c>
      <c r="B3283" s="4" t="s">
        <v>181</v>
      </c>
      <c r="C3283" s="38" t="s">
        <v>531</v>
      </c>
      <c r="D3283" s="4">
        <v>2020</v>
      </c>
      <c r="E3283" s="4"/>
      <c r="F3283" s="4">
        <v>33</v>
      </c>
      <c r="G3283" s="4">
        <v>150</v>
      </c>
      <c r="H3283" s="4">
        <v>78.322999999999993</v>
      </c>
    </row>
    <row r="3284" spans="1:8" s="5" customFormat="1" ht="21.75" hidden="1" customHeight="1" outlineLevel="1" x14ac:dyDescent="0.25">
      <c r="A3284" s="4">
        <v>1755</v>
      </c>
      <c r="B3284" s="4" t="s">
        <v>181</v>
      </c>
      <c r="C3284" s="38" t="s">
        <v>599</v>
      </c>
      <c r="D3284" s="4">
        <v>2020</v>
      </c>
      <c r="E3284" s="4"/>
      <c r="F3284" s="4">
        <v>21</v>
      </c>
      <c r="G3284" s="4">
        <v>50</v>
      </c>
      <c r="H3284" s="4">
        <v>97.924999999999997</v>
      </c>
    </row>
    <row r="3285" spans="1:8" s="5" customFormat="1" ht="21.75" hidden="1" customHeight="1" outlineLevel="1" x14ac:dyDescent="0.25">
      <c r="A3285" s="4">
        <v>397</v>
      </c>
      <c r="B3285" s="4" t="s">
        <v>181</v>
      </c>
      <c r="C3285" s="38" t="s">
        <v>533</v>
      </c>
      <c r="D3285" s="4">
        <v>2020</v>
      </c>
      <c r="E3285" s="4"/>
      <c r="F3285" s="4">
        <v>121</v>
      </c>
      <c r="G3285" s="4">
        <v>150</v>
      </c>
      <c r="H3285" s="4">
        <v>182.60400000000001</v>
      </c>
    </row>
    <row r="3286" spans="1:8" s="5" customFormat="1" ht="21.75" hidden="1" customHeight="1" outlineLevel="1" x14ac:dyDescent="0.25">
      <c r="A3286" s="4">
        <v>1741</v>
      </c>
      <c r="B3286" s="4" t="s">
        <v>181</v>
      </c>
      <c r="C3286" s="38" t="s">
        <v>534</v>
      </c>
      <c r="D3286" s="4">
        <v>2020</v>
      </c>
      <c r="E3286" s="4"/>
      <c r="F3286" s="4">
        <v>11</v>
      </c>
      <c r="G3286" s="4">
        <v>150</v>
      </c>
      <c r="H3286" s="4">
        <v>60.588999999999999</v>
      </c>
    </row>
    <row r="3287" spans="1:8" s="5" customFormat="1" ht="21.75" hidden="1" customHeight="1" outlineLevel="1" x14ac:dyDescent="0.25">
      <c r="A3287" s="4">
        <v>104</v>
      </c>
      <c r="B3287" s="4" t="s">
        <v>181</v>
      </c>
      <c r="C3287" s="38" t="s">
        <v>535</v>
      </c>
      <c r="D3287" s="4">
        <v>2020</v>
      </c>
      <c r="E3287" s="4"/>
      <c r="F3287" s="4">
        <v>7</v>
      </c>
      <c r="G3287" s="4">
        <v>40</v>
      </c>
      <c r="H3287" s="4">
        <v>29.056999999999999</v>
      </c>
    </row>
    <row r="3288" spans="1:8" s="5" customFormat="1" ht="21.75" hidden="1" customHeight="1" outlineLevel="1" x14ac:dyDescent="0.25">
      <c r="A3288" s="4">
        <v>1748</v>
      </c>
      <c r="B3288" s="4" t="s">
        <v>181</v>
      </c>
      <c r="C3288" s="38" t="s">
        <v>600</v>
      </c>
      <c r="D3288" s="4">
        <v>2020</v>
      </c>
      <c r="E3288" s="4"/>
      <c r="F3288" s="4">
        <v>12</v>
      </c>
      <c r="G3288" s="4">
        <v>15</v>
      </c>
      <c r="H3288" s="4">
        <v>55.529000000000003</v>
      </c>
    </row>
    <row r="3289" spans="1:8" s="5" customFormat="1" ht="21.75" hidden="1" customHeight="1" outlineLevel="1" x14ac:dyDescent="0.25">
      <c r="A3289" s="4">
        <v>1647</v>
      </c>
      <c r="B3289" s="4" t="s">
        <v>181</v>
      </c>
      <c r="C3289" s="38" t="s">
        <v>530</v>
      </c>
      <c r="D3289" s="4">
        <v>2020</v>
      </c>
      <c r="E3289" s="4"/>
      <c r="F3289" s="4">
        <v>7</v>
      </c>
      <c r="G3289" s="4">
        <v>145</v>
      </c>
      <c r="H3289" s="4">
        <v>27.745999999999999</v>
      </c>
    </row>
    <row r="3290" spans="1:8" s="5" customFormat="1" ht="21.75" hidden="1" customHeight="1" outlineLevel="1" x14ac:dyDescent="0.25">
      <c r="A3290" s="4">
        <v>1739</v>
      </c>
      <c r="B3290" s="4" t="s">
        <v>181</v>
      </c>
      <c r="C3290" s="38" t="s">
        <v>601</v>
      </c>
      <c r="D3290" s="4">
        <v>2020</v>
      </c>
      <c r="E3290" s="4"/>
      <c r="F3290" s="4">
        <v>256</v>
      </c>
      <c r="G3290" s="4">
        <v>290</v>
      </c>
      <c r="H3290" s="4">
        <v>315.065</v>
      </c>
    </row>
    <row r="3291" spans="1:8" s="5" customFormat="1" ht="21.75" hidden="1" customHeight="1" outlineLevel="1" x14ac:dyDescent="0.25">
      <c r="A3291" s="4">
        <v>424</v>
      </c>
      <c r="B3291" s="4" t="s">
        <v>181</v>
      </c>
      <c r="C3291" s="38" t="s">
        <v>602</v>
      </c>
      <c r="D3291" s="4">
        <v>2020</v>
      </c>
      <c r="E3291" s="4"/>
      <c r="F3291" s="4">
        <v>196</v>
      </c>
      <c r="G3291" s="4">
        <v>80</v>
      </c>
      <c r="H3291" s="4">
        <v>243.40799999999999</v>
      </c>
    </row>
    <row r="3292" spans="1:8" s="5" customFormat="1" ht="21.75" hidden="1" customHeight="1" outlineLevel="1" x14ac:dyDescent="0.25">
      <c r="A3292" s="4">
        <v>1754</v>
      </c>
      <c r="B3292" s="4" t="s">
        <v>181</v>
      </c>
      <c r="C3292" s="38" t="s">
        <v>605</v>
      </c>
      <c r="D3292" s="4">
        <v>2020</v>
      </c>
      <c r="E3292" s="4"/>
      <c r="F3292" s="4">
        <v>3</v>
      </c>
      <c r="G3292" s="4">
        <v>150</v>
      </c>
      <c r="H3292" s="4">
        <v>68.025999999999996</v>
      </c>
    </row>
    <row r="3293" spans="1:8" s="5" customFormat="1" ht="21.75" hidden="1" customHeight="1" outlineLevel="1" x14ac:dyDescent="0.25">
      <c r="A3293" s="4">
        <v>1639</v>
      </c>
      <c r="B3293" s="4" t="s">
        <v>181</v>
      </c>
      <c r="C3293" s="38" t="s">
        <v>1047</v>
      </c>
      <c r="D3293" s="4">
        <v>2020</v>
      </c>
      <c r="E3293" s="4"/>
      <c r="F3293" s="4">
        <v>652</v>
      </c>
      <c r="G3293" s="4">
        <v>90</v>
      </c>
      <c r="H3293" s="4">
        <v>808.09</v>
      </c>
    </row>
    <row r="3294" spans="1:8" s="5" customFormat="1" ht="21.75" hidden="1" customHeight="1" outlineLevel="1" x14ac:dyDescent="0.25">
      <c r="A3294" s="4">
        <v>1760</v>
      </c>
      <c r="B3294" s="4" t="s">
        <v>181</v>
      </c>
      <c r="C3294" s="38" t="s">
        <v>537</v>
      </c>
      <c r="D3294" s="4">
        <v>2020</v>
      </c>
      <c r="E3294" s="4"/>
      <c r="F3294" s="4">
        <v>65</v>
      </c>
      <c r="G3294" s="4">
        <v>150</v>
      </c>
      <c r="H3294" s="4">
        <v>153.69499999999999</v>
      </c>
    </row>
    <row r="3295" spans="1:8" s="5" customFormat="1" ht="21.75" hidden="1" customHeight="1" outlineLevel="1" x14ac:dyDescent="0.25">
      <c r="A3295" s="4">
        <v>1735</v>
      </c>
      <c r="B3295" s="4" t="s">
        <v>181</v>
      </c>
      <c r="C3295" s="38" t="s">
        <v>878</v>
      </c>
      <c r="D3295" s="4">
        <v>2020</v>
      </c>
      <c r="E3295" s="4"/>
      <c r="F3295" s="4">
        <v>30</v>
      </c>
      <c r="G3295" s="4">
        <v>300</v>
      </c>
      <c r="H3295" s="4">
        <v>58.18</v>
      </c>
    </row>
    <row r="3296" spans="1:8" s="5" customFormat="1" ht="21.75" hidden="1" customHeight="1" outlineLevel="1" x14ac:dyDescent="0.25">
      <c r="A3296" s="4">
        <v>1742</v>
      </c>
      <c r="B3296" s="4" t="s">
        <v>181</v>
      </c>
      <c r="C3296" s="38" t="s">
        <v>538</v>
      </c>
      <c r="D3296" s="4">
        <v>2020</v>
      </c>
      <c r="E3296" s="4"/>
      <c r="F3296" s="4">
        <v>5</v>
      </c>
      <c r="G3296" s="4">
        <v>150</v>
      </c>
      <c r="H3296" s="4">
        <v>43.957000000000001</v>
      </c>
    </row>
    <row r="3297" spans="1:8" s="5" customFormat="1" ht="21.75" hidden="1" customHeight="1" outlineLevel="1" x14ac:dyDescent="0.25">
      <c r="A3297" s="4">
        <v>1736</v>
      </c>
      <c r="B3297" s="4" t="s">
        <v>181</v>
      </c>
      <c r="C3297" s="38" t="s">
        <v>542</v>
      </c>
      <c r="D3297" s="4">
        <v>2020</v>
      </c>
      <c r="E3297" s="4"/>
      <c r="F3297" s="4">
        <v>52</v>
      </c>
      <c r="G3297" s="4">
        <v>100</v>
      </c>
      <c r="H3297" s="4">
        <v>142.511</v>
      </c>
    </row>
    <row r="3298" spans="1:8" s="5" customFormat="1" ht="21.75" hidden="1" customHeight="1" outlineLevel="1" x14ac:dyDescent="0.25">
      <c r="A3298" s="4">
        <v>1607</v>
      </c>
      <c r="B3298" s="4" t="s">
        <v>181</v>
      </c>
      <c r="C3298" s="38" t="s">
        <v>1048</v>
      </c>
      <c r="D3298" s="4">
        <v>2020</v>
      </c>
      <c r="E3298" s="4"/>
      <c r="F3298" s="4">
        <v>984</v>
      </c>
      <c r="G3298" s="4">
        <v>75</v>
      </c>
      <c r="H3298" s="4">
        <v>1391.105</v>
      </c>
    </row>
    <row r="3299" spans="1:8" s="5" customFormat="1" ht="21.75" hidden="1" customHeight="1" outlineLevel="1" x14ac:dyDescent="0.25">
      <c r="A3299" s="4">
        <v>1713</v>
      </c>
      <c r="B3299" s="4" t="s">
        <v>181</v>
      </c>
      <c r="C3299" s="38" t="s">
        <v>543</v>
      </c>
      <c r="D3299" s="4">
        <v>2020</v>
      </c>
      <c r="E3299" s="4"/>
      <c r="F3299" s="4">
        <v>10</v>
      </c>
      <c r="G3299" s="4">
        <v>150</v>
      </c>
      <c r="H3299" s="4">
        <v>39.746000000000002</v>
      </c>
    </row>
    <row r="3300" spans="1:8" s="5" customFormat="1" ht="21.75" hidden="1" customHeight="1" outlineLevel="1" x14ac:dyDescent="0.25">
      <c r="A3300" s="4">
        <v>1747</v>
      </c>
      <c r="B3300" s="4" t="s">
        <v>181</v>
      </c>
      <c r="C3300" s="38" t="s">
        <v>544</v>
      </c>
      <c r="D3300" s="4">
        <v>2020</v>
      </c>
      <c r="E3300" s="4"/>
      <c r="F3300" s="4">
        <v>7</v>
      </c>
      <c r="G3300" s="4">
        <v>150</v>
      </c>
      <c r="H3300" s="4">
        <v>34.118000000000002</v>
      </c>
    </row>
    <row r="3301" spans="1:8" s="5" customFormat="1" ht="21.75" hidden="1" customHeight="1" outlineLevel="1" x14ac:dyDescent="0.25">
      <c r="A3301" s="4">
        <v>1565</v>
      </c>
      <c r="B3301" s="4" t="s">
        <v>181</v>
      </c>
      <c r="C3301" s="38" t="s">
        <v>1049</v>
      </c>
      <c r="D3301" s="4">
        <v>2020</v>
      </c>
      <c r="E3301" s="4"/>
      <c r="F3301" s="4">
        <v>238</v>
      </c>
      <c r="G3301" s="4">
        <v>128.01</v>
      </c>
      <c r="H3301" s="4">
        <v>470.58300000000003</v>
      </c>
    </row>
    <row r="3302" spans="1:8" s="5" customFormat="1" ht="21.75" hidden="1" customHeight="1" outlineLevel="1" x14ac:dyDescent="0.25">
      <c r="A3302" s="4">
        <v>1636</v>
      </c>
      <c r="B3302" s="4" t="s">
        <v>181</v>
      </c>
      <c r="C3302" s="38" t="s">
        <v>1050</v>
      </c>
      <c r="D3302" s="4">
        <v>2020</v>
      </c>
      <c r="E3302" s="4"/>
      <c r="F3302" s="4">
        <v>99</v>
      </c>
      <c r="G3302" s="4">
        <v>14</v>
      </c>
      <c r="H3302" s="4">
        <v>214.79599999999999</v>
      </c>
    </row>
    <row r="3303" spans="1:8" s="5" customFormat="1" ht="21.75" hidden="1" customHeight="1" outlineLevel="1" x14ac:dyDescent="0.25">
      <c r="A3303" s="4">
        <v>1883</v>
      </c>
      <c r="B3303" s="4" t="s">
        <v>181</v>
      </c>
      <c r="C3303" s="38" t="s">
        <v>1051</v>
      </c>
      <c r="D3303" s="4">
        <v>2020</v>
      </c>
      <c r="E3303" s="4"/>
      <c r="F3303" s="4">
        <v>203</v>
      </c>
      <c r="G3303" s="4">
        <v>10</v>
      </c>
      <c r="H3303" s="4">
        <v>290.97699999999998</v>
      </c>
    </row>
    <row r="3304" spans="1:8" s="5" customFormat="1" ht="21.75" hidden="1" customHeight="1" outlineLevel="1" x14ac:dyDescent="0.25">
      <c r="A3304" s="4">
        <v>1704</v>
      </c>
      <c r="B3304" s="4" t="s">
        <v>181</v>
      </c>
      <c r="C3304" s="38" t="s">
        <v>549</v>
      </c>
      <c r="D3304" s="4">
        <v>2020</v>
      </c>
      <c r="E3304" s="4"/>
      <c r="F3304" s="4">
        <v>2266</v>
      </c>
      <c r="G3304" s="4">
        <v>1020</v>
      </c>
      <c r="H3304" s="4">
        <v>3269.5720000000001</v>
      </c>
    </row>
    <row r="3305" spans="1:8" s="5" customFormat="1" ht="21.75" hidden="1" customHeight="1" outlineLevel="1" x14ac:dyDescent="0.25">
      <c r="A3305" s="4">
        <v>157</v>
      </c>
      <c r="B3305" s="4" t="s">
        <v>181</v>
      </c>
      <c r="C3305" s="38" t="s">
        <v>1052</v>
      </c>
      <c r="D3305" s="4">
        <v>2020</v>
      </c>
      <c r="E3305" s="4"/>
      <c r="F3305" s="4">
        <v>62</v>
      </c>
      <c r="G3305" s="4">
        <v>20</v>
      </c>
      <c r="H3305" s="4">
        <v>141.52600000000001</v>
      </c>
    </row>
    <row r="3306" spans="1:8" s="5" customFormat="1" ht="21.75" hidden="1" customHeight="1" outlineLevel="1" x14ac:dyDescent="0.25">
      <c r="A3306" s="4">
        <v>1891</v>
      </c>
      <c r="B3306" s="4" t="s">
        <v>181</v>
      </c>
      <c r="C3306" s="38" t="s">
        <v>1053</v>
      </c>
      <c r="D3306" s="4">
        <v>2020</v>
      </c>
      <c r="E3306" s="4"/>
      <c r="F3306" s="4">
        <v>175</v>
      </c>
      <c r="G3306" s="4">
        <v>8</v>
      </c>
      <c r="H3306" s="4">
        <v>225.05799999999999</v>
      </c>
    </row>
    <row r="3307" spans="1:8" s="5" customFormat="1" ht="21.75" hidden="1" customHeight="1" outlineLevel="1" x14ac:dyDescent="0.25">
      <c r="A3307" s="4">
        <v>1637</v>
      </c>
      <c r="B3307" s="4" t="s">
        <v>181</v>
      </c>
      <c r="C3307" s="38" t="s">
        <v>1054</v>
      </c>
      <c r="D3307" s="4">
        <v>2020</v>
      </c>
      <c r="E3307" s="4"/>
      <c r="F3307" s="4">
        <v>141</v>
      </c>
      <c r="G3307" s="4">
        <v>15</v>
      </c>
      <c r="H3307" s="4">
        <v>282.90100000000001</v>
      </c>
    </row>
    <row r="3308" spans="1:8" s="5" customFormat="1" ht="21.75" hidden="1" customHeight="1" outlineLevel="1" x14ac:dyDescent="0.25">
      <c r="A3308" s="4">
        <v>256</v>
      </c>
      <c r="B3308" s="4" t="s">
        <v>181</v>
      </c>
      <c r="C3308" s="38" t="s">
        <v>551</v>
      </c>
      <c r="D3308" s="4">
        <v>2020</v>
      </c>
      <c r="E3308" s="4"/>
      <c r="F3308" s="4">
        <v>345</v>
      </c>
      <c r="G3308" s="4">
        <v>90</v>
      </c>
      <c r="H3308" s="4">
        <v>411.726</v>
      </c>
    </row>
    <row r="3309" spans="1:8" s="5" customFormat="1" ht="21.75" hidden="1" customHeight="1" outlineLevel="1" x14ac:dyDescent="0.25">
      <c r="A3309" s="4">
        <v>1909</v>
      </c>
      <c r="B3309" s="4" t="s">
        <v>181</v>
      </c>
      <c r="C3309" s="38" t="s">
        <v>1055</v>
      </c>
      <c r="D3309" s="4">
        <v>2020</v>
      </c>
      <c r="E3309" s="4"/>
      <c r="F3309" s="4">
        <v>30</v>
      </c>
      <c r="G3309" s="4">
        <v>150</v>
      </c>
      <c r="H3309" s="4">
        <v>63.441000000000003</v>
      </c>
    </row>
    <row r="3310" spans="1:8" s="5" customFormat="1" ht="21.75" hidden="1" customHeight="1" outlineLevel="1" x14ac:dyDescent="0.25">
      <c r="A3310" s="4">
        <v>1665</v>
      </c>
      <c r="B3310" s="4" t="s">
        <v>181</v>
      </c>
      <c r="C3310" s="38" t="s">
        <v>553</v>
      </c>
      <c r="D3310" s="4">
        <v>2020</v>
      </c>
      <c r="E3310" s="4"/>
      <c r="F3310" s="4">
        <v>30</v>
      </c>
      <c r="G3310" s="4">
        <v>150</v>
      </c>
      <c r="H3310" s="4">
        <v>75.456000000000003</v>
      </c>
    </row>
    <row r="3311" spans="1:8" s="5" customFormat="1" ht="21.75" hidden="1" customHeight="1" outlineLevel="1" x14ac:dyDescent="0.25">
      <c r="A3311" s="4">
        <v>813</v>
      </c>
      <c r="B3311" s="4" t="s">
        <v>181</v>
      </c>
      <c r="C3311" s="38" t="s">
        <v>606</v>
      </c>
      <c r="D3311" s="4">
        <v>2020</v>
      </c>
      <c r="E3311" s="4"/>
      <c r="F3311" s="4">
        <v>20</v>
      </c>
      <c r="G3311" s="4">
        <v>150</v>
      </c>
      <c r="H3311" s="4">
        <v>67.891999999999996</v>
      </c>
    </row>
    <row r="3312" spans="1:8" s="5" customFormat="1" ht="21.75" hidden="1" customHeight="1" outlineLevel="1" x14ac:dyDescent="0.25">
      <c r="A3312" s="4">
        <v>517</v>
      </c>
      <c r="B3312" s="4" t="s">
        <v>181</v>
      </c>
      <c r="C3312" s="38" t="s">
        <v>554</v>
      </c>
      <c r="D3312" s="4">
        <v>2020</v>
      </c>
      <c r="E3312" s="4"/>
      <c r="F3312" s="4">
        <v>350</v>
      </c>
      <c r="G3312" s="4">
        <v>68</v>
      </c>
      <c r="H3312" s="4">
        <v>532.06299999999999</v>
      </c>
    </row>
    <row r="3313" spans="1:8" s="5" customFormat="1" ht="21.75" hidden="1" customHeight="1" outlineLevel="1" x14ac:dyDescent="0.25">
      <c r="A3313" s="4">
        <v>440</v>
      </c>
      <c r="B3313" s="4" t="s">
        <v>181</v>
      </c>
      <c r="C3313" s="38" t="s">
        <v>608</v>
      </c>
      <c r="D3313" s="4">
        <v>2020</v>
      </c>
      <c r="E3313" s="4"/>
      <c r="F3313" s="4">
        <v>60</v>
      </c>
      <c r="G3313" s="4">
        <v>100</v>
      </c>
      <c r="H3313" s="4">
        <v>36.628999999999998</v>
      </c>
    </row>
    <row r="3314" spans="1:8" s="5" customFormat="1" ht="21.75" hidden="1" customHeight="1" outlineLevel="1" x14ac:dyDescent="0.25">
      <c r="A3314" s="4">
        <v>123</v>
      </c>
      <c r="B3314" s="4" t="s">
        <v>181</v>
      </c>
      <c r="C3314" s="38" t="s">
        <v>556</v>
      </c>
      <c r="D3314" s="4">
        <v>2020</v>
      </c>
      <c r="E3314" s="4"/>
      <c r="F3314" s="4">
        <v>166</v>
      </c>
      <c r="G3314" s="4">
        <v>30</v>
      </c>
      <c r="H3314" s="4">
        <v>274.2989</v>
      </c>
    </row>
    <row r="3315" spans="1:8" s="5" customFormat="1" ht="21.75" hidden="1" customHeight="1" outlineLevel="1" x14ac:dyDescent="0.25">
      <c r="A3315" s="4">
        <v>1666</v>
      </c>
      <c r="B3315" s="4" t="s">
        <v>181</v>
      </c>
      <c r="C3315" s="38" t="s">
        <v>557</v>
      </c>
      <c r="D3315" s="4">
        <v>2020</v>
      </c>
      <c r="E3315" s="4"/>
      <c r="F3315" s="4">
        <v>438</v>
      </c>
      <c r="G3315" s="4">
        <v>10</v>
      </c>
      <c r="H3315" s="4">
        <v>545.2097</v>
      </c>
    </row>
    <row r="3316" spans="1:8" s="5" customFormat="1" ht="21.75" hidden="1" customHeight="1" outlineLevel="1" x14ac:dyDescent="0.25">
      <c r="A3316" s="4">
        <v>673</v>
      </c>
      <c r="B3316" s="4" t="s">
        <v>181</v>
      </c>
      <c r="C3316" s="38" t="s">
        <v>1056</v>
      </c>
      <c r="D3316" s="4">
        <v>2020</v>
      </c>
      <c r="E3316" s="4"/>
      <c r="F3316" s="4">
        <v>612</v>
      </c>
      <c r="G3316" s="4">
        <v>5</v>
      </c>
      <c r="H3316" s="4">
        <v>852.90700000000004</v>
      </c>
    </row>
    <row r="3317" spans="1:8" s="5" customFormat="1" ht="21.75" hidden="1" customHeight="1" outlineLevel="1" x14ac:dyDescent="0.25">
      <c r="A3317" s="4">
        <v>885</v>
      </c>
      <c r="B3317" s="4" t="s">
        <v>181</v>
      </c>
      <c r="C3317" s="38" t="s">
        <v>1057</v>
      </c>
      <c r="D3317" s="4">
        <v>2020</v>
      </c>
      <c r="E3317" s="4"/>
      <c r="F3317" s="4">
        <v>381</v>
      </c>
      <c r="G3317" s="4">
        <v>15</v>
      </c>
      <c r="H3317" s="4">
        <v>545.38599999999997</v>
      </c>
    </row>
    <row r="3318" spans="1:8" s="5" customFormat="1" ht="21.75" hidden="1" customHeight="1" outlineLevel="1" x14ac:dyDescent="0.25">
      <c r="A3318" s="4">
        <v>1656</v>
      </c>
      <c r="B3318" s="4" t="s">
        <v>181</v>
      </c>
      <c r="C3318" s="38" t="s">
        <v>559</v>
      </c>
      <c r="D3318" s="4">
        <v>2020</v>
      </c>
      <c r="E3318" s="4"/>
      <c r="F3318" s="4">
        <v>137</v>
      </c>
      <c r="G3318" s="4">
        <v>150</v>
      </c>
      <c r="H3318" s="4">
        <v>211.47499999999999</v>
      </c>
    </row>
    <row r="3319" spans="1:8" s="5" customFormat="1" ht="21.75" hidden="1" customHeight="1" outlineLevel="1" x14ac:dyDescent="0.25">
      <c r="A3319" s="4">
        <v>906</v>
      </c>
      <c r="B3319" s="4" t="s">
        <v>181</v>
      </c>
      <c r="C3319" s="38" t="s">
        <v>1058</v>
      </c>
      <c r="D3319" s="4">
        <v>2020</v>
      </c>
      <c r="E3319" s="4"/>
      <c r="F3319" s="4">
        <v>326</v>
      </c>
      <c r="G3319" s="4">
        <v>90</v>
      </c>
      <c r="H3319" s="4">
        <v>441.00700000000001</v>
      </c>
    </row>
    <row r="3320" spans="1:8" s="5" customFormat="1" ht="21.75" hidden="1" customHeight="1" outlineLevel="1" x14ac:dyDescent="0.25">
      <c r="A3320" s="4">
        <v>890</v>
      </c>
      <c r="B3320" s="4" t="s">
        <v>181</v>
      </c>
      <c r="C3320" s="38" t="s">
        <v>1059</v>
      </c>
      <c r="D3320" s="4">
        <v>2020</v>
      </c>
      <c r="E3320" s="4"/>
      <c r="F3320" s="4">
        <v>634</v>
      </c>
      <c r="G3320" s="4">
        <v>120</v>
      </c>
      <c r="H3320" s="4">
        <v>798.05899999999997</v>
      </c>
    </row>
    <row r="3321" spans="1:8" s="5" customFormat="1" ht="21.75" hidden="1" customHeight="1" outlineLevel="1" x14ac:dyDescent="0.25">
      <c r="A3321" s="4">
        <v>963</v>
      </c>
      <c r="B3321" s="4" t="s">
        <v>181</v>
      </c>
      <c r="C3321" s="38" t="s">
        <v>1060</v>
      </c>
      <c r="D3321" s="4">
        <v>2020</v>
      </c>
      <c r="E3321" s="4"/>
      <c r="F3321" s="4">
        <v>475</v>
      </c>
      <c r="G3321" s="4">
        <v>30</v>
      </c>
      <c r="H3321" s="4">
        <v>662.65700000000004</v>
      </c>
    </row>
    <row r="3322" spans="1:8" s="5" customFormat="1" ht="21.75" hidden="1" customHeight="1" outlineLevel="1" x14ac:dyDescent="0.25">
      <c r="A3322" s="4">
        <v>542</v>
      </c>
      <c r="B3322" s="4" t="s">
        <v>181</v>
      </c>
      <c r="C3322" s="38" t="s">
        <v>560</v>
      </c>
      <c r="D3322" s="4">
        <v>2020</v>
      </c>
      <c r="E3322" s="4"/>
      <c r="F3322" s="4">
        <v>45</v>
      </c>
      <c r="G3322" s="4">
        <v>130</v>
      </c>
      <c r="H3322" s="4">
        <v>139.535</v>
      </c>
    </row>
    <row r="3323" spans="1:8" s="5" customFormat="1" ht="21.75" hidden="1" customHeight="1" outlineLevel="1" x14ac:dyDescent="0.25">
      <c r="A3323" s="4">
        <v>610</v>
      </c>
      <c r="B3323" s="4" t="s">
        <v>181</v>
      </c>
      <c r="C3323" s="38" t="s">
        <v>609</v>
      </c>
      <c r="D3323" s="4">
        <v>2020</v>
      </c>
      <c r="E3323" s="4"/>
      <c r="F3323" s="4">
        <v>221</v>
      </c>
      <c r="G3323" s="4">
        <v>46.5</v>
      </c>
      <c r="H3323" s="4">
        <v>336.54899999999998</v>
      </c>
    </row>
    <row r="3324" spans="1:8" s="5" customFormat="1" ht="21.75" hidden="1" customHeight="1" outlineLevel="1" x14ac:dyDescent="0.25">
      <c r="A3324" s="4">
        <v>1654</v>
      </c>
      <c r="B3324" s="4" t="s">
        <v>181</v>
      </c>
      <c r="C3324" s="38" t="s">
        <v>611</v>
      </c>
      <c r="D3324" s="4">
        <v>2020</v>
      </c>
      <c r="E3324" s="4"/>
      <c r="F3324" s="4">
        <v>30</v>
      </c>
      <c r="G3324" s="4">
        <v>150</v>
      </c>
      <c r="H3324" s="4">
        <v>52.968000000000004</v>
      </c>
    </row>
    <row r="3325" spans="1:8" s="5" customFormat="1" ht="21.75" hidden="1" customHeight="1" outlineLevel="1" x14ac:dyDescent="0.25">
      <c r="A3325" s="4">
        <v>674</v>
      </c>
      <c r="B3325" s="4" t="s">
        <v>181</v>
      </c>
      <c r="C3325" s="38" t="s">
        <v>612</v>
      </c>
      <c r="D3325" s="4">
        <v>2020</v>
      </c>
      <c r="E3325" s="4"/>
      <c r="F3325" s="4">
        <v>177</v>
      </c>
      <c r="G3325" s="4">
        <v>35</v>
      </c>
      <c r="H3325" s="4">
        <v>317.87</v>
      </c>
    </row>
    <row r="3326" spans="1:8" s="5" customFormat="1" ht="21.75" hidden="1" customHeight="1" outlineLevel="1" x14ac:dyDescent="0.25">
      <c r="A3326" s="4">
        <v>950</v>
      </c>
      <c r="B3326" s="4" t="s">
        <v>181</v>
      </c>
      <c r="C3326" s="38" t="s">
        <v>1061</v>
      </c>
      <c r="D3326" s="4">
        <v>2020</v>
      </c>
      <c r="E3326" s="4"/>
      <c r="F3326" s="4">
        <v>100</v>
      </c>
      <c r="G3326" s="4">
        <v>150</v>
      </c>
      <c r="H3326" s="4">
        <v>186.21100000000001</v>
      </c>
    </row>
    <row r="3327" spans="1:8" s="5" customFormat="1" ht="21.75" hidden="1" customHeight="1" outlineLevel="1" x14ac:dyDescent="0.25">
      <c r="A3327" s="4">
        <v>1046</v>
      </c>
      <c r="B3327" s="4" t="s">
        <v>181</v>
      </c>
      <c r="C3327" s="38" t="s">
        <v>561</v>
      </c>
      <c r="D3327" s="4">
        <v>2020</v>
      </c>
      <c r="E3327" s="4"/>
      <c r="F3327" s="4">
        <v>30</v>
      </c>
      <c r="G3327" s="4">
        <v>150</v>
      </c>
      <c r="H3327" s="4">
        <v>28.802</v>
      </c>
    </row>
    <row r="3328" spans="1:8" s="5" customFormat="1" ht="21.75" hidden="1" customHeight="1" outlineLevel="1" x14ac:dyDescent="0.25">
      <c r="A3328" s="4">
        <v>398</v>
      </c>
      <c r="B3328" s="4" t="s">
        <v>181</v>
      </c>
      <c r="C3328" s="38" t="s">
        <v>562</v>
      </c>
      <c r="D3328" s="4">
        <v>2020</v>
      </c>
      <c r="E3328" s="4"/>
      <c r="F3328" s="4">
        <v>1456</v>
      </c>
      <c r="G3328" s="4">
        <v>310</v>
      </c>
      <c r="H3328" s="4">
        <v>2295.3780000000002</v>
      </c>
    </row>
    <row r="3329" spans="1:8" s="5" customFormat="1" ht="21.75" hidden="1" customHeight="1" outlineLevel="1" x14ac:dyDescent="0.25">
      <c r="A3329" s="4">
        <v>670</v>
      </c>
      <c r="B3329" s="4" t="s">
        <v>181</v>
      </c>
      <c r="C3329" s="38" t="s">
        <v>613</v>
      </c>
      <c r="D3329" s="4">
        <v>2020</v>
      </c>
      <c r="E3329" s="4"/>
      <c r="F3329" s="4">
        <v>254</v>
      </c>
      <c r="G3329" s="4">
        <v>45</v>
      </c>
      <c r="H3329" s="4">
        <v>361.70699999999999</v>
      </c>
    </row>
    <row r="3330" spans="1:8" s="5" customFormat="1" ht="21.75" hidden="1" customHeight="1" outlineLevel="1" x14ac:dyDescent="0.25">
      <c r="A3330" s="4">
        <v>1026</v>
      </c>
      <c r="B3330" s="4" t="s">
        <v>181</v>
      </c>
      <c r="C3330" s="38" t="s">
        <v>563</v>
      </c>
      <c r="D3330" s="4">
        <v>2020</v>
      </c>
      <c r="E3330" s="4"/>
      <c r="F3330" s="4">
        <v>5</v>
      </c>
      <c r="G3330" s="4">
        <v>150</v>
      </c>
      <c r="H3330" s="4">
        <v>46.8</v>
      </c>
    </row>
    <row r="3331" spans="1:8" s="5" customFormat="1" ht="21.75" hidden="1" customHeight="1" outlineLevel="1" x14ac:dyDescent="0.25">
      <c r="A3331" s="4">
        <v>1669</v>
      </c>
      <c r="B3331" s="4" t="s">
        <v>181</v>
      </c>
      <c r="C3331" s="38" t="s">
        <v>564</v>
      </c>
      <c r="D3331" s="4">
        <v>2020</v>
      </c>
      <c r="E3331" s="4"/>
      <c r="F3331" s="4">
        <v>46</v>
      </c>
      <c r="G3331" s="4">
        <v>70</v>
      </c>
      <c r="H3331" s="4">
        <v>159.5198</v>
      </c>
    </row>
    <row r="3332" spans="1:8" s="5" customFormat="1" ht="21.75" hidden="1" customHeight="1" outlineLevel="1" x14ac:dyDescent="0.25">
      <c r="A3332" s="4">
        <v>1892</v>
      </c>
      <c r="B3332" s="4" t="s">
        <v>181</v>
      </c>
      <c r="C3332" s="38" t="s">
        <v>1062</v>
      </c>
      <c r="D3332" s="4">
        <v>2020</v>
      </c>
      <c r="E3332" s="4"/>
      <c r="F3332" s="4">
        <v>230</v>
      </c>
      <c r="G3332" s="4">
        <v>10</v>
      </c>
      <c r="H3332" s="4">
        <v>398.15800000000002</v>
      </c>
    </row>
    <row r="3333" spans="1:8" s="5" customFormat="1" ht="21.75" hidden="1" customHeight="1" outlineLevel="1" x14ac:dyDescent="0.25">
      <c r="A3333" s="4">
        <v>742</v>
      </c>
      <c r="B3333" s="4" t="s">
        <v>181</v>
      </c>
      <c r="C3333" s="38" t="s">
        <v>565</v>
      </c>
      <c r="D3333" s="4">
        <v>2020</v>
      </c>
      <c r="E3333" s="4"/>
      <c r="F3333" s="4">
        <v>30</v>
      </c>
      <c r="G3333" s="4">
        <v>150</v>
      </c>
      <c r="H3333" s="4">
        <v>77.613</v>
      </c>
    </row>
    <row r="3334" spans="1:8" s="5" customFormat="1" ht="21.75" hidden="1" customHeight="1" outlineLevel="1" x14ac:dyDescent="0.25">
      <c r="A3334" s="4">
        <v>646</v>
      </c>
      <c r="B3334" s="4" t="s">
        <v>181</v>
      </c>
      <c r="C3334" s="38" t="s">
        <v>566</v>
      </c>
      <c r="D3334" s="4">
        <v>2020</v>
      </c>
      <c r="E3334" s="4"/>
      <c r="F3334" s="4">
        <v>172</v>
      </c>
      <c r="G3334" s="4">
        <v>70</v>
      </c>
      <c r="H3334" s="4">
        <v>268.44400000000002</v>
      </c>
    </row>
    <row r="3335" spans="1:8" s="5" customFormat="1" ht="21.75" hidden="1" customHeight="1" outlineLevel="1" x14ac:dyDescent="0.25">
      <c r="A3335" s="4">
        <v>1767</v>
      </c>
      <c r="B3335" s="4" t="s">
        <v>181</v>
      </c>
      <c r="C3335" s="38" t="s">
        <v>568</v>
      </c>
      <c r="D3335" s="4">
        <v>2020</v>
      </c>
      <c r="E3335" s="4"/>
      <c r="F3335" s="4">
        <v>10</v>
      </c>
      <c r="G3335" s="4">
        <v>110</v>
      </c>
      <c r="H3335" s="4">
        <v>46.277999999999999</v>
      </c>
    </row>
    <row r="3336" spans="1:8" s="5" customFormat="1" ht="21.75" hidden="1" customHeight="1" outlineLevel="1" x14ac:dyDescent="0.25">
      <c r="A3336" s="4">
        <v>1655</v>
      </c>
      <c r="B3336" s="4" t="s">
        <v>181</v>
      </c>
      <c r="C3336" s="38" t="s">
        <v>614</v>
      </c>
      <c r="D3336" s="4">
        <v>2020</v>
      </c>
      <c r="E3336" s="4"/>
      <c r="F3336" s="4">
        <v>20</v>
      </c>
      <c r="G3336" s="4">
        <v>60</v>
      </c>
      <c r="H3336" s="4">
        <v>26.393999999999998</v>
      </c>
    </row>
    <row r="3337" spans="1:8" s="5" customFormat="1" ht="21.75" hidden="1" customHeight="1" outlineLevel="1" x14ac:dyDescent="0.25">
      <c r="A3337" s="4">
        <v>1728</v>
      </c>
      <c r="B3337" s="4" t="s">
        <v>181</v>
      </c>
      <c r="C3337" s="38" t="s">
        <v>569</v>
      </c>
      <c r="D3337" s="4">
        <v>2020</v>
      </c>
      <c r="E3337" s="4"/>
      <c r="F3337" s="4">
        <v>20</v>
      </c>
      <c r="G3337" s="4">
        <v>150</v>
      </c>
      <c r="H3337" s="4">
        <v>35.097000000000001</v>
      </c>
    </row>
    <row r="3338" spans="1:8" s="5" customFormat="1" ht="21.75" hidden="1" customHeight="1" outlineLevel="1" x14ac:dyDescent="0.25">
      <c r="A3338" s="4">
        <v>1653</v>
      </c>
      <c r="B3338" s="4" t="s">
        <v>181</v>
      </c>
      <c r="C3338" s="38" t="s">
        <v>571</v>
      </c>
      <c r="D3338" s="4">
        <v>2020</v>
      </c>
      <c r="E3338" s="4"/>
      <c r="F3338" s="4">
        <v>15</v>
      </c>
      <c r="G3338" s="4">
        <v>149</v>
      </c>
      <c r="H3338" s="4">
        <v>23.869</v>
      </c>
    </row>
    <row r="3339" spans="1:8" s="5" customFormat="1" ht="21.75" hidden="1" customHeight="1" outlineLevel="1" x14ac:dyDescent="0.25">
      <c r="A3339" s="4">
        <v>1649</v>
      </c>
      <c r="B3339" s="4" t="s">
        <v>181</v>
      </c>
      <c r="C3339" s="38" t="s">
        <v>572</v>
      </c>
      <c r="D3339" s="4">
        <v>2020</v>
      </c>
      <c r="E3339" s="4"/>
      <c r="F3339" s="4">
        <v>2612</v>
      </c>
      <c r="G3339" s="4">
        <v>423</v>
      </c>
      <c r="H3339" s="4">
        <v>3298.4895000000001</v>
      </c>
    </row>
    <row r="3340" spans="1:8" s="5" customFormat="1" ht="21.75" hidden="1" customHeight="1" outlineLevel="1" x14ac:dyDescent="0.25">
      <c r="A3340" s="4">
        <v>191</v>
      </c>
      <c r="B3340" s="4" t="s">
        <v>181</v>
      </c>
      <c r="C3340" s="38" t="s">
        <v>1063</v>
      </c>
      <c r="D3340" s="4">
        <v>2020</v>
      </c>
      <c r="E3340" s="4"/>
      <c r="F3340" s="4">
        <v>150</v>
      </c>
      <c r="G3340" s="4">
        <v>30</v>
      </c>
      <c r="H3340" s="4">
        <v>230.61699999999999</v>
      </c>
    </row>
    <row r="3341" spans="1:8" s="5" customFormat="1" ht="21.75" hidden="1" customHeight="1" outlineLevel="1" x14ac:dyDescent="0.25">
      <c r="A3341" s="4">
        <v>172</v>
      </c>
      <c r="B3341" s="4" t="s">
        <v>181</v>
      </c>
      <c r="C3341" s="38" t="s">
        <v>574</v>
      </c>
      <c r="D3341" s="4">
        <v>2020</v>
      </c>
      <c r="E3341" s="4"/>
      <c r="F3341" s="4">
        <v>42</v>
      </c>
      <c r="G3341" s="4">
        <v>100</v>
      </c>
      <c r="H3341" s="4">
        <v>68.742000000000004</v>
      </c>
    </row>
    <row r="3342" spans="1:8" s="5" customFormat="1" ht="21.75" hidden="1" customHeight="1" outlineLevel="1" x14ac:dyDescent="0.25">
      <c r="A3342" s="4">
        <v>1708</v>
      </c>
      <c r="B3342" s="4" t="s">
        <v>181</v>
      </c>
      <c r="C3342" s="38" t="s">
        <v>575</v>
      </c>
      <c r="D3342" s="4">
        <v>2020</v>
      </c>
      <c r="E3342" s="4"/>
      <c r="F3342" s="4">
        <v>20</v>
      </c>
      <c r="G3342" s="4">
        <v>368</v>
      </c>
      <c r="H3342" s="4">
        <v>182.01599999999999</v>
      </c>
    </row>
    <row r="3343" spans="1:8" s="5" customFormat="1" ht="21.75" hidden="1" customHeight="1" outlineLevel="1" x14ac:dyDescent="0.25">
      <c r="A3343" s="4">
        <v>1893</v>
      </c>
      <c r="B3343" s="4" t="s">
        <v>181</v>
      </c>
      <c r="C3343" s="38" t="s">
        <v>1064</v>
      </c>
      <c r="D3343" s="4">
        <v>2020</v>
      </c>
      <c r="E3343" s="4"/>
      <c r="F3343" s="4">
        <v>100</v>
      </c>
      <c r="G3343" s="4">
        <v>15</v>
      </c>
      <c r="H3343" s="4">
        <v>174.83199999999999</v>
      </c>
    </row>
    <row r="3344" spans="1:8" s="5" customFormat="1" ht="21.75" hidden="1" customHeight="1" outlineLevel="1" x14ac:dyDescent="0.25">
      <c r="A3344" s="4">
        <v>1911</v>
      </c>
      <c r="B3344" s="4" t="s">
        <v>181</v>
      </c>
      <c r="C3344" s="38" t="s">
        <v>1065</v>
      </c>
      <c r="D3344" s="4">
        <v>2020</v>
      </c>
      <c r="E3344" s="4"/>
      <c r="F3344" s="4">
        <v>332</v>
      </c>
      <c r="G3344" s="4">
        <v>30</v>
      </c>
      <c r="H3344" s="4">
        <v>474.63299999999998</v>
      </c>
    </row>
    <row r="3345" spans="1:8" s="5" customFormat="1" ht="21.75" hidden="1" customHeight="1" outlineLevel="1" x14ac:dyDescent="0.25">
      <c r="A3345" s="4">
        <v>1659</v>
      </c>
      <c r="B3345" s="4" t="s">
        <v>181</v>
      </c>
      <c r="C3345" s="38" t="s">
        <v>616</v>
      </c>
      <c r="D3345" s="4">
        <v>2020</v>
      </c>
      <c r="E3345" s="4"/>
      <c r="F3345" s="4">
        <v>107</v>
      </c>
      <c r="G3345" s="4">
        <v>80</v>
      </c>
      <c r="H3345" s="4">
        <v>250.749</v>
      </c>
    </row>
    <row r="3346" spans="1:8" s="5" customFormat="1" ht="21.75" hidden="1" customHeight="1" outlineLevel="1" x14ac:dyDescent="0.25">
      <c r="A3346" s="4">
        <v>1075</v>
      </c>
      <c r="B3346" s="4" t="s">
        <v>181</v>
      </c>
      <c r="C3346" s="38" t="s">
        <v>1066</v>
      </c>
      <c r="D3346" s="4">
        <v>2020</v>
      </c>
      <c r="E3346" s="4"/>
      <c r="F3346" s="4">
        <v>155</v>
      </c>
      <c r="G3346" s="4">
        <v>90</v>
      </c>
      <c r="H3346" s="4">
        <v>398.15699999999998</v>
      </c>
    </row>
    <row r="3347" spans="1:8" s="5" customFormat="1" ht="21.75" hidden="1" customHeight="1" outlineLevel="1" x14ac:dyDescent="0.25">
      <c r="A3347" s="4">
        <v>1663</v>
      </c>
      <c r="B3347" s="4" t="s">
        <v>181</v>
      </c>
      <c r="C3347" s="38" t="s">
        <v>618</v>
      </c>
      <c r="D3347" s="4">
        <v>2020</v>
      </c>
      <c r="E3347" s="4"/>
      <c r="F3347" s="4">
        <v>272</v>
      </c>
      <c r="G3347" s="4">
        <v>50</v>
      </c>
      <c r="H3347" s="4">
        <v>292.79300000000001</v>
      </c>
    </row>
    <row r="3348" spans="1:8" s="5" customFormat="1" ht="21.75" hidden="1" customHeight="1" outlineLevel="1" x14ac:dyDescent="0.25">
      <c r="A3348" s="4">
        <v>1705</v>
      </c>
      <c r="B3348" s="4" t="s">
        <v>181</v>
      </c>
      <c r="C3348" s="38" t="s">
        <v>581</v>
      </c>
      <c r="D3348" s="4">
        <v>2020</v>
      </c>
      <c r="E3348" s="4"/>
      <c r="F3348" s="4">
        <v>28</v>
      </c>
      <c r="G3348" s="4">
        <v>264</v>
      </c>
      <c r="H3348" s="4">
        <v>93.637</v>
      </c>
    </row>
    <row r="3349" spans="1:8" s="5" customFormat="1" ht="21.75" hidden="1" customHeight="1" outlineLevel="1" x14ac:dyDescent="0.25">
      <c r="A3349" s="4">
        <v>168</v>
      </c>
      <c r="B3349" s="4" t="s">
        <v>181</v>
      </c>
      <c r="C3349" s="38" t="s">
        <v>582</v>
      </c>
      <c r="D3349" s="4">
        <v>2020</v>
      </c>
      <c r="E3349" s="4"/>
      <c r="F3349" s="4">
        <v>35</v>
      </c>
      <c r="G3349" s="4">
        <v>70</v>
      </c>
      <c r="H3349" s="4">
        <v>104.02800000000001</v>
      </c>
    </row>
    <row r="3350" spans="1:8" s="5" customFormat="1" ht="21.75" hidden="1" customHeight="1" outlineLevel="1" x14ac:dyDescent="0.25">
      <c r="A3350" s="4">
        <v>137</v>
      </c>
      <c r="B3350" s="4" t="s">
        <v>181</v>
      </c>
      <c r="C3350" s="38" t="s">
        <v>583</v>
      </c>
      <c r="D3350" s="4">
        <v>2020</v>
      </c>
      <c r="E3350" s="4"/>
      <c r="F3350" s="4">
        <v>95</v>
      </c>
      <c r="G3350" s="4">
        <v>71</v>
      </c>
      <c r="H3350" s="4">
        <v>44.006999999999998</v>
      </c>
    </row>
    <row r="3351" spans="1:8" s="5" customFormat="1" ht="21.75" hidden="1" customHeight="1" outlineLevel="1" x14ac:dyDescent="0.25">
      <c r="A3351" s="4">
        <v>1667</v>
      </c>
      <c r="B3351" s="4" t="s">
        <v>181</v>
      </c>
      <c r="C3351" s="38" t="s">
        <v>584</v>
      </c>
      <c r="D3351" s="4">
        <v>2020</v>
      </c>
      <c r="E3351" s="4"/>
      <c r="F3351" s="4">
        <v>27</v>
      </c>
      <c r="G3351" s="4">
        <v>120</v>
      </c>
      <c r="H3351" s="4">
        <v>67.983000000000004</v>
      </c>
    </row>
    <row r="3352" spans="1:8" s="5" customFormat="1" ht="21.75" hidden="1" customHeight="1" outlineLevel="1" x14ac:dyDescent="0.25">
      <c r="A3352" s="4">
        <v>1900</v>
      </c>
      <c r="B3352" s="4" t="s">
        <v>181</v>
      </c>
      <c r="C3352" s="38" t="s">
        <v>1067</v>
      </c>
      <c r="D3352" s="4">
        <v>2020</v>
      </c>
      <c r="E3352" s="4"/>
      <c r="F3352" s="4">
        <v>289</v>
      </c>
      <c r="G3352" s="4">
        <v>14</v>
      </c>
      <c r="H3352" s="4">
        <v>346.738</v>
      </c>
    </row>
    <row r="3353" spans="1:8" s="5" customFormat="1" ht="18.75" hidden="1" customHeight="1" outlineLevel="1" x14ac:dyDescent="0.25">
      <c r="A3353" s="4">
        <v>629</v>
      </c>
      <c r="B3353" s="4" t="s">
        <v>181</v>
      </c>
      <c r="C3353" s="38" t="s">
        <v>182</v>
      </c>
      <c r="D3353" s="4">
        <v>2020</v>
      </c>
      <c r="E3353" s="4"/>
      <c r="F3353" s="4">
        <v>5</v>
      </c>
      <c r="G3353" s="4">
        <v>30</v>
      </c>
      <c r="H3353" s="4">
        <v>48.542999999999999</v>
      </c>
    </row>
    <row r="3354" spans="1:8" s="5" customFormat="1" ht="18.75" hidden="1" customHeight="1" outlineLevel="1" x14ac:dyDescent="0.25">
      <c r="A3354" s="4">
        <v>675</v>
      </c>
      <c r="B3354" s="4" t="s">
        <v>181</v>
      </c>
      <c r="C3354" s="38" t="s">
        <v>183</v>
      </c>
      <c r="D3354" s="4">
        <v>2020</v>
      </c>
      <c r="E3354" s="4"/>
      <c r="F3354" s="4">
        <v>10</v>
      </c>
      <c r="G3354" s="4">
        <v>45</v>
      </c>
      <c r="H3354" s="4">
        <v>46.293999999999997</v>
      </c>
    </row>
    <row r="3355" spans="1:8" s="5" customFormat="1" ht="18.75" hidden="1" customHeight="1" outlineLevel="1" x14ac:dyDescent="0.25">
      <c r="A3355" s="4">
        <v>1627</v>
      </c>
      <c r="B3355" s="4" t="s">
        <v>181</v>
      </c>
      <c r="C3355" s="38" t="s">
        <v>184</v>
      </c>
      <c r="D3355" s="4">
        <v>2020</v>
      </c>
      <c r="E3355" s="4"/>
      <c r="F3355" s="4">
        <v>320</v>
      </c>
      <c r="G3355" s="4">
        <v>104.4</v>
      </c>
      <c r="H3355" s="4">
        <v>416.19200000000001</v>
      </c>
    </row>
    <row r="3356" spans="1:8" s="5" customFormat="1" ht="18.75" hidden="1" customHeight="1" outlineLevel="1" x14ac:dyDescent="0.25">
      <c r="A3356" s="4">
        <v>1077</v>
      </c>
      <c r="B3356" s="4" t="s">
        <v>181</v>
      </c>
      <c r="C3356" s="38" t="s">
        <v>185</v>
      </c>
      <c r="D3356" s="4">
        <v>2020</v>
      </c>
      <c r="E3356" s="4"/>
      <c r="F3356" s="4">
        <v>700</v>
      </c>
      <c r="G3356" s="4">
        <v>30</v>
      </c>
      <c r="H3356" s="4">
        <v>690.93299999999999</v>
      </c>
    </row>
    <row r="3357" spans="1:8" s="5" customFormat="1" ht="18.75" hidden="1" customHeight="1" outlineLevel="1" x14ac:dyDescent="0.25">
      <c r="A3357" s="4">
        <v>1083</v>
      </c>
      <c r="B3357" s="4" t="s">
        <v>181</v>
      </c>
      <c r="C3357" s="38" t="s">
        <v>186</v>
      </c>
      <c r="D3357" s="4">
        <v>2020</v>
      </c>
      <c r="E3357" s="4"/>
      <c r="F3357" s="4">
        <v>180</v>
      </c>
      <c r="G3357" s="4">
        <v>15</v>
      </c>
      <c r="H3357" s="4">
        <v>273.06099999999998</v>
      </c>
    </row>
    <row r="3358" spans="1:8" s="5" customFormat="1" ht="18.75" hidden="1" customHeight="1" outlineLevel="1" x14ac:dyDescent="0.25">
      <c r="A3358" s="4">
        <v>1070</v>
      </c>
      <c r="B3358" s="4" t="s">
        <v>181</v>
      </c>
      <c r="C3358" s="38" t="s">
        <v>187</v>
      </c>
      <c r="D3358" s="4">
        <v>2020</v>
      </c>
      <c r="E3358" s="4"/>
      <c r="F3358" s="4">
        <v>80</v>
      </c>
      <c r="G3358" s="4">
        <v>100</v>
      </c>
      <c r="H3358" s="4">
        <v>174.09299999999999</v>
      </c>
    </row>
    <row r="3359" spans="1:8" s="5" customFormat="1" ht="18.75" hidden="1" customHeight="1" outlineLevel="1" x14ac:dyDescent="0.25">
      <c r="A3359" s="4">
        <v>746</v>
      </c>
      <c r="B3359" s="4" t="s">
        <v>181</v>
      </c>
      <c r="C3359" s="38" t="s">
        <v>188</v>
      </c>
      <c r="D3359" s="4">
        <v>2020</v>
      </c>
      <c r="E3359" s="4"/>
      <c r="F3359" s="4">
        <v>15</v>
      </c>
      <c r="G3359" s="4">
        <v>10</v>
      </c>
      <c r="H3359" s="4">
        <v>112.54</v>
      </c>
    </row>
    <row r="3360" spans="1:8" s="5" customFormat="1" ht="18.75" hidden="1" customHeight="1" outlineLevel="1" x14ac:dyDescent="0.25">
      <c r="A3360" s="4">
        <v>480</v>
      </c>
      <c r="B3360" s="4" t="s">
        <v>181</v>
      </c>
      <c r="C3360" s="38" t="s">
        <v>180</v>
      </c>
      <c r="D3360" s="4">
        <v>2020</v>
      </c>
      <c r="E3360" s="4"/>
      <c r="F3360" s="4">
        <v>78</v>
      </c>
      <c r="G3360" s="4">
        <v>300</v>
      </c>
      <c r="H3360" s="4">
        <v>118.364</v>
      </c>
    </row>
    <row r="3361" spans="1:33" s="5" customFormat="1" ht="18.75" hidden="1" customHeight="1" outlineLevel="1" x14ac:dyDescent="0.25">
      <c r="A3361" s="4">
        <v>1595</v>
      </c>
      <c r="B3361" s="4" t="s">
        <v>181</v>
      </c>
      <c r="C3361" s="38" t="s">
        <v>189</v>
      </c>
      <c r="D3361" s="4">
        <v>2020</v>
      </c>
      <c r="E3361" s="4"/>
      <c r="F3361" s="4">
        <v>257</v>
      </c>
      <c r="G3361" s="4">
        <v>5</v>
      </c>
      <c r="H3361" s="4">
        <v>319.28181999999998</v>
      </c>
    </row>
    <row r="3362" spans="1:33" s="5" customFormat="1" ht="18.75" hidden="1" customHeight="1" outlineLevel="1" x14ac:dyDescent="0.25">
      <c r="A3362" s="4">
        <v>299</v>
      </c>
      <c r="B3362" s="4" t="s">
        <v>181</v>
      </c>
      <c r="C3362" s="38" t="s">
        <v>179</v>
      </c>
      <c r="D3362" s="4">
        <v>2020</v>
      </c>
      <c r="E3362" s="4"/>
      <c r="F3362" s="4">
        <v>2957</v>
      </c>
      <c r="G3362" s="4">
        <v>150</v>
      </c>
      <c r="H3362" s="4">
        <v>4462.2619999999997</v>
      </c>
    </row>
    <row r="3363" spans="1:33" s="5" customFormat="1" ht="18.75" hidden="1" customHeight="1" outlineLevel="1" x14ac:dyDescent="0.25">
      <c r="A3363" s="4">
        <v>598</v>
      </c>
      <c r="B3363" s="4" t="s">
        <v>181</v>
      </c>
      <c r="C3363" s="38" t="s">
        <v>190</v>
      </c>
      <c r="D3363" s="4">
        <v>2020</v>
      </c>
      <c r="E3363" s="4"/>
      <c r="F3363" s="4">
        <v>48</v>
      </c>
      <c r="G3363" s="4">
        <v>15</v>
      </c>
      <c r="H3363" s="4">
        <v>122.55500000000001</v>
      </c>
    </row>
    <row r="3364" spans="1:33" s="5" customFormat="1" ht="24" customHeight="1" collapsed="1" x14ac:dyDescent="0.25">
      <c r="A3364" s="208"/>
      <c r="B3364" s="178" t="s">
        <v>181</v>
      </c>
      <c r="C3364" s="185" t="s">
        <v>3190</v>
      </c>
      <c r="D3364" s="185"/>
      <c r="E3364" s="178" t="s">
        <v>22</v>
      </c>
      <c r="F3364" s="178"/>
      <c r="G3364" s="178"/>
      <c r="H3364" s="178"/>
    </row>
    <row r="3365" spans="1:33" s="5" customFormat="1" ht="18.75" customHeight="1" x14ac:dyDescent="0.25">
      <c r="A3365" s="210"/>
      <c r="B3365" s="187"/>
      <c r="C3365" s="192"/>
      <c r="D3365" s="194"/>
      <c r="E3365" s="187"/>
      <c r="F3365" s="196"/>
      <c r="G3365" s="196"/>
      <c r="H3365" s="196"/>
    </row>
    <row r="3366" spans="1:33" s="5" customFormat="1" ht="14.25" customHeight="1" x14ac:dyDescent="0.25">
      <c r="A3366" s="209"/>
      <c r="B3366" s="187"/>
      <c r="C3366" s="192"/>
      <c r="D3366" s="194"/>
      <c r="E3366" s="187" t="s">
        <v>22</v>
      </c>
      <c r="F3366" s="196"/>
      <c r="G3366" s="196"/>
      <c r="H3366" s="196"/>
    </row>
    <row r="3367" spans="1:33" s="5" customFormat="1" ht="17.25" hidden="1" customHeight="1" thickBot="1" x14ac:dyDescent="0.25">
      <c r="A3367" s="4"/>
      <c r="B3367" s="179"/>
      <c r="C3367" s="193"/>
      <c r="D3367" s="195"/>
      <c r="E3367" s="179"/>
      <c r="F3367" s="197"/>
      <c r="G3367" s="197"/>
      <c r="H3367" s="197"/>
    </row>
    <row r="3368" spans="1:33" s="5" customFormat="1" ht="17.25" customHeight="1" x14ac:dyDescent="0.25">
      <c r="A3368" s="4"/>
      <c r="B3368" s="7" t="s">
        <v>181</v>
      </c>
      <c r="C3368" s="8" t="s">
        <v>1102</v>
      </c>
      <c r="D3368" s="7">
        <v>2020</v>
      </c>
      <c r="E3368" s="7" t="s">
        <v>22</v>
      </c>
      <c r="F3368" s="17">
        <f ca="1">SUMIF($D$3371:$H$3451,$D$3368,$F$3371:$F$3451)</f>
        <v>12639.4</v>
      </c>
      <c r="G3368" s="17">
        <f ca="1">SUMIF($D$3371:$H$3451,$D$3368,$G$3371:$G$3451)</f>
        <v>5553.52</v>
      </c>
      <c r="H3368" s="32">
        <f ca="1">SUMIF($D$3371:$H$3451,$D$3368,$H$3371:$H$3451)</f>
        <v>23607.493439999998</v>
      </c>
    </row>
    <row r="3369" spans="1:33" s="25" customFormat="1" ht="16.5" customHeight="1" x14ac:dyDescent="0.25">
      <c r="A3369" s="4"/>
      <c r="B3369" s="7" t="s">
        <v>181</v>
      </c>
      <c r="C3369" s="8" t="s">
        <v>1102</v>
      </c>
      <c r="D3369" s="7">
        <v>2021</v>
      </c>
      <c r="E3369" s="7" t="s">
        <v>22</v>
      </c>
      <c r="F3369" s="7">
        <f ca="1">SUMIF($D$3371:$H$3451,$D$3369,$F$3371:$F$3451)</f>
        <v>14853</v>
      </c>
      <c r="G3369" s="7">
        <f ca="1">SUMIF($D$3371:$H$3451,$D$3369,$G$3371:$G$3451)</f>
        <v>3656.3</v>
      </c>
      <c r="H3369" s="10">
        <f ca="1">SUMIF($D$3371:$H$3451,$D$3369,$H$3371:$H$3451)</f>
        <v>26951.85528</v>
      </c>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row>
    <row r="3370" spans="1:33" s="25" customFormat="1" ht="34.5" customHeight="1" x14ac:dyDescent="0.25">
      <c r="A3370" s="4"/>
      <c r="B3370" s="7" t="s">
        <v>181</v>
      </c>
      <c r="C3370" s="8" t="s">
        <v>3929</v>
      </c>
      <c r="D3370" s="7">
        <v>2022</v>
      </c>
      <c r="E3370" s="7" t="s">
        <v>22</v>
      </c>
      <c r="F3370" s="7">
        <f ca="1">SUMIF($D$3371:$H$3451,$D$3370,$F$3371:$F$3451)</f>
        <v>1909</v>
      </c>
      <c r="G3370" s="7">
        <f ca="1">SUMIF($D$3371:$H$3451,$D$3370,$G$3371:$G$3451)</f>
        <v>2465.5</v>
      </c>
      <c r="H3370" s="10">
        <f ca="1">SUMIF($D$3371:$H$3451,$D$3370,$H$3371:$H$3451)</f>
        <v>5947.6420000000007</v>
      </c>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row>
    <row r="3371" spans="1:33" s="5" customFormat="1" ht="16.5" hidden="1" customHeight="1" outlineLevel="1" x14ac:dyDescent="0.25">
      <c r="A3371" s="4">
        <v>4877</v>
      </c>
      <c r="B3371" s="4" t="s">
        <v>181</v>
      </c>
      <c r="C3371" s="38" t="s">
        <v>3969</v>
      </c>
      <c r="D3371" s="4">
        <v>2022</v>
      </c>
      <c r="E3371" s="4" t="s">
        <v>22</v>
      </c>
      <c r="F3371" s="4">
        <v>5</v>
      </c>
      <c r="G3371" s="113">
        <v>40</v>
      </c>
      <c r="H3371" s="42">
        <v>20</v>
      </c>
    </row>
    <row r="3372" spans="1:33" s="5" customFormat="1" ht="16.5" hidden="1" customHeight="1" outlineLevel="1" x14ac:dyDescent="0.25">
      <c r="A3372" s="4">
        <v>4914</v>
      </c>
      <c r="B3372" s="4" t="s">
        <v>181</v>
      </c>
      <c r="C3372" s="38" t="s">
        <v>4081</v>
      </c>
      <c r="D3372" s="4">
        <v>2022</v>
      </c>
      <c r="E3372" s="4" t="s">
        <v>22</v>
      </c>
      <c r="F3372" s="4">
        <v>89</v>
      </c>
      <c r="G3372" s="113">
        <v>15</v>
      </c>
      <c r="H3372" s="42">
        <v>437.8</v>
      </c>
    </row>
    <row r="3373" spans="1:33" s="5" customFormat="1" ht="16.5" hidden="1" customHeight="1" outlineLevel="1" x14ac:dyDescent="0.25">
      <c r="A3373" s="4">
        <v>4550</v>
      </c>
      <c r="B3373" s="4" t="s">
        <v>181</v>
      </c>
      <c r="C3373" s="38" t="s">
        <v>4228</v>
      </c>
      <c r="D3373" s="4">
        <v>2022</v>
      </c>
      <c r="E3373" s="4" t="s">
        <v>22</v>
      </c>
      <c r="F3373" s="4">
        <v>78</v>
      </c>
      <c r="G3373" s="4">
        <v>2000</v>
      </c>
      <c r="H3373" s="42">
        <v>503.49999999999994</v>
      </c>
    </row>
    <row r="3374" spans="1:33" s="5" customFormat="1" ht="16.5" hidden="1" customHeight="1" outlineLevel="1" x14ac:dyDescent="0.25">
      <c r="A3374" s="4">
        <v>5021</v>
      </c>
      <c r="B3374" s="4" t="s">
        <v>181</v>
      </c>
      <c r="C3374" s="38" t="s">
        <v>4105</v>
      </c>
      <c r="D3374" s="4">
        <v>2022</v>
      </c>
      <c r="E3374" s="4" t="s">
        <v>22</v>
      </c>
      <c r="F3374" s="4">
        <v>155</v>
      </c>
      <c r="G3374" s="113">
        <v>50</v>
      </c>
      <c r="H3374" s="42">
        <v>860</v>
      </c>
    </row>
    <row r="3375" spans="1:33" s="5" customFormat="1" ht="16.5" hidden="1" customHeight="1" outlineLevel="1" x14ac:dyDescent="0.25">
      <c r="A3375" s="4">
        <v>4674</v>
      </c>
      <c r="B3375" s="4" t="s">
        <v>181</v>
      </c>
      <c r="C3375" s="38" t="s">
        <v>4123</v>
      </c>
      <c r="D3375" s="4">
        <v>2022</v>
      </c>
      <c r="E3375" s="4" t="s">
        <v>22</v>
      </c>
      <c r="F3375" s="4">
        <v>15</v>
      </c>
      <c r="G3375" s="113">
        <v>45.5</v>
      </c>
      <c r="H3375" s="42">
        <v>112.91</v>
      </c>
    </row>
    <row r="3376" spans="1:33" s="5" customFormat="1" ht="16.5" hidden="1" customHeight="1" outlineLevel="1" x14ac:dyDescent="0.25">
      <c r="A3376" s="4">
        <v>4853</v>
      </c>
      <c r="B3376" s="4" t="s">
        <v>181</v>
      </c>
      <c r="C3376" s="38" t="s">
        <v>4223</v>
      </c>
      <c r="D3376" s="4">
        <v>2022</v>
      </c>
      <c r="E3376" s="4" t="s">
        <v>22</v>
      </c>
      <c r="F3376" s="4">
        <v>1059</v>
      </c>
      <c r="G3376" s="113">
        <v>150</v>
      </c>
      <c r="H3376" s="42">
        <v>2508.614</v>
      </c>
    </row>
    <row r="3377" spans="1:8" s="5" customFormat="1" ht="16.5" hidden="1" customHeight="1" outlineLevel="1" x14ac:dyDescent="0.25">
      <c r="A3377" s="4">
        <v>1870</v>
      </c>
      <c r="B3377" s="4" t="s">
        <v>181</v>
      </c>
      <c r="C3377" s="38" t="s">
        <v>4229</v>
      </c>
      <c r="D3377" s="4">
        <v>2022</v>
      </c>
      <c r="E3377" s="4" t="s">
        <v>22</v>
      </c>
      <c r="F3377" s="4">
        <v>503</v>
      </c>
      <c r="G3377" s="4">
        <v>15</v>
      </c>
      <c r="H3377" s="42">
        <v>1445.818</v>
      </c>
    </row>
    <row r="3378" spans="1:8" s="5" customFormat="1" ht="16.5" hidden="1" customHeight="1" outlineLevel="1" x14ac:dyDescent="0.25">
      <c r="A3378" s="4">
        <v>2542</v>
      </c>
      <c r="B3378" s="4" t="s">
        <v>181</v>
      </c>
      <c r="C3378" s="38" t="s">
        <v>4226</v>
      </c>
      <c r="D3378" s="4">
        <v>2022</v>
      </c>
      <c r="E3378" s="4" t="s">
        <v>22</v>
      </c>
      <c r="F3378" s="4">
        <v>5</v>
      </c>
      <c r="G3378" s="4">
        <v>150</v>
      </c>
      <c r="H3378" s="42">
        <v>59</v>
      </c>
    </row>
    <row r="3379" spans="1:8" s="5" customFormat="1" ht="27" hidden="1" customHeight="1" outlineLevel="1" x14ac:dyDescent="0.25">
      <c r="A3379" s="43">
        <v>3826</v>
      </c>
      <c r="B3379" s="4" t="s">
        <v>181</v>
      </c>
      <c r="C3379" s="38" t="s">
        <v>1472</v>
      </c>
      <c r="D3379" s="4">
        <v>2021</v>
      </c>
      <c r="E3379" s="4"/>
      <c r="F3379" s="4">
        <v>400</v>
      </c>
      <c r="G3379" s="4" t="s">
        <v>1447</v>
      </c>
      <c r="H3379" s="4">
        <v>665</v>
      </c>
    </row>
    <row r="3380" spans="1:8" s="5" customFormat="1" ht="27" hidden="1" customHeight="1" outlineLevel="1" x14ac:dyDescent="0.25">
      <c r="A3380" s="42">
        <v>9735</v>
      </c>
      <c r="B3380" s="4" t="s">
        <v>181</v>
      </c>
      <c r="C3380" s="38" t="s">
        <v>1904</v>
      </c>
      <c r="D3380" s="4">
        <v>2021</v>
      </c>
      <c r="E3380" s="4"/>
      <c r="F3380" s="4">
        <v>32</v>
      </c>
      <c r="G3380" s="4" t="s">
        <v>1905</v>
      </c>
      <c r="H3380" s="4">
        <v>193</v>
      </c>
    </row>
    <row r="3381" spans="1:8" s="5" customFormat="1" ht="27" hidden="1" customHeight="1" outlineLevel="1" x14ac:dyDescent="0.25">
      <c r="A3381" s="42">
        <v>9598</v>
      </c>
      <c r="B3381" s="4" t="s">
        <v>181</v>
      </c>
      <c r="C3381" s="38" t="s">
        <v>1974</v>
      </c>
      <c r="D3381" s="4">
        <v>2021</v>
      </c>
      <c r="E3381" s="4"/>
      <c r="F3381" s="4">
        <v>4</v>
      </c>
      <c r="G3381" s="4">
        <v>15</v>
      </c>
      <c r="H3381" s="4">
        <v>92</v>
      </c>
    </row>
    <row r="3382" spans="1:8" s="5" customFormat="1" ht="27" hidden="1" customHeight="1" outlineLevel="1" x14ac:dyDescent="0.25">
      <c r="A3382" s="42">
        <v>9600</v>
      </c>
      <c r="B3382" s="4" t="s">
        <v>181</v>
      </c>
      <c r="C3382" s="38" t="s">
        <v>1914</v>
      </c>
      <c r="D3382" s="4">
        <v>2021</v>
      </c>
      <c r="E3382" s="4"/>
      <c r="F3382" s="4">
        <v>98</v>
      </c>
      <c r="G3382" s="4">
        <v>240</v>
      </c>
      <c r="H3382" s="4">
        <v>308</v>
      </c>
    </row>
    <row r="3383" spans="1:8" s="5" customFormat="1" ht="27" hidden="1" customHeight="1" outlineLevel="1" x14ac:dyDescent="0.25">
      <c r="A3383" s="42">
        <v>9658</v>
      </c>
      <c r="B3383" s="4" t="s">
        <v>181</v>
      </c>
      <c r="C3383" s="38" t="s">
        <v>1915</v>
      </c>
      <c r="D3383" s="4">
        <v>2021</v>
      </c>
      <c r="E3383" s="4"/>
      <c r="F3383" s="4">
        <v>495</v>
      </c>
      <c r="G3383" s="4">
        <v>150</v>
      </c>
      <c r="H3383" s="4">
        <v>1110</v>
      </c>
    </row>
    <row r="3384" spans="1:8" s="5" customFormat="1" ht="27" hidden="1" customHeight="1" outlineLevel="1" x14ac:dyDescent="0.25">
      <c r="A3384" s="42">
        <v>9659</v>
      </c>
      <c r="B3384" s="4" t="s">
        <v>181</v>
      </c>
      <c r="C3384" s="22" t="s">
        <v>1918</v>
      </c>
      <c r="D3384" s="4">
        <v>2021</v>
      </c>
      <c r="E3384" s="4"/>
      <c r="F3384" s="4">
        <v>7</v>
      </c>
      <c r="G3384" s="4">
        <v>118.3</v>
      </c>
      <c r="H3384" s="4">
        <v>142</v>
      </c>
    </row>
    <row r="3385" spans="1:8" s="5" customFormat="1" ht="27" hidden="1" customHeight="1" outlineLevel="1" x14ac:dyDescent="0.25">
      <c r="A3385" s="42">
        <v>9675</v>
      </c>
      <c r="B3385" s="4" t="s">
        <v>181</v>
      </c>
      <c r="C3385" s="38" t="s">
        <v>1975</v>
      </c>
      <c r="D3385" s="4">
        <v>2021</v>
      </c>
      <c r="E3385" s="4"/>
      <c r="F3385" s="4">
        <v>1329</v>
      </c>
      <c r="G3385" s="4">
        <v>150</v>
      </c>
      <c r="H3385" s="4">
        <v>2549</v>
      </c>
    </row>
    <row r="3386" spans="1:8" s="5" customFormat="1" ht="27" hidden="1" customHeight="1" outlineLevel="1" x14ac:dyDescent="0.25">
      <c r="A3386" s="42">
        <v>9602</v>
      </c>
      <c r="B3386" s="4" t="s">
        <v>181</v>
      </c>
      <c r="C3386" s="22" t="s">
        <v>1583</v>
      </c>
      <c r="D3386" s="4">
        <v>2021</v>
      </c>
      <c r="E3386" s="4"/>
      <c r="F3386" s="4">
        <v>499</v>
      </c>
      <c r="G3386" s="4">
        <v>15</v>
      </c>
      <c r="H3386" s="4">
        <v>1090</v>
      </c>
    </row>
    <row r="3387" spans="1:8" s="5" customFormat="1" ht="27" hidden="1" customHeight="1" outlineLevel="1" x14ac:dyDescent="0.25">
      <c r="A3387" s="42">
        <v>9591</v>
      </c>
      <c r="B3387" s="4" t="s">
        <v>181</v>
      </c>
      <c r="C3387" s="38" t="s">
        <v>1923</v>
      </c>
      <c r="D3387" s="4">
        <v>2021</v>
      </c>
      <c r="E3387" s="4"/>
      <c r="F3387" s="4">
        <v>93</v>
      </c>
      <c r="G3387" s="4">
        <v>417</v>
      </c>
      <c r="H3387" s="4">
        <v>367</v>
      </c>
    </row>
    <row r="3388" spans="1:8" s="5" customFormat="1" ht="27" hidden="1" customHeight="1" outlineLevel="1" x14ac:dyDescent="0.25">
      <c r="A3388" s="42">
        <v>9577</v>
      </c>
      <c r="B3388" s="4" t="s">
        <v>181</v>
      </c>
      <c r="C3388" s="38" t="s">
        <v>1930</v>
      </c>
      <c r="D3388" s="4">
        <v>2021</v>
      </c>
      <c r="E3388" s="4"/>
      <c r="F3388" s="4">
        <v>885</v>
      </c>
      <c r="G3388" s="4">
        <v>195</v>
      </c>
      <c r="H3388" s="4">
        <v>1874</v>
      </c>
    </row>
    <row r="3389" spans="1:8" s="5" customFormat="1" ht="27" hidden="1" customHeight="1" outlineLevel="1" x14ac:dyDescent="0.25">
      <c r="A3389" s="42">
        <v>9677</v>
      </c>
      <c r="B3389" s="4" t="s">
        <v>181</v>
      </c>
      <c r="C3389" s="38" t="s">
        <v>1931</v>
      </c>
      <c r="D3389" s="4">
        <v>2021</v>
      </c>
      <c r="E3389" s="4"/>
      <c r="F3389" s="4">
        <v>5</v>
      </c>
      <c r="G3389" s="4">
        <v>150</v>
      </c>
      <c r="H3389" s="4">
        <v>130</v>
      </c>
    </row>
    <row r="3390" spans="1:8" s="5" customFormat="1" ht="27" hidden="1" customHeight="1" outlineLevel="1" x14ac:dyDescent="0.25">
      <c r="A3390" s="42">
        <v>9676</v>
      </c>
      <c r="B3390" s="4" t="s">
        <v>181</v>
      </c>
      <c r="C3390" s="38" t="s">
        <v>1941</v>
      </c>
      <c r="D3390" s="4">
        <v>2021</v>
      </c>
      <c r="E3390" s="4"/>
      <c r="F3390" s="4">
        <v>15</v>
      </c>
      <c r="G3390" s="4">
        <v>150</v>
      </c>
      <c r="H3390" s="4">
        <v>132</v>
      </c>
    </row>
    <row r="3391" spans="1:8" s="5" customFormat="1" ht="27" hidden="1" customHeight="1" outlineLevel="1" x14ac:dyDescent="0.25">
      <c r="A3391" s="42">
        <v>9587</v>
      </c>
      <c r="B3391" s="4" t="s">
        <v>181</v>
      </c>
      <c r="C3391" s="38" t="s">
        <v>1642</v>
      </c>
      <c r="D3391" s="4">
        <v>2021</v>
      </c>
      <c r="E3391" s="4"/>
      <c r="F3391" s="4">
        <v>5</v>
      </c>
      <c r="G3391" s="4">
        <v>1</v>
      </c>
      <c r="H3391" s="4">
        <v>165</v>
      </c>
    </row>
    <row r="3392" spans="1:8" s="5" customFormat="1" ht="27" hidden="1" customHeight="1" outlineLevel="1" x14ac:dyDescent="0.25">
      <c r="A3392" s="42">
        <v>9265</v>
      </c>
      <c r="B3392" s="4" t="s">
        <v>181</v>
      </c>
      <c r="C3392" s="38" t="s">
        <v>1976</v>
      </c>
      <c r="D3392" s="4">
        <v>2021</v>
      </c>
      <c r="E3392" s="4"/>
      <c r="F3392" s="4">
        <v>2348</v>
      </c>
      <c r="G3392" s="4">
        <v>300</v>
      </c>
      <c r="H3392" s="4">
        <v>6208</v>
      </c>
    </row>
    <row r="3393" spans="1:8" s="5" customFormat="1" ht="27" hidden="1" customHeight="1" outlineLevel="1" x14ac:dyDescent="0.25">
      <c r="A3393" s="42">
        <v>9648</v>
      </c>
      <c r="B3393" s="4" t="s">
        <v>181</v>
      </c>
      <c r="C3393" s="38" t="s">
        <v>1949</v>
      </c>
      <c r="D3393" s="4">
        <v>2021</v>
      </c>
      <c r="E3393" s="4"/>
      <c r="F3393" s="4">
        <v>3</v>
      </c>
      <c r="G3393" s="4">
        <v>45</v>
      </c>
      <c r="H3393" s="4">
        <v>127</v>
      </c>
    </row>
    <row r="3394" spans="1:8" s="5" customFormat="1" ht="27" hidden="1" customHeight="1" outlineLevel="1" x14ac:dyDescent="0.25">
      <c r="A3394" s="42">
        <v>9443</v>
      </c>
      <c r="B3394" s="4" t="s">
        <v>181</v>
      </c>
      <c r="C3394" s="38" t="s">
        <v>1977</v>
      </c>
      <c r="D3394" s="4">
        <v>2021</v>
      </c>
      <c r="E3394" s="4"/>
      <c r="F3394" s="4">
        <v>1606</v>
      </c>
      <c r="G3394" s="4">
        <v>90</v>
      </c>
      <c r="H3394" s="4">
        <v>2316</v>
      </c>
    </row>
    <row r="3395" spans="1:8" s="5" customFormat="1" ht="27" hidden="1" customHeight="1" outlineLevel="1" x14ac:dyDescent="0.25">
      <c r="A3395" s="42">
        <v>9589</v>
      </c>
      <c r="B3395" s="4" t="s">
        <v>181</v>
      </c>
      <c r="C3395" s="38" t="s">
        <v>1950</v>
      </c>
      <c r="D3395" s="4">
        <v>2021</v>
      </c>
      <c r="E3395" s="4"/>
      <c r="F3395" s="4">
        <v>729</v>
      </c>
      <c r="G3395" s="4">
        <v>300</v>
      </c>
      <c r="H3395" s="4">
        <v>1234</v>
      </c>
    </row>
    <row r="3396" spans="1:8" s="5" customFormat="1" ht="27" hidden="1" customHeight="1" outlineLevel="1" x14ac:dyDescent="0.25">
      <c r="A3396" s="42">
        <v>9661</v>
      </c>
      <c r="B3396" s="4" t="s">
        <v>181</v>
      </c>
      <c r="C3396" s="38" t="s">
        <v>1978</v>
      </c>
      <c r="D3396" s="4">
        <v>2021</v>
      </c>
      <c r="E3396" s="4"/>
      <c r="F3396" s="4">
        <v>34</v>
      </c>
      <c r="G3396" s="4">
        <v>15</v>
      </c>
      <c r="H3396" s="4">
        <v>250</v>
      </c>
    </row>
    <row r="3397" spans="1:8" s="5" customFormat="1" ht="27" hidden="1" customHeight="1" outlineLevel="1" x14ac:dyDescent="0.25">
      <c r="A3397" s="43">
        <v>3734</v>
      </c>
      <c r="B3397" s="4" t="s">
        <v>181</v>
      </c>
      <c r="C3397" s="38" t="s">
        <v>1979</v>
      </c>
      <c r="D3397" s="4">
        <v>2021</v>
      </c>
      <c r="E3397" s="4"/>
      <c r="F3397" s="4">
        <v>1353</v>
      </c>
      <c r="G3397" s="4">
        <v>150</v>
      </c>
      <c r="H3397" s="4">
        <v>1539</v>
      </c>
    </row>
    <row r="3398" spans="1:8" s="5" customFormat="1" ht="27" hidden="1" customHeight="1" outlineLevel="1" x14ac:dyDescent="0.25">
      <c r="A3398" s="43">
        <v>3734</v>
      </c>
      <c r="B3398" s="4" t="s">
        <v>181</v>
      </c>
      <c r="C3398" s="38" t="s">
        <v>1979</v>
      </c>
      <c r="D3398" s="4">
        <v>2021</v>
      </c>
      <c r="E3398" s="4"/>
      <c r="F3398" s="4">
        <v>3293</v>
      </c>
      <c r="G3398" s="4">
        <v>150</v>
      </c>
      <c r="H3398" s="4">
        <v>3701</v>
      </c>
    </row>
    <row r="3399" spans="1:8" s="5" customFormat="1" ht="27" hidden="1" customHeight="1" outlineLevel="1" x14ac:dyDescent="0.25">
      <c r="A3399" s="42">
        <v>9650</v>
      </c>
      <c r="B3399" s="4" t="s">
        <v>181</v>
      </c>
      <c r="C3399" s="38" t="s">
        <v>1980</v>
      </c>
      <c r="D3399" s="4">
        <v>2021</v>
      </c>
      <c r="E3399" s="4"/>
      <c r="F3399" s="4">
        <v>497</v>
      </c>
      <c r="G3399" s="4">
        <v>70</v>
      </c>
      <c r="H3399" s="4">
        <v>908</v>
      </c>
    </row>
    <row r="3400" spans="1:8" s="5" customFormat="1" ht="27" hidden="1" customHeight="1" outlineLevel="1" x14ac:dyDescent="0.25">
      <c r="A3400" s="42">
        <v>9444</v>
      </c>
      <c r="B3400" s="4" t="s">
        <v>181</v>
      </c>
      <c r="C3400" s="38" t="s">
        <v>1981</v>
      </c>
      <c r="D3400" s="4">
        <v>2021</v>
      </c>
      <c r="E3400" s="4"/>
      <c r="F3400" s="4">
        <v>20</v>
      </c>
      <c r="G3400" s="4">
        <v>149</v>
      </c>
      <c r="H3400" s="4">
        <v>77</v>
      </c>
    </row>
    <row r="3401" spans="1:8" s="5" customFormat="1" ht="27" hidden="1" customHeight="1" outlineLevel="1" x14ac:dyDescent="0.25">
      <c r="A3401" s="42">
        <v>9629</v>
      </c>
      <c r="B3401" s="4" t="s">
        <v>181</v>
      </c>
      <c r="C3401" s="38" t="s">
        <v>1982</v>
      </c>
      <c r="D3401" s="4">
        <v>2021</v>
      </c>
      <c r="E3401" s="4"/>
      <c r="F3401" s="4">
        <v>15</v>
      </c>
      <c r="G3401" s="4">
        <v>450</v>
      </c>
      <c r="H3401" s="4">
        <v>39.874079999999999</v>
      </c>
    </row>
    <row r="3402" spans="1:8" s="5" customFormat="1" ht="27" hidden="1" customHeight="1" outlineLevel="1" x14ac:dyDescent="0.25">
      <c r="A3402" s="43">
        <v>3876</v>
      </c>
      <c r="B3402" s="4" t="s">
        <v>181</v>
      </c>
      <c r="C3402" s="38" t="s">
        <v>1956</v>
      </c>
      <c r="D3402" s="4">
        <v>2021</v>
      </c>
      <c r="E3402" s="4"/>
      <c r="F3402" s="4">
        <v>695</v>
      </c>
      <c r="G3402" s="4">
        <v>120</v>
      </c>
      <c r="H3402" s="4">
        <v>581.18787999999995</v>
      </c>
    </row>
    <row r="3403" spans="1:8" s="5" customFormat="1" ht="27" hidden="1" customHeight="1" outlineLevel="1" x14ac:dyDescent="0.25">
      <c r="A3403" s="42">
        <v>9521</v>
      </c>
      <c r="B3403" s="4" t="s">
        <v>181</v>
      </c>
      <c r="C3403" s="38" t="s">
        <v>1957</v>
      </c>
      <c r="D3403" s="4">
        <v>2021</v>
      </c>
      <c r="E3403" s="4"/>
      <c r="F3403" s="4">
        <v>78</v>
      </c>
      <c r="G3403" s="4">
        <v>150</v>
      </c>
      <c r="H3403" s="4">
        <v>177.19664</v>
      </c>
    </row>
    <row r="3404" spans="1:8" s="5" customFormat="1" ht="27" hidden="1" customHeight="1" outlineLevel="1" x14ac:dyDescent="0.25">
      <c r="A3404" s="42">
        <v>9622</v>
      </c>
      <c r="B3404" s="4" t="s">
        <v>181</v>
      </c>
      <c r="C3404" s="38" t="s">
        <v>1983</v>
      </c>
      <c r="D3404" s="4">
        <v>2021</v>
      </c>
      <c r="E3404" s="4"/>
      <c r="F3404" s="4">
        <v>5</v>
      </c>
      <c r="G3404" s="4">
        <v>1</v>
      </c>
      <c r="H3404" s="4">
        <v>65.558099999999996</v>
      </c>
    </row>
    <row r="3405" spans="1:8" s="5" customFormat="1" ht="27" hidden="1" customHeight="1" outlineLevel="1" x14ac:dyDescent="0.25">
      <c r="A3405" s="42">
        <v>9621</v>
      </c>
      <c r="B3405" s="4" t="s">
        <v>181</v>
      </c>
      <c r="C3405" s="38" t="s">
        <v>1746</v>
      </c>
      <c r="D3405" s="4">
        <v>2021</v>
      </c>
      <c r="E3405" s="4"/>
      <c r="F3405" s="4">
        <v>70</v>
      </c>
      <c r="G3405" s="4">
        <v>15</v>
      </c>
      <c r="H3405" s="4">
        <v>261.23066</v>
      </c>
    </row>
    <row r="3406" spans="1:8" s="5" customFormat="1" ht="27" hidden="1" customHeight="1" outlineLevel="1" x14ac:dyDescent="0.25">
      <c r="A3406" s="42">
        <v>9617</v>
      </c>
      <c r="B3406" s="4" t="s">
        <v>181</v>
      </c>
      <c r="C3406" s="38" t="s">
        <v>1748</v>
      </c>
      <c r="D3406" s="4">
        <v>2021</v>
      </c>
      <c r="E3406" s="4"/>
      <c r="F3406" s="4">
        <v>12</v>
      </c>
      <c r="G3406" s="4">
        <v>15</v>
      </c>
      <c r="H3406" s="4">
        <v>117.79866</v>
      </c>
    </row>
    <row r="3407" spans="1:8" s="5" customFormat="1" ht="27" hidden="1" customHeight="1" outlineLevel="1" x14ac:dyDescent="0.25">
      <c r="A3407" s="42">
        <v>9620</v>
      </c>
      <c r="B3407" s="4" t="s">
        <v>181</v>
      </c>
      <c r="C3407" s="38" t="s">
        <v>1749</v>
      </c>
      <c r="D3407" s="4">
        <v>2021</v>
      </c>
      <c r="E3407" s="4"/>
      <c r="F3407" s="4">
        <v>7</v>
      </c>
      <c r="G3407" s="4">
        <v>15</v>
      </c>
      <c r="H3407" s="4">
        <v>76.068389999999994</v>
      </c>
    </row>
    <row r="3408" spans="1:8" s="5" customFormat="1" ht="27" hidden="1" customHeight="1" outlineLevel="1" x14ac:dyDescent="0.25">
      <c r="A3408" s="42">
        <v>9455</v>
      </c>
      <c r="B3408" s="4" t="s">
        <v>181</v>
      </c>
      <c r="C3408" s="38" t="s">
        <v>1973</v>
      </c>
      <c r="D3408" s="4">
        <v>2021</v>
      </c>
      <c r="E3408" s="4"/>
      <c r="F3408" s="4">
        <v>221</v>
      </c>
      <c r="G3408" s="4">
        <v>20</v>
      </c>
      <c r="H3408" s="4">
        <v>455.94087000000002</v>
      </c>
    </row>
    <row r="3409" spans="1:8" s="5" customFormat="1" ht="18.75" hidden="1" customHeight="1" outlineLevel="1" x14ac:dyDescent="0.25">
      <c r="A3409" s="4">
        <v>84</v>
      </c>
      <c r="B3409" s="4" t="s">
        <v>181</v>
      </c>
      <c r="C3409" s="38" t="s">
        <v>585</v>
      </c>
      <c r="D3409" s="4">
        <v>2020</v>
      </c>
      <c r="E3409" s="4"/>
      <c r="F3409" s="4">
        <v>8</v>
      </c>
      <c r="G3409" s="4">
        <v>15</v>
      </c>
      <c r="H3409" s="4">
        <v>45</v>
      </c>
    </row>
    <row r="3410" spans="1:8" s="5" customFormat="1" ht="18.75" hidden="1" customHeight="1" outlineLevel="1" x14ac:dyDescent="0.25">
      <c r="A3410" s="4">
        <v>76</v>
      </c>
      <c r="B3410" s="4" t="s">
        <v>181</v>
      </c>
      <c r="C3410" s="38" t="s">
        <v>586</v>
      </c>
      <c r="D3410" s="4">
        <v>2020</v>
      </c>
      <c r="E3410" s="4"/>
      <c r="F3410" s="4">
        <v>164</v>
      </c>
      <c r="G3410" s="4">
        <v>121</v>
      </c>
      <c r="H3410" s="4">
        <v>370</v>
      </c>
    </row>
    <row r="3411" spans="1:8" s="5" customFormat="1" ht="18.75" hidden="1" customHeight="1" outlineLevel="1" x14ac:dyDescent="0.25">
      <c r="A3411" s="4">
        <v>1819</v>
      </c>
      <c r="B3411" s="4" t="s">
        <v>181</v>
      </c>
      <c r="C3411" s="38" t="s">
        <v>587</v>
      </c>
      <c r="D3411" s="4">
        <v>2020</v>
      </c>
      <c r="E3411" s="4"/>
      <c r="F3411" s="4">
        <v>121</v>
      </c>
      <c r="G3411" s="4">
        <v>45</v>
      </c>
      <c r="H3411" s="4">
        <v>453</v>
      </c>
    </row>
    <row r="3412" spans="1:8" s="5" customFormat="1" ht="18.75" hidden="1" customHeight="1" outlineLevel="1" x14ac:dyDescent="0.25">
      <c r="A3412" s="4">
        <v>101</v>
      </c>
      <c r="B3412" s="4" t="s">
        <v>181</v>
      </c>
      <c r="C3412" s="38" t="s">
        <v>588</v>
      </c>
      <c r="D3412" s="4">
        <v>2020</v>
      </c>
      <c r="E3412" s="4"/>
      <c r="F3412" s="4">
        <v>1493</v>
      </c>
      <c r="G3412" s="4">
        <v>50</v>
      </c>
      <c r="H3412" s="4">
        <v>2573</v>
      </c>
    </row>
    <row r="3413" spans="1:8" s="5" customFormat="1" ht="18.75" hidden="1" customHeight="1" outlineLevel="1" x14ac:dyDescent="0.25">
      <c r="A3413" s="4">
        <v>1826</v>
      </c>
      <c r="B3413" s="4" t="s">
        <v>181</v>
      </c>
      <c r="C3413" s="38" t="s">
        <v>589</v>
      </c>
      <c r="D3413" s="4">
        <v>2020</v>
      </c>
      <c r="E3413" s="4"/>
      <c r="F3413" s="4">
        <v>8</v>
      </c>
      <c r="G3413" s="4">
        <v>65</v>
      </c>
      <c r="H3413" s="4">
        <v>110</v>
      </c>
    </row>
    <row r="3414" spans="1:8" s="5" customFormat="1" ht="18.75" hidden="1" customHeight="1" outlineLevel="1" x14ac:dyDescent="0.25">
      <c r="A3414" s="4">
        <v>1821</v>
      </c>
      <c r="B3414" s="4" t="s">
        <v>181</v>
      </c>
      <c r="C3414" s="38" t="s">
        <v>590</v>
      </c>
      <c r="D3414" s="4">
        <v>2020</v>
      </c>
      <c r="E3414" s="4"/>
      <c r="F3414" s="4">
        <v>9</v>
      </c>
      <c r="G3414" s="4">
        <v>21.72</v>
      </c>
      <c r="H3414" s="4">
        <v>61</v>
      </c>
    </row>
    <row r="3415" spans="1:8" s="5" customFormat="1" ht="18.75" hidden="1" customHeight="1" outlineLevel="1" x14ac:dyDescent="0.25">
      <c r="A3415" s="4">
        <v>1827</v>
      </c>
      <c r="B3415" s="4" t="s">
        <v>181</v>
      </c>
      <c r="C3415" s="38" t="s">
        <v>591</v>
      </c>
      <c r="D3415" s="4">
        <v>2020</v>
      </c>
      <c r="E3415" s="4"/>
      <c r="F3415" s="4">
        <v>1048</v>
      </c>
      <c r="G3415" s="4">
        <v>100</v>
      </c>
      <c r="H3415" s="4">
        <v>2093</v>
      </c>
    </row>
    <row r="3416" spans="1:8" s="5" customFormat="1" ht="18.75" hidden="1" customHeight="1" outlineLevel="1" x14ac:dyDescent="0.25">
      <c r="A3416" s="4">
        <v>1773</v>
      </c>
      <c r="B3416" s="4" t="s">
        <v>181</v>
      </c>
      <c r="C3416" s="38" t="s">
        <v>592</v>
      </c>
      <c r="D3416" s="4">
        <v>2020</v>
      </c>
      <c r="E3416" s="4"/>
      <c r="F3416" s="4">
        <v>11</v>
      </c>
      <c r="G3416" s="4">
        <v>426.3</v>
      </c>
      <c r="H3416" s="4">
        <v>303.21739000000002</v>
      </c>
    </row>
    <row r="3417" spans="1:8" s="5" customFormat="1" ht="18.75" hidden="1" customHeight="1" outlineLevel="1" x14ac:dyDescent="0.25">
      <c r="A3417" s="4">
        <v>1560</v>
      </c>
      <c r="B3417" s="4" t="s">
        <v>181</v>
      </c>
      <c r="C3417" s="38" t="s">
        <v>314</v>
      </c>
      <c r="D3417" s="4">
        <v>2020</v>
      </c>
      <c r="E3417" s="4"/>
      <c r="F3417" s="4">
        <v>8</v>
      </c>
      <c r="G3417" s="4">
        <v>15</v>
      </c>
      <c r="H3417" s="4">
        <v>78.186920000000001</v>
      </c>
    </row>
    <row r="3418" spans="1:8" s="5" customFormat="1" ht="18.75" hidden="1" customHeight="1" outlineLevel="1" x14ac:dyDescent="0.25">
      <c r="A3418" s="4">
        <v>968</v>
      </c>
      <c r="B3418" s="4" t="s">
        <v>181</v>
      </c>
      <c r="C3418" s="38" t="s">
        <v>318</v>
      </c>
      <c r="D3418" s="4">
        <v>2020</v>
      </c>
      <c r="E3418" s="4"/>
      <c r="F3418" s="4">
        <v>336</v>
      </c>
      <c r="G3418" s="4">
        <v>320</v>
      </c>
      <c r="H3418" s="4">
        <v>800.07434000000001</v>
      </c>
    </row>
    <row r="3419" spans="1:8" s="5" customFormat="1" ht="18.75" hidden="1" customHeight="1" outlineLevel="1" x14ac:dyDescent="0.25">
      <c r="A3419" s="4">
        <v>1616</v>
      </c>
      <c r="B3419" s="4" t="s">
        <v>181</v>
      </c>
      <c r="C3419" s="38" t="s">
        <v>350</v>
      </c>
      <c r="D3419" s="4">
        <v>2020</v>
      </c>
      <c r="E3419" s="4"/>
      <c r="F3419" s="4">
        <v>164</v>
      </c>
      <c r="G3419" s="4">
        <v>18</v>
      </c>
      <c r="H3419" s="4">
        <v>237.4666</v>
      </c>
    </row>
    <row r="3420" spans="1:8" s="5" customFormat="1" ht="18.75" hidden="1" customHeight="1" outlineLevel="1" x14ac:dyDescent="0.25">
      <c r="A3420" s="4">
        <v>1718</v>
      </c>
      <c r="B3420" s="4" t="s">
        <v>181</v>
      </c>
      <c r="C3420" s="38" t="s">
        <v>593</v>
      </c>
      <c r="D3420" s="4">
        <v>2020</v>
      </c>
      <c r="E3420" s="4"/>
      <c r="F3420" s="4">
        <v>1373</v>
      </c>
      <c r="G3420" s="4">
        <v>15</v>
      </c>
      <c r="H3420" s="4">
        <v>1828.7249999999999</v>
      </c>
    </row>
    <row r="3421" spans="1:8" s="5" customFormat="1" ht="18.75" hidden="1" customHeight="1" outlineLevel="1" x14ac:dyDescent="0.25">
      <c r="A3421" s="4">
        <v>249</v>
      </c>
      <c r="B3421" s="4" t="s">
        <v>181</v>
      </c>
      <c r="C3421" s="38" t="s">
        <v>594</v>
      </c>
      <c r="D3421" s="4">
        <v>2020</v>
      </c>
      <c r="E3421" s="4"/>
      <c r="F3421" s="4">
        <v>313</v>
      </c>
      <c r="G3421" s="4">
        <v>285</v>
      </c>
      <c r="H3421" s="4">
        <v>897.04300000000001</v>
      </c>
    </row>
    <row r="3422" spans="1:8" s="5" customFormat="1" ht="18.75" hidden="1" customHeight="1" outlineLevel="1" x14ac:dyDescent="0.25">
      <c r="A3422" s="4">
        <v>1724</v>
      </c>
      <c r="B3422" s="4" t="s">
        <v>181</v>
      </c>
      <c r="C3422" s="38" t="s">
        <v>595</v>
      </c>
      <c r="D3422" s="4">
        <v>2020</v>
      </c>
      <c r="E3422" s="4"/>
      <c r="F3422" s="4">
        <v>330</v>
      </c>
      <c r="G3422" s="4">
        <v>15</v>
      </c>
      <c r="H3422" s="4">
        <v>341.50099999999998</v>
      </c>
    </row>
    <row r="3423" spans="1:8" s="5" customFormat="1" ht="18.75" hidden="1" customHeight="1" outlineLevel="1" x14ac:dyDescent="0.25">
      <c r="A3423" s="4">
        <v>1716</v>
      </c>
      <c r="B3423" s="4" t="s">
        <v>181</v>
      </c>
      <c r="C3423" s="38" t="s">
        <v>596</v>
      </c>
      <c r="D3423" s="4">
        <v>2020</v>
      </c>
      <c r="E3423" s="4"/>
      <c r="F3423" s="4">
        <v>669</v>
      </c>
      <c r="G3423" s="4">
        <v>5</v>
      </c>
      <c r="H3423" s="4">
        <v>1054.2909999999999</v>
      </c>
    </row>
    <row r="3424" spans="1:8" s="5" customFormat="1" ht="18.75" hidden="1" customHeight="1" outlineLevel="1" x14ac:dyDescent="0.25">
      <c r="A3424" s="4">
        <v>326</v>
      </c>
      <c r="B3424" s="4" t="s">
        <v>181</v>
      </c>
      <c r="C3424" s="38" t="s">
        <v>597</v>
      </c>
      <c r="D3424" s="4">
        <v>2020</v>
      </c>
      <c r="E3424" s="4"/>
      <c r="F3424" s="4">
        <v>993</v>
      </c>
      <c r="G3424" s="4">
        <v>1440</v>
      </c>
      <c r="H3424" s="4">
        <v>1575.68</v>
      </c>
    </row>
    <row r="3425" spans="1:8" s="5" customFormat="1" ht="18.75" hidden="1" customHeight="1" outlineLevel="1" x14ac:dyDescent="0.25">
      <c r="A3425" s="4">
        <v>1614</v>
      </c>
      <c r="B3425" s="4" t="s">
        <v>181</v>
      </c>
      <c r="C3425" s="38" t="s">
        <v>598</v>
      </c>
      <c r="D3425" s="4">
        <v>2020</v>
      </c>
      <c r="E3425" s="4"/>
      <c r="F3425" s="4">
        <v>305</v>
      </c>
      <c r="G3425" s="4">
        <v>346</v>
      </c>
      <c r="H3425" s="4">
        <v>889.12099999999998</v>
      </c>
    </row>
    <row r="3426" spans="1:8" s="5" customFormat="1" ht="18.75" hidden="1" customHeight="1" outlineLevel="1" x14ac:dyDescent="0.25">
      <c r="A3426" s="4">
        <v>1755</v>
      </c>
      <c r="B3426" s="4" t="s">
        <v>181</v>
      </c>
      <c r="C3426" s="38" t="s">
        <v>599</v>
      </c>
      <c r="D3426" s="4">
        <v>2020</v>
      </c>
      <c r="E3426" s="4"/>
      <c r="F3426" s="4">
        <v>18</v>
      </c>
      <c r="G3426" s="4">
        <v>50</v>
      </c>
      <c r="H3426" s="4">
        <v>129.02000000000001</v>
      </c>
    </row>
    <row r="3427" spans="1:8" s="5" customFormat="1" ht="18.75" hidden="1" customHeight="1" outlineLevel="1" x14ac:dyDescent="0.25">
      <c r="A3427" s="4">
        <v>1748</v>
      </c>
      <c r="B3427" s="4" t="s">
        <v>181</v>
      </c>
      <c r="C3427" s="38" t="s">
        <v>600</v>
      </c>
      <c r="D3427" s="4">
        <v>2020</v>
      </c>
      <c r="E3427" s="4"/>
      <c r="F3427" s="4">
        <v>458</v>
      </c>
      <c r="G3427" s="4">
        <v>15</v>
      </c>
      <c r="H3427" s="4">
        <v>801.43299999999999</v>
      </c>
    </row>
    <row r="3428" spans="1:8" s="5" customFormat="1" ht="18.75" hidden="1" customHeight="1" outlineLevel="1" x14ac:dyDescent="0.25">
      <c r="A3428" s="4">
        <v>1739</v>
      </c>
      <c r="B3428" s="4" t="s">
        <v>181</v>
      </c>
      <c r="C3428" s="38" t="s">
        <v>601</v>
      </c>
      <c r="D3428" s="4">
        <v>2020</v>
      </c>
      <c r="E3428" s="4"/>
      <c r="F3428" s="4">
        <v>148</v>
      </c>
      <c r="G3428" s="4">
        <v>290</v>
      </c>
      <c r="H3428" s="4">
        <v>372.31599999999997</v>
      </c>
    </row>
    <row r="3429" spans="1:8" s="5" customFormat="1" ht="18.75" hidden="1" customHeight="1" outlineLevel="1" x14ac:dyDescent="0.25">
      <c r="A3429" s="4">
        <v>424</v>
      </c>
      <c r="B3429" s="4" t="s">
        <v>181</v>
      </c>
      <c r="C3429" s="38" t="s">
        <v>602</v>
      </c>
      <c r="D3429" s="4">
        <v>2020</v>
      </c>
      <c r="E3429" s="4"/>
      <c r="F3429" s="4">
        <v>4</v>
      </c>
      <c r="G3429" s="4">
        <v>80</v>
      </c>
      <c r="H3429" s="4">
        <v>75.483000000000004</v>
      </c>
    </row>
    <row r="3430" spans="1:8" s="5" customFormat="1" ht="78.75" hidden="1" outlineLevel="1" x14ac:dyDescent="0.25">
      <c r="A3430" s="4">
        <v>1723</v>
      </c>
      <c r="B3430" s="4" t="s">
        <v>181</v>
      </c>
      <c r="C3430" s="38" t="s">
        <v>603</v>
      </c>
      <c r="D3430" s="4">
        <v>2020</v>
      </c>
      <c r="E3430" s="4"/>
      <c r="F3430" s="4">
        <v>14</v>
      </c>
      <c r="G3430" s="4">
        <v>15</v>
      </c>
      <c r="H3430" s="4">
        <v>136.035</v>
      </c>
    </row>
    <row r="3431" spans="1:8" s="5" customFormat="1" ht="94.5" hidden="1" outlineLevel="1" x14ac:dyDescent="0.25">
      <c r="A3431" s="4">
        <v>232</v>
      </c>
      <c r="B3431" s="4" t="s">
        <v>181</v>
      </c>
      <c r="C3431" s="38" t="s">
        <v>604</v>
      </c>
      <c r="D3431" s="4">
        <v>2020</v>
      </c>
      <c r="E3431" s="4"/>
      <c r="F3431" s="4">
        <v>41.4</v>
      </c>
      <c r="G3431" s="4">
        <v>30</v>
      </c>
      <c r="H3431" s="4">
        <v>593.76119000000006</v>
      </c>
    </row>
    <row r="3432" spans="1:8" s="5" customFormat="1" ht="78.75" hidden="1" outlineLevel="1" x14ac:dyDescent="0.25">
      <c r="A3432" s="4">
        <v>1754</v>
      </c>
      <c r="B3432" s="4" t="s">
        <v>181</v>
      </c>
      <c r="C3432" s="38" t="s">
        <v>605</v>
      </c>
      <c r="D3432" s="4">
        <v>2020</v>
      </c>
      <c r="E3432" s="4"/>
      <c r="F3432" s="4">
        <v>23</v>
      </c>
      <c r="G3432" s="4">
        <v>150</v>
      </c>
      <c r="H3432" s="4">
        <v>246.66900000000001</v>
      </c>
    </row>
    <row r="3433" spans="1:8" s="5" customFormat="1" ht="78.75" hidden="1" outlineLevel="1" x14ac:dyDescent="0.25">
      <c r="A3433" s="4">
        <v>813</v>
      </c>
      <c r="B3433" s="4" t="s">
        <v>181</v>
      </c>
      <c r="C3433" s="38" t="s">
        <v>606</v>
      </c>
      <c r="D3433" s="4">
        <v>2020</v>
      </c>
      <c r="E3433" s="4"/>
      <c r="F3433" s="4">
        <v>30</v>
      </c>
      <c r="G3433" s="4">
        <v>150</v>
      </c>
      <c r="H3433" s="4">
        <v>144.84100000000001</v>
      </c>
    </row>
    <row r="3434" spans="1:8" s="5" customFormat="1" ht="78.75" hidden="1" outlineLevel="1" x14ac:dyDescent="0.25">
      <c r="A3434" s="4">
        <v>1650</v>
      </c>
      <c r="B3434" s="4" t="s">
        <v>181</v>
      </c>
      <c r="C3434" s="38" t="s">
        <v>607</v>
      </c>
      <c r="D3434" s="4">
        <v>2020</v>
      </c>
      <c r="E3434" s="4"/>
      <c r="F3434" s="4">
        <v>25</v>
      </c>
      <c r="G3434" s="4">
        <v>149</v>
      </c>
      <c r="H3434" s="4">
        <v>64.463999999999999</v>
      </c>
    </row>
    <row r="3435" spans="1:8" s="5" customFormat="1" ht="78.75" hidden="1" outlineLevel="1" x14ac:dyDescent="0.25">
      <c r="A3435" s="4">
        <v>440</v>
      </c>
      <c r="B3435" s="4" t="s">
        <v>181</v>
      </c>
      <c r="C3435" s="38" t="s">
        <v>608</v>
      </c>
      <c r="D3435" s="4">
        <v>2020</v>
      </c>
      <c r="E3435" s="4"/>
      <c r="F3435" s="4">
        <v>139</v>
      </c>
      <c r="G3435" s="4">
        <v>100</v>
      </c>
      <c r="H3435" s="4">
        <v>36.883000000000003</v>
      </c>
    </row>
    <row r="3436" spans="1:8" s="5" customFormat="1" ht="78.75" hidden="1" outlineLevel="1" x14ac:dyDescent="0.25">
      <c r="A3436" s="4">
        <v>610</v>
      </c>
      <c r="B3436" s="4" t="s">
        <v>181</v>
      </c>
      <c r="C3436" s="38" t="s">
        <v>609</v>
      </c>
      <c r="D3436" s="4">
        <v>2020</v>
      </c>
      <c r="E3436" s="4"/>
      <c r="F3436" s="4">
        <v>184</v>
      </c>
      <c r="G3436" s="4">
        <v>46.5</v>
      </c>
      <c r="H3436" s="4">
        <v>394.15600000000001</v>
      </c>
    </row>
    <row r="3437" spans="1:8" s="5" customFormat="1" ht="63" hidden="1" outlineLevel="1" x14ac:dyDescent="0.25">
      <c r="A3437" s="4">
        <v>1894</v>
      </c>
      <c r="B3437" s="4" t="s">
        <v>181</v>
      </c>
      <c r="C3437" s="38" t="s">
        <v>610</v>
      </c>
      <c r="D3437" s="4">
        <v>2020</v>
      </c>
      <c r="E3437" s="4"/>
      <c r="F3437" s="4">
        <v>165</v>
      </c>
      <c r="G3437" s="4">
        <v>10</v>
      </c>
      <c r="H3437" s="4">
        <v>289.49700000000001</v>
      </c>
    </row>
    <row r="3438" spans="1:8" s="5" customFormat="1" ht="78.75" hidden="1" outlineLevel="1" x14ac:dyDescent="0.25">
      <c r="A3438" s="4">
        <v>1654</v>
      </c>
      <c r="B3438" s="4" t="s">
        <v>181</v>
      </c>
      <c r="C3438" s="38" t="s">
        <v>611</v>
      </c>
      <c r="D3438" s="4">
        <v>2020</v>
      </c>
      <c r="E3438" s="4"/>
      <c r="F3438" s="4">
        <v>500</v>
      </c>
      <c r="G3438" s="4">
        <v>150</v>
      </c>
      <c r="H3438" s="4">
        <v>390.03899999999999</v>
      </c>
    </row>
    <row r="3439" spans="1:8" s="5" customFormat="1" ht="78.75" hidden="1" outlineLevel="1" x14ac:dyDescent="0.25">
      <c r="A3439" s="4">
        <v>674</v>
      </c>
      <c r="B3439" s="4" t="s">
        <v>181</v>
      </c>
      <c r="C3439" s="38" t="s">
        <v>612</v>
      </c>
      <c r="D3439" s="4">
        <v>2020</v>
      </c>
      <c r="E3439" s="4"/>
      <c r="F3439" s="4">
        <v>186</v>
      </c>
      <c r="G3439" s="4">
        <v>35</v>
      </c>
      <c r="H3439" s="4">
        <v>379.00799999999998</v>
      </c>
    </row>
    <row r="3440" spans="1:8" s="5" customFormat="1" ht="78.75" hidden="1" outlineLevel="1" x14ac:dyDescent="0.25">
      <c r="A3440" s="4">
        <v>670</v>
      </c>
      <c r="B3440" s="4" t="s">
        <v>181</v>
      </c>
      <c r="C3440" s="38" t="s">
        <v>613</v>
      </c>
      <c r="D3440" s="4">
        <v>2020</v>
      </c>
      <c r="E3440" s="4"/>
      <c r="F3440" s="4">
        <v>80</v>
      </c>
      <c r="G3440" s="4">
        <v>45</v>
      </c>
      <c r="H3440" s="4">
        <v>240.54599999999999</v>
      </c>
    </row>
    <row r="3441" spans="1:33" s="5" customFormat="1" ht="78.75" hidden="1" outlineLevel="1" x14ac:dyDescent="0.25">
      <c r="A3441" s="4">
        <v>1655</v>
      </c>
      <c r="B3441" s="4" t="s">
        <v>181</v>
      </c>
      <c r="C3441" s="38" t="s">
        <v>614</v>
      </c>
      <c r="D3441" s="4">
        <v>2020</v>
      </c>
      <c r="E3441" s="4"/>
      <c r="F3441" s="4">
        <v>430</v>
      </c>
      <c r="G3441" s="4">
        <v>60</v>
      </c>
      <c r="H3441" s="4">
        <v>380.21199999999999</v>
      </c>
    </row>
    <row r="3442" spans="1:33" s="5" customFormat="1" ht="78.75" hidden="1" outlineLevel="1" x14ac:dyDescent="0.25">
      <c r="A3442" s="4">
        <v>1772</v>
      </c>
      <c r="B3442" s="4" t="s">
        <v>181</v>
      </c>
      <c r="C3442" s="38" t="s">
        <v>615</v>
      </c>
      <c r="D3442" s="4">
        <v>2020</v>
      </c>
      <c r="E3442" s="4"/>
      <c r="F3442" s="4">
        <v>12</v>
      </c>
      <c r="G3442" s="4">
        <v>150</v>
      </c>
      <c r="H3442" s="4">
        <v>86.302000000000007</v>
      </c>
    </row>
    <row r="3443" spans="1:33" s="5" customFormat="1" ht="78.75" hidden="1" outlineLevel="1" x14ac:dyDescent="0.25">
      <c r="A3443" s="4">
        <v>1659</v>
      </c>
      <c r="B3443" s="4" t="s">
        <v>181</v>
      </c>
      <c r="C3443" s="38" t="s">
        <v>616</v>
      </c>
      <c r="D3443" s="4">
        <v>2020</v>
      </c>
      <c r="E3443" s="4"/>
      <c r="F3443" s="4">
        <v>6</v>
      </c>
      <c r="G3443" s="4">
        <v>80</v>
      </c>
      <c r="H3443" s="4">
        <v>92.528999999999996</v>
      </c>
    </row>
    <row r="3444" spans="1:33" s="5" customFormat="1" ht="78.75" hidden="1" outlineLevel="1" x14ac:dyDescent="0.25">
      <c r="A3444" s="4">
        <v>1766</v>
      </c>
      <c r="B3444" s="4" t="s">
        <v>181</v>
      </c>
      <c r="C3444" s="38" t="s">
        <v>617</v>
      </c>
      <c r="D3444" s="4">
        <v>2020</v>
      </c>
      <c r="E3444" s="4"/>
      <c r="F3444" s="4">
        <v>6</v>
      </c>
      <c r="G3444" s="4">
        <v>45</v>
      </c>
      <c r="H3444" s="4">
        <v>106.035</v>
      </c>
    </row>
    <row r="3445" spans="1:33" s="5" customFormat="1" ht="78.75" hidden="1" outlineLevel="1" x14ac:dyDescent="0.25">
      <c r="A3445" s="4">
        <v>1663</v>
      </c>
      <c r="B3445" s="4" t="s">
        <v>181</v>
      </c>
      <c r="C3445" s="38" t="s">
        <v>618</v>
      </c>
      <c r="D3445" s="4">
        <v>2020</v>
      </c>
      <c r="E3445" s="4"/>
      <c r="F3445" s="4">
        <v>26</v>
      </c>
      <c r="G3445" s="4">
        <v>50</v>
      </c>
      <c r="H3445" s="4">
        <v>191.20400000000001</v>
      </c>
    </row>
    <row r="3446" spans="1:33" s="5" customFormat="1" ht="94.5" hidden="1" outlineLevel="1" x14ac:dyDescent="0.25">
      <c r="A3446" s="4">
        <v>318</v>
      </c>
      <c r="B3446" s="4" t="s">
        <v>181</v>
      </c>
      <c r="C3446" s="38" t="s">
        <v>162</v>
      </c>
      <c r="D3446" s="4">
        <v>2020</v>
      </c>
      <c r="E3446" s="4"/>
      <c r="F3446" s="4">
        <v>58</v>
      </c>
      <c r="G3446" s="4">
        <v>15</v>
      </c>
      <c r="H3446" s="4">
        <v>432</v>
      </c>
    </row>
    <row r="3447" spans="1:33" s="5" customFormat="1" ht="110.25" hidden="1" outlineLevel="1" x14ac:dyDescent="0.25">
      <c r="A3447" s="4">
        <v>1804</v>
      </c>
      <c r="B3447" s="4" t="s">
        <v>181</v>
      </c>
      <c r="C3447" s="38" t="s">
        <v>163</v>
      </c>
      <c r="D3447" s="4">
        <v>2020</v>
      </c>
      <c r="E3447" s="4"/>
      <c r="F3447" s="4">
        <v>1087</v>
      </c>
      <c r="G3447" s="4">
        <v>60</v>
      </c>
      <c r="H3447" s="4">
        <v>1752</v>
      </c>
    </row>
    <row r="3448" spans="1:33" s="5" customFormat="1" ht="110.25" hidden="1" outlineLevel="1" x14ac:dyDescent="0.25">
      <c r="A3448" s="4">
        <v>151</v>
      </c>
      <c r="B3448" s="4" t="s">
        <v>181</v>
      </c>
      <c r="C3448" s="38" t="s">
        <v>164</v>
      </c>
      <c r="D3448" s="4">
        <v>2020</v>
      </c>
      <c r="E3448" s="4"/>
      <c r="F3448" s="4">
        <v>262</v>
      </c>
      <c r="G3448" s="4">
        <v>100</v>
      </c>
      <c r="H3448" s="4">
        <v>601</v>
      </c>
    </row>
    <row r="3449" spans="1:33" s="5" customFormat="1" ht="94.5" hidden="1" outlineLevel="1" x14ac:dyDescent="0.25">
      <c r="A3449" s="4">
        <v>255</v>
      </c>
      <c r="B3449" s="4" t="s">
        <v>181</v>
      </c>
      <c r="C3449" s="38" t="s">
        <v>165</v>
      </c>
      <c r="D3449" s="4">
        <v>2020</v>
      </c>
      <c r="E3449" s="4"/>
      <c r="F3449" s="4">
        <v>889</v>
      </c>
      <c r="G3449" s="4">
        <v>75</v>
      </c>
      <c r="H3449" s="4">
        <v>1010</v>
      </c>
    </row>
    <row r="3450" spans="1:33" s="5" customFormat="1" ht="78.75" hidden="1" outlineLevel="1" x14ac:dyDescent="0.25">
      <c r="A3450" s="4">
        <v>1757</v>
      </c>
      <c r="B3450" s="4" t="s">
        <v>181</v>
      </c>
      <c r="C3450" s="38" t="s">
        <v>166</v>
      </c>
      <c r="D3450" s="4">
        <v>2020</v>
      </c>
      <c r="E3450" s="4"/>
      <c r="F3450" s="4">
        <v>490</v>
      </c>
      <c r="G3450" s="4">
        <v>150</v>
      </c>
      <c r="H3450" s="4">
        <v>872.61199999999997</v>
      </c>
    </row>
    <row r="3451" spans="1:33" s="5" customFormat="1" ht="78.75" hidden="1" outlineLevel="1" x14ac:dyDescent="0.25">
      <c r="A3451" s="4">
        <v>1758</v>
      </c>
      <c r="B3451" s="4" t="s">
        <v>181</v>
      </c>
      <c r="C3451" s="38" t="s">
        <v>167</v>
      </c>
      <c r="D3451" s="4">
        <v>2020</v>
      </c>
      <c r="E3451" s="4"/>
      <c r="F3451" s="4">
        <v>5</v>
      </c>
      <c r="G3451" s="4">
        <v>150</v>
      </c>
      <c r="H3451" s="4">
        <v>79.141999999999996</v>
      </c>
    </row>
    <row r="3452" spans="1:33" s="5" customFormat="1" ht="30.75" customHeight="1" collapsed="1" x14ac:dyDescent="0.25">
      <c r="A3452" s="208"/>
      <c r="B3452" s="174" t="s">
        <v>191</v>
      </c>
      <c r="C3452" s="189" t="s">
        <v>3191</v>
      </c>
      <c r="D3452" s="189"/>
      <c r="E3452" s="174" t="s">
        <v>21</v>
      </c>
      <c r="F3452" s="174"/>
      <c r="G3452" s="174"/>
      <c r="H3452" s="174"/>
    </row>
    <row r="3453" spans="1:33" s="13" customFormat="1" ht="15.75" customHeight="1" x14ac:dyDescent="0.25">
      <c r="A3453" s="209"/>
      <c r="B3453" s="175"/>
      <c r="C3453" s="191"/>
      <c r="D3453" s="191"/>
      <c r="E3453" s="175"/>
      <c r="F3453" s="175"/>
      <c r="G3453" s="175"/>
      <c r="H3453" s="175"/>
      <c r="I3453" s="5"/>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row>
    <row r="3454" spans="1:33" s="13" customFormat="1" ht="18.75" customHeight="1" x14ac:dyDescent="0.25">
      <c r="A3454" s="4"/>
      <c r="B3454" s="11" t="s">
        <v>191</v>
      </c>
      <c r="C3454" s="12" t="s">
        <v>1102</v>
      </c>
      <c r="D3454" s="11">
        <v>2020</v>
      </c>
      <c r="E3454" s="11" t="s">
        <v>21</v>
      </c>
      <c r="F3454" s="11">
        <f>SUMIF($D$3457:$D$3465,$D$3454,$F$3457:$F$3465)</f>
        <v>212</v>
      </c>
      <c r="G3454" s="14">
        <f>SUMIF($D$3457:$D$3465,$D$3454,$G$3457:$G$3465)</f>
        <v>572</v>
      </c>
      <c r="H3454" s="14">
        <f>SUMIF($D$3457:$D$3465,$D$3454,$H$3457:$H$3465)</f>
        <v>505.31700000000001</v>
      </c>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row>
    <row r="3455" spans="1:33" s="25" customFormat="1" ht="18.75" customHeight="1" x14ac:dyDescent="0.25">
      <c r="A3455" s="4"/>
      <c r="B3455" s="11" t="s">
        <v>191</v>
      </c>
      <c r="C3455" s="12" t="s">
        <v>1102</v>
      </c>
      <c r="D3455" s="11">
        <v>2021</v>
      </c>
      <c r="E3455" s="11" t="s">
        <v>21</v>
      </c>
      <c r="F3455" s="11">
        <f>SUMIF($D$3457:$D$3465,$D$3455,$F$3457:$F$3465)</f>
        <v>1581</v>
      </c>
      <c r="G3455" s="14">
        <f>SUMIF($D$3457:$D$3465,$D$3455,$G$3457:$G$3465)</f>
        <v>713</v>
      </c>
      <c r="H3455" s="14">
        <f>SUMIF($D$3457:$D$3465,$D$3455,$H$3457:$H$3465)</f>
        <v>2818.3739999999998</v>
      </c>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row>
    <row r="3456" spans="1:33" s="25" customFormat="1" ht="15.75" x14ac:dyDescent="0.25">
      <c r="A3456" s="4"/>
      <c r="B3456" s="11" t="s">
        <v>191</v>
      </c>
      <c r="C3456" s="12" t="s">
        <v>1102</v>
      </c>
      <c r="D3456" s="11">
        <v>2022</v>
      </c>
      <c r="E3456" s="11" t="s">
        <v>21</v>
      </c>
      <c r="F3456" s="11">
        <f>SUMIF($D$3457:$D$3465,$D$3456,$F$3457:$F$3465)</f>
        <v>30</v>
      </c>
      <c r="G3456" s="14">
        <f>SUMIF($D$3457:$D$3465,$D$3456,$G$3457:$G$3465)</f>
        <v>300</v>
      </c>
      <c r="H3456" s="14">
        <f>SUMIF($D$3457:$D$3465,$D$3456,$H$3457:$H$3465)</f>
        <v>229.04480999999998</v>
      </c>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row>
    <row r="3457" spans="1:33" s="5" customFormat="1" ht="76.5" hidden="1" customHeight="1" outlineLevel="1" x14ac:dyDescent="0.25">
      <c r="A3457" s="4">
        <v>475</v>
      </c>
      <c r="B3457" s="4" t="s">
        <v>191</v>
      </c>
      <c r="C3457" s="38" t="s">
        <v>3959</v>
      </c>
      <c r="D3457" s="4">
        <v>2022</v>
      </c>
      <c r="E3457" s="4" t="s">
        <v>21</v>
      </c>
      <c r="F3457" s="4">
        <v>15</v>
      </c>
      <c r="G3457" s="42">
        <v>150</v>
      </c>
      <c r="H3457" s="42">
        <v>125.04481</v>
      </c>
    </row>
    <row r="3458" spans="1:33" s="5" customFormat="1" ht="74.25" hidden="1" customHeight="1" outlineLevel="1" x14ac:dyDescent="0.25">
      <c r="A3458" s="4">
        <v>4745</v>
      </c>
      <c r="B3458" s="4" t="s">
        <v>191</v>
      </c>
      <c r="C3458" s="38" t="s">
        <v>3972</v>
      </c>
      <c r="D3458" s="4">
        <v>2022</v>
      </c>
      <c r="E3458" s="4" t="s">
        <v>21</v>
      </c>
      <c r="F3458" s="4">
        <v>15</v>
      </c>
      <c r="G3458" s="113">
        <v>150</v>
      </c>
      <c r="H3458" s="42">
        <v>104</v>
      </c>
    </row>
    <row r="3459" spans="1:33" s="5" customFormat="1" ht="94.5" hidden="1" outlineLevel="1" x14ac:dyDescent="0.25">
      <c r="A3459" s="4">
        <v>1660</v>
      </c>
      <c r="B3459" s="4" t="s">
        <v>191</v>
      </c>
      <c r="C3459" s="38" t="s">
        <v>512</v>
      </c>
      <c r="D3459" s="4">
        <v>2020</v>
      </c>
      <c r="E3459" s="4" t="s">
        <v>21</v>
      </c>
      <c r="F3459" s="4">
        <v>5</v>
      </c>
      <c r="G3459" s="4">
        <v>437</v>
      </c>
      <c r="H3459" s="4">
        <v>149.56899999999999</v>
      </c>
    </row>
    <row r="3460" spans="1:33" s="5" customFormat="1" ht="78.75" hidden="1" outlineLevel="1" x14ac:dyDescent="0.25">
      <c r="A3460" s="4">
        <v>1729</v>
      </c>
      <c r="B3460" s="4" t="s">
        <v>191</v>
      </c>
      <c r="C3460" s="38" t="s">
        <v>573</v>
      </c>
      <c r="D3460" s="4">
        <v>2020</v>
      </c>
      <c r="E3460" s="4" t="s">
        <v>21</v>
      </c>
      <c r="F3460" s="4">
        <v>207</v>
      </c>
      <c r="G3460" s="4">
        <v>135</v>
      </c>
      <c r="H3460" s="4">
        <v>355.74799999999999</v>
      </c>
    </row>
    <row r="3461" spans="1:33" s="5" customFormat="1" ht="27" hidden="1" customHeight="1" outlineLevel="1" x14ac:dyDescent="0.25">
      <c r="A3461" s="42">
        <v>9506</v>
      </c>
      <c r="B3461" s="4" t="s">
        <v>191</v>
      </c>
      <c r="C3461" s="38" t="s">
        <v>1984</v>
      </c>
      <c r="D3461" s="4">
        <v>2021</v>
      </c>
      <c r="E3461" s="4" t="s">
        <v>21</v>
      </c>
      <c r="F3461" s="4">
        <v>15</v>
      </c>
      <c r="G3461" s="4">
        <v>200</v>
      </c>
      <c r="H3461" s="4">
        <v>145.96600000000001</v>
      </c>
    </row>
    <row r="3462" spans="1:33" s="5" customFormat="1" ht="27" hidden="1" customHeight="1" outlineLevel="1" x14ac:dyDescent="0.25">
      <c r="A3462" s="42">
        <v>9100</v>
      </c>
      <c r="B3462" s="4" t="s">
        <v>191</v>
      </c>
      <c r="C3462" s="38" t="s">
        <v>1985</v>
      </c>
      <c r="D3462" s="4">
        <v>2021</v>
      </c>
      <c r="E3462" s="4" t="s">
        <v>21</v>
      </c>
      <c r="F3462" s="4">
        <v>672</v>
      </c>
      <c r="G3462" s="4">
        <v>184</v>
      </c>
      <c r="H3462" s="4">
        <v>1205</v>
      </c>
    </row>
    <row r="3463" spans="1:33" s="5" customFormat="1" ht="27" hidden="1" customHeight="1" outlineLevel="1" x14ac:dyDescent="0.25">
      <c r="A3463" s="42">
        <v>9414</v>
      </c>
      <c r="B3463" s="4" t="s">
        <v>191</v>
      </c>
      <c r="C3463" s="38" t="s">
        <v>1986</v>
      </c>
      <c r="D3463" s="4">
        <v>2021</v>
      </c>
      <c r="E3463" s="4" t="s">
        <v>21</v>
      </c>
      <c r="F3463" s="4">
        <v>277</v>
      </c>
      <c r="G3463" s="4">
        <v>100</v>
      </c>
      <c r="H3463" s="4">
        <v>621</v>
      </c>
    </row>
    <row r="3464" spans="1:33" s="5" customFormat="1" ht="27" hidden="1" customHeight="1" outlineLevel="1" x14ac:dyDescent="0.25">
      <c r="A3464" s="42">
        <v>9430</v>
      </c>
      <c r="B3464" s="4" t="s">
        <v>191</v>
      </c>
      <c r="C3464" s="38" t="s">
        <v>1987</v>
      </c>
      <c r="D3464" s="4">
        <v>2021</v>
      </c>
      <c r="E3464" s="4" t="s">
        <v>21</v>
      </c>
      <c r="F3464" s="4">
        <v>350</v>
      </c>
      <c r="G3464" s="4">
        <v>149</v>
      </c>
      <c r="H3464" s="4">
        <v>467.23500000000001</v>
      </c>
    </row>
    <row r="3465" spans="1:33" s="5" customFormat="1" ht="27" hidden="1" customHeight="1" outlineLevel="1" x14ac:dyDescent="0.25">
      <c r="A3465" s="43">
        <v>3712</v>
      </c>
      <c r="B3465" s="4" t="s">
        <v>191</v>
      </c>
      <c r="C3465" s="38" t="s">
        <v>1290</v>
      </c>
      <c r="D3465" s="4">
        <v>2021</v>
      </c>
      <c r="E3465" s="4" t="s">
        <v>21</v>
      </c>
      <c r="F3465" s="4">
        <v>267</v>
      </c>
      <c r="G3465" s="4">
        <v>80</v>
      </c>
      <c r="H3465" s="4">
        <v>379.173</v>
      </c>
    </row>
    <row r="3466" spans="1:33" s="5" customFormat="1" ht="30.75" customHeight="1" collapsed="1" x14ac:dyDescent="0.25">
      <c r="A3466" s="4"/>
      <c r="B3466" s="4"/>
      <c r="C3466" s="60" t="s">
        <v>9153</v>
      </c>
      <c r="D3466" s="4"/>
      <c r="E3466" s="4"/>
      <c r="F3466" s="4"/>
      <c r="G3466" s="4"/>
      <c r="H3466" s="4"/>
    </row>
    <row r="3467" spans="1:33" s="5" customFormat="1" ht="17.25" customHeight="1" x14ac:dyDescent="0.25">
      <c r="A3467" s="208"/>
      <c r="B3467" s="178" t="s">
        <v>192</v>
      </c>
      <c r="C3467" s="185" t="s">
        <v>3192</v>
      </c>
      <c r="D3467" s="185"/>
      <c r="E3467" s="178" t="s">
        <v>22</v>
      </c>
      <c r="F3467" s="178"/>
      <c r="G3467" s="178"/>
      <c r="H3467" s="178"/>
    </row>
    <row r="3468" spans="1:33" s="5" customFormat="1" ht="17.25" customHeight="1" x14ac:dyDescent="0.25">
      <c r="A3468" s="210"/>
      <c r="B3468" s="187"/>
      <c r="C3468" s="192"/>
      <c r="D3468" s="192"/>
      <c r="E3468" s="187"/>
      <c r="F3468" s="187"/>
      <c r="G3468" s="187"/>
      <c r="H3468" s="187"/>
    </row>
    <row r="3469" spans="1:33" s="5" customFormat="1" ht="9.75" customHeight="1" x14ac:dyDescent="0.25">
      <c r="A3469" s="210"/>
      <c r="B3469" s="187"/>
      <c r="C3469" s="192"/>
      <c r="D3469" s="192"/>
      <c r="E3469" s="187"/>
      <c r="F3469" s="187"/>
      <c r="G3469" s="187"/>
      <c r="H3469" s="187"/>
    </row>
    <row r="3470" spans="1:33" s="5" customFormat="1" ht="12" customHeight="1" x14ac:dyDescent="0.25">
      <c r="A3470" s="209"/>
      <c r="B3470" s="179"/>
      <c r="C3470" s="193"/>
      <c r="D3470" s="193"/>
      <c r="E3470" s="179"/>
      <c r="F3470" s="179"/>
      <c r="G3470" s="179"/>
      <c r="H3470" s="179"/>
    </row>
    <row r="3471" spans="1:33" s="5" customFormat="1" ht="17.25" customHeight="1" x14ac:dyDescent="0.25">
      <c r="A3471" s="4"/>
      <c r="B3471" s="7" t="s">
        <v>192</v>
      </c>
      <c r="C3471" s="8" t="s">
        <v>1102</v>
      </c>
      <c r="D3471" s="7">
        <v>2020</v>
      </c>
      <c r="E3471" s="7" t="s">
        <v>22</v>
      </c>
      <c r="F3471" s="17">
        <f>SUMIF($D$3474:$D$3583,$D$3471,$F$3474:$F$3583)</f>
        <v>23486</v>
      </c>
      <c r="G3471" s="32">
        <f>SUMIF($D$3474:$D$3583,$D$3471,$G$3474:$G$3583)</f>
        <v>4853.25</v>
      </c>
      <c r="H3471" s="32">
        <f>SUMIF($D$3474:$D$3583,$D$3471,$H$3474:$H$3583)</f>
        <v>32642.53499</v>
      </c>
    </row>
    <row r="3472" spans="1:33" s="25" customFormat="1" ht="17.25" customHeight="1" x14ac:dyDescent="0.25">
      <c r="A3472" s="4"/>
      <c r="B3472" s="7" t="s">
        <v>192</v>
      </c>
      <c r="C3472" s="8" t="s">
        <v>1102</v>
      </c>
      <c r="D3472" s="7">
        <v>2021</v>
      </c>
      <c r="E3472" s="7" t="s">
        <v>22</v>
      </c>
      <c r="F3472" s="7">
        <f>SUMIF($D$3474:$D$3583,$D$3472,$F$3474:$F$3583)</f>
        <v>31717</v>
      </c>
      <c r="G3472" s="10">
        <f>SUMIF($D$3474:$D$3583,$D$3472,$G$3474:$G$3583)</f>
        <v>2302.6999999999998</v>
      </c>
      <c r="H3472" s="10">
        <f>SUMIF($D$3474:$D$3583,$D$3472,$H$3474:$H$3583)</f>
        <v>40718.410000000003</v>
      </c>
      <c r="I3472" s="5"/>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row>
    <row r="3473" spans="1:33" s="25" customFormat="1" ht="15.75" x14ac:dyDescent="0.25">
      <c r="A3473" s="4"/>
      <c r="B3473" s="7" t="s">
        <v>192</v>
      </c>
      <c r="C3473" s="8" t="s">
        <v>1102</v>
      </c>
      <c r="D3473" s="7">
        <v>2022</v>
      </c>
      <c r="E3473" s="7" t="s">
        <v>22</v>
      </c>
      <c r="F3473" s="7">
        <f>SUMIF($D$3474:$D$3583,$D$3473,$F$3474:$F$3583)</f>
        <v>15187</v>
      </c>
      <c r="G3473" s="10">
        <f>SUMIF($D$3474:$D$3583,$D$3473,$G$3474:$G$3583)</f>
        <v>1171.5999999999999</v>
      </c>
      <c r="H3473" s="10">
        <f>SUMIF($D$3474:$D$3583,$D$3473,$H$3474:$H$3583)</f>
        <v>20851.171139999999</v>
      </c>
      <c r="I3473" s="5"/>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row>
    <row r="3474" spans="1:33" s="5" customFormat="1" ht="30" hidden="1" customHeight="1" outlineLevel="1" x14ac:dyDescent="0.25">
      <c r="A3474" s="4">
        <v>4127</v>
      </c>
      <c r="B3474" s="4" t="s">
        <v>192</v>
      </c>
      <c r="C3474" s="38" t="s">
        <v>3361</v>
      </c>
      <c r="D3474" s="4">
        <v>2022</v>
      </c>
      <c r="E3474" s="4" t="s">
        <v>22</v>
      </c>
      <c r="F3474" s="4">
        <v>1170</v>
      </c>
      <c r="G3474" s="4">
        <v>15</v>
      </c>
      <c r="H3474" s="4">
        <v>1624.81358</v>
      </c>
    </row>
    <row r="3475" spans="1:33" s="5" customFormat="1" ht="30" hidden="1" customHeight="1" outlineLevel="1" x14ac:dyDescent="0.25">
      <c r="A3475" s="4">
        <v>1488</v>
      </c>
      <c r="B3475" s="4" t="s">
        <v>192</v>
      </c>
      <c r="C3475" s="38" t="s">
        <v>3362</v>
      </c>
      <c r="D3475" s="4">
        <v>2022</v>
      </c>
      <c r="E3475" s="4" t="s">
        <v>22</v>
      </c>
      <c r="F3475" s="4">
        <v>1591</v>
      </c>
      <c r="G3475" s="4">
        <v>50</v>
      </c>
      <c r="H3475" s="4">
        <v>1895.34627</v>
      </c>
    </row>
    <row r="3476" spans="1:33" s="5" customFormat="1" ht="30" hidden="1" customHeight="1" outlineLevel="1" x14ac:dyDescent="0.25">
      <c r="A3476" s="4">
        <v>1486</v>
      </c>
      <c r="B3476" s="4" t="s">
        <v>192</v>
      </c>
      <c r="C3476" s="38" t="s">
        <v>4016</v>
      </c>
      <c r="D3476" s="4">
        <v>2022</v>
      </c>
      <c r="E3476" s="4" t="s">
        <v>22</v>
      </c>
      <c r="F3476" s="4">
        <v>2742</v>
      </c>
      <c r="G3476" s="4">
        <v>40</v>
      </c>
      <c r="H3476" s="4">
        <v>3378.2642799999999</v>
      </c>
    </row>
    <row r="3477" spans="1:33" s="5" customFormat="1" ht="30" hidden="1" customHeight="1" outlineLevel="1" x14ac:dyDescent="0.25">
      <c r="A3477" s="4">
        <v>1344</v>
      </c>
      <c r="B3477" s="4" t="s">
        <v>192</v>
      </c>
      <c r="C3477" s="38" t="s">
        <v>4017</v>
      </c>
      <c r="D3477" s="4">
        <v>2022</v>
      </c>
      <c r="E3477" s="4" t="s">
        <v>22</v>
      </c>
      <c r="F3477" s="4">
        <v>20</v>
      </c>
      <c r="G3477" s="4">
        <v>35</v>
      </c>
      <c r="H3477" s="4">
        <v>96.061490000000006</v>
      </c>
    </row>
    <row r="3478" spans="1:33" s="5" customFormat="1" ht="30" hidden="1" customHeight="1" outlineLevel="1" x14ac:dyDescent="0.25">
      <c r="A3478" s="4">
        <v>1465</v>
      </c>
      <c r="B3478" s="4" t="s">
        <v>192</v>
      </c>
      <c r="C3478" s="38" t="s">
        <v>3375</v>
      </c>
      <c r="D3478" s="4">
        <v>2022</v>
      </c>
      <c r="E3478" s="4" t="s">
        <v>22</v>
      </c>
      <c r="F3478" s="4">
        <v>845</v>
      </c>
      <c r="G3478" s="4">
        <v>15</v>
      </c>
      <c r="H3478" s="4">
        <v>1132.92948</v>
      </c>
    </row>
    <row r="3479" spans="1:33" s="5" customFormat="1" ht="30" hidden="1" customHeight="1" outlineLevel="1" x14ac:dyDescent="0.25">
      <c r="A3479" s="4">
        <v>1467</v>
      </c>
      <c r="B3479" s="4" t="s">
        <v>192</v>
      </c>
      <c r="C3479" s="38" t="s">
        <v>3377</v>
      </c>
      <c r="D3479" s="4">
        <v>2022</v>
      </c>
      <c r="E3479" s="4" t="s">
        <v>22</v>
      </c>
      <c r="F3479" s="4">
        <v>10</v>
      </c>
      <c r="G3479" s="4">
        <v>15</v>
      </c>
      <c r="H3479" s="4">
        <v>139.27601999999999</v>
      </c>
    </row>
    <row r="3480" spans="1:33" s="5" customFormat="1" ht="30" hidden="1" customHeight="1" outlineLevel="1" x14ac:dyDescent="0.25">
      <c r="A3480" s="4">
        <v>1230</v>
      </c>
      <c r="B3480" s="4" t="s">
        <v>192</v>
      </c>
      <c r="C3480" s="38" t="s">
        <v>3378</v>
      </c>
      <c r="D3480" s="4">
        <v>2022</v>
      </c>
      <c r="E3480" s="4" t="s">
        <v>22</v>
      </c>
      <c r="F3480" s="4">
        <v>7</v>
      </c>
      <c r="G3480" s="4">
        <v>1</v>
      </c>
      <c r="H3480" s="4">
        <v>101.77949</v>
      </c>
    </row>
    <row r="3481" spans="1:33" s="5" customFormat="1" ht="30" hidden="1" customHeight="1" outlineLevel="1" x14ac:dyDescent="0.25">
      <c r="A3481" s="4">
        <v>1592</v>
      </c>
      <c r="B3481" s="4" t="s">
        <v>192</v>
      </c>
      <c r="C3481" s="38" t="s">
        <v>3382</v>
      </c>
      <c r="D3481" s="4">
        <v>2022</v>
      </c>
      <c r="E3481" s="4" t="s">
        <v>22</v>
      </c>
      <c r="F3481" s="4">
        <v>30</v>
      </c>
      <c r="G3481" s="4">
        <v>30</v>
      </c>
      <c r="H3481" s="4">
        <v>124.69749</v>
      </c>
    </row>
    <row r="3482" spans="1:33" s="5" customFormat="1" ht="30" hidden="1" customHeight="1" outlineLevel="1" x14ac:dyDescent="0.25">
      <c r="A3482" s="4">
        <v>1196</v>
      </c>
      <c r="B3482" s="4" t="s">
        <v>192</v>
      </c>
      <c r="C3482" s="38" t="s">
        <v>3384</v>
      </c>
      <c r="D3482" s="4">
        <v>2022</v>
      </c>
      <c r="E3482" s="4" t="s">
        <v>22</v>
      </c>
      <c r="F3482" s="4">
        <v>10</v>
      </c>
      <c r="G3482" s="4">
        <v>15</v>
      </c>
      <c r="H3482" s="4">
        <v>95.248990000000006</v>
      </c>
    </row>
    <row r="3483" spans="1:33" s="5" customFormat="1" ht="30" hidden="1" customHeight="1" outlineLevel="1" x14ac:dyDescent="0.25">
      <c r="A3483" s="4">
        <v>1150</v>
      </c>
      <c r="B3483" s="4" t="s">
        <v>192</v>
      </c>
      <c r="C3483" s="38" t="s">
        <v>3386</v>
      </c>
      <c r="D3483" s="4">
        <v>2022</v>
      </c>
      <c r="E3483" s="4" t="s">
        <v>22</v>
      </c>
      <c r="F3483" s="4">
        <v>40</v>
      </c>
      <c r="G3483" s="4">
        <v>15</v>
      </c>
      <c r="H3483" s="4">
        <v>99.160619999999994</v>
      </c>
    </row>
    <row r="3484" spans="1:33" s="5" customFormat="1" ht="30" hidden="1" customHeight="1" outlineLevel="1" x14ac:dyDescent="0.25">
      <c r="A3484" s="4">
        <v>1591</v>
      </c>
      <c r="B3484" s="4" t="s">
        <v>192</v>
      </c>
      <c r="C3484" s="38" t="s">
        <v>3387</v>
      </c>
      <c r="D3484" s="4">
        <v>2022</v>
      </c>
      <c r="E3484" s="4" t="s">
        <v>22</v>
      </c>
      <c r="F3484" s="4">
        <v>10</v>
      </c>
      <c r="G3484" s="4">
        <v>25</v>
      </c>
      <c r="H3484" s="4">
        <v>114.14961</v>
      </c>
    </row>
    <row r="3485" spans="1:33" s="5" customFormat="1" ht="30" hidden="1" customHeight="1" outlineLevel="1" x14ac:dyDescent="0.25">
      <c r="A3485" s="4">
        <v>1589</v>
      </c>
      <c r="B3485" s="4" t="s">
        <v>192</v>
      </c>
      <c r="C3485" s="38" t="s">
        <v>3388</v>
      </c>
      <c r="D3485" s="4">
        <v>2022</v>
      </c>
      <c r="E3485" s="4" t="s">
        <v>22</v>
      </c>
      <c r="F3485" s="4">
        <v>15</v>
      </c>
      <c r="G3485" s="4">
        <v>100.6</v>
      </c>
      <c r="H3485" s="4">
        <v>111.11933000000001</v>
      </c>
    </row>
    <row r="3486" spans="1:33" s="5" customFormat="1" ht="30" hidden="1" customHeight="1" outlineLevel="1" x14ac:dyDescent="0.25">
      <c r="A3486" s="4">
        <v>1434</v>
      </c>
      <c r="B3486" s="4" t="s">
        <v>192</v>
      </c>
      <c r="C3486" s="38" t="s">
        <v>3397</v>
      </c>
      <c r="D3486" s="4">
        <v>2022</v>
      </c>
      <c r="E3486" s="4" t="s">
        <v>22</v>
      </c>
      <c r="F3486" s="4">
        <v>50</v>
      </c>
      <c r="G3486" s="4">
        <v>25</v>
      </c>
      <c r="H3486" s="4">
        <v>188.38791000000001</v>
      </c>
    </row>
    <row r="3487" spans="1:33" s="5" customFormat="1" ht="30" hidden="1" customHeight="1" outlineLevel="1" x14ac:dyDescent="0.25">
      <c r="A3487" s="4">
        <v>1520</v>
      </c>
      <c r="B3487" s="4" t="s">
        <v>192</v>
      </c>
      <c r="C3487" s="38" t="s">
        <v>3403</v>
      </c>
      <c r="D3487" s="4">
        <v>2022</v>
      </c>
      <c r="E3487" s="4" t="s">
        <v>22</v>
      </c>
      <c r="F3487" s="4">
        <v>110</v>
      </c>
      <c r="G3487" s="4">
        <v>50</v>
      </c>
      <c r="H3487" s="4">
        <v>124.29688</v>
      </c>
    </row>
    <row r="3488" spans="1:33" s="5" customFormat="1" ht="30" hidden="1" customHeight="1" outlineLevel="1" x14ac:dyDescent="0.25">
      <c r="A3488" s="4">
        <v>1057</v>
      </c>
      <c r="B3488" s="4" t="s">
        <v>192</v>
      </c>
      <c r="C3488" s="38" t="s">
        <v>3423</v>
      </c>
      <c r="D3488" s="4">
        <v>2022</v>
      </c>
      <c r="E3488" s="4" t="s">
        <v>22</v>
      </c>
      <c r="F3488" s="4">
        <v>10</v>
      </c>
      <c r="G3488" s="4">
        <v>15</v>
      </c>
      <c r="H3488" s="4">
        <v>62.658929999999998</v>
      </c>
    </row>
    <row r="3489" spans="1:8" s="5" customFormat="1" ht="30" hidden="1" customHeight="1" outlineLevel="1" x14ac:dyDescent="0.25">
      <c r="A3489" s="4">
        <v>1132</v>
      </c>
      <c r="B3489" s="4" t="s">
        <v>192</v>
      </c>
      <c r="C3489" s="38" t="s">
        <v>3424</v>
      </c>
      <c r="D3489" s="4">
        <v>2022</v>
      </c>
      <c r="E3489" s="4" t="s">
        <v>22</v>
      </c>
      <c r="F3489" s="4">
        <v>15</v>
      </c>
      <c r="G3489" s="4">
        <v>15</v>
      </c>
      <c r="H3489" s="4">
        <v>61.956270000000004</v>
      </c>
    </row>
    <row r="3490" spans="1:8" s="5" customFormat="1" ht="30" hidden="1" customHeight="1" outlineLevel="1" x14ac:dyDescent="0.25">
      <c r="A3490" s="4">
        <v>1491</v>
      </c>
      <c r="B3490" s="4" t="s">
        <v>192</v>
      </c>
      <c r="C3490" s="38" t="s">
        <v>3427</v>
      </c>
      <c r="D3490" s="4">
        <v>2022</v>
      </c>
      <c r="E3490" s="4" t="s">
        <v>22</v>
      </c>
      <c r="F3490" s="4">
        <v>5</v>
      </c>
      <c r="G3490" s="4">
        <v>15</v>
      </c>
      <c r="H3490" s="4">
        <v>87.184129999999996</v>
      </c>
    </row>
    <row r="3491" spans="1:8" s="5" customFormat="1" ht="30" hidden="1" customHeight="1" outlineLevel="1" x14ac:dyDescent="0.25">
      <c r="A3491" s="4">
        <v>1492</v>
      </c>
      <c r="B3491" s="4" t="s">
        <v>192</v>
      </c>
      <c r="C3491" s="38" t="s">
        <v>3438</v>
      </c>
      <c r="D3491" s="4">
        <v>2022</v>
      </c>
      <c r="E3491" s="4" t="s">
        <v>22</v>
      </c>
      <c r="F3491" s="4">
        <v>2810</v>
      </c>
      <c r="G3491" s="4">
        <v>15</v>
      </c>
      <c r="H3491" s="4">
        <v>2165.4397300000001</v>
      </c>
    </row>
    <row r="3492" spans="1:8" s="5" customFormat="1" ht="30" hidden="1" customHeight="1" outlineLevel="1" x14ac:dyDescent="0.25">
      <c r="A3492" s="4">
        <v>1085</v>
      </c>
      <c r="B3492" s="4" t="s">
        <v>192</v>
      </c>
      <c r="C3492" s="38" t="s">
        <v>3468</v>
      </c>
      <c r="D3492" s="4">
        <v>2022</v>
      </c>
      <c r="E3492" s="4" t="s">
        <v>22</v>
      </c>
      <c r="F3492" s="4">
        <v>10</v>
      </c>
      <c r="G3492" s="4">
        <v>15</v>
      </c>
      <c r="H3492" s="4">
        <v>69.414850000000001</v>
      </c>
    </row>
    <row r="3493" spans="1:8" s="5" customFormat="1" ht="30" hidden="1" customHeight="1" outlineLevel="1" x14ac:dyDescent="0.25">
      <c r="A3493" s="4">
        <v>1430</v>
      </c>
      <c r="B3493" s="4" t="s">
        <v>192</v>
      </c>
      <c r="C3493" s="38" t="s">
        <v>3482</v>
      </c>
      <c r="D3493" s="4">
        <v>2022</v>
      </c>
      <c r="E3493" s="4" t="s">
        <v>22</v>
      </c>
      <c r="F3493" s="4">
        <v>363</v>
      </c>
      <c r="G3493" s="4">
        <v>15</v>
      </c>
      <c r="H3493" s="4">
        <v>601.73992999999996</v>
      </c>
    </row>
    <row r="3494" spans="1:8" s="5" customFormat="1" ht="30" hidden="1" customHeight="1" outlineLevel="1" x14ac:dyDescent="0.25">
      <c r="A3494" s="4">
        <v>1663</v>
      </c>
      <c r="B3494" s="4" t="s">
        <v>192</v>
      </c>
      <c r="C3494" s="38" t="s">
        <v>4021</v>
      </c>
      <c r="D3494" s="4">
        <v>2022</v>
      </c>
      <c r="E3494" s="4" t="s">
        <v>22</v>
      </c>
      <c r="F3494" s="4">
        <v>663</v>
      </c>
      <c r="G3494" s="4">
        <v>15</v>
      </c>
      <c r="H3494" s="4">
        <v>881.57876999999996</v>
      </c>
    </row>
    <row r="3495" spans="1:8" s="5" customFormat="1" ht="30" hidden="1" customHeight="1" outlineLevel="1" x14ac:dyDescent="0.25">
      <c r="A3495" s="4">
        <v>1579</v>
      </c>
      <c r="B3495" s="4" t="s">
        <v>192</v>
      </c>
      <c r="C3495" s="38" t="s">
        <v>3488</v>
      </c>
      <c r="D3495" s="4">
        <v>2022</v>
      </c>
      <c r="E3495" s="4" t="s">
        <v>22</v>
      </c>
      <c r="F3495" s="4">
        <v>10</v>
      </c>
      <c r="G3495" s="4">
        <v>15</v>
      </c>
      <c r="H3495" s="4">
        <v>98.596760000000003</v>
      </c>
    </row>
    <row r="3496" spans="1:8" s="5" customFormat="1" ht="30" hidden="1" customHeight="1" outlineLevel="1" x14ac:dyDescent="0.25">
      <c r="A3496" s="4">
        <v>1608</v>
      </c>
      <c r="B3496" s="4" t="s">
        <v>192</v>
      </c>
      <c r="C3496" s="38" t="s">
        <v>3491</v>
      </c>
      <c r="D3496" s="4">
        <v>2022</v>
      </c>
      <c r="E3496" s="4" t="s">
        <v>22</v>
      </c>
      <c r="F3496" s="4">
        <v>10</v>
      </c>
      <c r="G3496" s="4">
        <v>75</v>
      </c>
      <c r="H3496" s="4">
        <v>102.19987</v>
      </c>
    </row>
    <row r="3497" spans="1:8" s="5" customFormat="1" ht="30" hidden="1" customHeight="1" outlineLevel="1" x14ac:dyDescent="0.25">
      <c r="A3497" s="4">
        <v>1043</v>
      </c>
      <c r="B3497" s="4" t="s">
        <v>192</v>
      </c>
      <c r="C3497" s="38" t="s">
        <v>3492</v>
      </c>
      <c r="D3497" s="4">
        <v>2022</v>
      </c>
      <c r="E3497" s="4" t="s">
        <v>22</v>
      </c>
      <c r="F3497" s="4">
        <v>10</v>
      </c>
      <c r="G3497" s="4">
        <v>15</v>
      </c>
      <c r="H3497" s="4">
        <v>76.039429999999996</v>
      </c>
    </row>
    <row r="3498" spans="1:8" s="5" customFormat="1" ht="30" hidden="1" customHeight="1" outlineLevel="1" x14ac:dyDescent="0.25">
      <c r="A3498" s="4">
        <v>452</v>
      </c>
      <c r="B3498" s="4" t="s">
        <v>192</v>
      </c>
      <c r="C3498" s="38" t="s">
        <v>4230</v>
      </c>
      <c r="D3498" s="4">
        <v>2022</v>
      </c>
      <c r="E3498" s="4" t="s">
        <v>22</v>
      </c>
      <c r="F3498" s="4">
        <v>15</v>
      </c>
      <c r="G3498" s="4">
        <v>150</v>
      </c>
      <c r="H3498" s="4">
        <v>83.761610000000005</v>
      </c>
    </row>
    <row r="3499" spans="1:8" s="5" customFormat="1" ht="30" hidden="1" customHeight="1" outlineLevel="1" x14ac:dyDescent="0.25">
      <c r="A3499" s="4">
        <v>450</v>
      </c>
      <c r="B3499" s="4" t="s">
        <v>192</v>
      </c>
      <c r="C3499" s="38" t="s">
        <v>4025</v>
      </c>
      <c r="D3499" s="4">
        <v>2022</v>
      </c>
      <c r="E3499" s="4" t="s">
        <v>22</v>
      </c>
      <c r="F3499" s="4">
        <v>1469</v>
      </c>
      <c r="G3499" s="4">
        <v>150</v>
      </c>
      <c r="H3499" s="4">
        <v>2085.8567899999998</v>
      </c>
    </row>
    <row r="3500" spans="1:8" s="5" customFormat="1" ht="30" hidden="1" customHeight="1" outlineLevel="1" x14ac:dyDescent="0.25">
      <c r="A3500" s="4">
        <v>463</v>
      </c>
      <c r="B3500" s="4" t="s">
        <v>192</v>
      </c>
      <c r="C3500" s="38" t="s">
        <v>3566</v>
      </c>
      <c r="D3500" s="4">
        <v>2022</v>
      </c>
      <c r="E3500" s="4" t="s">
        <v>22</v>
      </c>
      <c r="F3500" s="4">
        <v>276</v>
      </c>
      <c r="G3500" s="4">
        <v>50</v>
      </c>
      <c r="H3500" s="4">
        <v>696.29466000000002</v>
      </c>
    </row>
    <row r="3501" spans="1:8" s="5" customFormat="1" ht="30" hidden="1" customHeight="1" outlineLevel="1" x14ac:dyDescent="0.25">
      <c r="A3501" s="4">
        <v>470</v>
      </c>
      <c r="B3501" s="4" t="s">
        <v>192</v>
      </c>
      <c r="C3501" s="38" t="s">
        <v>3578</v>
      </c>
      <c r="D3501" s="4">
        <v>2022</v>
      </c>
      <c r="E3501" s="4" t="s">
        <v>22</v>
      </c>
      <c r="F3501" s="4">
        <v>2176</v>
      </c>
      <c r="G3501" s="4">
        <v>15</v>
      </c>
      <c r="H3501" s="4">
        <v>2873.29925</v>
      </c>
    </row>
    <row r="3502" spans="1:8" s="5" customFormat="1" ht="30" hidden="1" customHeight="1" outlineLevel="1" x14ac:dyDescent="0.25">
      <c r="A3502" s="4">
        <v>471</v>
      </c>
      <c r="B3502" s="4" t="s">
        <v>192</v>
      </c>
      <c r="C3502" s="38" t="s">
        <v>4231</v>
      </c>
      <c r="D3502" s="4">
        <v>2022</v>
      </c>
      <c r="E3502" s="4" t="s">
        <v>22</v>
      </c>
      <c r="F3502" s="4">
        <v>652</v>
      </c>
      <c r="G3502" s="4">
        <v>150</v>
      </c>
      <c r="H3502" s="4">
        <v>1279.5005799999999</v>
      </c>
    </row>
    <row r="3503" spans="1:8" s="5" customFormat="1" ht="30" hidden="1" customHeight="1" outlineLevel="1" x14ac:dyDescent="0.25">
      <c r="A3503" s="4">
        <v>473</v>
      </c>
      <c r="B3503" s="4" t="s">
        <v>192</v>
      </c>
      <c r="C3503" s="38" t="s">
        <v>3585</v>
      </c>
      <c r="D3503" s="4">
        <v>2022</v>
      </c>
      <c r="E3503" s="4" t="s">
        <v>22</v>
      </c>
      <c r="F3503" s="4">
        <v>43</v>
      </c>
      <c r="G3503" s="4">
        <v>15</v>
      </c>
      <c r="H3503" s="4">
        <v>400.11813999999998</v>
      </c>
    </row>
    <row r="3504" spans="1:8" s="5" customFormat="1" ht="17.25" hidden="1" customHeight="1" outlineLevel="1" x14ac:dyDescent="0.25">
      <c r="A3504" s="4">
        <v>1799</v>
      </c>
      <c r="B3504" s="4" t="s">
        <v>192</v>
      </c>
      <c r="C3504" s="38" t="s">
        <v>1068</v>
      </c>
      <c r="D3504" s="4">
        <v>2020</v>
      </c>
      <c r="E3504" s="4"/>
      <c r="F3504" s="4">
        <v>713</v>
      </c>
      <c r="G3504" s="4">
        <v>300</v>
      </c>
      <c r="H3504" s="4">
        <v>1449</v>
      </c>
    </row>
    <row r="3505" spans="1:8" s="5" customFormat="1" ht="17.25" hidden="1" customHeight="1" outlineLevel="1" x14ac:dyDescent="0.25">
      <c r="A3505" s="4">
        <v>600</v>
      </c>
      <c r="B3505" s="4" t="s">
        <v>192</v>
      </c>
      <c r="C3505" s="38" t="s">
        <v>641</v>
      </c>
      <c r="D3505" s="4">
        <v>2020</v>
      </c>
      <c r="E3505" s="4"/>
      <c r="F3505" s="4">
        <v>185</v>
      </c>
      <c r="G3505" s="4">
        <v>65</v>
      </c>
      <c r="H3505" s="4">
        <v>320</v>
      </c>
    </row>
    <row r="3506" spans="1:8" s="5" customFormat="1" ht="17.25" hidden="1" customHeight="1" outlineLevel="1" x14ac:dyDescent="0.25">
      <c r="A3506" s="4">
        <v>56</v>
      </c>
      <c r="B3506" s="4" t="s">
        <v>192</v>
      </c>
      <c r="C3506" s="38" t="s">
        <v>1069</v>
      </c>
      <c r="D3506" s="4">
        <v>2020</v>
      </c>
      <c r="E3506" s="4"/>
      <c r="F3506" s="4">
        <v>22</v>
      </c>
      <c r="G3506" s="4">
        <v>10</v>
      </c>
      <c r="H3506" s="4">
        <v>154</v>
      </c>
    </row>
    <row r="3507" spans="1:8" s="5" customFormat="1" ht="17.25" hidden="1" customHeight="1" outlineLevel="1" x14ac:dyDescent="0.25">
      <c r="A3507" s="4">
        <v>462</v>
      </c>
      <c r="B3507" s="4" t="s">
        <v>192</v>
      </c>
      <c r="C3507" s="38" t="s">
        <v>1070</v>
      </c>
      <c r="D3507" s="4">
        <v>2020</v>
      </c>
      <c r="E3507" s="4"/>
      <c r="F3507" s="4">
        <v>50</v>
      </c>
      <c r="G3507" s="4">
        <v>40</v>
      </c>
      <c r="H3507" s="4">
        <v>118</v>
      </c>
    </row>
    <row r="3508" spans="1:8" s="5" customFormat="1" ht="17.25" hidden="1" customHeight="1" outlineLevel="1" x14ac:dyDescent="0.25">
      <c r="A3508" s="4">
        <v>482</v>
      </c>
      <c r="B3508" s="4" t="s">
        <v>192</v>
      </c>
      <c r="C3508" s="38" t="s">
        <v>1071</v>
      </c>
      <c r="D3508" s="4">
        <v>2020</v>
      </c>
      <c r="E3508" s="4"/>
      <c r="F3508" s="4">
        <v>5</v>
      </c>
      <c r="G3508" s="4">
        <v>150</v>
      </c>
      <c r="H3508" s="4">
        <v>60</v>
      </c>
    </row>
    <row r="3509" spans="1:8" s="5" customFormat="1" ht="17.25" hidden="1" customHeight="1" outlineLevel="1" x14ac:dyDescent="0.25">
      <c r="A3509" s="4">
        <v>582</v>
      </c>
      <c r="B3509" s="4" t="s">
        <v>192</v>
      </c>
      <c r="C3509" s="38" t="s">
        <v>679</v>
      </c>
      <c r="D3509" s="4">
        <v>2020</v>
      </c>
      <c r="E3509" s="4"/>
      <c r="F3509" s="4">
        <v>8</v>
      </c>
      <c r="G3509" s="4">
        <v>15</v>
      </c>
      <c r="H3509" s="4">
        <v>64</v>
      </c>
    </row>
    <row r="3510" spans="1:8" s="5" customFormat="1" ht="17.25" hidden="1" customHeight="1" outlineLevel="1" x14ac:dyDescent="0.25">
      <c r="A3510" s="4">
        <v>470</v>
      </c>
      <c r="B3510" s="4" t="s">
        <v>192</v>
      </c>
      <c r="C3510" s="38" t="s">
        <v>687</v>
      </c>
      <c r="D3510" s="4">
        <v>2020</v>
      </c>
      <c r="E3510" s="4"/>
      <c r="F3510" s="4">
        <v>422</v>
      </c>
      <c r="G3510" s="4">
        <v>15</v>
      </c>
      <c r="H3510" s="4">
        <v>437</v>
      </c>
    </row>
    <row r="3511" spans="1:8" s="5" customFormat="1" ht="17.25" hidden="1" customHeight="1" outlineLevel="1" x14ac:dyDescent="0.25">
      <c r="A3511" s="4">
        <v>693</v>
      </c>
      <c r="B3511" s="4" t="s">
        <v>192</v>
      </c>
      <c r="C3511" s="38" t="s">
        <v>689</v>
      </c>
      <c r="D3511" s="4">
        <v>2020</v>
      </c>
      <c r="E3511" s="4"/>
      <c r="F3511" s="4">
        <v>40</v>
      </c>
      <c r="G3511" s="4">
        <v>115</v>
      </c>
      <c r="H3511" s="4">
        <v>126</v>
      </c>
    </row>
    <row r="3512" spans="1:8" s="5" customFormat="1" ht="17.25" hidden="1" customHeight="1" outlineLevel="1" x14ac:dyDescent="0.25">
      <c r="A3512" s="4">
        <v>187</v>
      </c>
      <c r="B3512" s="4" t="s">
        <v>192</v>
      </c>
      <c r="C3512" s="38" t="s">
        <v>1026</v>
      </c>
      <c r="D3512" s="4">
        <v>2020</v>
      </c>
      <c r="E3512" s="4"/>
      <c r="F3512" s="4">
        <v>3629</v>
      </c>
      <c r="G3512" s="4">
        <v>5</v>
      </c>
      <c r="H3512" s="4">
        <v>4528</v>
      </c>
    </row>
    <row r="3513" spans="1:8" s="5" customFormat="1" ht="17.25" hidden="1" customHeight="1" outlineLevel="1" x14ac:dyDescent="0.25">
      <c r="A3513" s="4">
        <v>1801</v>
      </c>
      <c r="B3513" s="4" t="s">
        <v>192</v>
      </c>
      <c r="C3513" s="38" t="s">
        <v>1072</v>
      </c>
      <c r="D3513" s="4">
        <v>2020</v>
      </c>
      <c r="E3513" s="4"/>
      <c r="F3513" s="4">
        <v>1381</v>
      </c>
      <c r="G3513" s="4">
        <v>350</v>
      </c>
      <c r="H3513" s="4">
        <v>1406</v>
      </c>
    </row>
    <row r="3514" spans="1:8" s="5" customFormat="1" ht="17.25" hidden="1" customHeight="1" outlineLevel="1" x14ac:dyDescent="0.25">
      <c r="A3514" s="4">
        <v>944</v>
      </c>
      <c r="B3514" s="4" t="s">
        <v>192</v>
      </c>
      <c r="C3514" s="38" t="s">
        <v>698</v>
      </c>
      <c r="D3514" s="4">
        <v>2020</v>
      </c>
      <c r="E3514" s="4"/>
      <c r="F3514" s="4">
        <v>120</v>
      </c>
      <c r="G3514" s="4">
        <v>16.5</v>
      </c>
      <c r="H3514" s="4">
        <v>281</v>
      </c>
    </row>
    <row r="3515" spans="1:8" s="5" customFormat="1" ht="17.25" hidden="1" customHeight="1" outlineLevel="1" x14ac:dyDescent="0.25">
      <c r="A3515" s="4">
        <v>763</v>
      </c>
      <c r="B3515" s="4" t="s">
        <v>192</v>
      </c>
      <c r="C3515" s="38" t="s">
        <v>702</v>
      </c>
      <c r="D3515" s="4">
        <v>2020</v>
      </c>
      <c r="E3515" s="4"/>
      <c r="F3515" s="4">
        <v>25</v>
      </c>
      <c r="G3515" s="4">
        <v>30</v>
      </c>
      <c r="H3515" s="4">
        <v>56</v>
      </c>
    </row>
    <row r="3516" spans="1:8" s="5" customFormat="1" ht="17.25" hidden="1" customHeight="1" outlineLevel="1" x14ac:dyDescent="0.25">
      <c r="A3516" s="4">
        <v>356</v>
      </c>
      <c r="B3516" s="4" t="s">
        <v>192</v>
      </c>
      <c r="C3516" s="38" t="s">
        <v>1030</v>
      </c>
      <c r="D3516" s="4">
        <v>2020</v>
      </c>
      <c r="E3516" s="4"/>
      <c r="F3516" s="4">
        <v>925</v>
      </c>
      <c r="G3516" s="4">
        <v>100</v>
      </c>
      <c r="H3516" s="4">
        <v>1227</v>
      </c>
    </row>
    <row r="3517" spans="1:8" s="5" customFormat="1" ht="17.25" hidden="1" customHeight="1" outlineLevel="1" x14ac:dyDescent="0.25">
      <c r="A3517" s="4">
        <v>954</v>
      </c>
      <c r="B3517" s="4" t="s">
        <v>192</v>
      </c>
      <c r="C3517" s="38" t="s">
        <v>709</v>
      </c>
      <c r="D3517" s="4">
        <v>2020</v>
      </c>
      <c r="E3517" s="4"/>
      <c r="F3517" s="4">
        <v>15</v>
      </c>
      <c r="G3517" s="4">
        <v>15</v>
      </c>
      <c r="H3517" s="4">
        <v>49</v>
      </c>
    </row>
    <row r="3518" spans="1:8" s="5" customFormat="1" ht="17.25" hidden="1" customHeight="1" outlineLevel="1" x14ac:dyDescent="0.25">
      <c r="A3518" s="4">
        <v>1621</v>
      </c>
      <c r="B3518" s="4" t="s">
        <v>192</v>
      </c>
      <c r="C3518" s="38" t="s">
        <v>1073</v>
      </c>
      <c r="D3518" s="4">
        <v>2020</v>
      </c>
      <c r="E3518" s="4"/>
      <c r="F3518" s="4">
        <v>462</v>
      </c>
      <c r="G3518" s="4">
        <v>1500</v>
      </c>
      <c r="H3518" s="4">
        <v>621.57329000000004</v>
      </c>
    </row>
    <row r="3519" spans="1:8" s="5" customFormat="1" ht="17.25" hidden="1" customHeight="1" outlineLevel="1" x14ac:dyDescent="0.25">
      <c r="A3519" s="4">
        <v>241</v>
      </c>
      <c r="B3519" s="4" t="s">
        <v>192</v>
      </c>
      <c r="C3519" s="38" t="s">
        <v>821</v>
      </c>
      <c r="D3519" s="4">
        <v>2020</v>
      </c>
      <c r="E3519" s="4"/>
      <c r="F3519" s="4">
        <v>105</v>
      </c>
      <c r="G3519" s="4">
        <v>25</v>
      </c>
      <c r="H3519" s="4">
        <v>32.706000000000003</v>
      </c>
    </row>
    <row r="3520" spans="1:8" s="5" customFormat="1" ht="17.25" hidden="1" customHeight="1" outlineLevel="1" x14ac:dyDescent="0.25">
      <c r="A3520" s="4">
        <v>195</v>
      </c>
      <c r="B3520" s="4" t="s">
        <v>192</v>
      </c>
      <c r="C3520" s="38" t="s">
        <v>822</v>
      </c>
      <c r="D3520" s="4">
        <v>2020</v>
      </c>
      <c r="E3520" s="4"/>
      <c r="F3520" s="4">
        <v>465</v>
      </c>
      <c r="G3520" s="4">
        <v>15</v>
      </c>
      <c r="H3520" s="4">
        <v>1102.568</v>
      </c>
    </row>
    <row r="3521" spans="1:8" s="5" customFormat="1" ht="17.25" hidden="1" customHeight="1" outlineLevel="1" x14ac:dyDescent="0.25">
      <c r="A3521" s="4">
        <v>1124</v>
      </c>
      <c r="B3521" s="4" t="s">
        <v>192</v>
      </c>
      <c r="C3521" s="38" t="s">
        <v>899</v>
      </c>
      <c r="D3521" s="4">
        <v>2020</v>
      </c>
      <c r="E3521" s="4"/>
      <c r="F3521" s="4">
        <v>10</v>
      </c>
      <c r="G3521" s="4">
        <v>5</v>
      </c>
      <c r="H3521" s="4">
        <v>52.603000000000002</v>
      </c>
    </row>
    <row r="3522" spans="1:8" s="5" customFormat="1" ht="17.25" hidden="1" customHeight="1" outlineLevel="1" x14ac:dyDescent="0.25">
      <c r="A3522" s="4">
        <v>1650</v>
      </c>
      <c r="B3522" s="4" t="s">
        <v>192</v>
      </c>
      <c r="C3522" s="38" t="s">
        <v>607</v>
      </c>
      <c r="D3522" s="4">
        <v>2020</v>
      </c>
      <c r="E3522" s="4"/>
      <c r="F3522" s="4">
        <v>10</v>
      </c>
      <c r="G3522" s="4">
        <v>149</v>
      </c>
      <c r="H3522" s="4">
        <v>67.429699999999997</v>
      </c>
    </row>
    <row r="3523" spans="1:8" s="5" customFormat="1" ht="17.25" hidden="1" customHeight="1" outlineLevel="1" x14ac:dyDescent="0.25">
      <c r="A3523" s="4">
        <v>246</v>
      </c>
      <c r="B3523" s="4" t="s">
        <v>192</v>
      </c>
      <c r="C3523" s="38" t="s">
        <v>931</v>
      </c>
      <c r="D3523" s="4">
        <v>2020</v>
      </c>
      <c r="E3523" s="4"/>
      <c r="F3523" s="4">
        <v>2614</v>
      </c>
      <c r="G3523" s="4">
        <v>15</v>
      </c>
      <c r="H3523" s="4">
        <v>3432.84</v>
      </c>
    </row>
    <row r="3524" spans="1:8" s="5" customFormat="1" ht="17.25" hidden="1" customHeight="1" outlineLevel="1" x14ac:dyDescent="0.25">
      <c r="A3524" s="4">
        <v>626</v>
      </c>
      <c r="B3524" s="4" t="s">
        <v>192</v>
      </c>
      <c r="C3524" s="38" t="s">
        <v>962</v>
      </c>
      <c r="D3524" s="4">
        <v>2020</v>
      </c>
      <c r="E3524" s="4"/>
      <c r="F3524" s="4">
        <v>15</v>
      </c>
      <c r="G3524" s="4">
        <v>15</v>
      </c>
      <c r="H3524" s="4">
        <v>16.715</v>
      </c>
    </row>
    <row r="3525" spans="1:8" s="5" customFormat="1" ht="17.25" hidden="1" customHeight="1" outlineLevel="1" x14ac:dyDescent="0.25">
      <c r="A3525" s="4">
        <v>1122</v>
      </c>
      <c r="B3525" s="4" t="s">
        <v>192</v>
      </c>
      <c r="C3525" s="38" t="s">
        <v>1074</v>
      </c>
      <c r="D3525" s="4">
        <v>2020</v>
      </c>
      <c r="E3525" s="4"/>
      <c r="F3525" s="4">
        <v>60</v>
      </c>
      <c r="G3525" s="4">
        <v>15</v>
      </c>
      <c r="H3525" s="4">
        <v>95.983999999999995</v>
      </c>
    </row>
    <row r="3526" spans="1:8" s="5" customFormat="1" ht="17.25" hidden="1" customHeight="1" outlineLevel="1" x14ac:dyDescent="0.25">
      <c r="A3526" s="4">
        <v>456</v>
      </c>
      <c r="B3526" s="4" t="s">
        <v>192</v>
      </c>
      <c r="C3526" s="38" t="s">
        <v>125</v>
      </c>
      <c r="D3526" s="4">
        <v>2020</v>
      </c>
      <c r="E3526" s="4"/>
      <c r="F3526" s="4">
        <v>20</v>
      </c>
      <c r="G3526" s="4">
        <v>15</v>
      </c>
      <c r="H3526" s="4">
        <v>77.227999999999994</v>
      </c>
    </row>
    <row r="3527" spans="1:8" s="5" customFormat="1" ht="17.25" hidden="1" customHeight="1" outlineLevel="1" x14ac:dyDescent="0.25">
      <c r="A3527" s="4">
        <v>683</v>
      </c>
      <c r="B3527" s="4" t="s">
        <v>192</v>
      </c>
      <c r="C3527" s="38" t="s">
        <v>126</v>
      </c>
      <c r="D3527" s="4">
        <v>2020</v>
      </c>
      <c r="E3527" s="4"/>
      <c r="F3527" s="4">
        <v>20</v>
      </c>
      <c r="G3527" s="4">
        <v>15</v>
      </c>
      <c r="H3527" s="4">
        <v>76.554000000000002</v>
      </c>
    </row>
    <row r="3528" spans="1:8" s="5" customFormat="1" ht="17.25" hidden="1" customHeight="1" outlineLevel="1" x14ac:dyDescent="0.25">
      <c r="A3528" s="4">
        <v>629</v>
      </c>
      <c r="B3528" s="4" t="s">
        <v>192</v>
      </c>
      <c r="C3528" s="38" t="s">
        <v>182</v>
      </c>
      <c r="D3528" s="4">
        <v>2020</v>
      </c>
      <c r="E3528" s="4"/>
      <c r="F3528" s="4">
        <v>255</v>
      </c>
      <c r="G3528" s="4">
        <v>30</v>
      </c>
      <c r="H3528" s="4">
        <v>233.339</v>
      </c>
    </row>
    <row r="3529" spans="1:8" s="5" customFormat="1" ht="17.25" hidden="1" customHeight="1" outlineLevel="1" x14ac:dyDescent="0.25">
      <c r="A3529" s="4">
        <v>675</v>
      </c>
      <c r="B3529" s="4" t="s">
        <v>192</v>
      </c>
      <c r="C3529" s="38" t="s">
        <v>183</v>
      </c>
      <c r="D3529" s="4">
        <v>2020</v>
      </c>
      <c r="E3529" s="4"/>
      <c r="F3529" s="4">
        <v>60</v>
      </c>
      <c r="G3529" s="4">
        <v>45</v>
      </c>
      <c r="H3529" s="4">
        <v>109.012</v>
      </c>
    </row>
    <row r="3530" spans="1:8" s="5" customFormat="1" ht="17.25" hidden="1" customHeight="1" outlineLevel="1" x14ac:dyDescent="0.25">
      <c r="A3530" s="4">
        <v>746</v>
      </c>
      <c r="B3530" s="4" t="s">
        <v>192</v>
      </c>
      <c r="C3530" s="38" t="s">
        <v>188</v>
      </c>
      <c r="D3530" s="4">
        <v>2020</v>
      </c>
      <c r="E3530" s="4"/>
      <c r="F3530" s="4">
        <v>226</v>
      </c>
      <c r="G3530" s="4">
        <v>10</v>
      </c>
      <c r="H3530" s="4">
        <v>369.983</v>
      </c>
    </row>
    <row r="3531" spans="1:8" s="5" customFormat="1" ht="17.25" hidden="1" customHeight="1" outlineLevel="1" x14ac:dyDescent="0.25">
      <c r="A3531" s="4">
        <v>711</v>
      </c>
      <c r="B3531" s="4" t="s">
        <v>192</v>
      </c>
      <c r="C3531" s="38" t="s">
        <v>193</v>
      </c>
      <c r="D3531" s="4">
        <v>2020</v>
      </c>
      <c r="E3531" s="4"/>
      <c r="F3531" s="4">
        <v>330</v>
      </c>
      <c r="G3531" s="4">
        <v>150</v>
      </c>
      <c r="H3531" s="4">
        <v>194</v>
      </c>
    </row>
    <row r="3532" spans="1:8" s="5" customFormat="1" ht="17.25" hidden="1" customHeight="1" outlineLevel="1" x14ac:dyDescent="0.25">
      <c r="A3532" s="4">
        <v>389</v>
      </c>
      <c r="B3532" s="4" t="s">
        <v>192</v>
      </c>
      <c r="C3532" s="38" t="s">
        <v>194</v>
      </c>
      <c r="D3532" s="4">
        <v>2020</v>
      </c>
      <c r="E3532" s="4"/>
      <c r="F3532" s="4">
        <v>340</v>
      </c>
      <c r="G3532" s="4">
        <v>10</v>
      </c>
      <c r="H3532" s="4">
        <v>372</v>
      </c>
    </row>
    <row r="3533" spans="1:8" s="5" customFormat="1" ht="17.25" hidden="1" customHeight="1" outlineLevel="1" x14ac:dyDescent="0.25">
      <c r="A3533" s="4">
        <v>458</v>
      </c>
      <c r="B3533" s="4" t="s">
        <v>192</v>
      </c>
      <c r="C3533" s="38" t="s">
        <v>195</v>
      </c>
      <c r="D3533" s="4">
        <v>2020</v>
      </c>
      <c r="E3533" s="4"/>
      <c r="F3533" s="4">
        <v>920</v>
      </c>
      <c r="G3533" s="4">
        <v>10</v>
      </c>
      <c r="H3533" s="4">
        <v>1506</v>
      </c>
    </row>
    <row r="3534" spans="1:8" s="5" customFormat="1" ht="17.25" hidden="1" customHeight="1" outlineLevel="1" x14ac:dyDescent="0.25">
      <c r="A3534" s="4">
        <v>261</v>
      </c>
      <c r="B3534" s="4" t="s">
        <v>192</v>
      </c>
      <c r="C3534" s="38" t="s">
        <v>196</v>
      </c>
      <c r="D3534" s="4">
        <v>2020</v>
      </c>
      <c r="E3534" s="4"/>
      <c r="F3534" s="4">
        <v>20</v>
      </c>
      <c r="G3534" s="4">
        <v>25</v>
      </c>
      <c r="H3534" s="4">
        <v>51</v>
      </c>
    </row>
    <row r="3535" spans="1:8" s="5" customFormat="1" ht="17.25" hidden="1" customHeight="1" outlineLevel="1" x14ac:dyDescent="0.25">
      <c r="A3535" s="4">
        <v>488</v>
      </c>
      <c r="B3535" s="4" t="s">
        <v>192</v>
      </c>
      <c r="C3535" s="38" t="s">
        <v>197</v>
      </c>
      <c r="D3535" s="4">
        <v>2020</v>
      </c>
      <c r="E3535" s="4"/>
      <c r="F3535" s="4">
        <v>41</v>
      </c>
      <c r="G3535" s="4">
        <v>30</v>
      </c>
      <c r="H3535" s="4">
        <v>101</v>
      </c>
    </row>
    <row r="3536" spans="1:8" s="5" customFormat="1" ht="17.25" hidden="1" customHeight="1" outlineLevel="1" x14ac:dyDescent="0.25">
      <c r="A3536" s="4">
        <v>741</v>
      </c>
      <c r="B3536" s="4" t="s">
        <v>192</v>
      </c>
      <c r="C3536" s="38" t="s">
        <v>198</v>
      </c>
      <c r="D3536" s="4">
        <v>2020</v>
      </c>
      <c r="E3536" s="4"/>
      <c r="F3536" s="4">
        <v>150</v>
      </c>
      <c r="G3536" s="4">
        <v>150</v>
      </c>
      <c r="H3536" s="4">
        <v>157</v>
      </c>
    </row>
    <row r="3537" spans="1:8" s="5" customFormat="1" ht="17.25" hidden="1" customHeight="1" outlineLevel="1" x14ac:dyDescent="0.25">
      <c r="A3537" s="4">
        <v>933</v>
      </c>
      <c r="B3537" s="4" t="s">
        <v>192</v>
      </c>
      <c r="C3537" s="38" t="s">
        <v>199</v>
      </c>
      <c r="D3537" s="4">
        <v>2020</v>
      </c>
      <c r="E3537" s="4"/>
      <c r="F3537" s="4">
        <v>118</v>
      </c>
      <c r="G3537" s="4">
        <v>150</v>
      </c>
      <c r="H3537" s="4">
        <v>152</v>
      </c>
    </row>
    <row r="3538" spans="1:8" s="5" customFormat="1" ht="17.25" hidden="1" customHeight="1" outlineLevel="1" x14ac:dyDescent="0.25">
      <c r="A3538" s="4">
        <v>534</v>
      </c>
      <c r="B3538" s="4" t="s">
        <v>192</v>
      </c>
      <c r="C3538" s="38" t="s">
        <v>200</v>
      </c>
      <c r="D3538" s="4">
        <v>2020</v>
      </c>
      <c r="E3538" s="4"/>
      <c r="F3538" s="4">
        <v>756</v>
      </c>
      <c r="G3538" s="4">
        <v>150</v>
      </c>
      <c r="H3538" s="4">
        <v>976</v>
      </c>
    </row>
    <row r="3539" spans="1:8" s="5" customFormat="1" ht="17.25" hidden="1" customHeight="1" outlineLevel="1" x14ac:dyDescent="0.25">
      <c r="A3539" s="4">
        <v>866</v>
      </c>
      <c r="B3539" s="4" t="s">
        <v>192</v>
      </c>
      <c r="C3539" s="38" t="s">
        <v>201</v>
      </c>
      <c r="D3539" s="4">
        <v>2020</v>
      </c>
      <c r="E3539" s="4"/>
      <c r="F3539" s="4">
        <v>246</v>
      </c>
      <c r="G3539" s="4">
        <v>40</v>
      </c>
      <c r="H3539" s="4">
        <v>266</v>
      </c>
    </row>
    <row r="3540" spans="1:8" s="5" customFormat="1" ht="17.25" hidden="1" customHeight="1" outlineLevel="1" x14ac:dyDescent="0.25">
      <c r="A3540" s="4">
        <v>1810</v>
      </c>
      <c r="B3540" s="4" t="s">
        <v>192</v>
      </c>
      <c r="C3540" s="38" t="s">
        <v>202</v>
      </c>
      <c r="D3540" s="4">
        <v>2020</v>
      </c>
      <c r="E3540" s="4"/>
      <c r="F3540" s="4">
        <v>3207</v>
      </c>
      <c r="G3540" s="4">
        <v>57.3</v>
      </c>
      <c r="H3540" s="4">
        <v>3413</v>
      </c>
    </row>
    <row r="3541" spans="1:8" s="5" customFormat="1" ht="17.25" hidden="1" customHeight="1" outlineLevel="1" x14ac:dyDescent="0.25">
      <c r="A3541" s="4">
        <v>1703</v>
      </c>
      <c r="B3541" s="4" t="s">
        <v>192</v>
      </c>
      <c r="C3541" s="38" t="s">
        <v>203</v>
      </c>
      <c r="D3541" s="4">
        <v>2020</v>
      </c>
      <c r="E3541" s="4"/>
      <c r="F3541" s="4">
        <v>2098</v>
      </c>
      <c r="G3541" s="4">
        <v>240.45</v>
      </c>
      <c r="H3541" s="4">
        <v>3947</v>
      </c>
    </row>
    <row r="3542" spans="1:8" s="5" customFormat="1" ht="17.25" hidden="1" customHeight="1" outlineLevel="1" x14ac:dyDescent="0.25">
      <c r="A3542" s="4">
        <v>1803</v>
      </c>
      <c r="B3542" s="4" t="s">
        <v>192</v>
      </c>
      <c r="C3542" s="38" t="s">
        <v>204</v>
      </c>
      <c r="D3542" s="4">
        <v>2020</v>
      </c>
      <c r="E3542" s="4"/>
      <c r="F3542" s="4">
        <v>15</v>
      </c>
      <c r="G3542" s="4">
        <v>140</v>
      </c>
      <c r="H3542" s="4">
        <v>105</v>
      </c>
    </row>
    <row r="3543" spans="1:8" s="5" customFormat="1" ht="17.25" hidden="1" customHeight="1" outlineLevel="1" x14ac:dyDescent="0.25">
      <c r="A3543" s="4">
        <v>1116</v>
      </c>
      <c r="B3543" s="4" t="s">
        <v>192</v>
      </c>
      <c r="C3543" s="38" t="s">
        <v>205</v>
      </c>
      <c r="D3543" s="4">
        <v>2020</v>
      </c>
      <c r="E3543" s="4"/>
      <c r="F3543" s="4">
        <v>500</v>
      </c>
      <c r="G3543" s="4">
        <v>100</v>
      </c>
      <c r="H3543" s="4">
        <v>499</v>
      </c>
    </row>
    <row r="3544" spans="1:8" s="5" customFormat="1" ht="17.25" hidden="1" customHeight="1" outlineLevel="1" x14ac:dyDescent="0.25">
      <c r="A3544" s="4">
        <v>1042</v>
      </c>
      <c r="B3544" s="4" t="s">
        <v>192</v>
      </c>
      <c r="C3544" s="38" t="s">
        <v>206</v>
      </c>
      <c r="D3544" s="4">
        <v>2020</v>
      </c>
      <c r="E3544" s="4"/>
      <c r="F3544" s="4">
        <v>53</v>
      </c>
      <c r="G3544" s="4">
        <v>150</v>
      </c>
      <c r="H3544" s="4">
        <v>104</v>
      </c>
    </row>
    <row r="3545" spans="1:8" s="5" customFormat="1" ht="17.25" hidden="1" customHeight="1" outlineLevel="1" x14ac:dyDescent="0.25">
      <c r="A3545" s="4">
        <v>435</v>
      </c>
      <c r="B3545" s="4" t="s">
        <v>192</v>
      </c>
      <c r="C3545" s="38" t="s">
        <v>207</v>
      </c>
      <c r="D3545" s="4">
        <v>2020</v>
      </c>
      <c r="E3545" s="4"/>
      <c r="F3545" s="4">
        <v>34</v>
      </c>
      <c r="G3545" s="4">
        <v>15</v>
      </c>
      <c r="H3545" s="4">
        <v>210</v>
      </c>
    </row>
    <row r="3546" spans="1:8" s="5" customFormat="1" ht="17.25" hidden="1" customHeight="1" outlineLevel="1" x14ac:dyDescent="0.25">
      <c r="A3546" s="4">
        <v>388</v>
      </c>
      <c r="B3546" s="4" t="s">
        <v>192</v>
      </c>
      <c r="C3546" s="38" t="s">
        <v>208</v>
      </c>
      <c r="D3546" s="4">
        <v>2020</v>
      </c>
      <c r="E3546" s="4"/>
      <c r="F3546" s="4">
        <v>911</v>
      </c>
      <c r="G3546" s="4">
        <v>15</v>
      </c>
      <c r="H3546" s="4">
        <v>1035</v>
      </c>
    </row>
    <row r="3547" spans="1:8" s="5" customFormat="1" ht="17.25" hidden="1" customHeight="1" outlineLevel="1" x14ac:dyDescent="0.25">
      <c r="A3547" s="4">
        <v>464</v>
      </c>
      <c r="B3547" s="4" t="s">
        <v>192</v>
      </c>
      <c r="C3547" s="38" t="s">
        <v>209</v>
      </c>
      <c r="D3547" s="4">
        <v>2020</v>
      </c>
      <c r="E3547" s="4"/>
      <c r="F3547" s="4">
        <v>340</v>
      </c>
      <c r="G3547" s="4">
        <v>40</v>
      </c>
      <c r="H3547" s="4">
        <v>507</v>
      </c>
    </row>
    <row r="3548" spans="1:8" s="5" customFormat="1" ht="17.25" hidden="1" customHeight="1" outlineLevel="1" x14ac:dyDescent="0.25">
      <c r="A3548" s="4">
        <v>1795</v>
      </c>
      <c r="B3548" s="4" t="s">
        <v>192</v>
      </c>
      <c r="C3548" s="38" t="s">
        <v>210</v>
      </c>
      <c r="D3548" s="4">
        <v>2020</v>
      </c>
      <c r="E3548" s="4"/>
      <c r="F3548" s="4">
        <v>1545</v>
      </c>
      <c r="G3548" s="4">
        <v>300</v>
      </c>
      <c r="H3548" s="4">
        <v>2484</v>
      </c>
    </row>
    <row r="3549" spans="1:8" s="5" customFormat="1" ht="26.25" hidden="1" customHeight="1" outlineLevel="1" x14ac:dyDescent="0.25">
      <c r="A3549" s="43">
        <v>1282</v>
      </c>
      <c r="B3549" s="4" t="s">
        <v>192</v>
      </c>
      <c r="C3549" s="38" t="s">
        <v>1380</v>
      </c>
      <c r="D3549" s="4">
        <v>2021</v>
      </c>
      <c r="E3549" s="4"/>
      <c r="F3549" s="4">
        <v>1272</v>
      </c>
      <c r="G3549" s="4">
        <v>20</v>
      </c>
      <c r="H3549" s="4">
        <v>1244</v>
      </c>
    </row>
    <row r="3550" spans="1:8" s="5" customFormat="1" ht="26.25" hidden="1" customHeight="1" outlineLevel="1" x14ac:dyDescent="0.25">
      <c r="A3550" s="42">
        <v>9731</v>
      </c>
      <c r="B3550" s="4" t="s">
        <v>192</v>
      </c>
      <c r="C3550" s="38" t="s">
        <v>1878</v>
      </c>
      <c r="D3550" s="4">
        <v>2021</v>
      </c>
      <c r="E3550" s="4"/>
      <c r="F3550" s="4">
        <v>4707</v>
      </c>
      <c r="G3550" s="4">
        <v>40</v>
      </c>
      <c r="H3550" s="4">
        <v>5658</v>
      </c>
    </row>
    <row r="3551" spans="1:8" s="5" customFormat="1" ht="26.25" hidden="1" customHeight="1" outlineLevel="1" x14ac:dyDescent="0.25">
      <c r="A3551" s="43">
        <v>1267</v>
      </c>
      <c r="B3551" s="4" t="s">
        <v>192</v>
      </c>
      <c r="C3551" s="38" t="s">
        <v>1426</v>
      </c>
      <c r="D3551" s="4">
        <v>2021</v>
      </c>
      <c r="E3551" s="4"/>
      <c r="F3551" s="4">
        <v>10</v>
      </c>
      <c r="G3551" s="4">
        <v>15</v>
      </c>
      <c r="H3551" s="4">
        <v>104</v>
      </c>
    </row>
    <row r="3552" spans="1:8" s="5" customFormat="1" ht="26.25" hidden="1" customHeight="1" outlineLevel="1" x14ac:dyDescent="0.25">
      <c r="A3552" s="43">
        <v>1265</v>
      </c>
      <c r="B3552" s="4" t="s">
        <v>192</v>
      </c>
      <c r="C3552" s="38" t="s">
        <v>1444</v>
      </c>
      <c r="D3552" s="4">
        <v>2021</v>
      </c>
      <c r="E3552" s="4"/>
      <c r="F3552" s="4">
        <v>120</v>
      </c>
      <c r="G3552" s="4">
        <v>15</v>
      </c>
      <c r="H3552" s="4">
        <v>207</v>
      </c>
    </row>
    <row r="3553" spans="1:8" s="5" customFormat="1" ht="26.25" hidden="1" customHeight="1" outlineLevel="1" x14ac:dyDescent="0.25">
      <c r="A3553" s="42">
        <v>9730</v>
      </c>
      <c r="B3553" s="4" t="s">
        <v>192</v>
      </c>
      <c r="C3553" s="38" t="s">
        <v>1886</v>
      </c>
      <c r="D3553" s="4">
        <v>2021</v>
      </c>
      <c r="E3553" s="4"/>
      <c r="F3553" s="4">
        <v>4817</v>
      </c>
      <c r="G3553" s="4">
        <v>140</v>
      </c>
      <c r="H3553" s="4">
        <v>7298</v>
      </c>
    </row>
    <row r="3554" spans="1:8" s="5" customFormat="1" ht="26.25" hidden="1" customHeight="1" outlineLevel="1" x14ac:dyDescent="0.25">
      <c r="A3554" s="43">
        <v>1283</v>
      </c>
      <c r="B3554" s="4" t="s">
        <v>192</v>
      </c>
      <c r="C3554" s="38" t="s">
        <v>1154</v>
      </c>
      <c r="D3554" s="4">
        <v>2021</v>
      </c>
      <c r="E3554" s="4"/>
      <c r="F3554" s="4">
        <v>2868</v>
      </c>
      <c r="G3554" s="4">
        <v>3</v>
      </c>
      <c r="H3554" s="4">
        <v>3857.56</v>
      </c>
    </row>
    <row r="3555" spans="1:8" s="5" customFormat="1" ht="26.25" hidden="1" customHeight="1" outlineLevel="1" x14ac:dyDescent="0.25">
      <c r="A3555" s="42">
        <v>9506</v>
      </c>
      <c r="B3555" s="4" t="s">
        <v>192</v>
      </c>
      <c r="C3555" s="38" t="s">
        <v>1984</v>
      </c>
      <c r="D3555" s="4">
        <v>2021</v>
      </c>
      <c r="E3555" s="4"/>
      <c r="F3555" s="4">
        <v>72</v>
      </c>
      <c r="G3555" s="4">
        <v>200</v>
      </c>
      <c r="H3555" s="4">
        <v>291.93099999999998</v>
      </c>
    </row>
    <row r="3556" spans="1:8" s="5" customFormat="1" ht="26.25" hidden="1" customHeight="1" outlineLevel="1" x14ac:dyDescent="0.25">
      <c r="A3556" s="42">
        <v>9513</v>
      </c>
      <c r="B3556" s="4" t="s">
        <v>192</v>
      </c>
      <c r="C3556" s="38" t="s">
        <v>1988</v>
      </c>
      <c r="D3556" s="4">
        <v>2021</v>
      </c>
      <c r="E3556" s="4"/>
      <c r="F3556" s="4">
        <v>20</v>
      </c>
      <c r="G3556" s="4">
        <v>214.7</v>
      </c>
      <c r="H3556" s="4">
        <v>141.41399999999999</v>
      </c>
    </row>
    <row r="3557" spans="1:8" s="5" customFormat="1" ht="26.25" hidden="1" customHeight="1" outlineLevel="1" x14ac:dyDescent="0.25">
      <c r="A3557" s="43">
        <v>760</v>
      </c>
      <c r="B3557" s="4" t="s">
        <v>192</v>
      </c>
      <c r="C3557" s="38" t="s">
        <v>1509</v>
      </c>
      <c r="D3557" s="4">
        <v>2021</v>
      </c>
      <c r="E3557" s="4"/>
      <c r="F3557" s="4">
        <v>5350</v>
      </c>
      <c r="G3557" s="4">
        <v>25</v>
      </c>
      <c r="H3557" s="4">
        <v>5939.4740000000002</v>
      </c>
    </row>
    <row r="3558" spans="1:8" s="5" customFormat="1" ht="26.25" hidden="1" customHeight="1" outlineLevel="1" x14ac:dyDescent="0.25">
      <c r="A3558" s="43">
        <v>736</v>
      </c>
      <c r="B3558" s="4" t="s">
        <v>192</v>
      </c>
      <c r="C3558" s="38" t="s">
        <v>1510</v>
      </c>
      <c r="D3558" s="4">
        <v>2021</v>
      </c>
      <c r="E3558" s="4"/>
      <c r="F3558" s="4">
        <v>300</v>
      </c>
      <c r="G3558" s="4">
        <v>15</v>
      </c>
      <c r="H3558" s="4">
        <v>465.08300000000003</v>
      </c>
    </row>
    <row r="3559" spans="1:8" s="5" customFormat="1" ht="26.25" hidden="1" customHeight="1" outlineLevel="1" x14ac:dyDescent="0.25">
      <c r="A3559" s="42">
        <v>9507</v>
      </c>
      <c r="B3559" s="4" t="s">
        <v>192</v>
      </c>
      <c r="C3559" s="38" t="s">
        <v>1513</v>
      </c>
      <c r="D3559" s="4">
        <v>2021</v>
      </c>
      <c r="E3559" s="4"/>
      <c r="F3559" s="4">
        <v>35</v>
      </c>
      <c r="G3559" s="4">
        <v>10</v>
      </c>
      <c r="H3559" s="4">
        <v>123.297</v>
      </c>
    </row>
    <row r="3560" spans="1:8" s="5" customFormat="1" ht="26.25" hidden="1" customHeight="1" outlineLevel="1" x14ac:dyDescent="0.25">
      <c r="A3560" s="42">
        <v>9520</v>
      </c>
      <c r="B3560" s="4" t="s">
        <v>192</v>
      </c>
      <c r="C3560" s="38" t="s">
        <v>1514</v>
      </c>
      <c r="D3560" s="4">
        <v>2021</v>
      </c>
      <c r="E3560" s="4"/>
      <c r="F3560" s="4">
        <v>35</v>
      </c>
      <c r="G3560" s="4">
        <v>50</v>
      </c>
      <c r="H3560" s="4">
        <v>109.298</v>
      </c>
    </row>
    <row r="3561" spans="1:8" s="5" customFormat="1" ht="26.25" hidden="1" customHeight="1" outlineLevel="1" x14ac:dyDescent="0.25">
      <c r="A3561" s="42">
        <v>9519</v>
      </c>
      <c r="B3561" s="4" t="s">
        <v>192</v>
      </c>
      <c r="C3561" s="38" t="s">
        <v>1515</v>
      </c>
      <c r="D3561" s="4">
        <v>2021</v>
      </c>
      <c r="E3561" s="4"/>
      <c r="F3561" s="4">
        <v>643</v>
      </c>
      <c r="G3561" s="4">
        <v>15</v>
      </c>
      <c r="H3561" s="4">
        <v>569.95000000000005</v>
      </c>
    </row>
    <row r="3562" spans="1:8" s="5" customFormat="1" ht="26.25" hidden="1" customHeight="1" outlineLevel="1" x14ac:dyDescent="0.25">
      <c r="A3562" s="42">
        <v>9509</v>
      </c>
      <c r="B3562" s="4" t="s">
        <v>192</v>
      </c>
      <c r="C3562" s="38" t="s">
        <v>1989</v>
      </c>
      <c r="D3562" s="4">
        <v>2021</v>
      </c>
      <c r="E3562" s="4"/>
      <c r="F3562" s="4">
        <v>26</v>
      </c>
      <c r="G3562" s="4">
        <v>10</v>
      </c>
      <c r="H3562" s="4">
        <v>208.185</v>
      </c>
    </row>
    <row r="3563" spans="1:8" s="5" customFormat="1" ht="26.25" hidden="1" customHeight="1" outlineLevel="1" x14ac:dyDescent="0.25">
      <c r="A3563" s="42">
        <v>9515</v>
      </c>
      <c r="B3563" s="4" t="s">
        <v>192</v>
      </c>
      <c r="C3563" s="38" t="s">
        <v>1521</v>
      </c>
      <c r="D3563" s="4">
        <v>2021</v>
      </c>
      <c r="E3563" s="4"/>
      <c r="F3563" s="4">
        <v>10</v>
      </c>
      <c r="G3563" s="4">
        <v>15</v>
      </c>
      <c r="H3563" s="4">
        <v>91.135999999999996</v>
      </c>
    </row>
    <row r="3564" spans="1:8" s="5" customFormat="1" ht="26.25" hidden="1" customHeight="1" outlineLevel="1" x14ac:dyDescent="0.25">
      <c r="A3564" s="42">
        <v>9516</v>
      </c>
      <c r="B3564" s="4" t="s">
        <v>192</v>
      </c>
      <c r="C3564" s="38" t="s">
        <v>1522</v>
      </c>
      <c r="D3564" s="4">
        <v>2021</v>
      </c>
      <c r="E3564" s="4"/>
      <c r="F3564" s="4">
        <v>180</v>
      </c>
      <c r="G3564" s="4">
        <v>120</v>
      </c>
      <c r="H3564" s="4">
        <v>256.798</v>
      </c>
    </row>
    <row r="3565" spans="1:8" s="5" customFormat="1" ht="26.25" hidden="1" customHeight="1" outlineLevel="1" x14ac:dyDescent="0.25">
      <c r="A3565" s="42">
        <v>9514</v>
      </c>
      <c r="B3565" s="4" t="s">
        <v>192</v>
      </c>
      <c r="C3565" s="38" t="s">
        <v>1913</v>
      </c>
      <c r="D3565" s="4">
        <v>2021</v>
      </c>
      <c r="E3565" s="4"/>
      <c r="F3565" s="4">
        <v>215</v>
      </c>
      <c r="G3565" s="4">
        <v>280</v>
      </c>
      <c r="H3565" s="4">
        <v>318.11900000000003</v>
      </c>
    </row>
    <row r="3566" spans="1:8" s="5" customFormat="1" ht="26.25" hidden="1" customHeight="1" outlineLevel="1" x14ac:dyDescent="0.25">
      <c r="A3566" s="42">
        <v>9496</v>
      </c>
      <c r="B3566" s="4" t="s">
        <v>192</v>
      </c>
      <c r="C3566" s="38" t="s">
        <v>1525</v>
      </c>
      <c r="D3566" s="4">
        <v>2021</v>
      </c>
      <c r="E3566" s="4"/>
      <c r="F3566" s="4">
        <v>30</v>
      </c>
      <c r="G3566" s="4">
        <v>15</v>
      </c>
      <c r="H3566" s="4">
        <v>115.254</v>
      </c>
    </row>
    <row r="3567" spans="1:8" s="5" customFormat="1" ht="26.25" hidden="1" customHeight="1" outlineLevel="1" x14ac:dyDescent="0.25">
      <c r="A3567" s="42">
        <v>9505</v>
      </c>
      <c r="B3567" s="4" t="s">
        <v>192</v>
      </c>
      <c r="C3567" s="35" t="s">
        <v>1530</v>
      </c>
      <c r="D3567" s="4">
        <v>2021</v>
      </c>
      <c r="E3567" s="4"/>
      <c r="F3567" s="4">
        <v>12</v>
      </c>
      <c r="G3567" s="4">
        <v>15</v>
      </c>
      <c r="H3567" s="4">
        <v>108.828</v>
      </c>
    </row>
    <row r="3568" spans="1:8" s="5" customFormat="1" ht="26.25" hidden="1" customHeight="1" outlineLevel="1" x14ac:dyDescent="0.25">
      <c r="A3568" s="42">
        <v>9497</v>
      </c>
      <c r="B3568" s="4" t="s">
        <v>192</v>
      </c>
      <c r="C3568" s="38" t="s">
        <v>1535</v>
      </c>
      <c r="D3568" s="4">
        <v>2021</v>
      </c>
      <c r="E3568" s="4"/>
      <c r="F3568" s="4">
        <v>50</v>
      </c>
      <c r="G3568" s="4">
        <v>45</v>
      </c>
      <c r="H3568" s="4">
        <v>115.102</v>
      </c>
    </row>
    <row r="3569" spans="1:8" s="5" customFormat="1" ht="26.25" hidden="1" customHeight="1" outlineLevel="1" x14ac:dyDescent="0.25">
      <c r="A3569" s="42">
        <v>9264</v>
      </c>
      <c r="B3569" s="4" t="s">
        <v>192</v>
      </c>
      <c r="C3569" s="38" t="s">
        <v>1990</v>
      </c>
      <c r="D3569" s="4">
        <v>2021</v>
      </c>
      <c r="E3569" s="4"/>
      <c r="F3569" s="4">
        <v>20</v>
      </c>
      <c r="G3569" s="4">
        <v>100</v>
      </c>
      <c r="H3569" s="4">
        <v>170.53</v>
      </c>
    </row>
    <row r="3570" spans="1:8" s="5" customFormat="1" ht="26.25" hidden="1" customHeight="1" outlineLevel="1" x14ac:dyDescent="0.25">
      <c r="A3570" s="42">
        <v>9506</v>
      </c>
      <c r="B3570" s="4" t="s">
        <v>192</v>
      </c>
      <c r="C3570" s="38" t="s">
        <v>1984</v>
      </c>
      <c r="D3570" s="4">
        <v>2021</v>
      </c>
      <c r="E3570" s="4"/>
      <c r="F3570" s="4">
        <v>456</v>
      </c>
      <c r="G3570" s="4">
        <v>200</v>
      </c>
      <c r="H3570" s="4">
        <v>377.53199999999998</v>
      </c>
    </row>
    <row r="3571" spans="1:8" s="5" customFormat="1" ht="26.25" hidden="1" customHeight="1" outlineLevel="1" x14ac:dyDescent="0.25">
      <c r="A3571" s="42">
        <v>9501</v>
      </c>
      <c r="B3571" s="4" t="s">
        <v>192</v>
      </c>
      <c r="C3571" s="38" t="s">
        <v>1991</v>
      </c>
      <c r="D3571" s="4">
        <v>2021</v>
      </c>
      <c r="E3571" s="4"/>
      <c r="F3571" s="4">
        <v>412</v>
      </c>
      <c r="G3571" s="4">
        <v>115</v>
      </c>
      <c r="H3571" s="4">
        <v>295.25400000000002</v>
      </c>
    </row>
    <row r="3572" spans="1:8" s="5" customFormat="1" ht="26.25" hidden="1" customHeight="1" outlineLevel="1" x14ac:dyDescent="0.25">
      <c r="A3572" s="42">
        <v>9503</v>
      </c>
      <c r="B3572" s="4" t="s">
        <v>192</v>
      </c>
      <c r="C3572" s="38" t="s">
        <v>1539</v>
      </c>
      <c r="D3572" s="4">
        <v>2021</v>
      </c>
      <c r="E3572" s="4"/>
      <c r="F3572" s="4">
        <v>200</v>
      </c>
      <c r="G3572" s="4">
        <v>100</v>
      </c>
      <c r="H3572" s="4">
        <v>227.58</v>
      </c>
    </row>
    <row r="3573" spans="1:8" s="5" customFormat="1" ht="26.25" hidden="1" customHeight="1" outlineLevel="1" x14ac:dyDescent="0.25">
      <c r="A3573" s="42">
        <v>9502</v>
      </c>
      <c r="B3573" s="4" t="s">
        <v>192</v>
      </c>
      <c r="C3573" s="38" t="s">
        <v>1541</v>
      </c>
      <c r="D3573" s="4">
        <v>2021</v>
      </c>
      <c r="E3573" s="4"/>
      <c r="F3573" s="4">
        <v>1328</v>
      </c>
      <c r="G3573" s="4">
        <v>15</v>
      </c>
      <c r="H3573" s="4">
        <v>1885.4880000000001</v>
      </c>
    </row>
    <row r="3574" spans="1:8" s="5" customFormat="1" ht="26.25" hidden="1" customHeight="1" outlineLevel="1" x14ac:dyDescent="0.25">
      <c r="A3574" s="42">
        <v>9495</v>
      </c>
      <c r="B3574" s="4" t="s">
        <v>192</v>
      </c>
      <c r="C3574" s="38" t="s">
        <v>1542</v>
      </c>
      <c r="D3574" s="4">
        <v>2021</v>
      </c>
      <c r="E3574" s="4"/>
      <c r="F3574" s="4">
        <v>2039</v>
      </c>
      <c r="G3574" s="4">
        <v>15</v>
      </c>
      <c r="H3574" s="4">
        <v>2002.838</v>
      </c>
    </row>
    <row r="3575" spans="1:8" s="5" customFormat="1" ht="26.25" hidden="1" customHeight="1" outlineLevel="1" x14ac:dyDescent="0.25">
      <c r="A3575" s="42">
        <v>9499</v>
      </c>
      <c r="B3575" s="4" t="s">
        <v>192</v>
      </c>
      <c r="C3575" s="38" t="s">
        <v>1543</v>
      </c>
      <c r="D3575" s="4">
        <v>2021</v>
      </c>
      <c r="E3575" s="4"/>
      <c r="F3575" s="4">
        <v>945</v>
      </c>
      <c r="G3575" s="4">
        <v>15</v>
      </c>
      <c r="H3575" s="4">
        <v>1295.8679999999999</v>
      </c>
    </row>
    <row r="3576" spans="1:8" s="5" customFormat="1" ht="26.25" hidden="1" customHeight="1" outlineLevel="1" x14ac:dyDescent="0.25">
      <c r="A3576" s="42">
        <v>9500</v>
      </c>
      <c r="B3576" s="4" t="s">
        <v>192</v>
      </c>
      <c r="C3576" s="38" t="s">
        <v>1544</v>
      </c>
      <c r="D3576" s="4">
        <v>2021</v>
      </c>
      <c r="E3576" s="4"/>
      <c r="F3576" s="4">
        <v>965</v>
      </c>
      <c r="G3576" s="4">
        <v>15</v>
      </c>
      <c r="H3576" s="4">
        <v>966.71199999999999</v>
      </c>
    </row>
    <row r="3577" spans="1:8" s="5" customFormat="1" ht="26.25" hidden="1" customHeight="1" outlineLevel="1" x14ac:dyDescent="0.25">
      <c r="A3577" s="42">
        <v>9498</v>
      </c>
      <c r="B3577" s="4" t="s">
        <v>192</v>
      </c>
      <c r="C3577" s="38" t="s">
        <v>1546</v>
      </c>
      <c r="D3577" s="4">
        <v>2021</v>
      </c>
      <c r="E3577" s="4"/>
      <c r="F3577" s="4">
        <v>2006</v>
      </c>
      <c r="G3577" s="4">
        <v>155</v>
      </c>
      <c r="H3577" s="4">
        <v>2432.7600000000002</v>
      </c>
    </row>
    <row r="3578" spans="1:8" s="5" customFormat="1" ht="26.25" hidden="1" customHeight="1" outlineLevel="1" x14ac:dyDescent="0.25">
      <c r="A3578" s="42">
        <v>9524</v>
      </c>
      <c r="B3578" s="4" t="s">
        <v>192</v>
      </c>
      <c r="C3578" s="38" t="s">
        <v>1547</v>
      </c>
      <c r="D3578" s="4">
        <v>2021</v>
      </c>
      <c r="E3578" s="4"/>
      <c r="F3578" s="4">
        <v>1044</v>
      </c>
      <c r="G3578" s="4">
        <v>10</v>
      </c>
      <c r="H3578" s="4">
        <v>1388.241</v>
      </c>
    </row>
    <row r="3579" spans="1:8" s="5" customFormat="1" ht="26.25" hidden="1" customHeight="1" outlineLevel="1" x14ac:dyDescent="0.25">
      <c r="A3579" s="42">
        <v>9504</v>
      </c>
      <c r="B3579" s="4" t="s">
        <v>192</v>
      </c>
      <c r="C3579" s="38" t="s">
        <v>1992</v>
      </c>
      <c r="D3579" s="4">
        <v>2021</v>
      </c>
      <c r="E3579" s="4"/>
      <c r="F3579" s="4">
        <v>1315</v>
      </c>
      <c r="G3579" s="4">
        <v>100</v>
      </c>
      <c r="H3579" s="4">
        <v>1885.1780000000001</v>
      </c>
    </row>
    <row r="3580" spans="1:8" s="5" customFormat="1" ht="26.25" hidden="1" customHeight="1" outlineLevel="1" x14ac:dyDescent="0.25">
      <c r="A3580" s="42">
        <v>9649</v>
      </c>
      <c r="B3580" s="4" t="s">
        <v>192</v>
      </c>
      <c r="C3580" s="38" t="s">
        <v>1608</v>
      </c>
      <c r="D3580" s="4">
        <v>2021</v>
      </c>
      <c r="E3580" s="4"/>
      <c r="F3580" s="4">
        <v>20</v>
      </c>
      <c r="G3580" s="4">
        <v>15</v>
      </c>
      <c r="H3580" s="4">
        <v>68</v>
      </c>
    </row>
    <row r="3581" spans="1:8" s="5" customFormat="1" ht="26.25" hidden="1" customHeight="1" outlineLevel="1" x14ac:dyDescent="0.25">
      <c r="A3581" s="42">
        <v>9667</v>
      </c>
      <c r="B3581" s="4" t="s">
        <v>192</v>
      </c>
      <c r="C3581" s="38" t="s">
        <v>1649</v>
      </c>
      <c r="D3581" s="4">
        <v>2021</v>
      </c>
      <c r="E3581" s="4"/>
      <c r="F3581" s="4">
        <v>85</v>
      </c>
      <c r="G3581" s="4">
        <v>70</v>
      </c>
      <c r="H3581" s="4">
        <v>336</v>
      </c>
    </row>
    <row r="3582" spans="1:8" s="5" customFormat="1" ht="26.25" hidden="1" customHeight="1" outlineLevel="1" x14ac:dyDescent="0.25">
      <c r="A3582" s="42">
        <v>9654</v>
      </c>
      <c r="B3582" s="4" t="s">
        <v>192</v>
      </c>
      <c r="C3582" s="38" t="s">
        <v>1993</v>
      </c>
      <c r="D3582" s="4">
        <v>2021</v>
      </c>
      <c r="E3582" s="4"/>
      <c r="F3582" s="4">
        <v>80</v>
      </c>
      <c r="G3582" s="4">
        <v>15</v>
      </c>
      <c r="H3582" s="4">
        <v>91</v>
      </c>
    </row>
    <row r="3583" spans="1:8" s="5" customFormat="1" ht="26.25" hidden="1" customHeight="1" outlineLevel="1" x14ac:dyDescent="0.25">
      <c r="A3583" s="42">
        <v>9585</v>
      </c>
      <c r="B3583" s="4" t="s">
        <v>192</v>
      </c>
      <c r="C3583" s="38" t="s">
        <v>1994</v>
      </c>
      <c r="D3583" s="4">
        <v>2021</v>
      </c>
      <c r="E3583" s="4"/>
      <c r="F3583" s="4">
        <v>30</v>
      </c>
      <c r="G3583" s="4">
        <v>100</v>
      </c>
      <c r="H3583" s="4">
        <v>73</v>
      </c>
    </row>
    <row r="3584" spans="1:8" s="5" customFormat="1" ht="17.25" customHeight="1" collapsed="1" x14ac:dyDescent="0.25">
      <c r="A3584" s="208"/>
      <c r="B3584" s="189" t="s">
        <v>211</v>
      </c>
      <c r="C3584" s="189" t="s">
        <v>3193</v>
      </c>
      <c r="D3584" s="189"/>
      <c r="E3584" s="174" t="s">
        <v>22</v>
      </c>
      <c r="F3584" s="174"/>
      <c r="G3584" s="174"/>
      <c r="H3584" s="174"/>
    </row>
    <row r="3585" spans="1:33" s="5" customFormat="1" ht="17.25" customHeight="1" x14ac:dyDescent="0.25">
      <c r="A3585" s="210"/>
      <c r="B3585" s="190"/>
      <c r="C3585" s="190"/>
      <c r="D3585" s="190"/>
      <c r="E3585" s="188"/>
      <c r="F3585" s="188"/>
      <c r="G3585" s="188"/>
      <c r="H3585" s="188"/>
    </row>
    <row r="3586" spans="1:33" s="5" customFormat="1" ht="17.25" customHeight="1" x14ac:dyDescent="0.25">
      <c r="A3586" s="209"/>
      <c r="B3586" s="191"/>
      <c r="C3586" s="191"/>
      <c r="D3586" s="191"/>
      <c r="E3586" s="175"/>
      <c r="F3586" s="175"/>
      <c r="G3586" s="175"/>
      <c r="H3586" s="175"/>
    </row>
    <row r="3587" spans="1:33" s="5" customFormat="1" ht="17.25" customHeight="1" x14ac:dyDescent="0.25">
      <c r="A3587" s="4"/>
      <c r="B3587" s="11" t="s">
        <v>211</v>
      </c>
      <c r="C3587" s="12" t="s">
        <v>1102</v>
      </c>
      <c r="D3587" s="11">
        <v>2020</v>
      </c>
      <c r="E3587" s="11" t="s">
        <v>22</v>
      </c>
      <c r="F3587" s="33">
        <f>SUMIF($D$3590:$D$3621,$D$3587,$F$3590:$F$3621)</f>
        <v>19204</v>
      </c>
      <c r="G3587" s="34">
        <f>SUMIF($D$3590:$D$3621,$D$3587,$G$3590:$G$3621)</f>
        <v>1069</v>
      </c>
      <c r="H3587" s="34">
        <f>SUMIF($D$3590:$D$3621,$D$3587,$H$3590:$H$3621)</f>
        <v>24362.23533</v>
      </c>
    </row>
    <row r="3588" spans="1:33" s="25" customFormat="1" ht="17.25" customHeight="1" x14ac:dyDescent="0.25">
      <c r="A3588" s="4"/>
      <c r="B3588" s="11" t="s">
        <v>211</v>
      </c>
      <c r="C3588" s="12" t="s">
        <v>1102</v>
      </c>
      <c r="D3588" s="11">
        <v>2021</v>
      </c>
      <c r="E3588" s="11" t="s">
        <v>22</v>
      </c>
      <c r="F3588" s="11">
        <f>SUMIF($D$3590:$D$3621,$D$3588,$F$3590:$F$3621)</f>
        <v>7339</v>
      </c>
      <c r="G3588" s="14">
        <f>SUMIF($D$3590:$D$3621,$D$3588,$G$3590:$G$3621)</f>
        <v>165</v>
      </c>
      <c r="H3588" s="14">
        <f>SUMIF($D$3590:$D$3621,$D$3588,$H$3590:$H$3621)</f>
        <v>8576.075789999999</v>
      </c>
      <c r="I3588" s="5"/>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row>
    <row r="3589" spans="1:33" s="5" customFormat="1" ht="15.75" x14ac:dyDescent="0.25">
      <c r="A3589" s="4"/>
      <c r="B3589" s="11" t="s">
        <v>211</v>
      </c>
      <c r="C3589" s="12" t="s">
        <v>1102</v>
      </c>
      <c r="D3589" s="11">
        <v>2022</v>
      </c>
      <c r="E3589" s="11" t="s">
        <v>22</v>
      </c>
      <c r="F3589" s="11">
        <f>SUMIF($D$3590:$D$3621,$D$3589,$F$3590:$F$3621)</f>
        <v>5493</v>
      </c>
      <c r="G3589" s="14">
        <f>SUMIF($D$3590:$D$3621,$D$3589,$G$3590:$G$3621)</f>
        <v>1402</v>
      </c>
      <c r="H3589" s="14">
        <f>SUMIF($D$3590:$D$3621,$D$3589,$H$3590:$H$3621)</f>
        <v>9464.3567000000003</v>
      </c>
    </row>
    <row r="3590" spans="1:33" s="5" customFormat="1" ht="126" hidden="1" outlineLevel="1" x14ac:dyDescent="0.25">
      <c r="A3590" s="4">
        <v>454</v>
      </c>
      <c r="B3590" s="4" t="s">
        <v>211</v>
      </c>
      <c r="C3590" s="38" t="s">
        <v>4023</v>
      </c>
      <c r="D3590" s="4">
        <v>2022</v>
      </c>
      <c r="E3590" s="4" t="s">
        <v>22</v>
      </c>
      <c r="F3590" s="4">
        <v>3214</v>
      </c>
      <c r="G3590" s="4">
        <v>150</v>
      </c>
      <c r="H3590" s="4">
        <v>4509.17</v>
      </c>
    </row>
    <row r="3591" spans="1:33" s="5" customFormat="1" ht="94.5" hidden="1" outlineLevel="1" x14ac:dyDescent="0.25">
      <c r="A3591" s="4">
        <v>457</v>
      </c>
      <c r="B3591" s="4" t="s">
        <v>211</v>
      </c>
      <c r="C3591" s="38" t="s">
        <v>3542</v>
      </c>
      <c r="D3591" s="4">
        <v>2022</v>
      </c>
      <c r="E3591" s="4" t="s">
        <v>22</v>
      </c>
      <c r="F3591" s="4">
        <v>1023</v>
      </c>
      <c r="G3591" s="4">
        <v>15</v>
      </c>
      <c r="H3591" s="4">
        <v>1964.6226999999999</v>
      </c>
    </row>
    <row r="3592" spans="1:33" s="5" customFormat="1" ht="94.5" hidden="1" outlineLevel="1" x14ac:dyDescent="0.25">
      <c r="A3592" s="4">
        <v>5667</v>
      </c>
      <c r="B3592" s="4" t="s">
        <v>211</v>
      </c>
      <c r="C3592" s="38" t="s">
        <v>4232</v>
      </c>
      <c r="D3592" s="4">
        <v>2022</v>
      </c>
      <c r="E3592" s="4" t="s">
        <v>22</v>
      </c>
      <c r="F3592" s="4">
        <v>10</v>
      </c>
      <c r="G3592" s="4">
        <v>150</v>
      </c>
      <c r="H3592" s="4">
        <v>163.13200000000001</v>
      </c>
    </row>
    <row r="3593" spans="1:33" s="5" customFormat="1" ht="141.75" hidden="1" outlineLevel="1" x14ac:dyDescent="0.25">
      <c r="A3593" s="4">
        <v>5421</v>
      </c>
      <c r="B3593" s="4" t="s">
        <v>211</v>
      </c>
      <c r="C3593" s="38" t="s">
        <v>4036</v>
      </c>
      <c r="D3593" s="4">
        <v>2022</v>
      </c>
      <c r="E3593" s="4" t="s">
        <v>22</v>
      </c>
      <c r="F3593" s="4">
        <v>10</v>
      </c>
      <c r="G3593" s="4">
        <v>130</v>
      </c>
      <c r="H3593" s="4">
        <v>177.21100000000001</v>
      </c>
    </row>
    <row r="3594" spans="1:33" s="5" customFormat="1" ht="157.5" hidden="1" outlineLevel="1" x14ac:dyDescent="0.25">
      <c r="A3594" s="4">
        <v>5690</v>
      </c>
      <c r="B3594" s="4" t="s">
        <v>211</v>
      </c>
      <c r="C3594" s="38" t="s">
        <v>3624</v>
      </c>
      <c r="D3594" s="4">
        <v>2022</v>
      </c>
      <c r="E3594" s="4" t="s">
        <v>22</v>
      </c>
      <c r="F3594" s="4">
        <v>30</v>
      </c>
      <c r="G3594" s="4">
        <v>10</v>
      </c>
      <c r="H3594" s="4">
        <v>119.614</v>
      </c>
    </row>
    <row r="3595" spans="1:33" s="5" customFormat="1" ht="126" hidden="1" outlineLevel="1" x14ac:dyDescent="0.25">
      <c r="A3595" s="4">
        <v>5422</v>
      </c>
      <c r="B3595" s="4" t="s">
        <v>211</v>
      </c>
      <c r="C3595" s="38" t="s">
        <v>3633</v>
      </c>
      <c r="D3595" s="4">
        <v>2022</v>
      </c>
      <c r="E3595" s="4" t="s">
        <v>22</v>
      </c>
      <c r="F3595" s="4">
        <v>220</v>
      </c>
      <c r="G3595" s="4">
        <v>25</v>
      </c>
      <c r="H3595" s="4">
        <v>339.99799999999999</v>
      </c>
    </row>
    <row r="3596" spans="1:33" s="5" customFormat="1" ht="126" hidden="1" outlineLevel="1" x14ac:dyDescent="0.25">
      <c r="A3596" s="4">
        <v>5834</v>
      </c>
      <c r="B3596" s="4" t="s">
        <v>211</v>
      </c>
      <c r="C3596" s="38" t="s">
        <v>3656</v>
      </c>
      <c r="D3596" s="4">
        <v>2022</v>
      </c>
      <c r="E3596" s="4" t="s">
        <v>22</v>
      </c>
      <c r="F3596" s="4">
        <v>10</v>
      </c>
      <c r="G3596" s="4">
        <v>100</v>
      </c>
      <c r="H3596" s="4">
        <v>92.194999999999993</v>
      </c>
    </row>
    <row r="3597" spans="1:33" s="5" customFormat="1" ht="126" hidden="1" outlineLevel="1" x14ac:dyDescent="0.25">
      <c r="A3597" s="4">
        <v>5420</v>
      </c>
      <c r="B3597" s="4" t="s">
        <v>211</v>
      </c>
      <c r="C3597" s="38" t="s">
        <v>3657</v>
      </c>
      <c r="D3597" s="4">
        <v>2022</v>
      </c>
      <c r="E3597" s="4" t="s">
        <v>22</v>
      </c>
      <c r="F3597" s="4">
        <v>250</v>
      </c>
      <c r="G3597" s="4">
        <v>30</v>
      </c>
      <c r="H3597" s="4">
        <v>371.48</v>
      </c>
    </row>
    <row r="3598" spans="1:33" s="5" customFormat="1" ht="126" hidden="1" outlineLevel="1" x14ac:dyDescent="0.25">
      <c r="A3598" s="4">
        <v>5436</v>
      </c>
      <c r="B3598" s="4" t="s">
        <v>211</v>
      </c>
      <c r="C3598" s="38" t="s">
        <v>3665</v>
      </c>
      <c r="D3598" s="4">
        <v>2022</v>
      </c>
      <c r="E3598" s="4" t="s">
        <v>22</v>
      </c>
      <c r="F3598" s="4">
        <v>220</v>
      </c>
      <c r="G3598" s="4">
        <v>15</v>
      </c>
      <c r="H3598" s="4">
        <v>335.39699999999999</v>
      </c>
    </row>
    <row r="3599" spans="1:33" s="5" customFormat="1" ht="94.5" hidden="1" outlineLevel="1" x14ac:dyDescent="0.25">
      <c r="A3599" s="4">
        <v>5418</v>
      </c>
      <c r="B3599" s="4" t="s">
        <v>211</v>
      </c>
      <c r="C3599" s="38" t="s">
        <v>4233</v>
      </c>
      <c r="D3599" s="4">
        <v>2022</v>
      </c>
      <c r="E3599" s="4" t="s">
        <v>22</v>
      </c>
      <c r="F3599" s="4">
        <v>100</v>
      </c>
      <c r="G3599" s="4">
        <v>540</v>
      </c>
      <c r="H3599" s="4">
        <v>234</v>
      </c>
    </row>
    <row r="3600" spans="1:33" s="5" customFormat="1" ht="126" hidden="1" outlineLevel="1" x14ac:dyDescent="0.25">
      <c r="A3600" s="4">
        <v>5767</v>
      </c>
      <c r="B3600" s="4" t="s">
        <v>211</v>
      </c>
      <c r="C3600" s="38" t="s">
        <v>3675</v>
      </c>
      <c r="D3600" s="4">
        <v>2022</v>
      </c>
      <c r="E3600" s="4" t="s">
        <v>22</v>
      </c>
      <c r="F3600" s="4">
        <v>7</v>
      </c>
      <c r="G3600" s="4">
        <v>15</v>
      </c>
      <c r="H3600" s="4">
        <v>111.551</v>
      </c>
    </row>
    <row r="3601" spans="1:8" s="5" customFormat="1" ht="126" hidden="1" outlineLevel="1" x14ac:dyDescent="0.25">
      <c r="A3601" s="4">
        <v>5768</v>
      </c>
      <c r="B3601" s="4" t="s">
        <v>211</v>
      </c>
      <c r="C3601" s="38" t="s">
        <v>3676</v>
      </c>
      <c r="D3601" s="4">
        <v>2022</v>
      </c>
      <c r="E3601" s="4" t="s">
        <v>22</v>
      </c>
      <c r="F3601" s="4">
        <v>170</v>
      </c>
      <c r="G3601" s="4">
        <v>62</v>
      </c>
      <c r="H3601" s="4">
        <v>297.98599999999999</v>
      </c>
    </row>
    <row r="3602" spans="1:8" s="5" customFormat="1" ht="79.5" hidden="1" customHeight="1" outlineLevel="1" x14ac:dyDescent="0.25">
      <c r="A3602" s="4">
        <v>430</v>
      </c>
      <c r="B3602" s="4" t="s">
        <v>211</v>
      </c>
      <c r="C3602" s="38" t="s">
        <v>3836</v>
      </c>
      <c r="D3602" s="4">
        <v>2022</v>
      </c>
      <c r="E3602" s="4" t="s">
        <v>22</v>
      </c>
      <c r="F3602" s="4">
        <v>229</v>
      </c>
      <c r="G3602" s="4">
        <v>160</v>
      </c>
      <c r="H3602" s="4">
        <v>748</v>
      </c>
    </row>
    <row r="3603" spans="1:8" s="5" customFormat="1" ht="17.25" hidden="1" customHeight="1" outlineLevel="1" x14ac:dyDescent="0.25">
      <c r="A3603" s="4">
        <v>1823</v>
      </c>
      <c r="B3603" s="4" t="s">
        <v>211</v>
      </c>
      <c r="C3603" s="38" t="s">
        <v>1018</v>
      </c>
      <c r="D3603" s="4">
        <v>2020</v>
      </c>
      <c r="E3603" s="4"/>
      <c r="F3603" s="4">
        <v>1075</v>
      </c>
      <c r="G3603" s="4">
        <v>100</v>
      </c>
      <c r="H3603" s="4">
        <v>1149</v>
      </c>
    </row>
    <row r="3604" spans="1:8" s="5" customFormat="1" ht="17.25" hidden="1" customHeight="1" outlineLevel="1" x14ac:dyDescent="0.25">
      <c r="A3604" s="4">
        <v>1817</v>
      </c>
      <c r="B3604" s="4" t="s">
        <v>211</v>
      </c>
      <c r="C3604" s="38" t="s">
        <v>1075</v>
      </c>
      <c r="D3604" s="4">
        <v>2020</v>
      </c>
      <c r="E3604" s="4"/>
      <c r="F3604" s="4">
        <v>10</v>
      </c>
      <c r="G3604" s="4">
        <v>15</v>
      </c>
      <c r="H3604" s="4">
        <v>90</v>
      </c>
    </row>
    <row r="3605" spans="1:8" s="5" customFormat="1" ht="17.25" hidden="1" customHeight="1" outlineLevel="1" x14ac:dyDescent="0.25">
      <c r="A3605" s="4">
        <v>1664</v>
      </c>
      <c r="B3605" s="4" t="s">
        <v>211</v>
      </c>
      <c r="C3605" s="38" t="s">
        <v>1035</v>
      </c>
      <c r="D3605" s="4">
        <v>2020</v>
      </c>
      <c r="E3605" s="4"/>
      <c r="F3605" s="4">
        <v>1180</v>
      </c>
      <c r="G3605" s="4">
        <v>145</v>
      </c>
      <c r="H3605" s="4">
        <v>1397.425</v>
      </c>
    </row>
    <row r="3606" spans="1:8" s="5" customFormat="1" ht="17.25" hidden="1" customHeight="1" outlineLevel="1" x14ac:dyDescent="0.25">
      <c r="A3606" s="4">
        <v>1662</v>
      </c>
      <c r="B3606" s="4" t="s">
        <v>211</v>
      </c>
      <c r="C3606" s="38" t="s">
        <v>1036</v>
      </c>
      <c r="D3606" s="4">
        <v>2020</v>
      </c>
      <c r="E3606" s="4"/>
      <c r="F3606" s="4">
        <v>4626</v>
      </c>
      <c r="G3606" s="4">
        <v>15</v>
      </c>
      <c r="H3606" s="4">
        <v>5738.1549999999997</v>
      </c>
    </row>
    <row r="3607" spans="1:8" s="5" customFormat="1" ht="17.25" hidden="1" customHeight="1" outlineLevel="1" x14ac:dyDescent="0.25">
      <c r="A3607" s="4">
        <v>1577</v>
      </c>
      <c r="B3607" s="4" t="s">
        <v>211</v>
      </c>
      <c r="C3607" s="38" t="s">
        <v>1037</v>
      </c>
      <c r="D3607" s="4">
        <v>2020</v>
      </c>
      <c r="E3607" s="4"/>
      <c r="F3607" s="4">
        <v>35</v>
      </c>
      <c r="G3607" s="4">
        <v>15</v>
      </c>
      <c r="H3607" s="4">
        <v>90.361000000000004</v>
      </c>
    </row>
    <row r="3608" spans="1:8" s="5" customFormat="1" ht="17.25" hidden="1" customHeight="1" outlineLevel="1" x14ac:dyDescent="0.25">
      <c r="A3608" s="4">
        <v>550</v>
      </c>
      <c r="B3608" s="4" t="s">
        <v>211</v>
      </c>
      <c r="C3608" s="38" t="s">
        <v>1038</v>
      </c>
      <c r="D3608" s="4">
        <v>2020</v>
      </c>
      <c r="E3608" s="4"/>
      <c r="F3608" s="4">
        <v>2733</v>
      </c>
      <c r="G3608" s="4">
        <v>15</v>
      </c>
      <c r="H3608" s="4">
        <v>3890.6669999999999</v>
      </c>
    </row>
    <row r="3609" spans="1:8" s="5" customFormat="1" ht="17.25" hidden="1" customHeight="1" outlineLevel="1" x14ac:dyDescent="0.25">
      <c r="A3609" s="4">
        <v>1661</v>
      </c>
      <c r="B3609" s="4" t="s">
        <v>211</v>
      </c>
      <c r="C3609" s="38" t="s">
        <v>1076</v>
      </c>
      <c r="D3609" s="4">
        <v>2020</v>
      </c>
      <c r="E3609" s="4"/>
      <c r="F3609" s="4">
        <v>2700</v>
      </c>
      <c r="G3609" s="4">
        <v>15</v>
      </c>
      <c r="H3609" s="4">
        <v>1993.42</v>
      </c>
    </row>
    <row r="3610" spans="1:8" s="5" customFormat="1" ht="17.25" hidden="1" customHeight="1" outlineLevel="1" x14ac:dyDescent="0.25">
      <c r="A3610" s="4">
        <v>529</v>
      </c>
      <c r="B3610" s="4" t="s">
        <v>211</v>
      </c>
      <c r="C3610" s="38" t="s">
        <v>1040</v>
      </c>
      <c r="D3610" s="4">
        <v>2020</v>
      </c>
      <c r="E3610" s="4"/>
      <c r="F3610" s="4">
        <v>1702</v>
      </c>
      <c r="G3610" s="4">
        <v>145</v>
      </c>
      <c r="H3610" s="4">
        <v>2339.4690000000001</v>
      </c>
    </row>
    <row r="3611" spans="1:8" s="5" customFormat="1" ht="17.25" hidden="1" customHeight="1" outlineLevel="1" x14ac:dyDescent="0.25">
      <c r="A3611" s="4">
        <v>154</v>
      </c>
      <c r="B3611" s="4" t="s">
        <v>211</v>
      </c>
      <c r="C3611" s="38" t="s">
        <v>1077</v>
      </c>
      <c r="D3611" s="4">
        <v>2020</v>
      </c>
      <c r="E3611" s="4"/>
      <c r="F3611" s="4">
        <v>833</v>
      </c>
      <c r="G3611" s="4">
        <v>150</v>
      </c>
      <c r="H3611" s="4">
        <v>1081.5442</v>
      </c>
    </row>
    <row r="3612" spans="1:8" s="5" customFormat="1" ht="17.25" hidden="1" customHeight="1" outlineLevel="1" x14ac:dyDescent="0.25">
      <c r="A3612" s="4">
        <v>1619</v>
      </c>
      <c r="B3612" s="4" t="s">
        <v>211</v>
      </c>
      <c r="C3612" s="38" t="s">
        <v>1078</v>
      </c>
      <c r="D3612" s="4">
        <v>2020</v>
      </c>
      <c r="E3612" s="4"/>
      <c r="F3612" s="4">
        <v>1891</v>
      </c>
      <c r="G3612" s="4">
        <v>150</v>
      </c>
      <c r="H3612" s="4">
        <v>2851.2734399999999</v>
      </c>
    </row>
    <row r="3613" spans="1:8" s="5" customFormat="1" ht="17.25" hidden="1" customHeight="1" outlineLevel="1" x14ac:dyDescent="0.25">
      <c r="A3613" s="4">
        <v>1563</v>
      </c>
      <c r="B3613" s="4" t="s">
        <v>211</v>
      </c>
      <c r="C3613" s="38" t="s">
        <v>256</v>
      </c>
      <c r="D3613" s="4">
        <v>2020</v>
      </c>
      <c r="E3613" s="4"/>
      <c r="F3613" s="4">
        <v>374</v>
      </c>
      <c r="G3613" s="4">
        <v>15</v>
      </c>
      <c r="H3613" s="4">
        <v>882.10947999999996</v>
      </c>
    </row>
    <row r="3614" spans="1:8" s="5" customFormat="1" ht="17.25" hidden="1" customHeight="1" outlineLevel="1" x14ac:dyDescent="0.25">
      <c r="A3614" s="4">
        <v>1562</v>
      </c>
      <c r="B3614" s="4" t="s">
        <v>211</v>
      </c>
      <c r="C3614" s="38" t="s">
        <v>257</v>
      </c>
      <c r="D3614" s="4">
        <v>2020</v>
      </c>
      <c r="E3614" s="4"/>
      <c r="F3614" s="4">
        <v>224</v>
      </c>
      <c r="G3614" s="4">
        <v>15</v>
      </c>
      <c r="H3614" s="4">
        <v>451.70330999999999</v>
      </c>
    </row>
    <row r="3615" spans="1:8" s="5" customFormat="1" ht="17.25" hidden="1" customHeight="1" outlineLevel="1" x14ac:dyDescent="0.25">
      <c r="A3615" s="4">
        <v>283</v>
      </c>
      <c r="B3615" s="4" t="s">
        <v>211</v>
      </c>
      <c r="C3615" s="38" t="s">
        <v>371</v>
      </c>
      <c r="D3615" s="4">
        <v>2020</v>
      </c>
      <c r="E3615" s="4"/>
      <c r="F3615" s="4">
        <v>30</v>
      </c>
      <c r="G3615" s="4">
        <v>30</v>
      </c>
      <c r="H3615" s="4">
        <v>127.50362</v>
      </c>
    </row>
    <row r="3616" spans="1:8" s="5" customFormat="1" ht="17.25" hidden="1" customHeight="1" outlineLevel="1" x14ac:dyDescent="0.25">
      <c r="A3616" s="4">
        <v>1623</v>
      </c>
      <c r="B3616" s="4" t="s">
        <v>211</v>
      </c>
      <c r="C3616" s="38" t="s">
        <v>820</v>
      </c>
      <c r="D3616" s="4">
        <v>2020</v>
      </c>
      <c r="E3616" s="4"/>
      <c r="F3616" s="4">
        <v>1311</v>
      </c>
      <c r="G3616" s="4">
        <v>50</v>
      </c>
      <c r="H3616" s="4">
        <v>1848.27</v>
      </c>
    </row>
    <row r="3617" spans="1:33" s="5" customFormat="1" ht="17.25" hidden="1" customHeight="1" outlineLevel="1" x14ac:dyDescent="0.25">
      <c r="A3617" s="4">
        <v>1714</v>
      </c>
      <c r="B3617" s="4" t="s">
        <v>211</v>
      </c>
      <c r="C3617" s="38" t="s">
        <v>836</v>
      </c>
      <c r="D3617" s="4">
        <v>2020</v>
      </c>
      <c r="E3617" s="4"/>
      <c r="F3617" s="4">
        <v>30</v>
      </c>
      <c r="G3617" s="4">
        <v>14</v>
      </c>
      <c r="H3617" s="4">
        <v>42.643999999999998</v>
      </c>
    </row>
    <row r="3618" spans="1:33" s="5" customFormat="1" ht="17.25" hidden="1" customHeight="1" outlineLevel="1" x14ac:dyDescent="0.25">
      <c r="A3618" s="4">
        <v>1812</v>
      </c>
      <c r="B3618" s="4" t="s">
        <v>211</v>
      </c>
      <c r="C3618" s="38" t="s">
        <v>68</v>
      </c>
      <c r="D3618" s="4">
        <v>2020</v>
      </c>
      <c r="E3618" s="4"/>
      <c r="F3618" s="4">
        <v>420</v>
      </c>
      <c r="G3618" s="4">
        <v>150</v>
      </c>
      <c r="H3618" s="4">
        <v>341.78228000000001</v>
      </c>
    </row>
    <row r="3619" spans="1:33" s="5" customFormat="1" ht="17.25" hidden="1" customHeight="1" outlineLevel="1" x14ac:dyDescent="0.25">
      <c r="A3619" s="4">
        <v>786</v>
      </c>
      <c r="B3619" s="4" t="s">
        <v>211</v>
      </c>
      <c r="C3619" s="38" t="s">
        <v>155</v>
      </c>
      <c r="D3619" s="4">
        <v>2020</v>
      </c>
      <c r="E3619" s="4"/>
      <c r="F3619" s="4">
        <v>30</v>
      </c>
      <c r="G3619" s="4">
        <v>30</v>
      </c>
      <c r="H3619" s="4">
        <v>46.908000000000001</v>
      </c>
    </row>
    <row r="3620" spans="1:33" s="5" customFormat="1" ht="30" hidden="1" customHeight="1" outlineLevel="1" x14ac:dyDescent="0.25">
      <c r="A3620" s="43">
        <v>1190</v>
      </c>
      <c r="B3620" s="4" t="s">
        <v>211</v>
      </c>
      <c r="C3620" s="38" t="s">
        <v>1296</v>
      </c>
      <c r="D3620" s="4">
        <v>2021</v>
      </c>
      <c r="E3620" s="4"/>
      <c r="F3620" s="4">
        <v>6873</v>
      </c>
      <c r="G3620" s="4">
        <v>150</v>
      </c>
      <c r="H3620" s="4">
        <v>7631.8903399999999</v>
      </c>
    </row>
    <row r="3621" spans="1:33" s="5" customFormat="1" ht="30" hidden="1" customHeight="1" outlineLevel="1" x14ac:dyDescent="0.25">
      <c r="A3621" s="42">
        <v>9486</v>
      </c>
      <c r="B3621" s="4" t="s">
        <v>211</v>
      </c>
      <c r="C3621" s="59" t="s">
        <v>1753</v>
      </c>
      <c r="D3621" s="4">
        <v>2021</v>
      </c>
      <c r="E3621" s="4"/>
      <c r="F3621" s="4">
        <v>466</v>
      </c>
      <c r="G3621" s="4">
        <v>15</v>
      </c>
      <c r="H3621" s="4">
        <v>944.18544999999995</v>
      </c>
    </row>
    <row r="3622" spans="1:33" s="5" customFormat="1" ht="18" customHeight="1" collapsed="1" x14ac:dyDescent="0.25">
      <c r="A3622" s="208"/>
      <c r="B3622" s="178" t="s">
        <v>492</v>
      </c>
      <c r="C3622" s="185" t="s">
        <v>3194</v>
      </c>
      <c r="D3622" s="185"/>
      <c r="E3622" s="178" t="s">
        <v>491</v>
      </c>
      <c r="F3622" s="178"/>
      <c r="G3622" s="178"/>
      <c r="H3622" s="178"/>
    </row>
    <row r="3623" spans="1:33" s="5" customFormat="1" ht="27.75" customHeight="1" x14ac:dyDescent="0.25">
      <c r="A3623" s="209"/>
      <c r="B3623" s="187"/>
      <c r="C3623" s="192"/>
      <c r="D3623" s="192"/>
      <c r="E3623" s="187"/>
      <c r="F3623" s="187"/>
      <c r="G3623" s="187"/>
      <c r="H3623" s="187"/>
    </row>
    <row r="3624" spans="1:33" s="9" customFormat="1" ht="17.25" customHeight="1" x14ac:dyDescent="0.25">
      <c r="A3624" s="4"/>
      <c r="B3624" s="7" t="s">
        <v>492</v>
      </c>
      <c r="C3624" s="8" t="s">
        <v>1102</v>
      </c>
      <c r="D3624" s="7">
        <v>2020</v>
      </c>
      <c r="E3624" s="7" t="s">
        <v>491</v>
      </c>
      <c r="F3624" s="7">
        <f>SUMIF($D$3629:$D$3631,$D$3624,$F$3629:$F$3631)</f>
        <v>13036</v>
      </c>
      <c r="G3624" s="7">
        <f>SUMIF($D$3629:$D$3631,$D$3624,$G$3629:$G$3631)</f>
        <v>198799</v>
      </c>
      <c r="H3624" s="10">
        <f>SUMIF($D$3629:$D$3631,$D$3624,$H$3629:$H$3631)</f>
        <v>150651.5852</v>
      </c>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row>
    <row r="3625" spans="1:33" s="25" customFormat="1" ht="17.25" customHeight="1" x14ac:dyDescent="0.25">
      <c r="A3625" s="4"/>
      <c r="B3625" s="7" t="s">
        <v>492</v>
      </c>
      <c r="C3625" s="8" t="s">
        <v>1102</v>
      </c>
      <c r="D3625" s="7">
        <v>2021</v>
      </c>
      <c r="E3625" s="7" t="s">
        <v>491</v>
      </c>
      <c r="F3625" s="7">
        <f>SUMIF($D$3629:$D$3631,$D$3625,$F$3629:$F$3631)</f>
        <v>0</v>
      </c>
      <c r="G3625" s="7">
        <f>SUMIF($D$3629:$D$3631,$D$3625,$G$3629:$G$3631)</f>
        <v>0</v>
      </c>
      <c r="H3625" s="10">
        <f>SUMIF($D$3629:$D$3631,$D$3625,$H$3629:$H$3631)</f>
        <v>0</v>
      </c>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row>
    <row r="3626" spans="1:33" s="25" customFormat="1" ht="15.75" x14ac:dyDescent="0.25">
      <c r="A3626" s="4"/>
      <c r="B3626" s="7" t="s">
        <v>492</v>
      </c>
      <c r="C3626" s="8" t="s">
        <v>1102</v>
      </c>
      <c r="D3626" s="7">
        <v>2022</v>
      </c>
      <c r="E3626" s="7" t="s">
        <v>491</v>
      </c>
      <c r="F3626" s="7">
        <f>SUMIF($D$3627:$D$3630,$D$3626,$F$3627:$F$3630)</f>
        <v>0</v>
      </c>
      <c r="G3626" s="7">
        <f>SUMIF($D$3627:$D$3630,$D$3626,$G$3627:$G$3630)</f>
        <v>0</v>
      </c>
      <c r="H3626" s="10">
        <f>SUMIF($D$3627:$D$3630,$D$3626,$H$3627:$H$3630)</f>
        <v>0</v>
      </c>
      <c r="I3626" s="5"/>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row>
    <row r="3627" spans="1:33" s="5" customFormat="1" ht="17.25" hidden="1" customHeight="1" outlineLevel="1" x14ac:dyDescent="0.25">
      <c r="A3627" s="4"/>
      <c r="B3627" s="6">
        <v>1</v>
      </c>
      <c r="C3627" s="38"/>
      <c r="D3627" s="6">
        <v>2022</v>
      </c>
      <c r="E3627" s="6" t="s">
        <v>491</v>
      </c>
      <c r="F3627" s="6"/>
      <c r="G3627" s="6"/>
      <c r="H3627" s="41"/>
    </row>
    <row r="3628" spans="1:33" s="5" customFormat="1" ht="17.25" hidden="1" customHeight="1" outlineLevel="1" x14ac:dyDescent="0.25">
      <c r="A3628" s="4"/>
      <c r="B3628" s="6">
        <v>2</v>
      </c>
      <c r="C3628" s="38"/>
      <c r="D3628" s="6">
        <v>2022</v>
      </c>
      <c r="E3628" s="6" t="s">
        <v>491</v>
      </c>
      <c r="F3628" s="6"/>
      <c r="G3628" s="6"/>
      <c r="H3628" s="41"/>
    </row>
    <row r="3629" spans="1:33" s="5" customFormat="1" ht="31.5" hidden="1" outlineLevel="1" x14ac:dyDescent="0.25">
      <c r="A3629" s="4">
        <v>1730</v>
      </c>
      <c r="B3629" s="6" t="s">
        <v>492</v>
      </c>
      <c r="C3629" s="38" t="s">
        <v>493</v>
      </c>
      <c r="D3629" s="6">
        <v>2020</v>
      </c>
      <c r="E3629" s="6"/>
      <c r="F3629" s="6">
        <v>1665</v>
      </c>
      <c r="G3629" s="6">
        <v>98800</v>
      </c>
      <c r="H3629" s="6">
        <v>18248.585200000001</v>
      </c>
    </row>
    <row r="3630" spans="1:33" s="5" customFormat="1" ht="47.25" hidden="1" outlineLevel="1" x14ac:dyDescent="0.25">
      <c r="A3630" s="4">
        <v>1726</v>
      </c>
      <c r="B3630" s="6" t="s">
        <v>492</v>
      </c>
      <c r="C3630" s="38" t="s">
        <v>494</v>
      </c>
      <c r="D3630" s="6">
        <v>2020</v>
      </c>
      <c r="E3630" s="6"/>
      <c r="F3630" s="6">
        <v>11371</v>
      </c>
      <c r="G3630" s="6">
        <v>99999</v>
      </c>
      <c r="H3630" s="6">
        <v>132403</v>
      </c>
    </row>
    <row r="3631" spans="1:33" s="5" customFormat="1" ht="17.25" hidden="1" customHeight="1" outlineLevel="1" x14ac:dyDescent="0.25">
      <c r="A3631" s="42"/>
      <c r="B3631" s="6"/>
      <c r="C3631" s="38"/>
      <c r="D3631" s="6"/>
      <c r="E3631" s="6"/>
      <c r="F3631" s="6"/>
      <c r="G3631" s="6"/>
      <c r="H3631" s="6"/>
    </row>
    <row r="3632" spans="1:33" s="5" customFormat="1" ht="17.25" customHeight="1" collapsed="1" x14ac:dyDescent="0.25">
      <c r="A3632" s="205"/>
      <c r="B3632" s="174" t="s">
        <v>1079</v>
      </c>
      <c r="C3632" s="189" t="s">
        <v>3195</v>
      </c>
      <c r="D3632" s="189"/>
      <c r="E3632" s="174" t="s">
        <v>21</v>
      </c>
      <c r="F3632" s="174"/>
      <c r="G3632" s="174"/>
      <c r="H3632" s="174"/>
    </row>
    <row r="3633" spans="1:33" s="5" customFormat="1" ht="3.75" customHeight="1" x14ac:dyDescent="0.25">
      <c r="A3633" s="206"/>
      <c r="B3633" s="188"/>
      <c r="C3633" s="190"/>
      <c r="D3633" s="190"/>
      <c r="E3633" s="188"/>
      <c r="F3633" s="188"/>
      <c r="G3633" s="188"/>
      <c r="H3633" s="188"/>
    </row>
    <row r="3634" spans="1:33" s="9" customFormat="1" ht="9" customHeight="1" x14ac:dyDescent="0.25">
      <c r="A3634" s="206"/>
      <c r="B3634" s="188"/>
      <c r="C3634" s="190"/>
      <c r="D3634" s="190"/>
      <c r="E3634" s="188"/>
      <c r="F3634" s="188"/>
      <c r="G3634" s="188"/>
      <c r="H3634" s="188"/>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row>
    <row r="3635" spans="1:33" s="9" customFormat="1" ht="17.25" customHeight="1" x14ac:dyDescent="0.25">
      <c r="A3635" s="206"/>
      <c r="B3635" s="175"/>
      <c r="C3635" s="191"/>
      <c r="D3635" s="191"/>
      <c r="E3635" s="175"/>
      <c r="F3635" s="175"/>
      <c r="G3635" s="175"/>
      <c r="H3635" s="175"/>
      <c r="I3635" s="5"/>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row>
    <row r="3636" spans="1:33" s="9" customFormat="1" ht="17.25" customHeight="1" x14ac:dyDescent="0.25">
      <c r="A3636" s="206"/>
      <c r="B3636" s="11" t="s">
        <v>1079</v>
      </c>
      <c r="C3636" s="12" t="s">
        <v>1102</v>
      </c>
      <c r="D3636" s="11">
        <v>2020</v>
      </c>
      <c r="E3636" s="11" t="s">
        <v>21</v>
      </c>
      <c r="F3636" s="11">
        <v>0</v>
      </c>
      <c r="G3636" s="11">
        <v>0</v>
      </c>
      <c r="H3636" s="11">
        <v>0</v>
      </c>
      <c r="I3636" s="5"/>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row>
    <row r="3637" spans="1:33" s="25" customFormat="1" ht="17.25" customHeight="1" x14ac:dyDescent="0.25">
      <c r="A3637" s="206"/>
      <c r="B3637" s="11" t="s">
        <v>1079</v>
      </c>
      <c r="C3637" s="12" t="s">
        <v>1102</v>
      </c>
      <c r="D3637" s="11">
        <v>2021</v>
      </c>
      <c r="E3637" s="11" t="s">
        <v>21</v>
      </c>
      <c r="F3637" s="11">
        <f>SUMIF($D$3639:$D$3640,$D$3637,$F$3639:$F$3640)</f>
        <v>200</v>
      </c>
      <c r="G3637" s="11">
        <f>SUMIF($D$3639:$D$3640,$D$3637,$G$3639:$G$3640)</f>
        <v>15</v>
      </c>
      <c r="H3637" s="11">
        <f>SUMIF($D$3639:$D$3640,$D$3637,$H$3639:$H$3640)</f>
        <v>66</v>
      </c>
      <c r="I3637" s="5"/>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row>
    <row r="3638" spans="1:33" s="25" customFormat="1" ht="15.75" x14ac:dyDescent="0.25">
      <c r="A3638" s="207"/>
      <c r="B3638" s="11" t="s">
        <v>1079</v>
      </c>
      <c r="C3638" s="12" t="s">
        <v>3929</v>
      </c>
      <c r="D3638" s="11">
        <v>2022</v>
      </c>
      <c r="E3638" s="11" t="s">
        <v>21</v>
      </c>
      <c r="F3638" s="11">
        <f>SUMIF($D$3639:$D$3640,$D$3638,$F$3639:$F$3640)</f>
        <v>35</v>
      </c>
      <c r="G3638" s="11">
        <f>SUMIF($D$3639:$D$3640,$D$3638,$G$3639:$G$3640)</f>
        <v>15</v>
      </c>
      <c r="H3638" s="14">
        <f>SUMIF($D$3639:$D$3640,$D$3638,$H$3639:$H$3640)</f>
        <v>37</v>
      </c>
      <c r="I3638" s="5"/>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row>
    <row r="3639" spans="1:33" s="5" customFormat="1" ht="54.75" hidden="1" customHeight="1" outlineLevel="1" x14ac:dyDescent="0.25">
      <c r="A3639" s="4">
        <v>318</v>
      </c>
      <c r="B3639" s="4" t="s">
        <v>1079</v>
      </c>
      <c r="C3639" s="38" t="s">
        <v>4235</v>
      </c>
      <c r="D3639" s="4">
        <v>2022</v>
      </c>
      <c r="E3639" s="4" t="s">
        <v>21</v>
      </c>
      <c r="F3639" s="4">
        <v>35</v>
      </c>
      <c r="G3639" s="4">
        <v>15</v>
      </c>
      <c r="H3639" s="4">
        <v>37</v>
      </c>
    </row>
    <row r="3640" spans="1:33" s="5" customFormat="1" ht="47.25" hidden="1" outlineLevel="1" x14ac:dyDescent="0.25">
      <c r="A3640" s="42">
        <v>9294</v>
      </c>
      <c r="B3640" s="4" t="s">
        <v>1079</v>
      </c>
      <c r="C3640" s="38" t="s">
        <v>1996</v>
      </c>
      <c r="D3640" s="4">
        <v>2021</v>
      </c>
      <c r="E3640" s="4" t="s">
        <v>21</v>
      </c>
      <c r="F3640" s="4">
        <v>200</v>
      </c>
      <c r="G3640" s="4">
        <v>15</v>
      </c>
      <c r="H3640" s="4">
        <v>66</v>
      </c>
    </row>
    <row r="3641" spans="1:33" s="5" customFormat="1" ht="17.25" customHeight="1" collapsed="1" x14ac:dyDescent="0.25">
      <c r="A3641" s="208"/>
      <c r="B3641" s="178" t="s">
        <v>1079</v>
      </c>
      <c r="C3641" s="185" t="s">
        <v>3195</v>
      </c>
      <c r="D3641" s="178"/>
      <c r="E3641" s="178" t="s">
        <v>22</v>
      </c>
      <c r="F3641" s="178"/>
      <c r="G3641" s="178"/>
      <c r="H3641" s="178"/>
    </row>
    <row r="3642" spans="1:33" s="5" customFormat="1" ht="17.25" customHeight="1" x14ac:dyDescent="0.25">
      <c r="A3642" s="210"/>
      <c r="B3642" s="187"/>
      <c r="C3642" s="192"/>
      <c r="D3642" s="187"/>
      <c r="E3642" s="187"/>
      <c r="F3642" s="187"/>
      <c r="G3642" s="187"/>
      <c r="H3642" s="187"/>
    </row>
    <row r="3643" spans="1:33" s="9" customFormat="1" ht="9.75" customHeight="1" x14ac:dyDescent="0.25">
      <c r="A3643" s="209"/>
      <c r="B3643" s="187"/>
      <c r="C3643" s="192"/>
      <c r="D3643" s="187"/>
      <c r="E3643" s="187"/>
      <c r="F3643" s="187"/>
      <c r="G3643" s="187"/>
      <c r="H3643" s="187"/>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row>
    <row r="3644" spans="1:33" s="9" customFormat="1" ht="2.25" hidden="1" customHeight="1" x14ac:dyDescent="0.25">
      <c r="A3644" s="4"/>
      <c r="B3644" s="179"/>
      <c r="C3644" s="193"/>
      <c r="D3644" s="179"/>
      <c r="E3644" s="179"/>
      <c r="F3644" s="179"/>
      <c r="G3644" s="179"/>
      <c r="H3644" s="179"/>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row>
    <row r="3645" spans="1:33" s="9" customFormat="1" ht="17.25" customHeight="1" x14ac:dyDescent="0.25">
      <c r="A3645" s="4"/>
      <c r="B3645" s="7" t="s">
        <v>1079</v>
      </c>
      <c r="C3645" s="8" t="s">
        <v>1102</v>
      </c>
      <c r="D3645" s="7">
        <v>2020</v>
      </c>
      <c r="E3645" s="7" t="s">
        <v>22</v>
      </c>
      <c r="F3645" s="7">
        <v>0</v>
      </c>
      <c r="G3645" s="7">
        <v>0</v>
      </c>
      <c r="H3645" s="10">
        <v>0</v>
      </c>
      <c r="I3645" s="5"/>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row>
    <row r="3646" spans="1:33" s="25" customFormat="1" ht="17.25" customHeight="1" x14ac:dyDescent="0.25">
      <c r="A3646" s="4"/>
      <c r="B3646" s="7" t="s">
        <v>1079</v>
      </c>
      <c r="C3646" s="8" t="s">
        <v>1102</v>
      </c>
      <c r="D3646" s="7">
        <v>2021</v>
      </c>
      <c r="E3646" s="7" t="s">
        <v>22</v>
      </c>
      <c r="F3646" s="7">
        <f>SUMIF($D$3648:$D$3655,$D$3646,$F$3648:$F$3655)</f>
        <v>2553</v>
      </c>
      <c r="G3646" s="7">
        <f>SUMIF($D$3648:$D$3655,$D$3646,$G$3648:$G$3655)</f>
        <v>180</v>
      </c>
      <c r="H3646" s="10">
        <f>SUMIF($D$3648:$D$3655,$D$3646,$H$3648:$H$3655)</f>
        <v>3251.4169999999999</v>
      </c>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row>
    <row r="3647" spans="1:33" s="5" customFormat="1" ht="15.75" x14ac:dyDescent="0.25">
      <c r="A3647" s="42"/>
      <c r="B3647" s="7" t="s">
        <v>1079</v>
      </c>
      <c r="C3647" s="8" t="s">
        <v>3929</v>
      </c>
      <c r="D3647" s="7">
        <v>2022</v>
      </c>
      <c r="E3647" s="7" t="s">
        <v>22</v>
      </c>
      <c r="F3647" s="7">
        <f>SUMIF($D$3648:$D$3655,$D$3647,$F$3648:$F$3655)</f>
        <v>4130</v>
      </c>
      <c r="G3647" s="7">
        <f>SUMIF($D$3648:$D$3655,$D$3647,$G$3648:$G$3655)</f>
        <v>100</v>
      </c>
      <c r="H3647" s="7">
        <f>SUMIF($D$3648:$D$3655,$D$3647,$H$3648:$H$3655)</f>
        <v>3814</v>
      </c>
    </row>
    <row r="3648" spans="1:33" s="5" customFormat="1" ht="94.5" hidden="1" outlineLevel="1" x14ac:dyDescent="0.25">
      <c r="A3648" s="42">
        <v>119</v>
      </c>
      <c r="B3648" s="4" t="s">
        <v>1079</v>
      </c>
      <c r="C3648" s="38" t="s">
        <v>3691</v>
      </c>
      <c r="D3648" s="4">
        <v>2022</v>
      </c>
      <c r="E3648" s="4" t="s">
        <v>22</v>
      </c>
      <c r="F3648" s="4">
        <v>10</v>
      </c>
      <c r="G3648" s="4">
        <v>15</v>
      </c>
      <c r="H3648" s="4">
        <v>84</v>
      </c>
    </row>
    <row r="3649" spans="1:33" s="5" customFormat="1" ht="63" hidden="1" outlineLevel="1" x14ac:dyDescent="0.25">
      <c r="A3649" s="42">
        <v>156</v>
      </c>
      <c r="B3649" s="4" t="s">
        <v>1079</v>
      </c>
      <c r="C3649" s="38" t="s">
        <v>3703</v>
      </c>
      <c r="D3649" s="4">
        <v>2022</v>
      </c>
      <c r="E3649" s="4" t="s">
        <v>22</v>
      </c>
      <c r="F3649" s="4">
        <v>10</v>
      </c>
      <c r="G3649" s="4">
        <v>30</v>
      </c>
      <c r="H3649" s="4">
        <v>40</v>
      </c>
    </row>
    <row r="3650" spans="1:33" s="5" customFormat="1" ht="78.75" hidden="1" outlineLevel="1" x14ac:dyDescent="0.25">
      <c r="A3650" s="42">
        <v>157</v>
      </c>
      <c r="B3650" s="4" t="s">
        <v>1079</v>
      </c>
      <c r="C3650" s="38" t="s">
        <v>3704</v>
      </c>
      <c r="D3650" s="4">
        <v>2022</v>
      </c>
      <c r="E3650" s="4" t="s">
        <v>22</v>
      </c>
      <c r="F3650" s="4">
        <v>40</v>
      </c>
      <c r="G3650" s="4">
        <v>15</v>
      </c>
      <c r="H3650" s="4">
        <v>89</v>
      </c>
    </row>
    <row r="3651" spans="1:33" s="5" customFormat="1" ht="63" hidden="1" outlineLevel="1" x14ac:dyDescent="0.25">
      <c r="A3651" s="42">
        <v>183</v>
      </c>
      <c r="B3651" s="4" t="s">
        <v>1079</v>
      </c>
      <c r="C3651" s="38" t="s">
        <v>3730</v>
      </c>
      <c r="D3651" s="4">
        <v>2022</v>
      </c>
      <c r="E3651" s="4" t="s">
        <v>22</v>
      </c>
      <c r="F3651" s="4">
        <v>2170</v>
      </c>
      <c r="G3651" s="4">
        <v>15</v>
      </c>
      <c r="H3651" s="4">
        <v>1815</v>
      </c>
    </row>
    <row r="3652" spans="1:33" s="5" customFormat="1" ht="110.25" hidden="1" outlineLevel="1" x14ac:dyDescent="0.25">
      <c r="A3652" s="42">
        <v>261</v>
      </c>
      <c r="B3652" s="4" t="s">
        <v>1079</v>
      </c>
      <c r="C3652" s="38" t="s">
        <v>4236</v>
      </c>
      <c r="D3652" s="4">
        <v>2022</v>
      </c>
      <c r="E3652" s="4" t="s">
        <v>22</v>
      </c>
      <c r="F3652" s="4">
        <v>1900</v>
      </c>
      <c r="G3652" s="4">
        <v>25</v>
      </c>
      <c r="H3652" s="4">
        <v>1786</v>
      </c>
    </row>
    <row r="3653" spans="1:33" s="5" customFormat="1" ht="26.25" hidden="1" customHeight="1" outlineLevel="1" x14ac:dyDescent="0.25">
      <c r="A3653" s="42">
        <v>9354</v>
      </c>
      <c r="B3653" s="4" t="s">
        <v>1079</v>
      </c>
      <c r="C3653" s="38" t="s">
        <v>1348</v>
      </c>
      <c r="D3653" s="4">
        <v>2021</v>
      </c>
      <c r="E3653" s="4" t="s">
        <v>22</v>
      </c>
      <c r="F3653" s="4">
        <v>806</v>
      </c>
      <c r="G3653" s="4">
        <v>15</v>
      </c>
      <c r="H3653" s="4">
        <v>881.31200000000001</v>
      </c>
    </row>
    <row r="3654" spans="1:33" s="5" customFormat="1" ht="26.25" hidden="1" customHeight="1" outlineLevel="1" x14ac:dyDescent="0.25">
      <c r="A3654" s="42">
        <v>9370</v>
      </c>
      <c r="B3654" s="4" t="s">
        <v>1079</v>
      </c>
      <c r="C3654" s="38" t="s">
        <v>1364</v>
      </c>
      <c r="D3654" s="4">
        <v>2021</v>
      </c>
      <c r="E3654" s="4" t="s">
        <v>22</v>
      </c>
      <c r="F3654" s="4">
        <v>1598</v>
      </c>
      <c r="G3654" s="4">
        <v>15</v>
      </c>
      <c r="H3654" s="4">
        <v>2029.279</v>
      </c>
    </row>
    <row r="3655" spans="1:33" s="5" customFormat="1" ht="26.25" hidden="1" customHeight="1" outlineLevel="1" x14ac:dyDescent="0.25">
      <c r="A3655" s="43">
        <v>563</v>
      </c>
      <c r="B3655" s="4" t="s">
        <v>1079</v>
      </c>
      <c r="C3655" s="38" t="s">
        <v>1365</v>
      </c>
      <c r="D3655" s="4">
        <v>2021</v>
      </c>
      <c r="E3655" s="4" t="s">
        <v>22</v>
      </c>
      <c r="F3655" s="4">
        <v>149</v>
      </c>
      <c r="G3655" s="4">
        <v>150</v>
      </c>
      <c r="H3655" s="4">
        <v>340.82600000000002</v>
      </c>
    </row>
    <row r="3656" spans="1:33" s="27" customFormat="1" ht="39" customHeight="1" collapsed="1" x14ac:dyDescent="0.25">
      <c r="A3656" s="18"/>
      <c r="B3656" s="182" t="s">
        <v>1099</v>
      </c>
      <c r="C3656" s="183"/>
      <c r="D3656" s="183"/>
      <c r="E3656" s="183"/>
      <c r="F3656" s="183"/>
      <c r="G3656" s="183"/>
      <c r="H3656" s="184"/>
      <c r="I3656" s="15"/>
      <c r="J3656" s="15"/>
      <c r="K3656" s="15"/>
      <c r="L3656" s="15"/>
      <c r="M3656" s="15"/>
      <c r="N3656" s="15"/>
      <c r="O3656" s="15"/>
      <c r="P3656" s="15"/>
      <c r="Q3656" s="15"/>
      <c r="R3656" s="15"/>
      <c r="S3656" s="15"/>
      <c r="T3656" s="15"/>
      <c r="U3656" s="15"/>
      <c r="V3656" s="15"/>
      <c r="W3656" s="15"/>
      <c r="X3656" s="15"/>
      <c r="Y3656" s="15"/>
      <c r="Z3656" s="15"/>
      <c r="AA3656" s="15"/>
      <c r="AB3656" s="15"/>
      <c r="AC3656" s="15"/>
      <c r="AD3656" s="15"/>
      <c r="AE3656" s="15"/>
      <c r="AF3656" s="15"/>
      <c r="AG3656" s="15"/>
    </row>
    <row r="3657" spans="1:33" s="15" customFormat="1" ht="20.25" customHeight="1" x14ac:dyDescent="0.25">
      <c r="A3657" s="211"/>
      <c r="B3657" s="178" t="s">
        <v>1080</v>
      </c>
      <c r="C3657" s="185" t="s">
        <v>3196</v>
      </c>
      <c r="D3657" s="185"/>
      <c r="E3657" s="178" t="s">
        <v>213</v>
      </c>
      <c r="F3657" s="178"/>
      <c r="G3657" s="178"/>
      <c r="H3657" s="178"/>
    </row>
    <row r="3658" spans="1:33" s="15" customFormat="1" ht="22.5" customHeight="1" x14ac:dyDescent="0.25">
      <c r="A3658" s="212"/>
      <c r="B3658" s="179"/>
      <c r="C3658" s="192"/>
      <c r="D3658" s="192"/>
      <c r="E3658" s="187"/>
      <c r="F3658" s="187"/>
      <c r="G3658" s="187"/>
      <c r="H3658" s="187"/>
    </row>
    <row r="3659" spans="1:33" s="15" customFormat="1" ht="16.5" customHeight="1" x14ac:dyDescent="0.25">
      <c r="A3659" s="18"/>
      <c r="B3659" s="7" t="s">
        <v>1080</v>
      </c>
      <c r="C3659" s="8" t="s">
        <v>1102</v>
      </c>
      <c r="D3659" s="7">
        <v>2020</v>
      </c>
      <c r="E3659" s="7" t="s">
        <v>213</v>
      </c>
      <c r="F3659" s="7">
        <f>SUMIF($D$3662:$D$3665,$D$3659,$F$3662:$F$3665)</f>
        <v>755</v>
      </c>
      <c r="G3659" s="10">
        <f>SUMIF($D$3662:$D$3665,$D$3659,$G$3662:$G$3665)</f>
        <v>676.3</v>
      </c>
      <c r="H3659" s="10">
        <f>SUMIF($D$3662:$D$3665,$D$3659,$H$3662:$H$3665)</f>
        <v>2601.3268600000001</v>
      </c>
    </row>
    <row r="3660" spans="1:33" s="26" customFormat="1" ht="16.5" customHeight="1" x14ac:dyDescent="0.25">
      <c r="A3660" s="18"/>
      <c r="B3660" s="7" t="s">
        <v>1080</v>
      </c>
      <c r="C3660" s="8" t="s">
        <v>1102</v>
      </c>
      <c r="D3660" s="7">
        <v>2021</v>
      </c>
      <c r="E3660" s="7" t="s">
        <v>213</v>
      </c>
      <c r="F3660" s="7">
        <f>SUMIF($D$3662:$D$3665,$D$3660,$F$3662:$F$3665)</f>
        <v>0</v>
      </c>
      <c r="G3660" s="7">
        <f>SUMIF($D$3662:$D$3665,$D$3660,$G$3662:$G$3665)</f>
        <v>0</v>
      </c>
      <c r="H3660" s="10">
        <f>SUMIF($D$3662:$D$3665,$D$3660,$H$3662:$H$3665)</f>
        <v>0</v>
      </c>
      <c r="I3660" s="15"/>
      <c r="J3660" s="15"/>
      <c r="K3660" s="15"/>
      <c r="L3660" s="15"/>
      <c r="M3660" s="15"/>
      <c r="N3660" s="15"/>
      <c r="O3660" s="15"/>
      <c r="P3660" s="15"/>
      <c r="Q3660" s="15"/>
      <c r="R3660" s="15"/>
      <c r="S3660" s="15"/>
      <c r="T3660" s="15"/>
      <c r="U3660" s="15"/>
      <c r="V3660" s="15"/>
      <c r="W3660" s="15"/>
      <c r="X3660" s="15"/>
      <c r="Y3660" s="15"/>
      <c r="Z3660" s="15"/>
      <c r="AA3660" s="15"/>
      <c r="AB3660" s="15"/>
      <c r="AC3660" s="15"/>
      <c r="AD3660" s="15"/>
      <c r="AE3660" s="15"/>
      <c r="AF3660" s="15"/>
      <c r="AG3660" s="15"/>
    </row>
    <row r="3661" spans="1:33" s="26" customFormat="1" ht="15.75" x14ac:dyDescent="0.25">
      <c r="A3661" s="18"/>
      <c r="B3661" s="7" t="s">
        <v>1080</v>
      </c>
      <c r="C3661" s="8" t="s">
        <v>3929</v>
      </c>
      <c r="D3661" s="7">
        <v>2022</v>
      </c>
      <c r="E3661" s="7" t="s">
        <v>213</v>
      </c>
      <c r="F3661" s="7">
        <f>SUMIF($D$3662:$D$3665,$D$3661,$F$3662:$F$3665)</f>
        <v>154</v>
      </c>
      <c r="G3661" s="7">
        <f>SUMIF($D$3662:$D$3665,$D$3661,$G$3662:$G$3665)</f>
        <v>116</v>
      </c>
      <c r="H3661" s="10">
        <f>SUMIF($D$3662:$D$3665,$D$3661,$H$3662:$H$3665)</f>
        <v>1011.41785</v>
      </c>
      <c r="I3661" s="15"/>
      <c r="J3661" s="15"/>
      <c r="K3661" s="15"/>
      <c r="L3661" s="15"/>
      <c r="M3661" s="15"/>
      <c r="N3661" s="15"/>
      <c r="O3661" s="15"/>
      <c r="P3661" s="15"/>
      <c r="Q3661" s="15"/>
      <c r="R3661" s="15"/>
      <c r="S3661" s="15"/>
      <c r="T3661" s="15"/>
      <c r="U3661" s="15"/>
      <c r="V3661" s="15"/>
      <c r="W3661" s="15"/>
      <c r="X3661" s="15"/>
      <c r="Y3661" s="15"/>
      <c r="Z3661" s="15"/>
      <c r="AA3661" s="15"/>
      <c r="AB3661" s="15"/>
      <c r="AC3661" s="15"/>
      <c r="AD3661" s="15"/>
      <c r="AE3661" s="15"/>
      <c r="AF3661" s="15"/>
      <c r="AG3661" s="15"/>
    </row>
    <row r="3662" spans="1:33" s="15" customFormat="1" ht="141.75" hidden="1" outlineLevel="1" x14ac:dyDescent="0.25">
      <c r="A3662" s="18">
        <v>4224</v>
      </c>
      <c r="B3662" s="4" t="s">
        <v>1080</v>
      </c>
      <c r="C3662" s="22" t="s">
        <v>4012</v>
      </c>
      <c r="D3662" s="4">
        <v>2022</v>
      </c>
      <c r="E3662" s="4" t="s">
        <v>213</v>
      </c>
      <c r="F3662" s="4">
        <v>124</v>
      </c>
      <c r="G3662" s="42">
        <v>104</v>
      </c>
      <c r="H3662" s="42">
        <v>719.24248</v>
      </c>
    </row>
    <row r="3663" spans="1:33" s="15" customFormat="1" ht="94.5" hidden="1" outlineLevel="1" x14ac:dyDescent="0.25">
      <c r="A3663" s="18">
        <v>2429</v>
      </c>
      <c r="B3663" s="4" t="s">
        <v>1080</v>
      </c>
      <c r="C3663" s="22" t="s">
        <v>4237</v>
      </c>
      <c r="D3663" s="4">
        <v>2022</v>
      </c>
      <c r="E3663" s="4" t="s">
        <v>213</v>
      </c>
      <c r="F3663" s="4">
        <v>30</v>
      </c>
      <c r="G3663" s="42">
        <v>12</v>
      </c>
      <c r="H3663" s="42">
        <v>292.17536999999999</v>
      </c>
    </row>
    <row r="3664" spans="1:33" s="15" customFormat="1" ht="65.25" hidden="1" customHeight="1" outlineLevel="1" x14ac:dyDescent="0.25">
      <c r="A3664" s="18">
        <v>1773</v>
      </c>
      <c r="B3664" s="4" t="s">
        <v>1080</v>
      </c>
      <c r="C3664" s="22" t="s">
        <v>592</v>
      </c>
      <c r="D3664" s="4">
        <v>2020</v>
      </c>
      <c r="E3664" s="4" t="s">
        <v>213</v>
      </c>
      <c r="F3664" s="4">
        <v>485</v>
      </c>
      <c r="G3664" s="42">
        <v>426.3</v>
      </c>
      <c r="H3664" s="42">
        <v>1800.1096500000001</v>
      </c>
    </row>
    <row r="3665" spans="1:33" s="15" customFormat="1" ht="65.25" hidden="1" customHeight="1" outlineLevel="1" x14ac:dyDescent="0.25">
      <c r="A3665" s="18">
        <v>1710</v>
      </c>
      <c r="B3665" s="4" t="s">
        <v>1080</v>
      </c>
      <c r="C3665" s="22" t="s">
        <v>231</v>
      </c>
      <c r="D3665" s="4">
        <v>2020</v>
      </c>
      <c r="E3665" s="4" t="s">
        <v>213</v>
      </c>
      <c r="F3665" s="4">
        <v>270</v>
      </c>
      <c r="G3665" s="42">
        <v>250</v>
      </c>
      <c r="H3665" s="42">
        <v>801.21721000000002</v>
      </c>
    </row>
    <row r="3666" spans="1:33" s="15" customFormat="1" ht="15.75" collapsed="1" x14ac:dyDescent="0.25">
      <c r="A3666" s="211"/>
      <c r="B3666" s="174" t="s">
        <v>212</v>
      </c>
      <c r="C3666" s="189" t="s">
        <v>3197</v>
      </c>
      <c r="D3666" s="174"/>
      <c r="E3666" s="174" t="s">
        <v>213</v>
      </c>
      <c r="F3666" s="174"/>
      <c r="G3666" s="174"/>
      <c r="H3666" s="174"/>
    </row>
    <row r="3667" spans="1:33" s="15" customFormat="1" ht="3" customHeight="1" x14ac:dyDescent="0.25">
      <c r="A3667" s="213"/>
      <c r="B3667" s="188"/>
      <c r="C3667" s="198"/>
      <c r="D3667" s="188"/>
      <c r="E3667" s="188"/>
      <c r="F3667" s="188"/>
      <c r="G3667" s="188"/>
      <c r="H3667" s="188"/>
    </row>
    <row r="3668" spans="1:33" s="15" customFormat="1" ht="9.75" customHeight="1" x14ac:dyDescent="0.25">
      <c r="A3668" s="213"/>
      <c r="B3668" s="188"/>
      <c r="C3668" s="198"/>
      <c r="D3668" s="188"/>
      <c r="E3668" s="188"/>
      <c r="F3668" s="188"/>
      <c r="G3668" s="188"/>
      <c r="H3668" s="188"/>
    </row>
    <row r="3669" spans="1:33" s="15" customFormat="1" ht="15.75" x14ac:dyDescent="0.25">
      <c r="A3669" s="212"/>
      <c r="B3669" s="175"/>
      <c r="C3669" s="177"/>
      <c r="D3669" s="175"/>
      <c r="E3669" s="175"/>
      <c r="F3669" s="175"/>
      <c r="G3669" s="175"/>
      <c r="H3669" s="175"/>
    </row>
    <row r="3670" spans="1:33" s="15" customFormat="1" ht="16.5" customHeight="1" x14ac:dyDescent="0.25">
      <c r="A3670" s="18"/>
      <c r="B3670" s="11" t="s">
        <v>212</v>
      </c>
      <c r="C3670" s="12" t="s">
        <v>1102</v>
      </c>
      <c r="D3670" s="11">
        <v>2020</v>
      </c>
      <c r="E3670" s="11" t="s">
        <v>213</v>
      </c>
      <c r="F3670" s="33">
        <f>SUMIF($D$3673:$D$3681,$D$3670,$F$3673:$F$3681)</f>
        <v>433</v>
      </c>
      <c r="G3670" s="33">
        <f>SUMIF($D$3673:$D$3681,$D$3670,$G$3673:$G$3681)</f>
        <v>913.3</v>
      </c>
      <c r="H3670" s="34">
        <f>SUMIF($D$3673:$D$3681,$D$3670,$H$3673:$H$3681)</f>
        <v>4394.1232900000005</v>
      </c>
    </row>
    <row r="3671" spans="1:33" s="26" customFormat="1" ht="16.5" customHeight="1" x14ac:dyDescent="0.25">
      <c r="A3671" s="18"/>
      <c r="B3671" s="11" t="s">
        <v>212</v>
      </c>
      <c r="C3671" s="12" t="s">
        <v>1102</v>
      </c>
      <c r="D3671" s="11">
        <v>2021</v>
      </c>
      <c r="E3671" s="11" t="s">
        <v>213</v>
      </c>
      <c r="F3671" s="33">
        <f>SUMIF($D$3673:$D$3681,$D$3671,$F$3673:$F$3681)</f>
        <v>5915</v>
      </c>
      <c r="G3671" s="34">
        <f>SUMIF($D$3673:$D$3681,$D$3671,$G$3673:$G$3681)</f>
        <v>295</v>
      </c>
      <c r="H3671" s="34">
        <f>SUMIF($D$3673:$D$3681,$D$3671,$H$3673:$H$3681)</f>
        <v>18920.238000000001</v>
      </c>
      <c r="I3671" s="15"/>
      <c r="J3671" s="15"/>
      <c r="K3671" s="15"/>
      <c r="L3671" s="15"/>
      <c r="M3671" s="15"/>
      <c r="N3671" s="15"/>
      <c r="O3671" s="15"/>
      <c r="P3671" s="15"/>
      <c r="Q3671" s="15"/>
      <c r="R3671" s="15"/>
      <c r="S3671" s="15"/>
      <c r="T3671" s="15"/>
      <c r="U3671" s="15"/>
      <c r="V3671" s="15"/>
      <c r="W3671" s="15"/>
      <c r="X3671" s="15"/>
      <c r="Y3671" s="15"/>
      <c r="Z3671" s="15"/>
      <c r="AA3671" s="15"/>
      <c r="AB3671" s="15"/>
      <c r="AC3671" s="15"/>
      <c r="AD3671" s="15"/>
      <c r="AE3671" s="15"/>
      <c r="AF3671" s="15"/>
      <c r="AG3671" s="15"/>
    </row>
    <row r="3672" spans="1:33" s="26" customFormat="1" ht="15.75" x14ac:dyDescent="0.25">
      <c r="A3672" s="18"/>
      <c r="B3672" s="11" t="s">
        <v>212</v>
      </c>
      <c r="C3672" s="12" t="s">
        <v>1102</v>
      </c>
      <c r="D3672" s="11">
        <v>2022</v>
      </c>
      <c r="E3672" s="11" t="s">
        <v>213</v>
      </c>
      <c r="F3672" s="33">
        <f>SUMIF($D$3673:$D$3681,$D$3672,$F$3673:$F$3681)</f>
        <v>253</v>
      </c>
      <c r="G3672" s="34">
        <f>SUMIF($D$3673:$D$3681,$D$3672,$G$3673:$G$3681)</f>
        <v>65</v>
      </c>
      <c r="H3672" s="34">
        <f>SUMIF($D$3673:$D$3681,$D$3672,$H$3673:$H$3681)</f>
        <v>1767</v>
      </c>
      <c r="I3672" s="15"/>
      <c r="J3672" s="15"/>
      <c r="K3672" s="15"/>
      <c r="L3672" s="15"/>
      <c r="M3672" s="15"/>
      <c r="N3672" s="15"/>
      <c r="O3672" s="15"/>
      <c r="P3672" s="15"/>
      <c r="Q3672" s="15"/>
      <c r="R3672" s="15"/>
      <c r="S3672" s="15"/>
      <c r="T3672" s="15"/>
      <c r="U3672" s="15"/>
      <c r="V3672" s="15"/>
      <c r="W3672" s="15"/>
      <c r="X3672" s="15"/>
      <c r="Y3672" s="15"/>
      <c r="Z3672" s="15"/>
      <c r="AA3672" s="15"/>
      <c r="AB3672" s="15"/>
      <c r="AC3672" s="15"/>
      <c r="AD3672" s="15"/>
      <c r="AE3672" s="15"/>
      <c r="AF3672" s="15"/>
      <c r="AG3672" s="15"/>
    </row>
    <row r="3673" spans="1:33" s="15" customFormat="1" ht="63" hidden="1" outlineLevel="1" x14ac:dyDescent="0.25">
      <c r="A3673" s="18">
        <v>205</v>
      </c>
      <c r="B3673" s="4" t="s">
        <v>212</v>
      </c>
      <c r="C3673" s="38" t="s">
        <v>3707</v>
      </c>
      <c r="D3673" s="4">
        <v>2022</v>
      </c>
      <c r="E3673" s="4" t="s">
        <v>213</v>
      </c>
      <c r="F3673" s="4">
        <v>105</v>
      </c>
      <c r="G3673" s="42">
        <v>15</v>
      </c>
      <c r="H3673" s="42">
        <v>858</v>
      </c>
    </row>
    <row r="3674" spans="1:33" s="15" customFormat="1" ht="63" hidden="1" outlineLevel="1" x14ac:dyDescent="0.25">
      <c r="A3674" s="18">
        <v>250</v>
      </c>
      <c r="B3674" s="4" t="s">
        <v>212</v>
      </c>
      <c r="C3674" s="38" t="s">
        <v>4238</v>
      </c>
      <c r="D3674" s="4">
        <v>2022</v>
      </c>
      <c r="E3674" s="4" t="s">
        <v>213</v>
      </c>
      <c r="F3674" s="4">
        <v>148</v>
      </c>
      <c r="G3674" s="42">
        <v>50</v>
      </c>
      <c r="H3674" s="42">
        <v>909</v>
      </c>
    </row>
    <row r="3675" spans="1:33" s="15" customFormat="1" ht="33.75" hidden="1" customHeight="1" outlineLevel="1" x14ac:dyDescent="0.25">
      <c r="A3675" s="18">
        <v>968</v>
      </c>
      <c r="B3675" s="4" t="s">
        <v>212</v>
      </c>
      <c r="C3675" s="38" t="s">
        <v>318</v>
      </c>
      <c r="D3675" s="4">
        <v>2020</v>
      </c>
      <c r="E3675" s="4" t="s">
        <v>213</v>
      </c>
      <c r="F3675" s="4">
        <v>46</v>
      </c>
      <c r="G3675" s="42">
        <v>320</v>
      </c>
      <c r="H3675" s="42">
        <v>193.12138999999999</v>
      </c>
    </row>
    <row r="3676" spans="1:33" s="15" customFormat="1" ht="33.75" hidden="1" customHeight="1" outlineLevel="1" x14ac:dyDescent="0.25">
      <c r="A3676" s="18">
        <v>100</v>
      </c>
      <c r="B3676" s="4" t="s">
        <v>212</v>
      </c>
      <c r="C3676" s="38" t="s">
        <v>481</v>
      </c>
      <c r="D3676" s="4">
        <v>2020</v>
      </c>
      <c r="E3676" s="4" t="s">
        <v>213</v>
      </c>
      <c r="F3676" s="4">
        <v>87</v>
      </c>
      <c r="G3676" s="42">
        <v>150</v>
      </c>
      <c r="H3676" s="42">
        <v>139.46459999999999</v>
      </c>
    </row>
    <row r="3677" spans="1:33" s="15" customFormat="1" ht="33.75" hidden="1" customHeight="1" outlineLevel="1" x14ac:dyDescent="0.25">
      <c r="A3677" s="18">
        <v>1616</v>
      </c>
      <c r="B3677" s="4" t="s">
        <v>212</v>
      </c>
      <c r="C3677" s="38" t="s">
        <v>350</v>
      </c>
      <c r="D3677" s="4">
        <v>2020</v>
      </c>
      <c r="E3677" s="4" t="s">
        <v>213</v>
      </c>
      <c r="F3677" s="4">
        <v>48</v>
      </c>
      <c r="G3677" s="42">
        <v>18</v>
      </c>
      <c r="H3677" s="42">
        <v>118.7333</v>
      </c>
    </row>
    <row r="3678" spans="1:33" s="15" customFormat="1" ht="33.75" hidden="1" customHeight="1" outlineLevel="1" x14ac:dyDescent="0.25">
      <c r="A3678" s="18">
        <v>1708</v>
      </c>
      <c r="B3678" s="4" t="s">
        <v>212</v>
      </c>
      <c r="C3678" s="38" t="s">
        <v>575</v>
      </c>
      <c r="D3678" s="4">
        <v>2020</v>
      </c>
      <c r="E3678" s="4" t="s">
        <v>213</v>
      </c>
      <c r="F3678" s="4">
        <v>163</v>
      </c>
      <c r="G3678" s="42">
        <v>368</v>
      </c>
      <c r="H3678" s="42">
        <v>3726.8040000000001</v>
      </c>
    </row>
    <row r="3679" spans="1:33" s="15" customFormat="1" ht="33.75" hidden="1" customHeight="1" outlineLevel="1" x14ac:dyDescent="0.25">
      <c r="A3679" s="18">
        <v>1810</v>
      </c>
      <c r="B3679" s="4" t="s">
        <v>212</v>
      </c>
      <c r="C3679" s="38" t="s">
        <v>202</v>
      </c>
      <c r="D3679" s="4">
        <v>2020</v>
      </c>
      <c r="E3679" s="4" t="s">
        <v>213</v>
      </c>
      <c r="F3679" s="4">
        <v>89</v>
      </c>
      <c r="G3679" s="42">
        <v>57.3</v>
      </c>
      <c r="H3679" s="42">
        <v>216</v>
      </c>
    </row>
    <row r="3680" spans="1:33" s="15" customFormat="1" ht="33.75" hidden="1" customHeight="1" outlineLevel="1" x14ac:dyDescent="0.25">
      <c r="A3680" s="46">
        <v>9452</v>
      </c>
      <c r="B3680" s="4" t="s">
        <v>212</v>
      </c>
      <c r="C3680" s="38" t="s">
        <v>1222</v>
      </c>
      <c r="D3680" s="4">
        <v>2021</v>
      </c>
      <c r="E3680" s="4" t="s">
        <v>213</v>
      </c>
      <c r="F3680" s="4">
        <v>271</v>
      </c>
      <c r="G3680" s="42">
        <v>15</v>
      </c>
      <c r="H3680" s="42">
        <v>926</v>
      </c>
    </row>
    <row r="3681" spans="1:33" s="15" customFormat="1" ht="33.75" hidden="1" customHeight="1" outlineLevel="1" x14ac:dyDescent="0.25">
      <c r="A3681" s="46">
        <v>9575</v>
      </c>
      <c r="B3681" s="4" t="s">
        <v>212</v>
      </c>
      <c r="C3681" s="38" t="s">
        <v>1997</v>
      </c>
      <c r="D3681" s="4">
        <v>2021</v>
      </c>
      <c r="E3681" s="4" t="s">
        <v>213</v>
      </c>
      <c r="F3681" s="4">
        <v>5644</v>
      </c>
      <c r="G3681" s="42">
        <v>280</v>
      </c>
      <c r="H3681" s="42">
        <v>17994.238000000001</v>
      </c>
    </row>
    <row r="3682" spans="1:33" s="15" customFormat="1" ht="15.75" collapsed="1" x14ac:dyDescent="0.25">
      <c r="A3682" s="211"/>
      <c r="B3682" s="178" t="s">
        <v>214</v>
      </c>
      <c r="C3682" s="185" t="s">
        <v>3198</v>
      </c>
      <c r="D3682" s="178"/>
      <c r="E3682" s="178" t="s">
        <v>213</v>
      </c>
      <c r="F3682" s="178"/>
      <c r="G3682" s="178"/>
      <c r="H3682" s="178"/>
    </row>
    <row r="3683" spans="1:33" s="15" customFormat="1" ht="8.25" customHeight="1" x14ac:dyDescent="0.25">
      <c r="A3683" s="213"/>
      <c r="B3683" s="187"/>
      <c r="C3683" s="186"/>
      <c r="D3683" s="187"/>
      <c r="E3683" s="187"/>
      <c r="F3683" s="187"/>
      <c r="G3683" s="187"/>
      <c r="H3683" s="187"/>
    </row>
    <row r="3684" spans="1:33" s="15" customFormat="1" ht="7.5" customHeight="1" x14ac:dyDescent="0.25">
      <c r="A3684" s="213"/>
      <c r="B3684" s="187"/>
      <c r="C3684" s="186"/>
      <c r="D3684" s="187"/>
      <c r="E3684" s="187"/>
      <c r="F3684" s="187"/>
      <c r="G3684" s="187"/>
      <c r="H3684" s="187"/>
    </row>
    <row r="3685" spans="1:33" s="15" customFormat="1" ht="15.75" x14ac:dyDescent="0.25">
      <c r="A3685" s="212"/>
      <c r="B3685" s="179"/>
      <c r="C3685" s="181"/>
      <c r="D3685" s="179"/>
      <c r="E3685" s="179"/>
      <c r="F3685" s="179"/>
      <c r="G3685" s="179"/>
      <c r="H3685" s="179"/>
    </row>
    <row r="3686" spans="1:33" s="15" customFormat="1" ht="16.5" customHeight="1" x14ac:dyDescent="0.25">
      <c r="A3686" s="18"/>
      <c r="B3686" s="7" t="s">
        <v>214</v>
      </c>
      <c r="C3686" s="8" t="s">
        <v>1102</v>
      </c>
      <c r="D3686" s="7">
        <v>2020</v>
      </c>
      <c r="E3686" s="7" t="s">
        <v>213</v>
      </c>
      <c r="F3686" s="7">
        <f>SUMIF($D$3689:$D$3695,$D$3686,$F$3689:$F$3695)</f>
        <v>335</v>
      </c>
      <c r="G3686" s="7">
        <f>SUMIF($D$3689:$D$3695,$D$3686,$G$3689:$G$3695)</f>
        <v>140</v>
      </c>
      <c r="H3686" s="10">
        <f>SUMIF($D$3689:$D$3695,$D$3686,$H$3689:$H$3695)</f>
        <v>1844.3389999999999</v>
      </c>
    </row>
    <row r="3687" spans="1:33" s="26" customFormat="1" ht="16.5" customHeight="1" x14ac:dyDescent="0.25">
      <c r="A3687" s="18"/>
      <c r="B3687" s="7" t="s">
        <v>214</v>
      </c>
      <c r="C3687" s="8" t="s">
        <v>1102</v>
      </c>
      <c r="D3687" s="7">
        <v>2021</v>
      </c>
      <c r="E3687" s="7" t="s">
        <v>213</v>
      </c>
      <c r="F3687" s="7">
        <f>SUMIF($D$3689:$D$3695,$D$3687,$F$3689:$F$3695)</f>
        <v>18041</v>
      </c>
      <c r="G3687" s="7">
        <f>SUMIF($D$3689:$D$3695,$D$3687,$G$3689:$G$3695)</f>
        <v>5677</v>
      </c>
      <c r="H3687" s="10">
        <f>SUMIF($D$3689:$D$3695,$D$3687,$H$3689:$H$3695)</f>
        <v>78104.05</v>
      </c>
      <c r="I3687" s="15"/>
      <c r="J3687" s="15"/>
      <c r="K3687" s="15"/>
      <c r="L3687" s="15"/>
      <c r="M3687" s="15"/>
      <c r="N3687" s="15"/>
      <c r="O3687" s="15"/>
      <c r="P3687" s="15"/>
      <c r="Q3687" s="15"/>
      <c r="R3687" s="15"/>
      <c r="S3687" s="15"/>
      <c r="T3687" s="15"/>
      <c r="U3687" s="15"/>
      <c r="V3687" s="15"/>
      <c r="W3687" s="15"/>
      <c r="X3687" s="15"/>
      <c r="Y3687" s="15"/>
      <c r="Z3687" s="15"/>
      <c r="AA3687" s="15"/>
      <c r="AB3687" s="15"/>
      <c r="AC3687" s="15"/>
      <c r="AD3687" s="15"/>
      <c r="AE3687" s="15"/>
      <c r="AF3687" s="15"/>
      <c r="AG3687" s="15"/>
    </row>
    <row r="3688" spans="1:33" s="26" customFormat="1" ht="15.75" x14ac:dyDescent="0.25">
      <c r="A3688" s="18"/>
      <c r="B3688" s="7" t="s">
        <v>214</v>
      </c>
      <c r="C3688" s="8" t="s">
        <v>1102</v>
      </c>
      <c r="D3688" s="7">
        <v>2022</v>
      </c>
      <c r="E3688" s="7" t="s">
        <v>213</v>
      </c>
      <c r="F3688" s="7">
        <f>SUMIF($D$3689:$D$3695,$D$3688,$F$3689:$F$3695)</f>
        <v>0</v>
      </c>
      <c r="G3688" s="7">
        <f>SUMIF($D$3689:$D$3695,$D$3688,$G$3689:$G$3695)</f>
        <v>0</v>
      </c>
      <c r="H3688" s="10">
        <f>SUMIF($D$3689:$D$3695,$D$3688,$H$3689:$H$3695)</f>
        <v>0</v>
      </c>
      <c r="I3688" s="15"/>
      <c r="J3688" s="15"/>
      <c r="K3688" s="15"/>
      <c r="L3688" s="15"/>
      <c r="M3688" s="15"/>
      <c r="N3688" s="15"/>
      <c r="O3688" s="15"/>
      <c r="P3688" s="15"/>
      <c r="Q3688" s="15"/>
      <c r="R3688" s="15"/>
      <c r="S3688" s="15"/>
      <c r="T3688" s="15"/>
      <c r="U3688" s="15"/>
      <c r="V3688" s="15"/>
      <c r="W3688" s="15"/>
      <c r="X3688" s="15"/>
      <c r="Y3688" s="15"/>
      <c r="Z3688" s="15"/>
      <c r="AA3688" s="15"/>
      <c r="AB3688" s="15"/>
      <c r="AC3688" s="15"/>
      <c r="AD3688" s="15"/>
      <c r="AE3688" s="15"/>
      <c r="AF3688" s="15"/>
      <c r="AG3688" s="15"/>
    </row>
    <row r="3689" spans="1:33" s="15" customFormat="1" ht="15.75" hidden="1" outlineLevel="1" x14ac:dyDescent="0.25">
      <c r="A3689" s="18"/>
      <c r="B3689" s="4" t="s">
        <v>214</v>
      </c>
      <c r="C3689" s="22"/>
      <c r="D3689" s="4">
        <v>2022</v>
      </c>
      <c r="E3689" s="4" t="s">
        <v>213</v>
      </c>
      <c r="F3689" s="4"/>
      <c r="G3689" s="42"/>
      <c r="H3689" s="42"/>
    </row>
    <row r="3690" spans="1:33" s="15" customFormat="1" ht="15.75" hidden="1" outlineLevel="1" x14ac:dyDescent="0.25">
      <c r="A3690" s="18"/>
      <c r="B3690" s="4" t="s">
        <v>214</v>
      </c>
      <c r="C3690" s="22"/>
      <c r="D3690" s="4">
        <v>2022</v>
      </c>
      <c r="E3690" s="4" t="s">
        <v>213</v>
      </c>
      <c r="F3690" s="4"/>
      <c r="G3690" s="42"/>
      <c r="H3690" s="42"/>
    </row>
    <row r="3691" spans="1:33" s="15" customFormat="1" ht="107.25" hidden="1" customHeight="1" outlineLevel="1" x14ac:dyDescent="0.25">
      <c r="A3691" s="18">
        <v>1711</v>
      </c>
      <c r="B3691" s="4" t="s">
        <v>214</v>
      </c>
      <c r="C3691" s="22" t="s">
        <v>215</v>
      </c>
      <c r="D3691" s="4">
        <v>2020</v>
      </c>
      <c r="E3691" s="4" t="s">
        <v>213</v>
      </c>
      <c r="F3691" s="4">
        <v>335</v>
      </c>
      <c r="G3691" s="42">
        <v>140</v>
      </c>
      <c r="H3691" s="42">
        <v>1844.3389999999999</v>
      </c>
    </row>
    <row r="3692" spans="1:33" s="15" customFormat="1" ht="107.25" hidden="1" customHeight="1" outlineLevel="1" x14ac:dyDescent="0.25">
      <c r="A3692" s="46">
        <v>9574</v>
      </c>
      <c r="B3692" s="4" t="s">
        <v>214</v>
      </c>
      <c r="C3692" s="22" t="s">
        <v>1282</v>
      </c>
      <c r="D3692" s="4">
        <v>2021</v>
      </c>
      <c r="E3692" s="4" t="s">
        <v>213</v>
      </c>
      <c r="F3692" s="4">
        <v>15916</v>
      </c>
      <c r="G3692" s="42">
        <v>2002</v>
      </c>
      <c r="H3692" s="42">
        <v>65765</v>
      </c>
    </row>
    <row r="3693" spans="1:33" s="15" customFormat="1" ht="107.25" hidden="1" customHeight="1" outlineLevel="1" x14ac:dyDescent="0.25">
      <c r="A3693" s="46">
        <v>9266</v>
      </c>
      <c r="B3693" s="4" t="s">
        <v>214</v>
      </c>
      <c r="C3693" s="22" t="s">
        <v>9152</v>
      </c>
      <c r="D3693" s="4">
        <v>2021</v>
      </c>
      <c r="E3693" s="4" t="s">
        <v>213</v>
      </c>
      <c r="F3693" s="4">
        <v>560</v>
      </c>
      <c r="G3693" s="42">
        <v>3420</v>
      </c>
      <c r="H3693" s="42">
        <v>3397</v>
      </c>
    </row>
    <row r="3694" spans="1:33" s="15" customFormat="1" ht="107.25" hidden="1" customHeight="1" outlineLevel="1" x14ac:dyDescent="0.25">
      <c r="A3694" s="45">
        <v>449</v>
      </c>
      <c r="B3694" s="4" t="s">
        <v>214</v>
      </c>
      <c r="C3694" s="22" t="s">
        <v>1367</v>
      </c>
      <c r="D3694" s="4">
        <v>2021</v>
      </c>
      <c r="E3694" s="4" t="s">
        <v>213</v>
      </c>
      <c r="F3694" s="4">
        <v>625</v>
      </c>
      <c r="G3694" s="42">
        <v>150</v>
      </c>
      <c r="H3694" s="42">
        <v>2724.5940000000001</v>
      </c>
    </row>
    <row r="3695" spans="1:33" s="15" customFormat="1" ht="107.25" hidden="1" customHeight="1" outlineLevel="1" x14ac:dyDescent="0.25">
      <c r="A3695" s="46">
        <v>9079</v>
      </c>
      <c r="B3695" s="4" t="s">
        <v>214</v>
      </c>
      <c r="C3695" s="22" t="s">
        <v>1368</v>
      </c>
      <c r="D3695" s="4">
        <v>2021</v>
      </c>
      <c r="E3695" s="4" t="s">
        <v>213</v>
      </c>
      <c r="F3695" s="4">
        <v>940</v>
      </c>
      <c r="G3695" s="42">
        <v>105</v>
      </c>
      <c r="H3695" s="42">
        <v>6217.4560000000001</v>
      </c>
    </row>
    <row r="3696" spans="1:33" s="15" customFormat="1" ht="21.75" customHeight="1" collapsed="1" x14ac:dyDescent="0.25">
      <c r="A3696" s="211"/>
      <c r="B3696" s="174" t="s">
        <v>216</v>
      </c>
      <c r="C3696" s="176" t="s">
        <v>3199</v>
      </c>
      <c r="D3696" s="174"/>
      <c r="E3696" s="174" t="s">
        <v>213</v>
      </c>
      <c r="F3696" s="174"/>
      <c r="G3696" s="174"/>
      <c r="H3696" s="174"/>
    </row>
    <row r="3697" spans="1:33" s="15" customFormat="1" ht="7.5" customHeight="1" x14ac:dyDescent="0.25">
      <c r="A3697" s="213"/>
      <c r="B3697" s="188"/>
      <c r="C3697" s="198"/>
      <c r="D3697" s="188"/>
      <c r="E3697" s="188"/>
      <c r="F3697" s="188"/>
      <c r="G3697" s="188"/>
      <c r="H3697" s="188"/>
    </row>
    <row r="3698" spans="1:33" s="15" customFormat="1" ht="15.75" x14ac:dyDescent="0.25">
      <c r="A3698" s="212"/>
      <c r="B3698" s="175"/>
      <c r="C3698" s="177"/>
      <c r="D3698" s="175"/>
      <c r="E3698" s="175"/>
      <c r="F3698" s="175"/>
      <c r="G3698" s="175"/>
      <c r="H3698" s="175"/>
    </row>
    <row r="3699" spans="1:33" s="15" customFormat="1" ht="16.5" customHeight="1" x14ac:dyDescent="0.25">
      <c r="A3699" s="18"/>
      <c r="B3699" s="11" t="s">
        <v>216</v>
      </c>
      <c r="C3699" s="12" t="s">
        <v>1102</v>
      </c>
      <c r="D3699" s="11">
        <v>2020</v>
      </c>
      <c r="E3699" s="11" t="s">
        <v>213</v>
      </c>
      <c r="F3699" s="14">
        <f>SUMIF($D$3702:$D$3702,$D$3699,$F$3702:$F$3702)</f>
        <v>572</v>
      </c>
      <c r="G3699" s="14">
        <f>SUMIF($D$3702:$D$3702,$D$3699,$G$3702:$G$3702)</f>
        <v>150</v>
      </c>
      <c r="H3699" s="14">
        <f>SUMIF($D$3702:$D$3702,$D$3699,$H$3702:$H$3702)</f>
        <v>3265.1759999999999</v>
      </c>
    </row>
    <row r="3700" spans="1:33" s="15" customFormat="1" ht="16.5" customHeight="1" x14ac:dyDescent="0.25">
      <c r="A3700" s="18"/>
      <c r="B3700" s="11" t="s">
        <v>216</v>
      </c>
      <c r="C3700" s="12" t="s">
        <v>1102</v>
      </c>
      <c r="D3700" s="11">
        <v>2021</v>
      </c>
      <c r="E3700" s="11" t="s">
        <v>213</v>
      </c>
      <c r="F3700" s="14">
        <f>SUMIF($D$3702:$D$3702,$D$3700,$F$3702:$F$3702)</f>
        <v>0</v>
      </c>
      <c r="G3700" s="14">
        <f>SUMIF($D$3702:$D$3702,$D$3700,$G$3702:$G$3702)</f>
        <v>0</v>
      </c>
      <c r="H3700" s="14">
        <f>SUMIF($D$3702:$D$3702,$D$3700,$H$3702:$H$3702)</f>
        <v>0</v>
      </c>
    </row>
    <row r="3701" spans="1:33" s="15" customFormat="1" ht="15.75" x14ac:dyDescent="0.25">
      <c r="A3701" s="18"/>
      <c r="B3701" s="11" t="s">
        <v>216</v>
      </c>
      <c r="C3701" s="12" t="s">
        <v>1102</v>
      </c>
      <c r="D3701" s="11">
        <v>2022</v>
      </c>
      <c r="E3701" s="11" t="s">
        <v>213</v>
      </c>
      <c r="F3701" s="14">
        <f>SUMIF($D$3702:$D$3702,$D$3701,$F$3702:$F$3702)</f>
        <v>0</v>
      </c>
      <c r="G3701" s="14">
        <f>SUMIF($D$3702:$D$3702,$D$3701,$G$3702:$G$3702)</f>
        <v>0</v>
      </c>
      <c r="H3701" s="14">
        <f>SUMIF($D$3702:$D$3702,$D$3701,$H$3702:$H$3702)</f>
        <v>0</v>
      </c>
    </row>
    <row r="3702" spans="1:33" s="15" customFormat="1" ht="78.75" hidden="1" outlineLevel="1" x14ac:dyDescent="0.25">
      <c r="A3702" s="18">
        <v>1434</v>
      </c>
      <c r="B3702" s="4" t="s">
        <v>216</v>
      </c>
      <c r="C3702" s="22" t="s">
        <v>217</v>
      </c>
      <c r="D3702" s="4">
        <v>2020</v>
      </c>
      <c r="E3702" s="4" t="s">
        <v>213</v>
      </c>
      <c r="F3702" s="4">
        <v>572</v>
      </c>
      <c r="G3702" s="42">
        <v>150</v>
      </c>
      <c r="H3702" s="42">
        <v>3265.1759999999999</v>
      </c>
    </row>
    <row r="3703" spans="1:33" s="15" customFormat="1" ht="15.75" collapsed="1" x14ac:dyDescent="0.25">
      <c r="A3703" s="211"/>
      <c r="B3703" s="174" t="s">
        <v>220</v>
      </c>
      <c r="C3703" s="176" t="s">
        <v>3200</v>
      </c>
      <c r="D3703" s="174"/>
      <c r="E3703" s="174" t="s">
        <v>213</v>
      </c>
      <c r="F3703" s="174"/>
      <c r="G3703" s="174"/>
      <c r="H3703" s="174"/>
    </row>
    <row r="3704" spans="1:33" s="15" customFormat="1" ht="15.75" x14ac:dyDescent="0.25">
      <c r="A3704" s="213"/>
      <c r="B3704" s="188"/>
      <c r="C3704" s="198"/>
      <c r="D3704" s="188"/>
      <c r="E3704" s="188"/>
      <c r="F3704" s="188"/>
      <c r="G3704" s="188"/>
      <c r="H3704" s="188"/>
    </row>
    <row r="3705" spans="1:33" s="15" customFormat="1" ht="6" customHeight="1" x14ac:dyDescent="0.25">
      <c r="A3705" s="213"/>
      <c r="B3705" s="188"/>
      <c r="C3705" s="198"/>
      <c r="D3705" s="188"/>
      <c r="E3705" s="188"/>
      <c r="F3705" s="188"/>
      <c r="G3705" s="188"/>
      <c r="H3705" s="188"/>
    </row>
    <row r="3706" spans="1:33" s="15" customFormat="1" ht="12" customHeight="1" x14ac:dyDescent="0.25">
      <c r="A3706" s="212"/>
      <c r="B3706" s="175"/>
      <c r="C3706" s="177"/>
      <c r="D3706" s="175"/>
      <c r="E3706" s="175"/>
      <c r="F3706" s="175"/>
      <c r="G3706" s="175"/>
      <c r="H3706" s="175"/>
    </row>
    <row r="3707" spans="1:33" s="15" customFormat="1" ht="15" customHeight="1" x14ac:dyDescent="0.25">
      <c r="A3707" s="18"/>
      <c r="B3707" s="11" t="s">
        <v>220</v>
      </c>
      <c r="C3707" s="12" t="s">
        <v>1102</v>
      </c>
      <c r="D3707" s="11">
        <v>2020</v>
      </c>
      <c r="E3707" s="11" t="s">
        <v>213</v>
      </c>
      <c r="F3707" s="14">
        <f>SUMIF($D$3710:$D$3711,$D$3707,$F$3710:$F$3711)</f>
        <v>2506</v>
      </c>
      <c r="G3707" s="14">
        <f>SUMIF($D$3710:$D$3711,$D$3707,$G$3710:$G$3711)</f>
        <v>421.4</v>
      </c>
      <c r="H3707" s="14">
        <f>SUMIF($D$3710:$D$3711,$D$3707,$H$3710:$H$3711)</f>
        <v>19066.811000000002</v>
      </c>
    </row>
    <row r="3708" spans="1:33" s="26" customFormat="1" ht="16.5" customHeight="1" x14ac:dyDescent="0.25">
      <c r="A3708" s="18"/>
      <c r="B3708" s="11" t="s">
        <v>220</v>
      </c>
      <c r="C3708" s="12" t="s">
        <v>1102</v>
      </c>
      <c r="D3708" s="11">
        <v>2021</v>
      </c>
      <c r="E3708" s="11" t="s">
        <v>213</v>
      </c>
      <c r="F3708" s="14">
        <f>SUMIF($D$3710:$D$3711,$D$3708,$F$3710:$F$3711)</f>
        <v>584</v>
      </c>
      <c r="G3708" s="14">
        <f>SUMIF($D$3710:$D$3711,$D$3708,$G$3710:$G$3711)</f>
        <v>4425.2</v>
      </c>
      <c r="H3708" s="14">
        <f>SUMIF($D$3710:$D$3711,$D$3708,$H$3710:$H$3711)</f>
        <v>2707</v>
      </c>
      <c r="I3708" s="15"/>
      <c r="J3708" s="15"/>
      <c r="K3708" s="15"/>
      <c r="L3708" s="15"/>
      <c r="M3708" s="15"/>
      <c r="N3708" s="15"/>
      <c r="O3708" s="15"/>
      <c r="P3708" s="15"/>
      <c r="Q3708" s="15"/>
      <c r="R3708" s="15"/>
      <c r="S3708" s="15"/>
      <c r="T3708" s="15"/>
      <c r="U3708" s="15"/>
      <c r="V3708" s="15"/>
      <c r="W3708" s="15"/>
      <c r="X3708" s="15"/>
      <c r="Y3708" s="15"/>
      <c r="Z3708" s="15"/>
      <c r="AA3708" s="15"/>
      <c r="AB3708" s="15"/>
      <c r="AC3708" s="15"/>
      <c r="AD3708" s="15"/>
      <c r="AE3708" s="15"/>
      <c r="AF3708" s="15"/>
      <c r="AG3708" s="15"/>
    </row>
    <row r="3709" spans="1:33" s="26" customFormat="1" ht="15.75" x14ac:dyDescent="0.25">
      <c r="A3709" s="18"/>
      <c r="B3709" s="11" t="s">
        <v>220</v>
      </c>
      <c r="C3709" s="12" t="s">
        <v>1102</v>
      </c>
      <c r="D3709" s="11">
        <v>2022</v>
      </c>
      <c r="E3709" s="11" t="s">
        <v>213</v>
      </c>
      <c r="F3709" s="14">
        <f>SUMIF($D$3710:$D$3711,$D$3709,$F$3710:$F$3711)</f>
        <v>0</v>
      </c>
      <c r="G3709" s="14">
        <f>SUMIF($D$3710:$D$3711,$D$3709,$G$3710:$G$3711)</f>
        <v>0</v>
      </c>
      <c r="H3709" s="14">
        <f>SUMIF($D$3710:$D$3711,$D$3709,$H$3710:$H$3711)</f>
        <v>0</v>
      </c>
      <c r="I3709" s="15"/>
      <c r="J3709" s="15"/>
      <c r="K3709" s="15"/>
      <c r="L3709" s="15"/>
      <c r="M3709" s="15"/>
      <c r="N3709" s="15"/>
      <c r="O3709" s="15"/>
      <c r="P3709" s="15"/>
      <c r="Q3709" s="15"/>
      <c r="R3709" s="15"/>
      <c r="S3709" s="15"/>
      <c r="T3709" s="15"/>
      <c r="U3709" s="15"/>
      <c r="V3709" s="15"/>
      <c r="W3709" s="15"/>
      <c r="X3709" s="15"/>
      <c r="Y3709" s="15"/>
      <c r="Z3709" s="15"/>
      <c r="AA3709" s="15"/>
      <c r="AB3709" s="15"/>
      <c r="AC3709" s="15"/>
      <c r="AD3709" s="15"/>
      <c r="AE3709" s="15"/>
      <c r="AF3709" s="15"/>
      <c r="AG3709" s="15"/>
    </row>
    <row r="3710" spans="1:33" s="15" customFormat="1" ht="78.75" hidden="1" outlineLevel="1" x14ac:dyDescent="0.25">
      <c r="A3710" s="18">
        <v>1435</v>
      </c>
      <c r="B3710" s="4" t="s">
        <v>220</v>
      </c>
      <c r="C3710" s="22" t="s">
        <v>4</v>
      </c>
      <c r="D3710" s="4">
        <v>2020</v>
      </c>
      <c r="E3710" s="4" t="s">
        <v>213</v>
      </c>
      <c r="F3710" s="42">
        <v>2506</v>
      </c>
      <c r="G3710" s="42">
        <v>421.4</v>
      </c>
      <c r="H3710" s="42">
        <v>19066.811000000002</v>
      </c>
    </row>
    <row r="3711" spans="1:33" s="15" customFormat="1" ht="78.75" hidden="1" outlineLevel="1" x14ac:dyDescent="0.25">
      <c r="A3711" s="18">
        <v>1437</v>
      </c>
      <c r="B3711" s="4" t="s">
        <v>220</v>
      </c>
      <c r="C3711" s="22" t="s">
        <v>3181</v>
      </c>
      <c r="D3711" s="4">
        <v>2021</v>
      </c>
      <c r="E3711" s="4" t="s">
        <v>213</v>
      </c>
      <c r="F3711" s="42">
        <v>584</v>
      </c>
      <c r="G3711" s="42">
        <v>4425.2</v>
      </c>
      <c r="H3711" s="42">
        <v>2707</v>
      </c>
    </row>
    <row r="3712" spans="1:33" s="15" customFormat="1" ht="15.75" collapsed="1" x14ac:dyDescent="0.25">
      <c r="A3712" s="211"/>
      <c r="B3712" s="178" t="s">
        <v>221</v>
      </c>
      <c r="C3712" s="180" t="s">
        <v>3201</v>
      </c>
      <c r="D3712" s="178"/>
      <c r="E3712" s="178" t="s">
        <v>213</v>
      </c>
      <c r="F3712" s="178"/>
      <c r="G3712" s="178"/>
      <c r="H3712" s="178"/>
    </row>
    <row r="3713" spans="1:33" s="15" customFormat="1" ht="15.75" x14ac:dyDescent="0.25">
      <c r="A3713" s="213"/>
      <c r="B3713" s="187"/>
      <c r="C3713" s="186"/>
      <c r="D3713" s="187"/>
      <c r="E3713" s="187"/>
      <c r="F3713" s="187"/>
      <c r="G3713" s="187"/>
      <c r="H3713" s="187"/>
    </row>
    <row r="3714" spans="1:33" s="15" customFormat="1" ht="8.25" customHeight="1" x14ac:dyDescent="0.25">
      <c r="A3714" s="213"/>
      <c r="B3714" s="187"/>
      <c r="C3714" s="186"/>
      <c r="D3714" s="187"/>
      <c r="E3714" s="187"/>
      <c r="F3714" s="187"/>
      <c r="G3714" s="187"/>
      <c r="H3714" s="187"/>
    </row>
    <row r="3715" spans="1:33" s="15" customFormat="1" ht="6" customHeight="1" x14ac:dyDescent="0.25">
      <c r="A3715" s="212"/>
      <c r="B3715" s="179"/>
      <c r="C3715" s="181"/>
      <c r="D3715" s="179"/>
      <c r="E3715" s="179"/>
      <c r="F3715" s="179"/>
      <c r="G3715" s="179"/>
      <c r="H3715" s="179"/>
    </row>
    <row r="3716" spans="1:33" s="15" customFormat="1" ht="16.5" customHeight="1" x14ac:dyDescent="0.25">
      <c r="A3716" s="18"/>
      <c r="B3716" s="7" t="s">
        <v>221</v>
      </c>
      <c r="C3716" s="8" t="s">
        <v>1102</v>
      </c>
      <c r="D3716" s="7">
        <v>2020</v>
      </c>
      <c r="E3716" s="7" t="s">
        <v>213</v>
      </c>
      <c r="F3716" s="7">
        <f>SUMIF($D$3719:$D$3720,$D$3716,$F$3719:$F$3720)</f>
        <v>5900</v>
      </c>
      <c r="G3716" s="10">
        <f>SUMIF($D$3719:$D$3720,$D$3716,$G$3719:$G$3720)</f>
        <v>4425.2</v>
      </c>
      <c r="H3716" s="10">
        <f>SUMIF($D$3719:$D$3720,$D$3716,$H$3719:$H$3720)</f>
        <v>49375.053999999996</v>
      </c>
    </row>
    <row r="3717" spans="1:33" s="26" customFormat="1" ht="16.5" customHeight="1" x14ac:dyDescent="0.25">
      <c r="A3717" s="18"/>
      <c r="B3717" s="7" t="s">
        <v>221</v>
      </c>
      <c r="C3717" s="8" t="s">
        <v>1102</v>
      </c>
      <c r="D3717" s="7">
        <v>2021</v>
      </c>
      <c r="E3717" s="7" t="s">
        <v>213</v>
      </c>
      <c r="F3717" s="7">
        <f>SUMIF($D$3719:$D$3720,$D$3717,$F$3719:$F$3720)</f>
        <v>72</v>
      </c>
      <c r="G3717" s="10">
        <f>SUMIF($D$3719:$D$3720,$D$3717,$G$3719:$G$3720)</f>
        <v>149</v>
      </c>
      <c r="H3717" s="10">
        <f>SUMIF($D$3719:$D$3720,$D$3717,$H$3719:$H$3720)</f>
        <v>670</v>
      </c>
      <c r="I3717" s="15"/>
      <c r="J3717" s="15"/>
      <c r="K3717" s="15"/>
      <c r="L3717" s="15"/>
      <c r="M3717" s="15"/>
      <c r="N3717" s="15"/>
      <c r="O3717" s="15"/>
      <c r="P3717" s="15"/>
      <c r="Q3717" s="15"/>
      <c r="R3717" s="15"/>
      <c r="S3717" s="15"/>
      <c r="T3717" s="15"/>
      <c r="U3717" s="15"/>
      <c r="V3717" s="15"/>
      <c r="W3717" s="15"/>
      <c r="X3717" s="15"/>
      <c r="Y3717" s="15"/>
      <c r="Z3717" s="15"/>
      <c r="AA3717" s="15"/>
      <c r="AB3717" s="15"/>
      <c r="AC3717" s="15"/>
      <c r="AD3717" s="15"/>
      <c r="AE3717" s="15"/>
      <c r="AF3717" s="15"/>
      <c r="AG3717" s="15"/>
    </row>
    <row r="3718" spans="1:33" s="26" customFormat="1" ht="15.75" x14ac:dyDescent="0.25">
      <c r="A3718" s="18"/>
      <c r="B3718" s="7" t="s">
        <v>221</v>
      </c>
      <c r="C3718" s="8" t="s">
        <v>1102</v>
      </c>
      <c r="D3718" s="7">
        <v>2022</v>
      </c>
      <c r="E3718" s="7" t="s">
        <v>213</v>
      </c>
      <c r="F3718" s="7">
        <f>SUMIF($D$3719:$D$3720,$D$3718,$F$3719:$F$3720)</f>
        <v>0</v>
      </c>
      <c r="G3718" s="10">
        <f>SUMIF($D$3719:$D$3720,$D$3718,$G$3719:$G$3720)</f>
        <v>0</v>
      </c>
      <c r="H3718" s="10">
        <f>SUMIF($D$3719:$D$3720,$D$3718,$H$3719:$H$3720)</f>
        <v>0</v>
      </c>
      <c r="I3718" s="15"/>
      <c r="J3718" s="15"/>
      <c r="K3718" s="15"/>
      <c r="L3718" s="15"/>
      <c r="M3718" s="15"/>
      <c r="N3718" s="15"/>
      <c r="O3718" s="15"/>
      <c r="P3718" s="15"/>
      <c r="Q3718" s="15"/>
      <c r="R3718" s="15"/>
      <c r="S3718" s="15"/>
      <c r="T3718" s="15"/>
      <c r="U3718" s="15"/>
      <c r="V3718" s="15"/>
      <c r="W3718" s="15"/>
      <c r="X3718" s="15"/>
      <c r="Y3718" s="15"/>
      <c r="Z3718" s="15"/>
      <c r="AA3718" s="15"/>
      <c r="AB3718" s="15"/>
      <c r="AC3718" s="15"/>
      <c r="AD3718" s="15"/>
      <c r="AE3718" s="15"/>
      <c r="AF3718" s="15"/>
      <c r="AG3718" s="15"/>
    </row>
    <row r="3719" spans="1:33" s="15" customFormat="1" ht="63" hidden="1" outlineLevel="1" x14ac:dyDescent="0.25">
      <c r="A3719" s="18">
        <v>1437</v>
      </c>
      <c r="B3719" s="4" t="s">
        <v>221</v>
      </c>
      <c r="C3719" s="22" t="s">
        <v>222</v>
      </c>
      <c r="D3719" s="4">
        <v>2020</v>
      </c>
      <c r="E3719" s="4"/>
      <c r="F3719" s="4">
        <v>5900</v>
      </c>
      <c r="G3719" s="4">
        <v>4425.2</v>
      </c>
      <c r="H3719" s="4">
        <v>49375.053999999996</v>
      </c>
    </row>
    <row r="3720" spans="1:33" s="15" customFormat="1" ht="78.75" hidden="1" outlineLevel="1" x14ac:dyDescent="0.25">
      <c r="A3720" s="18">
        <v>9088</v>
      </c>
      <c r="B3720" s="4" t="s">
        <v>221</v>
      </c>
      <c r="C3720" s="22" t="s">
        <v>3180</v>
      </c>
      <c r="D3720" s="4">
        <v>2021</v>
      </c>
      <c r="E3720" s="4" t="s">
        <v>213</v>
      </c>
      <c r="F3720" s="4">
        <v>72</v>
      </c>
      <c r="G3720" s="4">
        <v>149</v>
      </c>
      <c r="H3720" s="4">
        <v>670</v>
      </c>
    </row>
    <row r="3721" spans="1:33" s="15" customFormat="1" ht="15.75" collapsed="1" x14ac:dyDescent="0.25">
      <c r="A3721" s="211"/>
      <c r="B3721" s="174" t="s">
        <v>223</v>
      </c>
      <c r="C3721" s="189" t="s">
        <v>3202</v>
      </c>
      <c r="D3721" s="174"/>
      <c r="E3721" s="174" t="s">
        <v>213</v>
      </c>
      <c r="F3721" s="174"/>
      <c r="G3721" s="174"/>
      <c r="H3721" s="174"/>
    </row>
    <row r="3722" spans="1:33" s="15" customFormat="1" ht="15.75" x14ac:dyDescent="0.25">
      <c r="A3722" s="213"/>
      <c r="B3722" s="188"/>
      <c r="C3722" s="198"/>
      <c r="D3722" s="188"/>
      <c r="E3722" s="188"/>
      <c r="F3722" s="188"/>
      <c r="G3722" s="188"/>
      <c r="H3722" s="188"/>
    </row>
    <row r="3723" spans="1:33" s="15" customFormat="1" ht="12.75" customHeight="1" x14ac:dyDescent="0.25">
      <c r="A3723" s="212"/>
      <c r="B3723" s="175"/>
      <c r="C3723" s="177"/>
      <c r="D3723" s="175"/>
      <c r="E3723" s="175"/>
      <c r="F3723" s="175"/>
      <c r="G3723" s="175"/>
      <c r="H3723" s="175"/>
    </row>
    <row r="3724" spans="1:33" s="15" customFormat="1" ht="16.5" customHeight="1" x14ac:dyDescent="0.25">
      <c r="A3724" s="18"/>
      <c r="B3724" s="11" t="s">
        <v>223</v>
      </c>
      <c r="C3724" s="12" t="s">
        <v>1102</v>
      </c>
      <c r="D3724" s="11">
        <v>2020</v>
      </c>
      <c r="E3724" s="11" t="s">
        <v>213</v>
      </c>
      <c r="F3724" s="14">
        <f>F3727</f>
        <v>120</v>
      </c>
      <c r="G3724" s="14">
        <f>G3727</f>
        <v>149</v>
      </c>
      <c r="H3724" s="14">
        <f>H3727</f>
        <v>257.29025999999999</v>
      </c>
    </row>
    <row r="3725" spans="1:33" s="26" customFormat="1" ht="16.5" customHeight="1" x14ac:dyDescent="0.25">
      <c r="A3725" s="18"/>
      <c r="B3725" s="11" t="s">
        <v>223</v>
      </c>
      <c r="C3725" s="12" t="s">
        <v>1102</v>
      </c>
      <c r="D3725" s="11">
        <v>2021</v>
      </c>
      <c r="E3725" s="11" t="s">
        <v>213</v>
      </c>
      <c r="F3725" s="14">
        <f>SUM(F3728:F3728)</f>
        <v>0</v>
      </c>
      <c r="G3725" s="14">
        <f>SUM(G3728:G3728)</f>
        <v>0</v>
      </c>
      <c r="H3725" s="14">
        <f>SUM(H3728:H3728)</f>
        <v>0</v>
      </c>
      <c r="I3725" s="15"/>
      <c r="J3725" s="15"/>
      <c r="K3725" s="15"/>
      <c r="L3725" s="15"/>
      <c r="M3725" s="15"/>
      <c r="N3725" s="15"/>
      <c r="O3725" s="15"/>
      <c r="P3725" s="15"/>
      <c r="Q3725" s="15"/>
      <c r="R3725" s="15"/>
      <c r="S3725" s="15"/>
      <c r="T3725" s="15"/>
      <c r="U3725" s="15"/>
      <c r="V3725" s="15"/>
      <c r="W3725" s="15"/>
      <c r="X3725" s="15"/>
      <c r="Y3725" s="15"/>
      <c r="Z3725" s="15"/>
      <c r="AA3725" s="15"/>
      <c r="AB3725" s="15"/>
      <c r="AC3725" s="15"/>
      <c r="AD3725" s="15"/>
      <c r="AE3725" s="15"/>
      <c r="AF3725" s="15"/>
      <c r="AG3725" s="15"/>
    </row>
    <row r="3726" spans="1:33" s="26" customFormat="1" ht="15.75" x14ac:dyDescent="0.25">
      <c r="A3726" s="18"/>
      <c r="B3726" s="11" t="s">
        <v>223</v>
      </c>
      <c r="C3726" s="12" t="s">
        <v>1102</v>
      </c>
      <c r="D3726" s="11">
        <v>2022</v>
      </c>
      <c r="E3726" s="11" t="s">
        <v>213</v>
      </c>
      <c r="F3726" s="14">
        <f ca="1">SUMIF($D$3727:$H$3728,$D$3726,$F$3727:$F$3728)</f>
        <v>0</v>
      </c>
      <c r="G3726" s="14">
        <f ca="1">SUMIF($D$3727:$H$3728,$D$3726,$G$3727:$G$3728)</f>
        <v>0</v>
      </c>
      <c r="H3726" s="14">
        <f ca="1">SUMIF($D$3727:$H$3728,$D$3726,$H$3727:$H$3728)</f>
        <v>0</v>
      </c>
      <c r="I3726" s="15"/>
      <c r="J3726" s="15"/>
      <c r="K3726" s="15"/>
      <c r="L3726" s="15"/>
      <c r="M3726" s="15"/>
      <c r="N3726" s="15"/>
      <c r="O3726" s="15"/>
      <c r="P3726" s="15"/>
      <c r="Q3726" s="15"/>
      <c r="R3726" s="15"/>
      <c r="S3726" s="15"/>
      <c r="T3726" s="15"/>
      <c r="U3726" s="15"/>
      <c r="V3726" s="15"/>
      <c r="W3726" s="15"/>
      <c r="X3726" s="15"/>
      <c r="Y3726" s="15"/>
      <c r="Z3726" s="15"/>
      <c r="AA3726" s="15"/>
      <c r="AB3726" s="15"/>
      <c r="AC3726" s="15"/>
      <c r="AD3726" s="15"/>
      <c r="AE3726" s="15"/>
      <c r="AF3726" s="15"/>
      <c r="AG3726" s="15"/>
    </row>
    <row r="3727" spans="1:33" s="15" customFormat="1" ht="84.75" hidden="1" customHeight="1" outlineLevel="1" x14ac:dyDescent="0.25">
      <c r="A3727" s="18">
        <v>1624</v>
      </c>
      <c r="B3727" s="4" t="s">
        <v>223</v>
      </c>
      <c r="C3727" s="22" t="s">
        <v>46</v>
      </c>
      <c r="D3727" s="4">
        <v>2020</v>
      </c>
      <c r="E3727" s="4" t="s">
        <v>213</v>
      </c>
      <c r="F3727" s="42">
        <v>120</v>
      </c>
      <c r="G3727" s="42">
        <v>149</v>
      </c>
      <c r="H3727" s="42">
        <v>257.29025999999999</v>
      </c>
    </row>
    <row r="3728" spans="1:33" s="15" customFormat="1" ht="15.75" hidden="1" outlineLevel="1" x14ac:dyDescent="0.25">
      <c r="A3728" s="18"/>
      <c r="B3728" s="4" t="s">
        <v>223</v>
      </c>
      <c r="C3728" s="22"/>
      <c r="D3728" s="4">
        <v>2021</v>
      </c>
      <c r="E3728" s="4" t="s">
        <v>213</v>
      </c>
      <c r="F3728" s="42"/>
      <c r="G3728" s="42"/>
      <c r="H3728" s="42"/>
    </row>
    <row r="3729" spans="1:33" s="15" customFormat="1" ht="15.75" collapsed="1" x14ac:dyDescent="0.25">
      <c r="A3729" s="211"/>
      <c r="B3729" s="178" t="s">
        <v>224</v>
      </c>
      <c r="C3729" s="185" t="s">
        <v>3203</v>
      </c>
      <c r="D3729" s="178"/>
      <c r="E3729" s="178" t="s">
        <v>213</v>
      </c>
      <c r="F3729" s="178"/>
      <c r="G3729" s="178"/>
      <c r="H3729" s="178"/>
    </row>
    <row r="3730" spans="1:33" s="15" customFormat="1" ht="15.75" x14ac:dyDescent="0.25">
      <c r="A3730" s="213"/>
      <c r="B3730" s="187"/>
      <c r="C3730" s="186"/>
      <c r="D3730" s="187"/>
      <c r="E3730" s="187" t="s">
        <v>213</v>
      </c>
      <c r="F3730" s="187"/>
      <c r="G3730" s="187"/>
      <c r="H3730" s="187"/>
    </row>
    <row r="3731" spans="1:33" s="15" customFormat="1" ht="8.25" customHeight="1" x14ac:dyDescent="0.25">
      <c r="A3731" s="213"/>
      <c r="B3731" s="187"/>
      <c r="C3731" s="186"/>
      <c r="D3731" s="187"/>
      <c r="E3731" s="187"/>
      <c r="F3731" s="187"/>
      <c r="G3731" s="187"/>
      <c r="H3731" s="187"/>
    </row>
    <row r="3732" spans="1:33" s="15" customFormat="1" ht="6" customHeight="1" x14ac:dyDescent="0.25">
      <c r="A3732" s="212"/>
      <c r="B3732" s="179"/>
      <c r="C3732" s="181"/>
      <c r="D3732" s="179"/>
      <c r="E3732" s="179"/>
      <c r="F3732" s="179"/>
      <c r="G3732" s="179"/>
      <c r="H3732" s="179"/>
    </row>
    <row r="3733" spans="1:33" s="15" customFormat="1" ht="16.5" customHeight="1" x14ac:dyDescent="0.25">
      <c r="A3733" s="18"/>
      <c r="B3733" s="7" t="s">
        <v>224</v>
      </c>
      <c r="C3733" s="8" t="s">
        <v>1102</v>
      </c>
      <c r="D3733" s="7">
        <v>2020</v>
      </c>
      <c r="E3733" s="7" t="s">
        <v>213</v>
      </c>
      <c r="F3733" s="7">
        <f>SUMIF($D$3736:$D$3739,$D$3733,$F$3736:$F$3739)</f>
        <v>710</v>
      </c>
      <c r="G3733" s="7">
        <f>SUMIF($D$3736:$D$3739,$D$3733,$G$3736:$G$3739)</f>
        <v>93</v>
      </c>
      <c r="H3733" s="10">
        <f>SUMIF($D$3736:$D$3739,$D$3733,$H$3736:$H$3739)</f>
        <v>3802.2521099999999</v>
      </c>
    </row>
    <row r="3734" spans="1:33" s="26" customFormat="1" ht="16.5" customHeight="1" x14ac:dyDescent="0.25">
      <c r="A3734" s="18"/>
      <c r="B3734" s="7" t="s">
        <v>224</v>
      </c>
      <c r="C3734" s="8" t="s">
        <v>1102</v>
      </c>
      <c r="D3734" s="7">
        <v>2021</v>
      </c>
      <c r="E3734" s="7" t="s">
        <v>213</v>
      </c>
      <c r="F3734" s="7">
        <f>SUMIF($D$3736:$D$3739,$D$3734,$F$3736:$F$3739)</f>
        <v>0</v>
      </c>
      <c r="G3734" s="7">
        <f>SUMIF($D$3736:$D$3739,$D$3734,$G$3736:$G$3739)</f>
        <v>0</v>
      </c>
      <c r="H3734" s="10">
        <f>SUMIF($D$3736:$D$3739,$D$3734,$H$3736:$H$3739)</f>
        <v>0</v>
      </c>
      <c r="I3734" s="15"/>
      <c r="J3734" s="15"/>
      <c r="K3734" s="15"/>
      <c r="L3734" s="15"/>
      <c r="M3734" s="15"/>
      <c r="N3734" s="15"/>
      <c r="O3734" s="15"/>
      <c r="P3734" s="15"/>
      <c r="Q3734" s="15"/>
      <c r="R3734" s="15"/>
      <c r="S3734" s="15"/>
      <c r="T3734" s="15"/>
      <c r="U3734" s="15"/>
      <c r="V3734" s="15"/>
      <c r="W3734" s="15"/>
      <c r="X3734" s="15"/>
      <c r="Y3734" s="15"/>
      <c r="Z3734" s="15"/>
      <c r="AA3734" s="15"/>
      <c r="AB3734" s="15"/>
      <c r="AC3734" s="15"/>
      <c r="AD3734" s="15"/>
      <c r="AE3734" s="15"/>
      <c r="AF3734" s="15"/>
      <c r="AG3734" s="15"/>
    </row>
    <row r="3735" spans="1:33" s="26" customFormat="1" ht="15.75" x14ac:dyDescent="0.25">
      <c r="A3735" s="18"/>
      <c r="B3735" s="7" t="s">
        <v>224</v>
      </c>
      <c r="C3735" s="8" t="s">
        <v>1102</v>
      </c>
      <c r="D3735" s="7">
        <v>2022</v>
      </c>
      <c r="E3735" s="7" t="s">
        <v>213</v>
      </c>
      <c r="F3735" s="7">
        <f>SUMIF($D$3736:$D$3739,$D$3735,$F$3736:$F$3739)</f>
        <v>0</v>
      </c>
      <c r="G3735" s="7">
        <f>SUMIF($D$3736:$D$3739,$D$3735,$G$3736:$G$3739)</f>
        <v>0</v>
      </c>
      <c r="H3735" s="10">
        <f>SUMIF($D$3736:$D$3739,$D$3735,$H$3736:$H$3739)</f>
        <v>0</v>
      </c>
      <c r="I3735" s="15"/>
      <c r="J3735" s="15"/>
      <c r="K3735" s="15"/>
      <c r="L3735" s="15"/>
      <c r="M3735" s="15"/>
      <c r="N3735" s="15"/>
      <c r="O3735" s="15"/>
      <c r="P3735" s="15"/>
      <c r="Q3735" s="15"/>
      <c r="R3735" s="15"/>
      <c r="S3735" s="15"/>
      <c r="T3735" s="15"/>
      <c r="U3735" s="15"/>
      <c r="V3735" s="15"/>
      <c r="W3735" s="15"/>
      <c r="X3735" s="15"/>
      <c r="Y3735" s="15"/>
      <c r="Z3735" s="15"/>
      <c r="AA3735" s="15"/>
      <c r="AB3735" s="15"/>
      <c r="AC3735" s="15"/>
      <c r="AD3735" s="15"/>
      <c r="AE3735" s="15"/>
      <c r="AF3735" s="15"/>
      <c r="AG3735" s="15"/>
    </row>
    <row r="3736" spans="1:33" s="15" customFormat="1" ht="16.5" hidden="1" customHeight="1" outlineLevel="1" x14ac:dyDescent="0.25">
      <c r="A3736" s="18"/>
      <c r="B3736" s="4" t="s">
        <v>224</v>
      </c>
      <c r="C3736" s="38"/>
      <c r="D3736" s="4">
        <v>2022</v>
      </c>
      <c r="E3736" s="4" t="s">
        <v>213</v>
      </c>
      <c r="F3736" s="4"/>
      <c r="G3736" s="4"/>
      <c r="H3736" s="4"/>
    </row>
    <row r="3737" spans="1:33" s="15" customFormat="1" ht="16.5" hidden="1" customHeight="1" outlineLevel="1" x14ac:dyDescent="0.25">
      <c r="A3737" s="18"/>
      <c r="B3737" s="4" t="s">
        <v>224</v>
      </c>
      <c r="C3737" s="38"/>
      <c r="D3737" s="4">
        <v>2022</v>
      </c>
      <c r="E3737" s="4" t="s">
        <v>213</v>
      </c>
      <c r="F3737" s="4"/>
      <c r="G3737" s="4"/>
      <c r="H3737" s="4"/>
    </row>
    <row r="3738" spans="1:33" s="15" customFormat="1" ht="47.25" hidden="1" customHeight="1" outlineLevel="1" x14ac:dyDescent="0.25">
      <c r="A3738" s="18">
        <v>1712</v>
      </c>
      <c r="B3738" s="4" t="s">
        <v>224</v>
      </c>
      <c r="C3738" s="22" t="s">
        <v>225</v>
      </c>
      <c r="D3738" s="4">
        <v>2020</v>
      </c>
      <c r="E3738" s="4" t="s">
        <v>213</v>
      </c>
      <c r="F3738" s="4">
        <v>710</v>
      </c>
      <c r="G3738" s="4">
        <v>93</v>
      </c>
      <c r="H3738" s="4">
        <v>3802.2521099999999</v>
      </c>
    </row>
    <row r="3739" spans="1:33" s="15" customFormat="1" ht="15.75" hidden="1" customHeight="1" outlineLevel="1" x14ac:dyDescent="0.25">
      <c r="A3739" s="18"/>
      <c r="B3739" s="4" t="s">
        <v>224</v>
      </c>
      <c r="C3739" s="22"/>
      <c r="D3739" s="4">
        <v>2021</v>
      </c>
      <c r="E3739" s="4" t="s">
        <v>213</v>
      </c>
      <c r="F3739" s="4"/>
      <c r="G3739" s="4"/>
      <c r="H3739" s="4"/>
    </row>
    <row r="3740" spans="1:33" s="16" customFormat="1" ht="26.25" customHeight="1" collapsed="1" x14ac:dyDescent="0.25">
      <c r="A3740" s="44"/>
      <c r="B3740" s="61"/>
      <c r="C3740" s="126" t="s">
        <v>3205</v>
      </c>
      <c r="D3740" s="18"/>
      <c r="E3740" s="18"/>
      <c r="F3740" s="18"/>
      <c r="G3740" s="18"/>
      <c r="H3740" s="18"/>
      <c r="I3740" s="15"/>
      <c r="J3740" s="15"/>
      <c r="K3740" s="15"/>
      <c r="L3740" s="15"/>
      <c r="M3740" s="15"/>
      <c r="N3740" s="15"/>
      <c r="O3740" s="15"/>
      <c r="P3740" s="15"/>
      <c r="Q3740" s="15"/>
      <c r="R3740" s="15"/>
      <c r="S3740" s="15"/>
      <c r="T3740" s="15"/>
      <c r="U3740" s="15"/>
      <c r="V3740" s="15"/>
      <c r="W3740" s="15"/>
      <c r="X3740" s="15"/>
      <c r="Y3740" s="15"/>
      <c r="Z3740" s="15"/>
      <c r="AA3740" s="15"/>
      <c r="AB3740" s="15"/>
      <c r="AC3740" s="15"/>
      <c r="AD3740" s="15"/>
      <c r="AE3740" s="15"/>
      <c r="AF3740" s="15"/>
      <c r="AG3740" s="15"/>
    </row>
    <row r="3741" spans="1:33" s="16" customFormat="1" ht="15.75" x14ac:dyDescent="0.25">
      <c r="A3741" s="214"/>
      <c r="B3741" s="174" t="s">
        <v>227</v>
      </c>
      <c r="C3741" s="189" t="s">
        <v>3207</v>
      </c>
      <c r="D3741" s="189"/>
      <c r="E3741" s="174" t="s">
        <v>213</v>
      </c>
      <c r="F3741" s="189"/>
      <c r="G3741" s="189"/>
      <c r="H3741" s="189"/>
      <c r="I3741" s="15"/>
      <c r="J3741" s="15"/>
      <c r="K3741" s="15"/>
      <c r="L3741" s="15"/>
      <c r="M3741" s="15"/>
      <c r="N3741" s="15"/>
      <c r="O3741" s="15"/>
      <c r="P3741" s="15"/>
      <c r="Q3741" s="15"/>
      <c r="R3741" s="15"/>
      <c r="S3741" s="15"/>
      <c r="T3741" s="15"/>
      <c r="U3741" s="15"/>
      <c r="V3741" s="15"/>
      <c r="W3741" s="15"/>
      <c r="X3741" s="15"/>
      <c r="Y3741" s="15"/>
      <c r="Z3741" s="15"/>
      <c r="AA3741" s="15"/>
      <c r="AB3741" s="15"/>
      <c r="AC3741" s="15"/>
      <c r="AD3741" s="15"/>
      <c r="AE3741" s="15"/>
      <c r="AF3741" s="15"/>
      <c r="AG3741" s="15"/>
    </row>
    <row r="3742" spans="1:33" s="16" customFormat="1" ht="15.75" x14ac:dyDescent="0.25">
      <c r="A3742" s="213"/>
      <c r="B3742" s="188"/>
      <c r="C3742" s="198"/>
      <c r="D3742" s="198"/>
      <c r="E3742" s="188" t="s">
        <v>213</v>
      </c>
      <c r="F3742" s="198"/>
      <c r="G3742" s="198"/>
      <c r="H3742" s="198"/>
      <c r="I3742" s="15"/>
      <c r="J3742" s="15"/>
      <c r="K3742" s="15"/>
      <c r="L3742" s="15"/>
      <c r="M3742" s="15"/>
      <c r="N3742" s="15"/>
      <c r="O3742" s="15"/>
      <c r="P3742" s="15"/>
      <c r="Q3742" s="15"/>
      <c r="R3742" s="15"/>
      <c r="S3742" s="15"/>
      <c r="T3742" s="15"/>
      <c r="U3742" s="15"/>
      <c r="V3742" s="15"/>
      <c r="W3742" s="15"/>
      <c r="X3742" s="15"/>
      <c r="Y3742" s="15"/>
      <c r="Z3742" s="15"/>
      <c r="AA3742" s="15"/>
      <c r="AB3742" s="15"/>
      <c r="AC3742" s="15"/>
      <c r="AD3742" s="15"/>
      <c r="AE3742" s="15"/>
      <c r="AF3742" s="15"/>
      <c r="AG3742" s="15"/>
    </row>
    <row r="3743" spans="1:33" s="16" customFormat="1" ht="6" customHeight="1" x14ac:dyDescent="0.25">
      <c r="A3743" s="213"/>
      <c r="B3743" s="188"/>
      <c r="C3743" s="198"/>
      <c r="D3743" s="198"/>
      <c r="E3743" s="188"/>
      <c r="F3743" s="198"/>
      <c r="G3743" s="198"/>
      <c r="H3743" s="198"/>
      <c r="I3743" s="15"/>
      <c r="J3743" s="15"/>
      <c r="K3743" s="15"/>
      <c r="L3743" s="15"/>
      <c r="M3743" s="15"/>
      <c r="N3743" s="15"/>
      <c r="O3743" s="15"/>
      <c r="P3743" s="15"/>
      <c r="Q3743" s="15"/>
      <c r="R3743" s="15"/>
      <c r="S3743" s="15"/>
      <c r="T3743" s="15"/>
      <c r="U3743" s="15"/>
      <c r="V3743" s="15"/>
      <c r="W3743" s="15"/>
      <c r="X3743" s="15"/>
      <c r="Y3743" s="15"/>
      <c r="Z3743" s="15"/>
      <c r="AA3743" s="15"/>
      <c r="AB3743" s="15"/>
      <c r="AC3743" s="15"/>
      <c r="AD3743" s="15"/>
      <c r="AE3743" s="15"/>
      <c r="AF3743" s="15"/>
      <c r="AG3743" s="15"/>
    </row>
    <row r="3744" spans="1:33" s="16" customFormat="1" ht="9" customHeight="1" x14ac:dyDescent="0.25">
      <c r="A3744" s="212"/>
      <c r="B3744" s="175"/>
      <c r="C3744" s="177"/>
      <c r="D3744" s="177"/>
      <c r="E3744" s="175"/>
      <c r="F3744" s="177"/>
      <c r="G3744" s="177"/>
      <c r="H3744" s="177"/>
      <c r="I3744" s="15"/>
      <c r="J3744" s="15"/>
      <c r="K3744" s="15"/>
      <c r="L3744" s="15"/>
      <c r="M3744" s="15"/>
      <c r="N3744" s="15"/>
      <c r="O3744" s="15"/>
      <c r="P3744" s="15"/>
      <c r="Q3744" s="15"/>
      <c r="R3744" s="15"/>
      <c r="S3744" s="15"/>
      <c r="T3744" s="15"/>
      <c r="U3744" s="15"/>
      <c r="V3744" s="15"/>
      <c r="W3744" s="15"/>
      <c r="X3744" s="15"/>
      <c r="Y3744" s="15"/>
      <c r="Z3744" s="15"/>
      <c r="AA3744" s="15"/>
      <c r="AB3744" s="15"/>
      <c r="AC3744" s="15"/>
      <c r="AD3744" s="15"/>
      <c r="AE3744" s="15"/>
      <c r="AF3744" s="15"/>
      <c r="AG3744" s="15"/>
    </row>
    <row r="3745" spans="1:33" s="16" customFormat="1" ht="16.5" customHeight="1" x14ac:dyDescent="0.25">
      <c r="A3745" s="44"/>
      <c r="B3745" s="11" t="s">
        <v>227</v>
      </c>
      <c r="C3745" s="12" t="s">
        <v>1102</v>
      </c>
      <c r="D3745" s="11">
        <v>2020</v>
      </c>
      <c r="E3745" s="11" t="s">
        <v>213</v>
      </c>
      <c r="F3745" s="11">
        <f>SUMIF($D$3748:$D$3752,$D$3745,$F$3748:$F$3752)</f>
        <v>0</v>
      </c>
      <c r="G3745" s="14">
        <f>SUMIF($D$3748:$D$3752,$D$3745,$G$3748:$G$3752)</f>
        <v>0</v>
      </c>
      <c r="H3745" s="14">
        <f>SUMIF($D$3748:$D$3752,$D$3745,$H$3748:$H$3752)</f>
        <v>0</v>
      </c>
      <c r="I3745" s="15"/>
      <c r="J3745" s="15"/>
      <c r="K3745" s="15"/>
      <c r="L3745" s="15"/>
      <c r="M3745" s="15"/>
      <c r="N3745" s="15"/>
      <c r="O3745" s="15"/>
      <c r="P3745" s="15"/>
      <c r="Q3745" s="15"/>
      <c r="R3745" s="15"/>
      <c r="S3745" s="15"/>
      <c r="T3745" s="15"/>
      <c r="U3745" s="15"/>
      <c r="V3745" s="15"/>
      <c r="W3745" s="15"/>
      <c r="X3745" s="15"/>
      <c r="Y3745" s="15"/>
      <c r="Z3745" s="15"/>
      <c r="AA3745" s="15"/>
      <c r="AB3745" s="15"/>
      <c r="AC3745" s="15"/>
      <c r="AD3745" s="15"/>
      <c r="AE3745" s="15"/>
      <c r="AF3745" s="15"/>
      <c r="AG3745" s="15"/>
    </row>
    <row r="3746" spans="1:33" s="26" customFormat="1" ht="16.5" customHeight="1" x14ac:dyDescent="0.25">
      <c r="A3746" s="18"/>
      <c r="B3746" s="11" t="s">
        <v>227</v>
      </c>
      <c r="C3746" s="12" t="s">
        <v>1102</v>
      </c>
      <c r="D3746" s="11">
        <v>2021</v>
      </c>
      <c r="E3746" s="11" t="s">
        <v>213</v>
      </c>
      <c r="F3746" s="11">
        <f>SUMIF($D$3748:$D$3752,$D$3746,$F$3748:$F$3752)</f>
        <v>12295</v>
      </c>
      <c r="G3746" s="11">
        <f>SUMIF($D$3748:$D$3752,$D$3746,$G$3748:$G$3752)</f>
        <v>712</v>
      </c>
      <c r="H3746" s="11">
        <f>SUMIF($D$3748:$D$3752,$D$3746,$H$3748:$H$3752)</f>
        <v>38335</v>
      </c>
      <c r="I3746" s="15"/>
      <c r="J3746" s="15"/>
      <c r="K3746" s="15"/>
      <c r="L3746" s="15"/>
      <c r="M3746" s="15"/>
      <c r="N3746" s="15"/>
      <c r="O3746" s="15"/>
      <c r="P3746" s="15"/>
      <c r="Q3746" s="15"/>
      <c r="R3746" s="15"/>
      <c r="S3746" s="15"/>
      <c r="T3746" s="15"/>
      <c r="U3746" s="15"/>
      <c r="V3746" s="15"/>
      <c r="W3746" s="15"/>
      <c r="X3746" s="15"/>
      <c r="Y3746" s="15"/>
      <c r="Z3746" s="15"/>
      <c r="AA3746" s="15"/>
      <c r="AB3746" s="15"/>
      <c r="AC3746" s="15"/>
      <c r="AD3746" s="15"/>
      <c r="AE3746" s="15"/>
      <c r="AF3746" s="15"/>
      <c r="AG3746" s="15"/>
    </row>
    <row r="3747" spans="1:33" s="26" customFormat="1" ht="15.75" x14ac:dyDescent="0.25">
      <c r="A3747" s="18"/>
      <c r="B3747" s="11" t="s">
        <v>227</v>
      </c>
      <c r="C3747" s="12" t="s">
        <v>3929</v>
      </c>
      <c r="D3747" s="11">
        <v>2022</v>
      </c>
      <c r="E3747" s="11" t="s">
        <v>213</v>
      </c>
      <c r="F3747" s="11">
        <f>SUMIF($D$3748:$D$3752,$D$3747,$F$3748:$F$3752)</f>
        <v>805</v>
      </c>
      <c r="G3747" s="11">
        <f>SUMIF($D$3748:$D$3752,$D$3747,$G$3748:$G$3752)</f>
        <v>405</v>
      </c>
      <c r="H3747" s="11">
        <f>SUMIF($D$3748:$D$3752,$D$3747,$H$3748:$H$3752)</f>
        <v>5853</v>
      </c>
      <c r="I3747" s="15"/>
      <c r="J3747" s="15"/>
      <c r="K3747" s="15"/>
      <c r="L3747" s="15"/>
      <c r="M3747" s="15"/>
      <c r="N3747" s="15"/>
      <c r="O3747" s="15"/>
      <c r="P3747" s="15"/>
      <c r="Q3747" s="15"/>
      <c r="R3747" s="15"/>
      <c r="S3747" s="15"/>
      <c r="T3747" s="15"/>
      <c r="U3747" s="15"/>
      <c r="V3747" s="15"/>
      <c r="W3747" s="15"/>
      <c r="X3747" s="15"/>
      <c r="Y3747" s="15"/>
      <c r="Z3747" s="15"/>
      <c r="AA3747" s="15"/>
      <c r="AB3747" s="15"/>
      <c r="AC3747" s="15"/>
      <c r="AD3747" s="15"/>
      <c r="AE3747" s="15"/>
      <c r="AF3747" s="15"/>
      <c r="AG3747" s="15"/>
    </row>
    <row r="3748" spans="1:33" s="5" customFormat="1" ht="63" hidden="1" outlineLevel="1" x14ac:dyDescent="0.25">
      <c r="A3748" s="4">
        <v>329</v>
      </c>
      <c r="B3748" s="4" t="s">
        <v>227</v>
      </c>
      <c r="C3748" s="38" t="s">
        <v>4239</v>
      </c>
      <c r="D3748" s="4">
        <v>2022</v>
      </c>
      <c r="E3748" s="4" t="s">
        <v>213</v>
      </c>
      <c r="F3748" s="4">
        <v>225</v>
      </c>
      <c r="G3748" s="4">
        <v>90</v>
      </c>
      <c r="H3748" s="114">
        <v>2411</v>
      </c>
    </row>
    <row r="3749" spans="1:33" s="5" customFormat="1" ht="47.25" hidden="1" outlineLevel="1" x14ac:dyDescent="0.25">
      <c r="A3749" s="4">
        <v>354</v>
      </c>
      <c r="B3749" s="4" t="s">
        <v>227</v>
      </c>
      <c r="C3749" s="38" t="s">
        <v>4240</v>
      </c>
      <c r="D3749" s="4">
        <v>2022</v>
      </c>
      <c r="E3749" s="4" t="s">
        <v>213</v>
      </c>
      <c r="F3749" s="4">
        <v>135</v>
      </c>
      <c r="G3749" s="4">
        <v>15</v>
      </c>
      <c r="H3749" s="114">
        <v>979</v>
      </c>
    </row>
    <row r="3750" spans="1:33" s="5" customFormat="1" ht="63" hidden="1" outlineLevel="1" x14ac:dyDescent="0.25">
      <c r="A3750" s="4">
        <v>401</v>
      </c>
      <c r="B3750" s="4" t="s">
        <v>227</v>
      </c>
      <c r="C3750" s="38" t="s">
        <v>4241</v>
      </c>
      <c r="D3750" s="4">
        <v>2022</v>
      </c>
      <c r="E3750" s="4" t="s">
        <v>213</v>
      </c>
      <c r="F3750" s="4">
        <v>72</v>
      </c>
      <c r="G3750" s="4">
        <v>150</v>
      </c>
      <c r="H3750" s="114">
        <v>675</v>
      </c>
    </row>
    <row r="3751" spans="1:33" s="5" customFormat="1" ht="47.25" hidden="1" outlineLevel="1" x14ac:dyDescent="0.25">
      <c r="A3751" s="4">
        <v>422</v>
      </c>
      <c r="B3751" s="4" t="s">
        <v>227</v>
      </c>
      <c r="C3751" s="38" t="s">
        <v>4242</v>
      </c>
      <c r="D3751" s="4">
        <v>2022</v>
      </c>
      <c r="E3751" s="4" t="s">
        <v>213</v>
      </c>
      <c r="F3751" s="4">
        <v>373</v>
      </c>
      <c r="G3751" s="4">
        <v>150</v>
      </c>
      <c r="H3751" s="114">
        <v>1788</v>
      </c>
    </row>
    <row r="3752" spans="1:33" s="5" customFormat="1" ht="63" hidden="1" outlineLevel="1" x14ac:dyDescent="0.25">
      <c r="A3752" s="42">
        <v>9573</v>
      </c>
      <c r="B3752" s="4" t="s">
        <v>227</v>
      </c>
      <c r="C3752" s="38" t="s">
        <v>1998</v>
      </c>
      <c r="D3752" s="4">
        <v>2021</v>
      </c>
      <c r="E3752" s="4" t="s">
        <v>213</v>
      </c>
      <c r="F3752" s="4">
        <v>12295</v>
      </c>
      <c r="G3752" s="4">
        <v>712</v>
      </c>
      <c r="H3752" s="4">
        <v>38335</v>
      </c>
    </row>
    <row r="3753" spans="1:33" s="15" customFormat="1" ht="15.75" collapsed="1" x14ac:dyDescent="0.25">
      <c r="A3753" s="211"/>
      <c r="B3753" s="178" t="s">
        <v>226</v>
      </c>
      <c r="C3753" s="185" t="s">
        <v>3208</v>
      </c>
      <c r="D3753" s="185"/>
      <c r="E3753" s="178" t="s">
        <v>213</v>
      </c>
      <c r="F3753" s="185"/>
      <c r="G3753" s="185"/>
      <c r="H3753" s="185"/>
    </row>
    <row r="3754" spans="1:33" s="16" customFormat="1" ht="15.75" x14ac:dyDescent="0.25">
      <c r="A3754" s="213"/>
      <c r="B3754" s="187"/>
      <c r="C3754" s="186"/>
      <c r="D3754" s="186"/>
      <c r="E3754" s="187" t="s">
        <v>213</v>
      </c>
      <c r="F3754" s="186"/>
      <c r="G3754" s="186"/>
      <c r="H3754" s="186"/>
      <c r="I3754" s="15"/>
      <c r="J3754" s="15"/>
      <c r="K3754" s="15"/>
      <c r="L3754" s="15"/>
      <c r="M3754" s="15"/>
      <c r="N3754" s="15"/>
      <c r="O3754" s="15"/>
      <c r="P3754" s="15"/>
      <c r="Q3754" s="15"/>
      <c r="R3754" s="15"/>
      <c r="S3754" s="15"/>
      <c r="T3754" s="15"/>
      <c r="U3754" s="15"/>
      <c r="V3754" s="15"/>
      <c r="W3754" s="15"/>
      <c r="X3754" s="15"/>
      <c r="Y3754" s="15"/>
      <c r="Z3754" s="15"/>
      <c r="AA3754" s="15"/>
      <c r="AB3754" s="15"/>
      <c r="AC3754" s="15"/>
      <c r="AD3754" s="15"/>
      <c r="AE3754" s="15"/>
      <c r="AF3754" s="15"/>
      <c r="AG3754" s="15"/>
    </row>
    <row r="3755" spans="1:33" s="16" customFormat="1" ht="15.75" x14ac:dyDescent="0.25">
      <c r="A3755" s="213"/>
      <c r="B3755" s="187"/>
      <c r="C3755" s="186"/>
      <c r="D3755" s="186"/>
      <c r="E3755" s="187"/>
      <c r="F3755" s="186"/>
      <c r="G3755" s="186"/>
      <c r="H3755" s="186"/>
      <c r="I3755" s="15"/>
      <c r="J3755" s="15"/>
      <c r="K3755" s="15"/>
      <c r="L3755" s="15"/>
      <c r="M3755" s="15"/>
      <c r="N3755" s="15"/>
      <c r="O3755" s="15"/>
      <c r="P3755" s="15"/>
      <c r="Q3755" s="15"/>
      <c r="R3755" s="15"/>
      <c r="S3755" s="15"/>
      <c r="T3755" s="15"/>
      <c r="U3755" s="15"/>
      <c r="V3755" s="15"/>
      <c r="W3755" s="15"/>
      <c r="X3755" s="15"/>
      <c r="Y3755" s="15"/>
      <c r="Z3755" s="15"/>
      <c r="AA3755" s="15"/>
      <c r="AB3755" s="15"/>
      <c r="AC3755" s="15"/>
      <c r="AD3755" s="15"/>
      <c r="AE3755" s="15"/>
      <c r="AF3755" s="15"/>
      <c r="AG3755" s="15"/>
    </row>
    <row r="3756" spans="1:33" s="16" customFormat="1" ht="10.5" customHeight="1" x14ac:dyDescent="0.25">
      <c r="A3756" s="212"/>
      <c r="B3756" s="179"/>
      <c r="C3756" s="181"/>
      <c r="D3756" s="181"/>
      <c r="E3756" s="179"/>
      <c r="F3756" s="181"/>
      <c r="G3756" s="181"/>
      <c r="H3756" s="181"/>
      <c r="I3756" s="15"/>
      <c r="J3756" s="15"/>
      <c r="K3756" s="15"/>
      <c r="L3756" s="15"/>
      <c r="M3756" s="15"/>
      <c r="N3756" s="15"/>
      <c r="O3756" s="15"/>
      <c r="P3756" s="15"/>
      <c r="Q3756" s="15"/>
      <c r="R3756" s="15"/>
      <c r="S3756" s="15"/>
      <c r="T3756" s="15"/>
      <c r="U3756" s="15"/>
      <c r="V3756" s="15"/>
      <c r="W3756" s="15"/>
      <c r="X3756" s="15"/>
      <c r="Y3756" s="15"/>
      <c r="Z3756" s="15"/>
      <c r="AA3756" s="15"/>
      <c r="AB3756" s="15"/>
      <c r="AC3756" s="15"/>
      <c r="AD3756" s="15"/>
      <c r="AE3756" s="15"/>
      <c r="AF3756" s="15"/>
      <c r="AG3756" s="15"/>
    </row>
    <row r="3757" spans="1:33" s="16" customFormat="1" ht="16.5" customHeight="1" x14ac:dyDescent="0.25">
      <c r="A3757" s="44"/>
      <c r="B3757" s="7" t="s">
        <v>226</v>
      </c>
      <c r="C3757" s="8" t="s">
        <v>1102</v>
      </c>
      <c r="D3757" s="7">
        <v>2020</v>
      </c>
      <c r="E3757" s="7" t="s">
        <v>213</v>
      </c>
      <c r="F3757" s="7">
        <v>0</v>
      </c>
      <c r="G3757" s="10">
        <v>0</v>
      </c>
      <c r="H3757" s="10">
        <v>0</v>
      </c>
      <c r="I3757" s="15"/>
      <c r="J3757" s="15"/>
      <c r="K3757" s="15"/>
      <c r="L3757" s="15"/>
      <c r="M3757" s="15"/>
      <c r="N3757" s="15"/>
      <c r="O3757" s="15"/>
      <c r="P3757" s="15"/>
      <c r="Q3757" s="15"/>
      <c r="R3757" s="15"/>
      <c r="S3757" s="15"/>
      <c r="T3757" s="15"/>
      <c r="U3757" s="15"/>
      <c r="V3757" s="15"/>
      <c r="W3757" s="15"/>
      <c r="X3757" s="15"/>
      <c r="Y3757" s="15"/>
      <c r="Z3757" s="15"/>
      <c r="AA3757" s="15"/>
      <c r="AB3757" s="15"/>
      <c r="AC3757" s="15"/>
      <c r="AD3757" s="15"/>
      <c r="AE3757" s="15"/>
      <c r="AF3757" s="15"/>
      <c r="AG3757" s="15"/>
    </row>
    <row r="3758" spans="1:33" s="26" customFormat="1" ht="16.5" customHeight="1" x14ac:dyDescent="0.25">
      <c r="A3758" s="18"/>
      <c r="B3758" s="7" t="s">
        <v>226</v>
      </c>
      <c r="C3758" s="8" t="s">
        <v>1102</v>
      </c>
      <c r="D3758" s="7">
        <v>2021</v>
      </c>
      <c r="E3758" s="7" t="s">
        <v>213</v>
      </c>
      <c r="F3758" s="7">
        <f>SUMIF($D$3760:$D$3762,$D$3758,$F$3760:$F$3762)</f>
        <v>190</v>
      </c>
      <c r="G3758" s="7">
        <f>SUMIF($D$3760:$D$3762,$D$3758,$G$3760:$G$3762)</f>
        <v>15</v>
      </c>
      <c r="H3758" s="10">
        <f>SUMIF($D$3760:$D$3762,$D$3758,$H$3760:$H$3762)</f>
        <v>668.24158</v>
      </c>
      <c r="I3758" s="15"/>
      <c r="J3758" s="15"/>
      <c r="K3758" s="15"/>
      <c r="L3758" s="15"/>
      <c r="M3758" s="15"/>
      <c r="N3758" s="15"/>
      <c r="O3758" s="15"/>
      <c r="P3758" s="15"/>
      <c r="Q3758" s="15"/>
      <c r="R3758" s="15"/>
      <c r="S3758" s="15"/>
      <c r="T3758" s="15"/>
      <c r="U3758" s="15"/>
      <c r="V3758" s="15"/>
      <c r="W3758" s="15"/>
      <c r="X3758" s="15"/>
      <c r="Y3758" s="15"/>
      <c r="Z3758" s="15"/>
      <c r="AA3758" s="15"/>
      <c r="AB3758" s="15"/>
      <c r="AC3758" s="15"/>
      <c r="AD3758" s="15"/>
      <c r="AE3758" s="15"/>
      <c r="AF3758" s="15"/>
      <c r="AG3758" s="15"/>
    </row>
    <row r="3759" spans="1:33" s="26" customFormat="1" ht="15.75" x14ac:dyDescent="0.25">
      <c r="A3759" s="18"/>
      <c r="B3759" s="7" t="s">
        <v>226</v>
      </c>
      <c r="C3759" s="8" t="s">
        <v>1102</v>
      </c>
      <c r="D3759" s="7">
        <v>2022</v>
      </c>
      <c r="E3759" s="7" t="s">
        <v>213</v>
      </c>
      <c r="F3759" s="7">
        <f>SUMIF($D$3760:$D$3762,$D$3759,$F$3760:$F$3762)</f>
        <v>0</v>
      </c>
      <c r="G3759" s="7">
        <f>SUMIF($D$3760:$D$3762,$D$3759,$G$3760:$G$3762)</f>
        <v>0</v>
      </c>
      <c r="H3759" s="10">
        <f>SUMIF($D$3760:$D$3762,$D$3759,$H$3760:$H$3762)</f>
        <v>0</v>
      </c>
      <c r="I3759" s="15"/>
      <c r="J3759" s="15"/>
      <c r="K3759" s="15"/>
      <c r="L3759" s="15"/>
      <c r="M3759" s="15"/>
      <c r="N3759" s="15"/>
      <c r="O3759" s="15"/>
      <c r="P3759" s="15"/>
      <c r="Q3759" s="15"/>
      <c r="R3759" s="15"/>
      <c r="S3759" s="15"/>
      <c r="T3759" s="15"/>
      <c r="U3759" s="15"/>
      <c r="V3759" s="15"/>
      <c r="W3759" s="15"/>
      <c r="X3759" s="15"/>
      <c r="Y3759" s="15"/>
      <c r="Z3759" s="15"/>
      <c r="AA3759" s="15"/>
      <c r="AB3759" s="15"/>
      <c r="AC3759" s="15"/>
      <c r="AD3759" s="15"/>
      <c r="AE3759" s="15"/>
      <c r="AF3759" s="15"/>
      <c r="AG3759" s="15"/>
    </row>
    <row r="3760" spans="1:33" s="15" customFormat="1" ht="15.75" hidden="1" outlineLevel="1" x14ac:dyDescent="0.25">
      <c r="A3760" s="18"/>
      <c r="B3760" s="4" t="s">
        <v>226</v>
      </c>
      <c r="C3760" s="22"/>
      <c r="D3760" s="4">
        <v>2022</v>
      </c>
      <c r="E3760" s="4" t="s">
        <v>213</v>
      </c>
      <c r="F3760" s="4"/>
      <c r="G3760" s="42"/>
      <c r="H3760" s="42"/>
    </row>
    <row r="3761" spans="1:33" s="15" customFormat="1" ht="15.75" hidden="1" outlineLevel="1" x14ac:dyDescent="0.25">
      <c r="A3761" s="18"/>
      <c r="B3761" s="4" t="s">
        <v>226</v>
      </c>
      <c r="C3761" s="22"/>
      <c r="D3761" s="4">
        <v>2022</v>
      </c>
      <c r="E3761" s="4" t="s">
        <v>213</v>
      </c>
      <c r="F3761" s="4"/>
      <c r="G3761" s="42"/>
      <c r="H3761" s="42"/>
    </row>
    <row r="3762" spans="1:33" s="15" customFormat="1" ht="63" hidden="1" outlineLevel="1" x14ac:dyDescent="0.25">
      <c r="A3762" s="18">
        <v>2540</v>
      </c>
      <c r="B3762" s="4" t="s">
        <v>226</v>
      </c>
      <c r="C3762" s="22" t="s">
        <v>1999</v>
      </c>
      <c r="D3762" s="4">
        <v>2021</v>
      </c>
      <c r="E3762" s="18" t="s">
        <v>213</v>
      </c>
      <c r="F3762" s="4">
        <v>190</v>
      </c>
      <c r="G3762" s="42">
        <v>15</v>
      </c>
      <c r="H3762" s="42">
        <v>668.24158</v>
      </c>
    </row>
    <row r="3763" spans="1:33" s="15" customFormat="1" ht="15.75" collapsed="1" x14ac:dyDescent="0.25">
      <c r="A3763" s="211"/>
      <c r="B3763" s="174" t="s">
        <v>9</v>
      </c>
      <c r="C3763" s="189" t="s">
        <v>3209</v>
      </c>
      <c r="D3763" s="189"/>
      <c r="E3763" s="189" t="s">
        <v>0</v>
      </c>
      <c r="F3763" s="189"/>
      <c r="G3763" s="189"/>
      <c r="H3763" s="189"/>
    </row>
    <row r="3764" spans="1:33" s="16" customFormat="1" ht="15.75" x14ac:dyDescent="0.25">
      <c r="A3764" s="213"/>
      <c r="B3764" s="188"/>
      <c r="C3764" s="198"/>
      <c r="D3764" s="198"/>
      <c r="E3764" s="198" t="s">
        <v>0</v>
      </c>
      <c r="F3764" s="198"/>
      <c r="G3764" s="198"/>
      <c r="H3764" s="198"/>
      <c r="I3764" s="15"/>
      <c r="J3764" s="15"/>
      <c r="K3764" s="15"/>
      <c r="L3764" s="15"/>
      <c r="M3764" s="15"/>
      <c r="N3764" s="15"/>
      <c r="O3764" s="15"/>
      <c r="P3764" s="15"/>
      <c r="Q3764" s="15"/>
      <c r="R3764" s="15"/>
      <c r="S3764" s="15"/>
      <c r="T3764" s="15"/>
      <c r="U3764" s="15"/>
      <c r="V3764" s="15"/>
      <c r="W3764" s="15"/>
      <c r="X3764" s="15"/>
      <c r="Y3764" s="15"/>
      <c r="Z3764" s="15"/>
      <c r="AA3764" s="15"/>
      <c r="AB3764" s="15"/>
      <c r="AC3764" s="15"/>
      <c r="AD3764" s="15"/>
      <c r="AE3764" s="15"/>
      <c r="AF3764" s="15"/>
      <c r="AG3764" s="15"/>
    </row>
    <row r="3765" spans="1:33" s="16" customFormat="1" ht="15.75" x14ac:dyDescent="0.25">
      <c r="A3765" s="213"/>
      <c r="B3765" s="188"/>
      <c r="C3765" s="198"/>
      <c r="D3765" s="198"/>
      <c r="E3765" s="198"/>
      <c r="F3765" s="198"/>
      <c r="G3765" s="198"/>
      <c r="H3765" s="198"/>
      <c r="I3765" s="15"/>
      <c r="J3765" s="15"/>
      <c r="K3765" s="15"/>
      <c r="L3765" s="15"/>
      <c r="M3765" s="15"/>
      <c r="N3765" s="15"/>
      <c r="O3765" s="15"/>
      <c r="P3765" s="15"/>
      <c r="Q3765" s="15"/>
      <c r="R3765" s="15"/>
      <c r="S3765" s="15"/>
      <c r="T3765" s="15"/>
      <c r="U3765" s="15"/>
      <c r="V3765" s="15"/>
      <c r="W3765" s="15"/>
      <c r="X3765" s="15"/>
      <c r="Y3765" s="15"/>
      <c r="Z3765" s="15"/>
      <c r="AA3765" s="15"/>
      <c r="AB3765" s="15"/>
      <c r="AC3765" s="15"/>
      <c r="AD3765" s="15"/>
      <c r="AE3765" s="15"/>
      <c r="AF3765" s="15"/>
      <c r="AG3765" s="15"/>
    </row>
    <row r="3766" spans="1:33" s="16" customFormat="1" ht="1.5" customHeight="1" x14ac:dyDescent="0.25">
      <c r="A3766" s="212"/>
      <c r="B3766" s="175"/>
      <c r="C3766" s="177"/>
      <c r="D3766" s="177"/>
      <c r="E3766" s="177"/>
      <c r="F3766" s="177"/>
      <c r="G3766" s="177"/>
      <c r="H3766" s="177"/>
      <c r="I3766" s="15"/>
      <c r="J3766" s="15"/>
      <c r="K3766" s="15"/>
      <c r="L3766" s="15"/>
      <c r="M3766" s="15"/>
      <c r="N3766" s="15"/>
      <c r="O3766" s="15"/>
      <c r="P3766" s="15"/>
      <c r="Q3766" s="15"/>
      <c r="R3766" s="15"/>
      <c r="S3766" s="15"/>
      <c r="T3766" s="15"/>
      <c r="U3766" s="15"/>
      <c r="V3766" s="15"/>
      <c r="W3766" s="15"/>
      <c r="X3766" s="15"/>
      <c r="Y3766" s="15"/>
      <c r="Z3766" s="15"/>
      <c r="AA3766" s="15"/>
      <c r="AB3766" s="15"/>
      <c r="AC3766" s="15"/>
      <c r="AD3766" s="15"/>
      <c r="AE3766" s="15"/>
      <c r="AF3766" s="15"/>
      <c r="AG3766" s="15"/>
    </row>
    <row r="3767" spans="1:33" s="16" customFormat="1" ht="16.5" customHeight="1" x14ac:dyDescent="0.25">
      <c r="A3767" s="44"/>
      <c r="B3767" s="11" t="s">
        <v>9</v>
      </c>
      <c r="C3767" s="12" t="s">
        <v>1102</v>
      </c>
      <c r="D3767" s="11">
        <v>2020</v>
      </c>
      <c r="E3767" s="11" t="s">
        <v>0</v>
      </c>
      <c r="F3767" s="11">
        <f>SUMIF($D$3770:$D$3774,$D$3767,$F$3770:$F$3774)</f>
        <v>135</v>
      </c>
      <c r="G3767" s="11">
        <f>SUMIF($D$3770:$D$3774,$D$3767,$G$3770:$G$3774)</f>
        <v>165</v>
      </c>
      <c r="H3767" s="14">
        <f>SUMIF($D$3770:$D$3774,$D$3767,$H$3770:$H$3774)</f>
        <v>246.54600000000002</v>
      </c>
      <c r="I3767" s="15"/>
      <c r="J3767" s="15"/>
      <c r="K3767" s="15"/>
      <c r="L3767" s="15"/>
      <c r="M3767" s="15"/>
      <c r="N3767" s="15"/>
      <c r="O3767" s="15"/>
      <c r="P3767" s="15"/>
      <c r="Q3767" s="15"/>
      <c r="R3767" s="15"/>
      <c r="S3767" s="15"/>
      <c r="T3767" s="15"/>
      <c r="U3767" s="15"/>
      <c r="V3767" s="15"/>
      <c r="W3767" s="15"/>
      <c r="X3767" s="15"/>
      <c r="Y3767" s="15"/>
      <c r="Z3767" s="15"/>
      <c r="AA3767" s="15"/>
      <c r="AB3767" s="15"/>
      <c r="AC3767" s="15"/>
      <c r="AD3767" s="15"/>
      <c r="AE3767" s="15"/>
      <c r="AF3767" s="15"/>
      <c r="AG3767" s="15"/>
    </row>
    <row r="3768" spans="1:33" s="26" customFormat="1" ht="16.5" customHeight="1" x14ac:dyDescent="0.25">
      <c r="A3768" s="18"/>
      <c r="B3768" s="11" t="s">
        <v>9</v>
      </c>
      <c r="C3768" s="12" t="s">
        <v>1102</v>
      </c>
      <c r="D3768" s="11">
        <v>2021</v>
      </c>
      <c r="E3768" s="11" t="s">
        <v>0</v>
      </c>
      <c r="F3768" s="11">
        <f>SUMIF($D$3770:$D$3774,$D$3768,$F$3770:$F$3774)</f>
        <v>1643</v>
      </c>
      <c r="G3768" s="11">
        <f>SUMIF($D$3770:$D$3774,$D$3768,$G$3770:$G$3774)</f>
        <v>815</v>
      </c>
      <c r="H3768" s="14">
        <f>SUMIF($D$3770:$D$3774,$D$3768,$H$3770:$H$3774)</f>
        <v>3474.9059999999999</v>
      </c>
      <c r="I3768" s="15"/>
      <c r="J3768" s="15"/>
      <c r="K3768" s="15"/>
      <c r="L3768" s="15"/>
      <c r="M3768" s="15"/>
      <c r="N3768" s="15"/>
      <c r="O3768" s="15"/>
      <c r="P3768" s="15"/>
      <c r="Q3768" s="15"/>
      <c r="R3768" s="15"/>
      <c r="S3768" s="15"/>
      <c r="T3768" s="15"/>
      <c r="U3768" s="15"/>
      <c r="V3768" s="15"/>
      <c r="W3768" s="15"/>
      <c r="X3768" s="15"/>
      <c r="Y3768" s="15"/>
      <c r="Z3768" s="15"/>
      <c r="AA3768" s="15"/>
      <c r="AB3768" s="15"/>
      <c r="AC3768" s="15"/>
      <c r="AD3768" s="15"/>
      <c r="AE3768" s="15"/>
      <c r="AF3768" s="15"/>
      <c r="AG3768" s="15"/>
    </row>
    <row r="3769" spans="1:33" s="26" customFormat="1" ht="15.75" x14ac:dyDescent="0.25">
      <c r="A3769" s="18"/>
      <c r="B3769" s="11" t="s">
        <v>9</v>
      </c>
      <c r="C3769" s="12" t="s">
        <v>3929</v>
      </c>
      <c r="D3769" s="11">
        <v>2022</v>
      </c>
      <c r="E3769" s="11" t="s">
        <v>0</v>
      </c>
      <c r="F3769" s="11">
        <f>SUMIF($D$3770:$D$3774,$D$3769,$F$3770:$F$3774)</f>
        <v>542</v>
      </c>
      <c r="G3769" s="11">
        <f>SUMIF($D$3770:$D$3774,$D$3769,$G$3770:$G$3774)</f>
        <v>50</v>
      </c>
      <c r="H3769" s="14">
        <f>SUMIF($D$3770:$D$3774,$D$3769,$H$3770:$H$3774)</f>
        <v>1600</v>
      </c>
      <c r="I3769" s="15"/>
      <c r="J3769" s="15"/>
      <c r="K3769" s="15"/>
      <c r="L3769" s="15"/>
      <c r="M3769" s="15"/>
      <c r="N3769" s="15"/>
      <c r="O3769" s="15"/>
      <c r="P3769" s="15"/>
      <c r="Q3769" s="15"/>
      <c r="R3769" s="15"/>
      <c r="S3769" s="15"/>
      <c r="T3769" s="15"/>
      <c r="U3769" s="15"/>
      <c r="V3769" s="15"/>
      <c r="W3769" s="15"/>
      <c r="X3769" s="15"/>
      <c r="Y3769" s="15"/>
      <c r="Z3769" s="15"/>
      <c r="AA3769" s="15"/>
      <c r="AB3769" s="15"/>
      <c r="AC3769" s="15"/>
      <c r="AD3769" s="15"/>
      <c r="AE3769" s="15"/>
      <c r="AF3769" s="15"/>
      <c r="AG3769" s="15"/>
    </row>
    <row r="3770" spans="1:33" s="15" customFormat="1" ht="87.75" hidden="1" customHeight="1" outlineLevel="1" x14ac:dyDescent="0.25">
      <c r="A3770" s="18">
        <v>250</v>
      </c>
      <c r="B3770" s="4" t="s">
        <v>9</v>
      </c>
      <c r="C3770" s="38" t="s">
        <v>4238</v>
      </c>
      <c r="D3770" s="4">
        <v>2022</v>
      </c>
      <c r="E3770" s="4" t="s">
        <v>0</v>
      </c>
      <c r="F3770" s="4">
        <v>542</v>
      </c>
      <c r="G3770" s="4">
        <v>50</v>
      </c>
      <c r="H3770" s="4">
        <v>1600</v>
      </c>
    </row>
    <row r="3771" spans="1:33" s="15" customFormat="1" ht="87.75" hidden="1" customHeight="1" outlineLevel="1" x14ac:dyDescent="0.25">
      <c r="A3771" s="18">
        <v>396</v>
      </c>
      <c r="B3771" s="4" t="s">
        <v>9</v>
      </c>
      <c r="C3771" s="38" t="s">
        <v>10</v>
      </c>
      <c r="D3771" s="4">
        <v>2020</v>
      </c>
      <c r="E3771" s="4" t="s">
        <v>0</v>
      </c>
      <c r="F3771" s="4">
        <v>121</v>
      </c>
      <c r="G3771" s="42">
        <v>115</v>
      </c>
      <c r="H3771" s="42">
        <v>212.35400000000001</v>
      </c>
    </row>
    <row r="3772" spans="1:33" s="15" customFormat="1" ht="87.75" hidden="1" customHeight="1" outlineLevel="1" x14ac:dyDescent="0.25">
      <c r="A3772" s="18">
        <v>1740</v>
      </c>
      <c r="B3772" s="4" t="s">
        <v>9</v>
      </c>
      <c r="C3772" s="22" t="s">
        <v>11</v>
      </c>
      <c r="D3772" s="4">
        <v>2020</v>
      </c>
      <c r="E3772" s="4" t="s">
        <v>0</v>
      </c>
      <c r="F3772" s="4">
        <v>14</v>
      </c>
      <c r="G3772" s="42">
        <v>50</v>
      </c>
      <c r="H3772" s="42">
        <v>34.192</v>
      </c>
    </row>
    <row r="3773" spans="1:33" s="15" customFormat="1" ht="100.5" hidden="1" customHeight="1" outlineLevel="1" x14ac:dyDescent="0.25">
      <c r="A3773" s="18">
        <v>3748</v>
      </c>
      <c r="B3773" s="4" t="s">
        <v>9</v>
      </c>
      <c r="C3773" s="22" t="s">
        <v>1356</v>
      </c>
      <c r="D3773" s="4">
        <v>2021</v>
      </c>
      <c r="E3773" s="4" t="s">
        <v>0</v>
      </c>
      <c r="F3773" s="4">
        <v>48</v>
      </c>
      <c r="G3773" s="42">
        <v>65</v>
      </c>
      <c r="H3773" s="42">
        <v>1126.9059999999999</v>
      </c>
    </row>
    <row r="3774" spans="1:33" s="15" customFormat="1" ht="87.75" hidden="1" customHeight="1" outlineLevel="1" x14ac:dyDescent="0.25">
      <c r="A3774" s="46">
        <v>9669</v>
      </c>
      <c r="B3774" s="4" t="s">
        <v>9</v>
      </c>
      <c r="C3774" s="22" t="s">
        <v>2000</v>
      </c>
      <c r="D3774" s="4">
        <v>2021</v>
      </c>
      <c r="E3774" s="4" t="s">
        <v>0</v>
      </c>
      <c r="F3774" s="4">
        <v>1595</v>
      </c>
      <c r="G3774" s="4">
        <v>750</v>
      </c>
      <c r="H3774" s="42">
        <v>2348</v>
      </c>
    </row>
    <row r="3775" spans="1:33" s="15" customFormat="1" ht="15.75" collapsed="1" x14ac:dyDescent="0.25">
      <c r="A3775" s="211"/>
      <c r="B3775" s="174" t="s">
        <v>9</v>
      </c>
      <c r="C3775" s="189" t="s">
        <v>3209</v>
      </c>
      <c r="D3775" s="174"/>
      <c r="E3775" s="174" t="s">
        <v>213</v>
      </c>
      <c r="F3775" s="174"/>
      <c r="G3775" s="174"/>
      <c r="H3775" s="174"/>
    </row>
    <row r="3776" spans="1:33" s="16" customFormat="1" ht="10.5" customHeight="1" x14ac:dyDescent="0.25">
      <c r="A3776" s="213"/>
      <c r="B3776" s="188"/>
      <c r="C3776" s="198"/>
      <c r="D3776" s="188"/>
      <c r="E3776" s="188" t="s">
        <v>213</v>
      </c>
      <c r="F3776" s="188"/>
      <c r="G3776" s="188"/>
      <c r="H3776" s="188"/>
      <c r="I3776" s="15"/>
      <c r="J3776" s="15"/>
      <c r="K3776" s="15"/>
      <c r="L3776" s="15"/>
      <c r="M3776" s="15"/>
      <c r="N3776" s="15"/>
      <c r="O3776" s="15"/>
      <c r="P3776" s="15"/>
      <c r="Q3776" s="15"/>
      <c r="R3776" s="15"/>
      <c r="S3776" s="15"/>
      <c r="T3776" s="15"/>
      <c r="U3776" s="15"/>
      <c r="V3776" s="15"/>
      <c r="W3776" s="15"/>
      <c r="X3776" s="15"/>
      <c r="Y3776" s="15"/>
      <c r="Z3776" s="15"/>
      <c r="AA3776" s="15"/>
      <c r="AB3776" s="15"/>
      <c r="AC3776" s="15"/>
      <c r="AD3776" s="15"/>
      <c r="AE3776" s="15"/>
      <c r="AF3776" s="15"/>
      <c r="AG3776" s="15"/>
    </row>
    <row r="3777" spans="1:33" s="16" customFormat="1" ht="15.75" x14ac:dyDescent="0.25">
      <c r="A3777" s="213"/>
      <c r="B3777" s="188"/>
      <c r="C3777" s="198"/>
      <c r="D3777" s="188"/>
      <c r="E3777" s="188"/>
      <c r="F3777" s="188"/>
      <c r="G3777" s="188"/>
      <c r="H3777" s="188"/>
      <c r="I3777" s="15"/>
      <c r="J3777" s="15"/>
      <c r="K3777" s="15"/>
      <c r="L3777" s="15"/>
      <c r="M3777" s="15"/>
      <c r="N3777" s="15"/>
      <c r="O3777" s="15"/>
      <c r="P3777" s="15"/>
      <c r="Q3777" s="15"/>
      <c r="R3777" s="15"/>
      <c r="S3777" s="15"/>
      <c r="T3777" s="15"/>
      <c r="U3777" s="15"/>
      <c r="V3777" s="15"/>
      <c r="W3777" s="15"/>
      <c r="X3777" s="15"/>
      <c r="Y3777" s="15"/>
      <c r="Z3777" s="15"/>
      <c r="AA3777" s="15"/>
      <c r="AB3777" s="15"/>
      <c r="AC3777" s="15"/>
      <c r="AD3777" s="15"/>
      <c r="AE3777" s="15"/>
      <c r="AF3777" s="15"/>
      <c r="AG3777" s="15"/>
    </row>
    <row r="3778" spans="1:33" s="16" customFormat="1" ht="5.25" customHeight="1" x14ac:dyDescent="0.25">
      <c r="A3778" s="212"/>
      <c r="B3778" s="175"/>
      <c r="C3778" s="177"/>
      <c r="D3778" s="175"/>
      <c r="E3778" s="175"/>
      <c r="F3778" s="175"/>
      <c r="G3778" s="175"/>
      <c r="H3778" s="175"/>
      <c r="I3778" s="15"/>
      <c r="J3778" s="15"/>
      <c r="K3778" s="15"/>
      <c r="L3778" s="15"/>
      <c r="M3778" s="15"/>
      <c r="N3778" s="15"/>
      <c r="O3778" s="15"/>
      <c r="P3778" s="15"/>
      <c r="Q3778" s="15"/>
      <c r="R3778" s="15"/>
      <c r="S3778" s="15"/>
      <c r="T3778" s="15"/>
      <c r="U3778" s="15"/>
      <c r="V3778" s="15"/>
      <c r="W3778" s="15"/>
      <c r="X3778" s="15"/>
      <c r="Y3778" s="15"/>
      <c r="Z3778" s="15"/>
      <c r="AA3778" s="15"/>
      <c r="AB3778" s="15"/>
      <c r="AC3778" s="15"/>
      <c r="AD3778" s="15"/>
      <c r="AE3778" s="15"/>
      <c r="AF3778" s="15"/>
      <c r="AG3778" s="15"/>
    </row>
    <row r="3779" spans="1:33" s="16" customFormat="1" ht="16.5" customHeight="1" x14ac:dyDescent="0.25">
      <c r="A3779" s="44"/>
      <c r="B3779" s="11" t="s">
        <v>9</v>
      </c>
      <c r="C3779" s="12" t="s">
        <v>1102</v>
      </c>
      <c r="D3779" s="11">
        <v>2020</v>
      </c>
      <c r="E3779" s="11" t="s">
        <v>213</v>
      </c>
      <c r="F3779" s="11">
        <f>SUMIF($D$3782:$D$3790,$D$3779,$F$3782:$F$3790)</f>
        <v>3374</v>
      </c>
      <c r="G3779" s="14">
        <f>SUMIF($D$3782:$D$3790,$D$3779,$G$3782:$G$3790)</f>
        <v>505</v>
      </c>
      <c r="H3779" s="14">
        <f>SUMIF($D$3782:$D$3790,$D$3779,$H$3782:$H$3790)</f>
        <v>10456.794</v>
      </c>
      <c r="I3779" s="15"/>
      <c r="J3779" s="15"/>
      <c r="K3779" s="15"/>
      <c r="L3779" s="15"/>
      <c r="M3779" s="15"/>
      <c r="N3779" s="15"/>
      <c r="O3779" s="15"/>
      <c r="P3779" s="15"/>
      <c r="Q3779" s="15"/>
      <c r="R3779" s="15"/>
      <c r="S3779" s="15"/>
      <c r="T3779" s="15"/>
      <c r="U3779" s="15"/>
      <c r="V3779" s="15"/>
      <c r="W3779" s="15"/>
      <c r="X3779" s="15"/>
      <c r="Y3779" s="15"/>
      <c r="Z3779" s="15"/>
      <c r="AA3779" s="15"/>
      <c r="AB3779" s="15"/>
      <c r="AC3779" s="15"/>
      <c r="AD3779" s="15"/>
      <c r="AE3779" s="15"/>
      <c r="AF3779" s="15"/>
      <c r="AG3779" s="15"/>
    </row>
    <row r="3780" spans="1:33" s="26" customFormat="1" ht="16.5" customHeight="1" x14ac:dyDescent="0.25">
      <c r="A3780" s="18"/>
      <c r="B3780" s="11" t="s">
        <v>9</v>
      </c>
      <c r="C3780" s="12" t="s">
        <v>1102</v>
      </c>
      <c r="D3780" s="11">
        <v>2021</v>
      </c>
      <c r="E3780" s="11" t="s">
        <v>213</v>
      </c>
      <c r="F3780" s="11">
        <f>SUMIF($D$3782:$D$3790,$D$3780,$F$3782:$F$3790)</f>
        <v>0</v>
      </c>
      <c r="G3780" s="14">
        <f>SUMIF($D$3782:$D$3790,$D$3780,$G$3782:$G$3790)</f>
        <v>0</v>
      </c>
      <c r="H3780" s="14">
        <f>SUMIF($D$3782:$D$3790,$D$3780,$H$3782:$H$3790)</f>
        <v>0</v>
      </c>
      <c r="I3780" s="15"/>
      <c r="J3780" s="15"/>
      <c r="K3780" s="15"/>
      <c r="L3780" s="15"/>
      <c r="M3780" s="15"/>
      <c r="N3780" s="15"/>
      <c r="O3780" s="15"/>
      <c r="P3780" s="15"/>
      <c r="Q3780" s="15"/>
      <c r="R3780" s="15"/>
      <c r="S3780" s="15"/>
      <c r="T3780" s="15"/>
      <c r="U3780" s="15"/>
      <c r="V3780" s="15"/>
      <c r="W3780" s="15"/>
      <c r="X3780" s="15"/>
      <c r="Y3780" s="15"/>
      <c r="Z3780" s="15"/>
      <c r="AA3780" s="15"/>
      <c r="AB3780" s="15"/>
      <c r="AC3780" s="15"/>
      <c r="AD3780" s="15"/>
      <c r="AE3780" s="15"/>
      <c r="AF3780" s="15"/>
      <c r="AG3780" s="15"/>
    </row>
    <row r="3781" spans="1:33" s="26" customFormat="1" ht="15.75" x14ac:dyDescent="0.25">
      <c r="A3781" s="18"/>
      <c r="B3781" s="11" t="s">
        <v>9</v>
      </c>
      <c r="C3781" s="12" t="s">
        <v>1102</v>
      </c>
      <c r="D3781" s="11">
        <v>2022</v>
      </c>
      <c r="E3781" s="11" t="s">
        <v>213</v>
      </c>
      <c r="F3781" s="11">
        <f>SUMIF($D$3782:$D$3790,$D$3781,$F$3782:$F$3790)</f>
        <v>1979</v>
      </c>
      <c r="G3781" s="14">
        <f>SUMIF($D$3782:$D$3790,$D$3781,$G$3782:$G$3790)</f>
        <v>738.67000000000007</v>
      </c>
      <c r="H3781" s="14">
        <f>SUMIF($D$3782:$D$3790,$D$3781,$H$3782:$H$3790)</f>
        <v>9307.9056099999998</v>
      </c>
      <c r="I3781" s="15"/>
      <c r="J3781" s="15"/>
      <c r="K3781" s="15"/>
      <c r="L3781" s="15"/>
      <c r="M3781" s="15"/>
      <c r="N3781" s="15"/>
      <c r="O3781" s="15"/>
      <c r="P3781" s="15"/>
      <c r="Q3781" s="15"/>
      <c r="R3781" s="15"/>
      <c r="S3781" s="15"/>
      <c r="T3781" s="15"/>
      <c r="U3781" s="15"/>
      <c r="V3781" s="15"/>
      <c r="W3781" s="15"/>
      <c r="X3781" s="15"/>
      <c r="Y3781" s="15"/>
      <c r="Z3781" s="15"/>
      <c r="AA3781" s="15"/>
      <c r="AB3781" s="15"/>
      <c r="AC3781" s="15"/>
      <c r="AD3781" s="15"/>
      <c r="AE3781" s="15"/>
      <c r="AF3781" s="15"/>
      <c r="AG3781" s="15"/>
    </row>
    <row r="3782" spans="1:33" s="15" customFormat="1" ht="110.25" hidden="1" outlineLevel="1" x14ac:dyDescent="0.25">
      <c r="A3782" s="18">
        <v>4124</v>
      </c>
      <c r="B3782" s="4" t="s">
        <v>9</v>
      </c>
      <c r="C3782" s="22" t="s">
        <v>3309</v>
      </c>
      <c r="D3782" s="4">
        <v>2022</v>
      </c>
      <c r="E3782" s="4" t="s">
        <v>213</v>
      </c>
      <c r="F3782" s="4">
        <v>82</v>
      </c>
      <c r="G3782" s="42">
        <v>108.67</v>
      </c>
      <c r="H3782" s="42">
        <v>410.90561000000002</v>
      </c>
    </row>
    <row r="3783" spans="1:33" s="15" customFormat="1" ht="94.5" hidden="1" outlineLevel="1" x14ac:dyDescent="0.25">
      <c r="A3783" s="18">
        <v>4745</v>
      </c>
      <c r="B3783" s="4" t="s">
        <v>9</v>
      </c>
      <c r="C3783" s="22" t="s">
        <v>3972</v>
      </c>
      <c r="D3783" s="4">
        <v>2022</v>
      </c>
      <c r="E3783" s="4" t="s">
        <v>213</v>
      </c>
      <c r="F3783" s="4">
        <v>1075</v>
      </c>
      <c r="G3783" s="42" t="s">
        <v>1896</v>
      </c>
      <c r="H3783" s="42">
        <v>5256</v>
      </c>
    </row>
    <row r="3784" spans="1:33" s="15" customFormat="1" ht="47.25" hidden="1" outlineLevel="1" x14ac:dyDescent="0.25">
      <c r="A3784" s="18">
        <v>104</v>
      </c>
      <c r="B3784" s="4" t="s">
        <v>9</v>
      </c>
      <c r="C3784" s="22" t="s">
        <v>3733</v>
      </c>
      <c r="D3784" s="4">
        <v>2022</v>
      </c>
      <c r="E3784" s="4" t="s">
        <v>213</v>
      </c>
      <c r="F3784" s="4">
        <v>472</v>
      </c>
      <c r="G3784" s="42">
        <v>30</v>
      </c>
      <c r="H3784" s="42">
        <v>2935</v>
      </c>
    </row>
    <row r="3785" spans="1:33" s="15" customFormat="1" ht="75" hidden="1" customHeight="1" outlineLevel="1" x14ac:dyDescent="0.25">
      <c r="A3785" s="18">
        <v>166</v>
      </c>
      <c r="B3785" s="4" t="s">
        <v>9</v>
      </c>
      <c r="C3785" s="22" t="s">
        <v>4243</v>
      </c>
      <c r="D3785" s="4">
        <v>2022</v>
      </c>
      <c r="E3785" s="4" t="s">
        <v>213</v>
      </c>
      <c r="F3785" s="4">
        <v>350</v>
      </c>
      <c r="G3785" s="42">
        <v>600</v>
      </c>
      <c r="H3785" s="42">
        <v>706</v>
      </c>
    </row>
    <row r="3786" spans="1:33" s="15" customFormat="1" ht="35.25" hidden="1" customHeight="1" outlineLevel="1" x14ac:dyDescent="0.25">
      <c r="A3786" s="18">
        <v>187</v>
      </c>
      <c r="B3786" s="4" t="s">
        <v>9</v>
      </c>
      <c r="C3786" s="38" t="s">
        <v>1026</v>
      </c>
      <c r="D3786" s="4">
        <v>2020</v>
      </c>
      <c r="E3786" s="4" t="s">
        <v>213</v>
      </c>
      <c r="F3786" s="4">
        <v>71</v>
      </c>
      <c r="G3786" s="42">
        <v>5</v>
      </c>
      <c r="H3786" s="42">
        <v>219</v>
      </c>
    </row>
    <row r="3787" spans="1:33" s="15" customFormat="1" ht="35.25" hidden="1" customHeight="1" outlineLevel="1" x14ac:dyDescent="0.25">
      <c r="A3787" s="18">
        <v>1740</v>
      </c>
      <c r="B3787" s="4" t="s">
        <v>9</v>
      </c>
      <c r="C3787" s="38" t="s">
        <v>11</v>
      </c>
      <c r="D3787" s="4">
        <v>2020</v>
      </c>
      <c r="E3787" s="4" t="s">
        <v>213</v>
      </c>
      <c r="F3787" s="4">
        <v>1383</v>
      </c>
      <c r="G3787" s="42">
        <v>50</v>
      </c>
      <c r="H3787" s="42">
        <v>2367.5160000000001</v>
      </c>
    </row>
    <row r="3788" spans="1:33" s="15" customFormat="1" ht="35.25" hidden="1" customHeight="1" outlineLevel="1" x14ac:dyDescent="0.25">
      <c r="A3788" s="18">
        <v>1709</v>
      </c>
      <c r="B3788" s="4" t="s">
        <v>9</v>
      </c>
      <c r="C3788" s="38" t="s">
        <v>1082</v>
      </c>
      <c r="D3788" s="4">
        <v>2020</v>
      </c>
      <c r="E3788" s="4" t="s">
        <v>213</v>
      </c>
      <c r="F3788" s="4">
        <v>107</v>
      </c>
      <c r="G3788" s="42">
        <v>150</v>
      </c>
      <c r="H3788" s="42">
        <v>288.33100000000002</v>
      </c>
    </row>
    <row r="3789" spans="1:33" s="15" customFormat="1" ht="35.25" hidden="1" customHeight="1" outlineLevel="1" x14ac:dyDescent="0.25">
      <c r="A3789" s="18">
        <v>129</v>
      </c>
      <c r="B3789" s="4" t="s">
        <v>9</v>
      </c>
      <c r="C3789" s="38" t="s">
        <v>1083</v>
      </c>
      <c r="D3789" s="4">
        <v>2020</v>
      </c>
      <c r="E3789" s="4" t="s">
        <v>213</v>
      </c>
      <c r="F3789" s="4">
        <v>1813</v>
      </c>
      <c r="G3789" s="42">
        <v>300</v>
      </c>
      <c r="H3789" s="42">
        <v>7581.9470000000001</v>
      </c>
    </row>
    <row r="3790" spans="1:33" s="15" customFormat="1" ht="15.75" hidden="1" customHeight="1" outlineLevel="1" x14ac:dyDescent="0.25">
      <c r="A3790" s="18"/>
      <c r="B3790" s="4" t="s">
        <v>9</v>
      </c>
      <c r="C3790" s="22"/>
      <c r="D3790" s="4">
        <v>2021</v>
      </c>
      <c r="E3790" s="4" t="s">
        <v>213</v>
      </c>
      <c r="F3790" s="4"/>
      <c r="G3790" s="42"/>
      <c r="H3790" s="42"/>
    </row>
    <row r="3791" spans="1:33" s="15" customFormat="1" ht="51" customHeight="1" collapsed="1" x14ac:dyDescent="0.25">
      <c r="A3791" s="18"/>
      <c r="B3791" s="115" t="s">
        <v>4244</v>
      </c>
      <c r="C3791" s="120" t="s">
        <v>4245</v>
      </c>
      <c r="D3791" s="115"/>
      <c r="E3791" s="115" t="s">
        <v>213</v>
      </c>
      <c r="F3791" s="115"/>
      <c r="G3791" s="116"/>
      <c r="H3791" s="116"/>
    </row>
    <row r="3792" spans="1:33" s="15" customFormat="1" ht="18.75" customHeight="1" x14ac:dyDescent="0.25">
      <c r="A3792" s="18"/>
      <c r="B3792" s="117" t="s">
        <v>4244</v>
      </c>
      <c r="C3792" s="118" t="s">
        <v>1102</v>
      </c>
      <c r="D3792" s="117">
        <v>2020</v>
      </c>
      <c r="E3792" s="117" t="s">
        <v>213</v>
      </c>
      <c r="F3792" s="117">
        <v>0</v>
      </c>
      <c r="G3792" s="119">
        <v>0</v>
      </c>
      <c r="H3792" s="119">
        <v>0</v>
      </c>
    </row>
    <row r="3793" spans="1:33" s="15" customFormat="1" ht="18.75" customHeight="1" x14ac:dyDescent="0.25">
      <c r="A3793" s="18"/>
      <c r="B3793" s="117" t="s">
        <v>4244</v>
      </c>
      <c r="C3793" s="118" t="s">
        <v>1102</v>
      </c>
      <c r="D3793" s="117">
        <v>2021</v>
      </c>
      <c r="E3793" s="117" t="s">
        <v>213</v>
      </c>
      <c r="F3793" s="117">
        <v>0</v>
      </c>
      <c r="G3793" s="119">
        <v>0</v>
      </c>
      <c r="H3793" s="119">
        <v>0</v>
      </c>
    </row>
    <row r="3794" spans="1:33" s="15" customFormat="1" ht="18.75" customHeight="1" x14ac:dyDescent="0.25">
      <c r="A3794" s="18"/>
      <c r="B3794" s="117" t="s">
        <v>4244</v>
      </c>
      <c r="C3794" s="118" t="s">
        <v>1102</v>
      </c>
      <c r="D3794" s="117">
        <v>2022</v>
      </c>
      <c r="E3794" s="117" t="s">
        <v>213</v>
      </c>
      <c r="F3794" s="117">
        <f>SUMIF($D$3795:$D$3797,$D$3794,$F$3795:$F$3797)</f>
        <v>7163</v>
      </c>
      <c r="G3794" s="119">
        <f>SUMIF($D$3795:$D$3797,$D$3794,$G$3795:$G$3797)</f>
        <v>1330.67</v>
      </c>
      <c r="H3794" s="119">
        <f>SUMIF($D$3795:$D$3797,$D$3794,$H$3795:$H$3797)</f>
        <v>39400</v>
      </c>
    </row>
    <row r="3795" spans="1:33" s="15" customFormat="1" ht="62.25" hidden="1" customHeight="1" outlineLevel="1" x14ac:dyDescent="0.25">
      <c r="A3795" s="18">
        <v>100</v>
      </c>
      <c r="B3795" s="4" t="s">
        <v>4244</v>
      </c>
      <c r="C3795" s="22" t="s">
        <v>4039</v>
      </c>
      <c r="D3795" s="4">
        <v>2022</v>
      </c>
      <c r="E3795" s="4" t="s">
        <v>213</v>
      </c>
      <c r="F3795" s="4">
        <v>963</v>
      </c>
      <c r="G3795" s="114">
        <v>150</v>
      </c>
      <c r="H3795" s="42">
        <v>5744</v>
      </c>
    </row>
    <row r="3796" spans="1:33" s="15" customFormat="1" ht="44.25" hidden="1" customHeight="1" outlineLevel="1" x14ac:dyDescent="0.25">
      <c r="A3796" s="18">
        <v>3</v>
      </c>
      <c r="B3796" s="4" t="s">
        <v>4244</v>
      </c>
      <c r="C3796" s="22" t="s">
        <v>4246</v>
      </c>
      <c r="D3796" s="4">
        <v>2022</v>
      </c>
      <c r="E3796" s="4" t="s">
        <v>213</v>
      </c>
      <c r="F3796" s="4">
        <v>6200</v>
      </c>
      <c r="G3796" s="114">
        <v>1180.67</v>
      </c>
      <c r="H3796" s="42">
        <v>33656</v>
      </c>
    </row>
    <row r="3797" spans="1:33" s="15" customFormat="1" ht="18.75" hidden="1" customHeight="1" outlineLevel="1" x14ac:dyDescent="0.25">
      <c r="A3797" s="18"/>
      <c r="B3797" s="4" t="s">
        <v>4244</v>
      </c>
      <c r="C3797" s="121"/>
      <c r="D3797" s="128"/>
      <c r="E3797" s="128"/>
      <c r="F3797" s="128"/>
      <c r="G3797" s="122"/>
      <c r="H3797" s="122"/>
    </row>
    <row r="3798" spans="1:33" s="9" customFormat="1" ht="17.25" customHeight="1" collapsed="1" x14ac:dyDescent="0.25">
      <c r="A3798" s="208"/>
      <c r="B3798" s="178" t="s">
        <v>1</v>
      </c>
      <c r="C3798" s="185" t="s">
        <v>3204</v>
      </c>
      <c r="D3798" s="178"/>
      <c r="E3798" s="178" t="s">
        <v>0</v>
      </c>
      <c r="F3798" s="178"/>
      <c r="G3798" s="178"/>
      <c r="H3798" s="178"/>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row>
    <row r="3799" spans="1:33" s="15" customFormat="1" ht="15.75" x14ac:dyDescent="0.25">
      <c r="A3799" s="213"/>
      <c r="B3799" s="187"/>
      <c r="C3799" s="186"/>
      <c r="D3799" s="187"/>
      <c r="E3799" s="187"/>
      <c r="F3799" s="187"/>
      <c r="G3799" s="187"/>
      <c r="H3799" s="187"/>
    </row>
    <row r="3800" spans="1:33" s="16" customFormat="1" ht="15.75" x14ac:dyDescent="0.25">
      <c r="A3800" s="212"/>
      <c r="B3800" s="179"/>
      <c r="C3800" s="181"/>
      <c r="D3800" s="179"/>
      <c r="E3800" s="179"/>
      <c r="F3800" s="179"/>
      <c r="G3800" s="179"/>
      <c r="H3800" s="179"/>
      <c r="I3800" s="15"/>
      <c r="J3800" s="15"/>
      <c r="K3800" s="15"/>
      <c r="L3800" s="15"/>
      <c r="M3800" s="15"/>
      <c r="N3800" s="15"/>
      <c r="O3800" s="15"/>
      <c r="P3800" s="15"/>
      <c r="Q3800" s="15"/>
      <c r="R3800" s="15"/>
      <c r="S3800" s="15"/>
      <c r="T3800" s="15"/>
      <c r="U3800" s="15"/>
      <c r="V3800" s="15"/>
      <c r="W3800" s="15"/>
      <c r="X3800" s="15"/>
      <c r="Y3800" s="15"/>
      <c r="Z3800" s="15"/>
      <c r="AA3800" s="15"/>
      <c r="AB3800" s="15"/>
      <c r="AC3800" s="15"/>
      <c r="AD3800" s="15"/>
      <c r="AE3800" s="15"/>
      <c r="AF3800" s="15"/>
      <c r="AG3800" s="15"/>
    </row>
    <row r="3801" spans="1:33" s="16" customFormat="1" ht="16.5" customHeight="1" x14ac:dyDescent="0.25">
      <c r="A3801" s="44"/>
      <c r="B3801" s="7" t="s">
        <v>1</v>
      </c>
      <c r="C3801" s="8" t="s">
        <v>1102</v>
      </c>
      <c r="D3801" s="7">
        <v>2020</v>
      </c>
      <c r="E3801" s="7" t="s">
        <v>0</v>
      </c>
      <c r="F3801" s="7">
        <f>SUMIF($D$3804:$D$3808,$D$3801,$F$3804:$F$3808)</f>
        <v>284</v>
      </c>
      <c r="G3801" s="7">
        <f>SUMIF($D$3804:$D$3808,$D$3801,$G$3804:$G$3808)</f>
        <v>150</v>
      </c>
      <c r="H3801" s="10">
        <f>SUMIF($D$3804:$D$3808,$D$3801,$H$3804:$H$3808)</f>
        <v>1282.732</v>
      </c>
      <c r="I3801" s="15"/>
      <c r="J3801" s="15"/>
      <c r="K3801" s="15"/>
      <c r="L3801" s="15"/>
      <c r="M3801" s="15"/>
      <c r="N3801" s="15"/>
      <c r="O3801" s="15"/>
      <c r="P3801" s="15"/>
      <c r="Q3801" s="15"/>
      <c r="R3801" s="15"/>
      <c r="S3801" s="15"/>
      <c r="T3801" s="15"/>
      <c r="U3801" s="15"/>
      <c r="V3801" s="15"/>
      <c r="W3801" s="15"/>
      <c r="X3801" s="15"/>
      <c r="Y3801" s="15"/>
      <c r="Z3801" s="15"/>
      <c r="AA3801" s="15"/>
      <c r="AB3801" s="15"/>
      <c r="AC3801" s="15"/>
      <c r="AD3801" s="15"/>
      <c r="AE3801" s="15"/>
      <c r="AF3801" s="15"/>
      <c r="AG3801" s="15"/>
    </row>
    <row r="3802" spans="1:33" s="26" customFormat="1" ht="16.5" customHeight="1" x14ac:dyDescent="0.25">
      <c r="A3802" s="18"/>
      <c r="B3802" s="7" t="s">
        <v>1</v>
      </c>
      <c r="C3802" s="8" t="s">
        <v>1102</v>
      </c>
      <c r="D3802" s="7">
        <v>2021</v>
      </c>
      <c r="E3802" s="7" t="s">
        <v>0</v>
      </c>
      <c r="F3802" s="7">
        <f>SUMIF($D$3804:$D$3808,$D$3802,$F$3804:$F$3808)</f>
        <v>0</v>
      </c>
      <c r="G3802" s="7">
        <f>SUMIF($D$3804:$D$3808,$D$3802,$G$3804:$G$3808)</f>
        <v>0</v>
      </c>
      <c r="H3802" s="10">
        <f>SUMIF($D$3804:$D$3808,$D$3802,$H$3804:$H$3808)</f>
        <v>0</v>
      </c>
      <c r="I3802" s="15"/>
      <c r="J3802" s="15"/>
      <c r="K3802" s="15"/>
      <c r="L3802" s="15"/>
      <c r="M3802" s="15"/>
      <c r="N3802" s="15"/>
      <c r="O3802" s="15"/>
      <c r="P3802" s="15"/>
      <c r="Q3802" s="15"/>
      <c r="R3802" s="15"/>
      <c r="S3802" s="15"/>
      <c r="T3802" s="15"/>
      <c r="U3802" s="15"/>
      <c r="V3802" s="15"/>
      <c r="W3802" s="15"/>
      <c r="X3802" s="15"/>
      <c r="Y3802" s="15"/>
      <c r="Z3802" s="15"/>
      <c r="AA3802" s="15"/>
      <c r="AB3802" s="15"/>
      <c r="AC3802" s="15"/>
      <c r="AD3802" s="15"/>
      <c r="AE3802" s="15"/>
      <c r="AF3802" s="15"/>
      <c r="AG3802" s="15"/>
    </row>
    <row r="3803" spans="1:33" s="26" customFormat="1" ht="15.75" x14ac:dyDescent="0.25">
      <c r="A3803" s="18"/>
      <c r="B3803" s="7" t="s">
        <v>1</v>
      </c>
      <c r="C3803" s="8" t="s">
        <v>3929</v>
      </c>
      <c r="D3803" s="7">
        <v>2022</v>
      </c>
      <c r="E3803" s="7" t="s">
        <v>0</v>
      </c>
      <c r="F3803" s="7">
        <f>SUMIF($D$3804:$D$3808,$D$3803,$F$3804:$F$3808)</f>
        <v>892</v>
      </c>
      <c r="G3803" s="7">
        <f>SUMIF($D$3804:$D$3808,$D$3803,$G$3804:$G$3808)</f>
        <v>897</v>
      </c>
      <c r="H3803" s="10">
        <f>SUMIF($D$3804:$D$3808,$D$3803,$H$3804:$H$3808)</f>
        <v>6138.3219500000005</v>
      </c>
      <c r="I3803" s="15"/>
      <c r="J3803" s="15"/>
      <c r="K3803" s="15"/>
      <c r="L3803" s="15"/>
      <c r="M3803" s="15"/>
      <c r="N3803" s="15"/>
      <c r="O3803" s="15"/>
      <c r="P3803" s="15"/>
      <c r="Q3803" s="15"/>
      <c r="R3803" s="15"/>
      <c r="S3803" s="15"/>
      <c r="T3803" s="15"/>
      <c r="U3803" s="15"/>
      <c r="V3803" s="15"/>
      <c r="W3803" s="15"/>
      <c r="X3803" s="15"/>
      <c r="Y3803" s="15"/>
      <c r="Z3803" s="15"/>
      <c r="AA3803" s="15"/>
      <c r="AB3803" s="15"/>
      <c r="AC3803" s="15"/>
      <c r="AD3803" s="15"/>
      <c r="AE3803" s="15"/>
      <c r="AF3803" s="15"/>
      <c r="AG3803" s="15"/>
    </row>
    <row r="3804" spans="1:33" s="15" customFormat="1" ht="79.5" hidden="1" customHeight="1" outlineLevel="1" x14ac:dyDescent="0.25">
      <c r="A3804" s="18">
        <v>3000</v>
      </c>
      <c r="B3804" s="4" t="s">
        <v>1</v>
      </c>
      <c r="C3804" s="38" t="s">
        <v>4051</v>
      </c>
      <c r="D3804" s="4">
        <v>2022</v>
      </c>
      <c r="E3804" s="4" t="s">
        <v>0</v>
      </c>
      <c r="F3804" s="4">
        <v>112</v>
      </c>
      <c r="G3804" s="4">
        <v>147</v>
      </c>
      <c r="H3804" s="4">
        <v>381.99700000000001</v>
      </c>
    </row>
    <row r="3805" spans="1:33" s="15" customFormat="1" ht="69.75" hidden="1" customHeight="1" outlineLevel="1" x14ac:dyDescent="0.25">
      <c r="A3805" s="18">
        <v>4549</v>
      </c>
      <c r="B3805" s="4" t="s">
        <v>1</v>
      </c>
      <c r="C3805" s="38" t="s">
        <v>4247</v>
      </c>
      <c r="D3805" s="4">
        <v>2022</v>
      </c>
      <c r="E3805" s="4" t="s">
        <v>0</v>
      </c>
      <c r="F3805" s="4">
        <v>310</v>
      </c>
      <c r="G3805" s="4">
        <v>150</v>
      </c>
      <c r="H3805" s="4">
        <v>4807.3249500000002</v>
      </c>
    </row>
    <row r="3806" spans="1:33" s="15" customFormat="1" ht="61.5" hidden="1" customHeight="1" outlineLevel="1" x14ac:dyDescent="0.25">
      <c r="A3806" s="18">
        <v>166</v>
      </c>
      <c r="B3806" s="4" t="s">
        <v>1</v>
      </c>
      <c r="C3806" s="38" t="s">
        <v>4243</v>
      </c>
      <c r="D3806" s="4">
        <v>2022</v>
      </c>
      <c r="E3806" s="4" t="s">
        <v>0</v>
      </c>
      <c r="F3806" s="4">
        <v>470</v>
      </c>
      <c r="G3806" s="4">
        <v>600</v>
      </c>
      <c r="H3806" s="4">
        <v>949</v>
      </c>
    </row>
    <row r="3807" spans="1:33" s="15" customFormat="1" ht="61.5" hidden="1" customHeight="1" outlineLevel="1" x14ac:dyDescent="0.25">
      <c r="A3807" s="18">
        <v>1434</v>
      </c>
      <c r="B3807" s="4" t="s">
        <v>1</v>
      </c>
      <c r="C3807" s="22" t="s">
        <v>2</v>
      </c>
      <c r="D3807" s="4">
        <v>2020</v>
      </c>
      <c r="E3807" s="18"/>
      <c r="F3807" s="4">
        <v>284</v>
      </c>
      <c r="G3807" s="42">
        <v>150</v>
      </c>
      <c r="H3807" s="42">
        <v>1282.732</v>
      </c>
    </row>
    <row r="3808" spans="1:33" s="15" customFormat="1" ht="15.75" hidden="1" outlineLevel="1" x14ac:dyDescent="0.25">
      <c r="A3808" s="18"/>
      <c r="B3808" s="4" t="s">
        <v>1</v>
      </c>
      <c r="C3808" s="22"/>
      <c r="D3808" s="4">
        <v>2021</v>
      </c>
      <c r="E3808" s="18"/>
      <c r="F3808" s="4"/>
      <c r="G3808" s="42"/>
      <c r="H3808" s="42"/>
    </row>
    <row r="3809" spans="1:33" s="15" customFormat="1" ht="15.75" collapsed="1" x14ac:dyDescent="0.25">
      <c r="A3809" s="211"/>
      <c r="B3809" s="174" t="s">
        <v>3</v>
      </c>
      <c r="C3809" s="189" t="s">
        <v>3206</v>
      </c>
      <c r="D3809" s="174"/>
      <c r="E3809" s="174" t="s">
        <v>0</v>
      </c>
      <c r="F3809" s="174"/>
      <c r="G3809" s="174"/>
      <c r="H3809" s="174"/>
    </row>
    <row r="3810" spans="1:33" s="16" customFormat="1" ht="15.75" x14ac:dyDescent="0.25">
      <c r="A3810" s="213"/>
      <c r="B3810" s="188"/>
      <c r="C3810" s="198"/>
      <c r="D3810" s="188"/>
      <c r="E3810" s="188" t="s">
        <v>0</v>
      </c>
      <c r="F3810" s="188"/>
      <c r="G3810" s="188"/>
      <c r="H3810" s="188"/>
      <c r="I3810" s="15"/>
      <c r="J3810" s="15"/>
      <c r="K3810" s="15"/>
      <c r="L3810" s="15"/>
      <c r="M3810" s="15"/>
      <c r="N3810" s="15"/>
      <c r="O3810" s="15"/>
      <c r="P3810" s="15"/>
      <c r="Q3810" s="15"/>
      <c r="R3810" s="15"/>
      <c r="S3810" s="15"/>
      <c r="T3810" s="15"/>
      <c r="U3810" s="15"/>
      <c r="V3810" s="15"/>
      <c r="W3810" s="15"/>
      <c r="X3810" s="15"/>
      <c r="Y3810" s="15"/>
      <c r="Z3810" s="15"/>
      <c r="AA3810" s="15"/>
      <c r="AB3810" s="15"/>
      <c r="AC3810" s="15"/>
      <c r="AD3810" s="15"/>
      <c r="AE3810" s="15"/>
      <c r="AF3810" s="15"/>
      <c r="AG3810" s="15"/>
    </row>
    <row r="3811" spans="1:33" s="16" customFormat="1" ht="7.5" customHeight="1" x14ac:dyDescent="0.25">
      <c r="A3811" s="213"/>
      <c r="B3811" s="188"/>
      <c r="C3811" s="198"/>
      <c r="D3811" s="188"/>
      <c r="E3811" s="188"/>
      <c r="F3811" s="188"/>
      <c r="G3811" s="188"/>
      <c r="H3811" s="188"/>
      <c r="I3811" s="15"/>
      <c r="J3811" s="15"/>
      <c r="K3811" s="15"/>
      <c r="L3811" s="15"/>
      <c r="M3811" s="15"/>
      <c r="N3811" s="15"/>
      <c r="O3811" s="15"/>
      <c r="P3811" s="15"/>
      <c r="Q3811" s="15"/>
      <c r="R3811" s="15"/>
      <c r="S3811" s="15"/>
      <c r="T3811" s="15"/>
      <c r="U3811" s="15"/>
      <c r="V3811" s="15"/>
      <c r="W3811" s="15"/>
      <c r="X3811" s="15"/>
      <c r="Y3811" s="15"/>
      <c r="Z3811" s="15"/>
      <c r="AA3811" s="15"/>
      <c r="AB3811" s="15"/>
      <c r="AC3811" s="15"/>
      <c r="AD3811" s="15"/>
      <c r="AE3811" s="15"/>
      <c r="AF3811" s="15"/>
      <c r="AG3811" s="15"/>
    </row>
    <row r="3812" spans="1:33" s="16" customFormat="1" ht="9.75" customHeight="1" x14ac:dyDescent="0.25">
      <c r="A3812" s="212"/>
      <c r="B3812" s="175"/>
      <c r="C3812" s="177"/>
      <c r="D3812" s="175"/>
      <c r="E3812" s="175"/>
      <c r="F3812" s="175"/>
      <c r="G3812" s="175"/>
      <c r="H3812" s="175"/>
      <c r="I3812" s="15"/>
      <c r="J3812" s="15"/>
      <c r="K3812" s="15"/>
      <c r="L3812" s="15"/>
      <c r="M3812" s="15"/>
      <c r="N3812" s="15"/>
      <c r="O3812" s="15"/>
      <c r="P3812" s="15"/>
      <c r="Q3812" s="15"/>
      <c r="R3812" s="15"/>
      <c r="S3812" s="15"/>
      <c r="T3812" s="15"/>
      <c r="U3812" s="15"/>
      <c r="V3812" s="15"/>
      <c r="W3812" s="15"/>
      <c r="X3812" s="15"/>
      <c r="Y3812" s="15"/>
      <c r="Z3812" s="15"/>
      <c r="AA3812" s="15"/>
      <c r="AB3812" s="15"/>
      <c r="AC3812" s="15"/>
      <c r="AD3812" s="15"/>
      <c r="AE3812" s="15"/>
      <c r="AF3812" s="15"/>
      <c r="AG3812" s="15"/>
    </row>
    <row r="3813" spans="1:33" s="16" customFormat="1" ht="16.5" customHeight="1" x14ac:dyDescent="0.25">
      <c r="A3813" s="44"/>
      <c r="B3813" s="11" t="s">
        <v>3</v>
      </c>
      <c r="C3813" s="12" t="s">
        <v>1102</v>
      </c>
      <c r="D3813" s="11">
        <v>2020</v>
      </c>
      <c r="E3813" s="11" t="s">
        <v>0</v>
      </c>
      <c r="F3813" s="11">
        <f>SUMIF($D$3816:$D$3818,$D$3813,$F$3816:$F$3818)</f>
        <v>395</v>
      </c>
      <c r="G3813" s="14">
        <f>SUMIF($D$3816:$D$3818,$D$3813,$G$3816:$G$3818)</f>
        <v>421.4</v>
      </c>
      <c r="H3813" s="14">
        <f>SUMIF($D$3816:$D$3818,$D$3813,$H$3816:$H$3818)</f>
        <v>646.08500000000004</v>
      </c>
      <c r="I3813" s="15"/>
      <c r="J3813" s="15"/>
      <c r="K3813" s="15"/>
      <c r="L3813" s="15"/>
      <c r="M3813" s="15"/>
      <c r="N3813" s="15"/>
      <c r="O3813" s="15"/>
      <c r="P3813" s="15"/>
      <c r="Q3813" s="15"/>
      <c r="R3813" s="15"/>
      <c r="S3813" s="15"/>
      <c r="T3813" s="15"/>
      <c r="U3813" s="15"/>
      <c r="V3813" s="15"/>
      <c r="W3813" s="15"/>
      <c r="X3813" s="15"/>
      <c r="Y3813" s="15"/>
      <c r="Z3813" s="15"/>
      <c r="AA3813" s="15"/>
      <c r="AB3813" s="15"/>
      <c r="AC3813" s="15"/>
      <c r="AD3813" s="15"/>
      <c r="AE3813" s="15"/>
      <c r="AF3813" s="15"/>
      <c r="AG3813" s="15"/>
    </row>
    <row r="3814" spans="1:33" s="26" customFormat="1" ht="16.5" customHeight="1" x14ac:dyDescent="0.25">
      <c r="A3814" s="18"/>
      <c r="B3814" s="11" t="s">
        <v>3</v>
      </c>
      <c r="C3814" s="12" t="s">
        <v>1102</v>
      </c>
      <c r="D3814" s="11">
        <v>2021</v>
      </c>
      <c r="E3814" s="11" t="s">
        <v>0</v>
      </c>
      <c r="F3814" s="11">
        <f>SUMIF($D$3816:$D$3818,$D$3814,$F$3816:$F$3818)</f>
        <v>0</v>
      </c>
      <c r="G3814" s="11">
        <f>SUMIF($D$3816:$D$3818,$D$3814,$G$3816:$G$3818)</f>
        <v>0</v>
      </c>
      <c r="H3814" s="11">
        <f>SUMIF($D$3816:$D$3818,$D$3814,$H$3816:$H$3818)</f>
        <v>0</v>
      </c>
      <c r="I3814" s="15"/>
      <c r="J3814" s="15"/>
      <c r="K3814" s="15"/>
      <c r="L3814" s="15"/>
      <c r="M3814" s="15"/>
      <c r="N3814" s="15"/>
      <c r="O3814" s="15"/>
      <c r="P3814" s="15"/>
      <c r="Q3814" s="15"/>
      <c r="R3814" s="15"/>
      <c r="S3814" s="15"/>
      <c r="T3814" s="15"/>
      <c r="U3814" s="15"/>
      <c r="V3814" s="15"/>
      <c r="W3814" s="15"/>
      <c r="X3814" s="15"/>
      <c r="Y3814" s="15"/>
      <c r="Z3814" s="15"/>
      <c r="AA3814" s="15"/>
      <c r="AB3814" s="15"/>
      <c r="AC3814" s="15"/>
      <c r="AD3814" s="15"/>
      <c r="AE3814" s="15"/>
      <c r="AF3814" s="15"/>
      <c r="AG3814" s="15"/>
    </row>
    <row r="3815" spans="1:33" s="26" customFormat="1" ht="15.75" x14ac:dyDescent="0.25">
      <c r="A3815" s="18"/>
      <c r="B3815" s="11" t="s">
        <v>3</v>
      </c>
      <c r="C3815" s="12" t="s">
        <v>3929</v>
      </c>
      <c r="D3815" s="11">
        <v>2022</v>
      </c>
      <c r="E3815" s="11" t="s">
        <v>0</v>
      </c>
      <c r="F3815" s="11">
        <f>SUMIF($D$3816:$D$3818,$D$3815,$F$3816:$F$3818)</f>
        <v>0</v>
      </c>
      <c r="G3815" s="11">
        <f>SUMIF($D$3816:$D$3818,$D$3815,$G$3816:$G$3818)</f>
        <v>0</v>
      </c>
      <c r="H3815" s="11">
        <f>SUMIF($D$3816:$D$3818,$D$3815,$H$3816:$H$3818)</f>
        <v>0</v>
      </c>
      <c r="I3815" s="15"/>
      <c r="J3815" s="15"/>
      <c r="K3815" s="15"/>
      <c r="L3815" s="15"/>
      <c r="M3815" s="15"/>
      <c r="N3815" s="15"/>
      <c r="O3815" s="15"/>
      <c r="P3815" s="15"/>
      <c r="Q3815" s="15"/>
      <c r="R3815" s="15"/>
      <c r="S3815" s="15"/>
      <c r="T3815" s="15"/>
      <c r="U3815" s="15"/>
      <c r="V3815" s="15"/>
      <c r="W3815" s="15"/>
      <c r="X3815" s="15"/>
      <c r="Y3815" s="15"/>
      <c r="Z3815" s="15"/>
      <c r="AA3815" s="15"/>
      <c r="AB3815" s="15"/>
      <c r="AC3815" s="15"/>
      <c r="AD3815" s="15"/>
      <c r="AE3815" s="15"/>
      <c r="AF3815" s="15"/>
      <c r="AG3815" s="15"/>
    </row>
    <row r="3816" spans="1:33" s="15" customFormat="1" ht="16.5" hidden="1" customHeight="1" outlineLevel="1" x14ac:dyDescent="0.25">
      <c r="A3816" s="18"/>
      <c r="B3816" s="4" t="s">
        <v>3</v>
      </c>
      <c r="C3816" s="38"/>
      <c r="D3816" s="4">
        <v>2022</v>
      </c>
      <c r="E3816" s="4" t="s">
        <v>0</v>
      </c>
      <c r="F3816" s="6"/>
      <c r="G3816" s="6"/>
      <c r="H3816" s="6"/>
    </row>
    <row r="3817" spans="1:33" s="16" customFormat="1" ht="78.75" hidden="1" outlineLevel="1" x14ac:dyDescent="0.25">
      <c r="A3817" s="18">
        <v>1435</v>
      </c>
      <c r="B3817" s="4" t="s">
        <v>3</v>
      </c>
      <c r="C3817" s="22" t="s">
        <v>4</v>
      </c>
      <c r="D3817" s="4">
        <v>2020</v>
      </c>
      <c r="E3817" s="4" t="s">
        <v>0</v>
      </c>
      <c r="F3817" s="4">
        <v>395</v>
      </c>
      <c r="G3817" s="42">
        <v>421.4</v>
      </c>
      <c r="H3817" s="42">
        <v>646.08500000000004</v>
      </c>
      <c r="I3817" s="15"/>
      <c r="J3817" s="15"/>
      <c r="K3817" s="15"/>
      <c r="L3817" s="15"/>
      <c r="M3817" s="15"/>
      <c r="N3817" s="15"/>
      <c r="O3817" s="15"/>
      <c r="P3817" s="15"/>
      <c r="Q3817" s="15"/>
      <c r="R3817" s="15"/>
      <c r="S3817" s="15"/>
      <c r="T3817" s="15"/>
      <c r="U3817" s="15"/>
      <c r="V3817" s="15"/>
      <c r="W3817" s="15"/>
      <c r="X3817" s="15"/>
      <c r="Y3817" s="15"/>
      <c r="Z3817" s="15"/>
      <c r="AA3817" s="15"/>
      <c r="AB3817" s="15"/>
      <c r="AC3817" s="15"/>
      <c r="AD3817" s="15"/>
      <c r="AE3817" s="15"/>
      <c r="AF3817" s="15"/>
      <c r="AG3817" s="15"/>
    </row>
    <row r="3818" spans="1:33" s="26" customFormat="1" ht="15.75" hidden="1" outlineLevel="1" x14ac:dyDescent="0.25">
      <c r="A3818" s="18"/>
      <c r="B3818" s="4" t="s">
        <v>3</v>
      </c>
      <c r="C3818" s="22"/>
      <c r="D3818" s="4">
        <v>2021</v>
      </c>
      <c r="E3818" s="4" t="s">
        <v>0</v>
      </c>
      <c r="F3818" s="4"/>
      <c r="G3818" s="42"/>
      <c r="H3818" s="42"/>
      <c r="I3818" s="15"/>
      <c r="J3818" s="15"/>
      <c r="K3818" s="15"/>
      <c r="L3818" s="15"/>
      <c r="M3818" s="15"/>
      <c r="N3818" s="15"/>
      <c r="O3818" s="15"/>
      <c r="P3818" s="15"/>
      <c r="Q3818" s="15"/>
      <c r="R3818" s="15"/>
      <c r="S3818" s="15"/>
      <c r="T3818" s="15"/>
      <c r="U3818" s="15"/>
      <c r="V3818" s="15"/>
      <c r="W3818" s="15"/>
      <c r="X3818" s="15"/>
      <c r="Y3818" s="15"/>
      <c r="Z3818" s="15"/>
      <c r="AA3818" s="15"/>
      <c r="AB3818" s="15"/>
      <c r="AC3818" s="15"/>
      <c r="AD3818" s="15"/>
      <c r="AE3818" s="15"/>
      <c r="AF3818" s="15"/>
      <c r="AG3818" s="15"/>
    </row>
    <row r="3819" spans="1:33" s="16" customFormat="1" ht="19.5" customHeight="1" collapsed="1" x14ac:dyDescent="0.25">
      <c r="A3819" s="214"/>
      <c r="B3819" s="178" t="s">
        <v>3211</v>
      </c>
      <c r="C3819" s="185" t="s">
        <v>3210</v>
      </c>
      <c r="D3819" s="178"/>
      <c r="E3819" s="178" t="s">
        <v>213</v>
      </c>
      <c r="F3819" s="178"/>
      <c r="G3819" s="178"/>
      <c r="H3819" s="178"/>
      <c r="I3819" s="15"/>
      <c r="J3819" s="15"/>
      <c r="K3819" s="15"/>
      <c r="L3819" s="15"/>
      <c r="M3819" s="15"/>
      <c r="N3819" s="15"/>
      <c r="O3819" s="15"/>
      <c r="P3819" s="15"/>
      <c r="Q3819" s="15"/>
      <c r="R3819" s="15"/>
      <c r="S3819" s="15"/>
      <c r="T3819" s="15"/>
      <c r="U3819" s="15"/>
      <c r="V3819" s="15"/>
      <c r="W3819" s="15"/>
      <c r="X3819" s="15"/>
      <c r="Y3819" s="15"/>
      <c r="Z3819" s="15"/>
      <c r="AA3819" s="15"/>
      <c r="AB3819" s="15"/>
      <c r="AC3819" s="15"/>
      <c r="AD3819" s="15"/>
      <c r="AE3819" s="15"/>
      <c r="AF3819" s="15"/>
      <c r="AG3819" s="15"/>
    </row>
    <row r="3820" spans="1:33" s="23" customFormat="1" ht="8.25" customHeight="1" x14ac:dyDescent="0.25">
      <c r="A3820" s="213"/>
      <c r="B3820" s="187"/>
      <c r="C3820" s="186"/>
      <c r="D3820" s="187"/>
      <c r="E3820" s="187" t="s">
        <v>213</v>
      </c>
      <c r="F3820" s="187"/>
      <c r="G3820" s="187"/>
      <c r="H3820" s="187"/>
      <c r="I3820" s="15"/>
      <c r="J3820" s="15"/>
      <c r="K3820" s="15"/>
      <c r="L3820" s="15"/>
      <c r="M3820" s="15"/>
      <c r="N3820" s="15"/>
      <c r="O3820" s="15"/>
      <c r="P3820" s="15"/>
      <c r="Q3820" s="15"/>
      <c r="R3820" s="15"/>
      <c r="S3820" s="15"/>
      <c r="T3820" s="15"/>
      <c r="U3820" s="15"/>
      <c r="V3820" s="15"/>
      <c r="W3820" s="15"/>
      <c r="X3820" s="15"/>
      <c r="Y3820" s="15"/>
      <c r="Z3820" s="15"/>
      <c r="AA3820" s="15"/>
      <c r="AB3820" s="15"/>
      <c r="AC3820" s="15"/>
      <c r="AD3820" s="15"/>
      <c r="AE3820" s="15"/>
      <c r="AF3820" s="15"/>
      <c r="AG3820" s="15"/>
    </row>
    <row r="3821" spans="1:33" s="23" customFormat="1" ht="15.75" x14ac:dyDescent="0.25">
      <c r="A3821" s="213"/>
      <c r="B3821" s="187"/>
      <c r="C3821" s="186"/>
      <c r="D3821" s="187"/>
      <c r="E3821" s="187"/>
      <c r="F3821" s="187"/>
      <c r="G3821" s="187"/>
      <c r="H3821" s="187"/>
      <c r="I3821" s="15"/>
      <c r="J3821" s="15"/>
      <c r="K3821" s="15"/>
      <c r="L3821" s="15"/>
      <c r="M3821" s="15"/>
      <c r="N3821" s="15"/>
      <c r="O3821" s="15"/>
      <c r="P3821" s="15"/>
      <c r="Q3821" s="15"/>
      <c r="R3821" s="15"/>
      <c r="S3821" s="15"/>
      <c r="T3821" s="15"/>
      <c r="U3821" s="15"/>
      <c r="V3821" s="15"/>
      <c r="W3821" s="15"/>
      <c r="X3821" s="15"/>
      <c r="Y3821" s="15"/>
      <c r="Z3821" s="15"/>
      <c r="AA3821" s="15"/>
      <c r="AB3821" s="15"/>
      <c r="AC3821" s="15"/>
      <c r="AD3821" s="15"/>
      <c r="AE3821" s="15"/>
      <c r="AF3821" s="15"/>
      <c r="AG3821" s="15"/>
    </row>
    <row r="3822" spans="1:33" s="23" customFormat="1" ht="3" customHeight="1" x14ac:dyDescent="0.25">
      <c r="A3822" s="212"/>
      <c r="B3822" s="179"/>
      <c r="C3822" s="181"/>
      <c r="D3822" s="179"/>
      <c r="E3822" s="179"/>
      <c r="F3822" s="179"/>
      <c r="G3822" s="179"/>
      <c r="H3822" s="179"/>
      <c r="I3822" s="15"/>
      <c r="J3822" s="15"/>
      <c r="K3822" s="15"/>
      <c r="L3822" s="15"/>
      <c r="M3822" s="15"/>
      <c r="N3822" s="15"/>
      <c r="O3822" s="15"/>
      <c r="P3822" s="15"/>
      <c r="Q3822" s="15"/>
      <c r="R3822" s="15"/>
      <c r="S3822" s="15"/>
      <c r="T3822" s="15"/>
      <c r="U3822" s="15"/>
      <c r="V3822" s="15"/>
      <c r="W3822" s="15"/>
      <c r="X3822" s="15"/>
      <c r="Y3822" s="15"/>
      <c r="Z3822" s="15"/>
      <c r="AA3822" s="15"/>
      <c r="AB3822" s="15"/>
      <c r="AC3822" s="15"/>
      <c r="AD3822" s="15"/>
      <c r="AE3822" s="15"/>
      <c r="AF3822" s="15"/>
      <c r="AG3822" s="15"/>
    </row>
    <row r="3823" spans="1:33" s="23" customFormat="1" ht="16.5" customHeight="1" x14ac:dyDescent="0.25">
      <c r="A3823" s="18"/>
      <c r="B3823" s="7" t="s">
        <v>3211</v>
      </c>
      <c r="C3823" s="8" t="s">
        <v>1102</v>
      </c>
      <c r="D3823" s="7">
        <v>2020</v>
      </c>
      <c r="E3823" s="7" t="s">
        <v>213</v>
      </c>
      <c r="F3823" s="7">
        <f>SUMIF($D$3826:$D$3829,$D$3823,$F$3826:$F$3829)</f>
        <v>112</v>
      </c>
      <c r="G3823" s="7">
        <f>SUMIF($D$3826:$D$3829,$D$3823,$G$3826:$G$3829)</f>
        <v>115</v>
      </c>
      <c r="H3823" s="10">
        <f>SUMIF($D$3826:$D$3829,$D$3823,$H$3826:$H$3829)</f>
        <v>497.63200000000001</v>
      </c>
      <c r="I3823" s="15"/>
      <c r="J3823" s="15"/>
      <c r="K3823" s="15"/>
      <c r="L3823" s="15"/>
      <c r="M3823" s="15"/>
      <c r="N3823" s="15"/>
      <c r="O3823" s="15"/>
      <c r="P3823" s="15"/>
      <c r="Q3823" s="15"/>
      <c r="R3823" s="15"/>
      <c r="S3823" s="15"/>
      <c r="T3823" s="15"/>
      <c r="U3823" s="15"/>
      <c r="V3823" s="15"/>
      <c r="W3823" s="15"/>
      <c r="X3823" s="15"/>
      <c r="Y3823" s="15"/>
      <c r="Z3823" s="15"/>
      <c r="AA3823" s="15"/>
      <c r="AB3823" s="15"/>
      <c r="AC3823" s="15"/>
      <c r="AD3823" s="15"/>
      <c r="AE3823" s="15"/>
      <c r="AF3823" s="15"/>
      <c r="AG3823" s="15"/>
    </row>
    <row r="3824" spans="1:33" s="26" customFormat="1" ht="16.5" customHeight="1" x14ac:dyDescent="0.25">
      <c r="A3824" s="18"/>
      <c r="B3824" s="7" t="s">
        <v>3211</v>
      </c>
      <c r="C3824" s="8" t="s">
        <v>1102</v>
      </c>
      <c r="D3824" s="7">
        <v>2021</v>
      </c>
      <c r="E3824" s="7" t="s">
        <v>213</v>
      </c>
      <c r="F3824" s="7">
        <f>SUMIF($D$3826:$D$3829,$D$3824,$F$3826:$F$3829)</f>
        <v>0</v>
      </c>
      <c r="G3824" s="7">
        <f>SUMIF($D$3826:$D$3829,$D$3824,$G$3826:$G$3829)</f>
        <v>0</v>
      </c>
      <c r="H3824" s="7">
        <f>SUMIF($D$3826:$D$3829,$D$3824,$H$3826:$H$3829)</f>
        <v>0</v>
      </c>
      <c r="I3824" s="15"/>
      <c r="J3824" s="15"/>
      <c r="K3824" s="15"/>
      <c r="L3824" s="15"/>
      <c r="M3824" s="15"/>
      <c r="N3824" s="15"/>
      <c r="O3824" s="15"/>
      <c r="P3824" s="15"/>
      <c r="Q3824" s="15"/>
      <c r="R3824" s="15"/>
      <c r="S3824" s="15"/>
      <c r="T3824" s="15"/>
      <c r="U3824" s="15"/>
      <c r="V3824" s="15"/>
      <c r="W3824" s="15"/>
      <c r="X3824" s="15"/>
      <c r="Y3824" s="15"/>
      <c r="Z3824" s="15"/>
      <c r="AA3824" s="15"/>
      <c r="AB3824" s="15"/>
      <c r="AC3824" s="15"/>
      <c r="AD3824" s="15"/>
      <c r="AE3824" s="15"/>
      <c r="AF3824" s="15"/>
      <c r="AG3824" s="15"/>
    </row>
    <row r="3825" spans="1:33" s="26" customFormat="1" ht="15.75" x14ac:dyDescent="0.25">
      <c r="A3825" s="18"/>
      <c r="B3825" s="7" t="s">
        <v>3211</v>
      </c>
      <c r="C3825" s="8" t="s">
        <v>3929</v>
      </c>
      <c r="D3825" s="7">
        <v>2022</v>
      </c>
      <c r="E3825" s="7" t="s">
        <v>213</v>
      </c>
      <c r="F3825" s="7">
        <f>SUMIF($D$3826:$D$3829,$D$3825,$F$3826:$F$3829)</f>
        <v>0</v>
      </c>
      <c r="G3825" s="7">
        <f>SUMIF($D$3826:$D$3829,$D$3825,$G$3826:$G$3829)</f>
        <v>0</v>
      </c>
      <c r="H3825" s="7">
        <f>SUMIF($D$3826:$D$3829,$D$3825,$H$3826:$H$3829)</f>
        <v>0</v>
      </c>
      <c r="I3825" s="15"/>
      <c r="J3825" s="15"/>
      <c r="K3825" s="15"/>
      <c r="L3825" s="15"/>
      <c r="M3825" s="15"/>
      <c r="N3825" s="15"/>
      <c r="O3825" s="15"/>
      <c r="P3825" s="15"/>
      <c r="Q3825" s="15"/>
      <c r="R3825" s="15"/>
      <c r="S3825" s="15"/>
      <c r="T3825" s="15"/>
      <c r="U3825" s="15"/>
      <c r="V3825" s="15"/>
      <c r="W3825" s="15"/>
      <c r="X3825" s="15"/>
      <c r="Y3825" s="15"/>
      <c r="Z3825" s="15"/>
      <c r="AA3825" s="15"/>
      <c r="AB3825" s="15"/>
      <c r="AC3825" s="15"/>
      <c r="AD3825" s="15"/>
      <c r="AE3825" s="15"/>
      <c r="AF3825" s="15"/>
      <c r="AG3825" s="15"/>
    </row>
    <row r="3826" spans="1:33" s="15" customFormat="1" ht="55.5" hidden="1" customHeight="1" outlineLevel="1" x14ac:dyDescent="0.25">
      <c r="A3826" s="18">
        <v>1652</v>
      </c>
      <c r="B3826" s="4" t="s">
        <v>3211</v>
      </c>
      <c r="C3826" s="38" t="s">
        <v>567</v>
      </c>
      <c r="D3826" s="4">
        <v>2020</v>
      </c>
      <c r="E3826" s="4" t="s">
        <v>213</v>
      </c>
      <c r="F3826" s="18">
        <v>47</v>
      </c>
      <c r="G3826" s="18">
        <v>15</v>
      </c>
      <c r="H3826" s="18">
        <v>127.63200000000001</v>
      </c>
    </row>
    <row r="3827" spans="1:33" s="15" customFormat="1" ht="41.25" hidden="1" customHeight="1" outlineLevel="1" x14ac:dyDescent="0.25">
      <c r="A3827" s="18">
        <v>1008</v>
      </c>
      <c r="B3827" s="4" t="s">
        <v>3211</v>
      </c>
      <c r="C3827" s="38" t="s">
        <v>298</v>
      </c>
      <c r="D3827" s="4">
        <v>2020</v>
      </c>
      <c r="E3827" s="4" t="s">
        <v>213</v>
      </c>
      <c r="F3827" s="18">
        <v>32</v>
      </c>
      <c r="G3827" s="18">
        <v>60</v>
      </c>
      <c r="H3827" s="18">
        <v>150</v>
      </c>
    </row>
    <row r="3828" spans="1:33" s="15" customFormat="1" ht="41.25" hidden="1" customHeight="1" outlineLevel="1" x14ac:dyDescent="0.25">
      <c r="A3828" s="18">
        <v>1618</v>
      </c>
      <c r="B3828" s="4" t="s">
        <v>3211</v>
      </c>
      <c r="C3828" s="38" t="s">
        <v>299</v>
      </c>
      <c r="D3828" s="4">
        <v>2020</v>
      </c>
      <c r="E3828" s="4" t="s">
        <v>213</v>
      </c>
      <c r="F3828" s="18">
        <v>33</v>
      </c>
      <c r="G3828" s="18">
        <v>40</v>
      </c>
      <c r="H3828" s="18">
        <v>220</v>
      </c>
    </row>
    <row r="3829" spans="1:33" s="15" customFormat="1" ht="15.75" hidden="1" outlineLevel="1" x14ac:dyDescent="0.25">
      <c r="A3829" s="18"/>
      <c r="B3829" s="4" t="s">
        <v>3211</v>
      </c>
      <c r="C3829" s="38"/>
      <c r="D3829" s="4">
        <v>2021</v>
      </c>
      <c r="E3829" s="4" t="s">
        <v>213</v>
      </c>
      <c r="F3829" s="18"/>
      <c r="G3829" s="18"/>
      <c r="H3829" s="18"/>
    </row>
    <row r="3830" spans="1:33" s="15" customFormat="1" ht="15.75" collapsed="1" x14ac:dyDescent="0.25">
      <c r="A3830" s="211"/>
      <c r="B3830" s="174" t="s">
        <v>2001</v>
      </c>
      <c r="C3830" s="189" t="s">
        <v>3212</v>
      </c>
      <c r="D3830" s="189"/>
      <c r="E3830" s="174" t="s">
        <v>213</v>
      </c>
      <c r="F3830" s="189"/>
      <c r="G3830" s="189"/>
      <c r="H3830" s="189"/>
    </row>
    <row r="3831" spans="1:33" s="23" customFormat="1" ht="15.75" x14ac:dyDescent="0.25">
      <c r="A3831" s="213"/>
      <c r="B3831" s="188"/>
      <c r="C3831" s="198"/>
      <c r="D3831" s="198"/>
      <c r="E3831" s="188"/>
      <c r="F3831" s="198"/>
      <c r="G3831" s="198"/>
      <c r="H3831" s="198"/>
      <c r="I3831" s="15"/>
      <c r="J3831" s="15"/>
      <c r="K3831" s="15"/>
      <c r="L3831" s="15"/>
      <c r="M3831" s="15"/>
      <c r="N3831" s="15"/>
      <c r="O3831" s="15"/>
      <c r="P3831" s="15"/>
      <c r="Q3831" s="15"/>
      <c r="R3831" s="15"/>
      <c r="S3831" s="15"/>
      <c r="T3831" s="15"/>
      <c r="U3831" s="15"/>
      <c r="V3831" s="15"/>
      <c r="W3831" s="15"/>
      <c r="X3831" s="15"/>
      <c r="Y3831" s="15"/>
      <c r="Z3831" s="15"/>
      <c r="AA3831" s="15"/>
      <c r="AB3831" s="15"/>
      <c r="AC3831" s="15"/>
      <c r="AD3831" s="15"/>
      <c r="AE3831" s="15"/>
      <c r="AF3831" s="15"/>
      <c r="AG3831" s="15"/>
    </row>
    <row r="3832" spans="1:33" s="23" customFormat="1" ht="10.5" customHeight="1" x14ac:dyDescent="0.25">
      <c r="A3832" s="212"/>
      <c r="B3832" s="188"/>
      <c r="C3832" s="198"/>
      <c r="D3832" s="198"/>
      <c r="E3832" s="188"/>
      <c r="F3832" s="198"/>
      <c r="G3832" s="198"/>
      <c r="H3832" s="198"/>
      <c r="I3832" s="15"/>
      <c r="J3832" s="15"/>
      <c r="K3832" s="15"/>
      <c r="L3832" s="15"/>
      <c r="M3832" s="15"/>
      <c r="N3832" s="15"/>
      <c r="O3832" s="15"/>
      <c r="P3832" s="15"/>
      <c r="Q3832" s="15"/>
      <c r="R3832" s="15"/>
      <c r="S3832" s="15"/>
      <c r="T3832" s="15"/>
      <c r="U3832" s="15"/>
      <c r="V3832" s="15"/>
      <c r="W3832" s="15"/>
      <c r="X3832" s="15"/>
      <c r="Y3832" s="15"/>
      <c r="Z3832" s="15"/>
      <c r="AA3832" s="15"/>
      <c r="AB3832" s="15"/>
      <c r="AC3832" s="15"/>
      <c r="AD3832" s="15"/>
      <c r="AE3832" s="15"/>
      <c r="AF3832" s="15"/>
      <c r="AG3832" s="15"/>
    </row>
    <row r="3833" spans="1:33" s="23" customFormat="1" ht="15.75" hidden="1" customHeight="1" x14ac:dyDescent="0.25">
      <c r="A3833" s="18"/>
      <c r="B3833" s="175"/>
      <c r="C3833" s="177"/>
      <c r="D3833" s="177"/>
      <c r="E3833" s="175"/>
      <c r="F3833" s="177"/>
      <c r="G3833" s="177"/>
      <c r="H3833" s="177"/>
      <c r="I3833" s="15"/>
      <c r="J3833" s="15"/>
      <c r="K3833" s="15"/>
      <c r="L3833" s="15"/>
      <c r="M3833" s="15"/>
      <c r="N3833" s="15"/>
      <c r="O3833" s="15"/>
      <c r="P3833" s="15"/>
      <c r="Q3833" s="15"/>
      <c r="R3833" s="15"/>
      <c r="S3833" s="15"/>
      <c r="T3833" s="15"/>
      <c r="U3833" s="15"/>
      <c r="V3833" s="15"/>
      <c r="W3833" s="15"/>
      <c r="X3833" s="15"/>
      <c r="Y3833" s="15"/>
      <c r="Z3833" s="15"/>
      <c r="AA3833" s="15"/>
      <c r="AB3833" s="15"/>
      <c r="AC3833" s="15"/>
      <c r="AD3833" s="15"/>
      <c r="AE3833" s="15"/>
      <c r="AF3833" s="15"/>
      <c r="AG3833" s="15"/>
    </row>
    <row r="3834" spans="1:33" s="15" customFormat="1" ht="15.75" customHeight="1" x14ac:dyDescent="0.25">
      <c r="A3834" s="18"/>
      <c r="B3834" s="11" t="s">
        <v>2001</v>
      </c>
      <c r="C3834" s="12" t="s">
        <v>1102</v>
      </c>
      <c r="D3834" s="11">
        <v>2020</v>
      </c>
      <c r="E3834" s="11" t="s">
        <v>213</v>
      </c>
      <c r="F3834" s="20">
        <v>0</v>
      </c>
      <c r="G3834" s="20">
        <v>0</v>
      </c>
      <c r="H3834" s="20">
        <v>0</v>
      </c>
    </row>
    <row r="3835" spans="1:33" s="15" customFormat="1" ht="16.5" customHeight="1" x14ac:dyDescent="0.25">
      <c r="A3835" s="18"/>
      <c r="B3835" s="11" t="s">
        <v>2001</v>
      </c>
      <c r="C3835" s="12" t="s">
        <v>1102</v>
      </c>
      <c r="D3835" s="11">
        <v>2021</v>
      </c>
      <c r="E3835" s="62" t="s">
        <v>213</v>
      </c>
      <c r="F3835" s="20">
        <f>SUMIF($D$3837:$D$3839,$D$3835,$F$3837:$F$3839)</f>
        <v>129</v>
      </c>
      <c r="G3835" s="20">
        <f>SUMIF($D$3837:$D$3839,$D$3835,$G$3837:$G$3839)</f>
        <v>160</v>
      </c>
      <c r="H3835" s="14">
        <f ca="1">SUMIF($D$3837:$H$3839,$D$3835,$H$3837:$H$3839)</f>
        <v>458.53017</v>
      </c>
    </row>
    <row r="3836" spans="1:33" s="15" customFormat="1" ht="15.75" x14ac:dyDescent="0.25">
      <c r="A3836" s="18"/>
      <c r="B3836" s="11" t="s">
        <v>2001</v>
      </c>
      <c r="C3836" s="12" t="s">
        <v>3929</v>
      </c>
      <c r="D3836" s="11">
        <v>2022</v>
      </c>
      <c r="E3836" s="62" t="s">
        <v>213</v>
      </c>
      <c r="F3836" s="20">
        <f ca="1">SUMIF($D$3837:$H$3839,$D$3836,$F$3837:$F$3839)</f>
        <v>0</v>
      </c>
      <c r="G3836" s="20">
        <f>SUMIF($D$3837:$D$3839,$D$3836,$G$3837:$G$3839)</f>
        <v>0</v>
      </c>
      <c r="H3836" s="20">
        <f ca="1">SUMIF($D$3837:$H$3839,$D$3836,$H$3837:$H$3839)</f>
        <v>0</v>
      </c>
    </row>
    <row r="3837" spans="1:33" s="15" customFormat="1" ht="15.75" hidden="1" outlineLevel="1" x14ac:dyDescent="0.25">
      <c r="A3837" s="18"/>
      <c r="B3837" s="4" t="s">
        <v>2001</v>
      </c>
      <c r="C3837" s="38"/>
      <c r="D3837" s="4">
        <v>2022</v>
      </c>
      <c r="E3837" s="4" t="s">
        <v>213</v>
      </c>
      <c r="F3837" s="18"/>
      <c r="G3837" s="18"/>
      <c r="H3837" s="18"/>
    </row>
    <row r="3838" spans="1:33" s="15" customFormat="1" ht="29.25" hidden="1" customHeight="1" outlineLevel="1" x14ac:dyDescent="0.25">
      <c r="A3838" s="45">
        <v>3749</v>
      </c>
      <c r="B3838" s="4" t="s">
        <v>2001</v>
      </c>
      <c r="C3838" s="38" t="s">
        <v>1295</v>
      </c>
      <c r="D3838" s="4">
        <v>2021</v>
      </c>
      <c r="E3838" s="4" t="s">
        <v>213</v>
      </c>
      <c r="F3838" s="18">
        <v>78</v>
      </c>
      <c r="G3838" s="18">
        <v>100</v>
      </c>
      <c r="H3838" s="18">
        <v>382.69968999999998</v>
      </c>
    </row>
    <row r="3839" spans="1:33" s="15" customFormat="1" ht="29.25" hidden="1" customHeight="1" outlineLevel="1" x14ac:dyDescent="0.25">
      <c r="A3839" s="46">
        <v>9679</v>
      </c>
      <c r="B3839" s="4" t="s">
        <v>2001</v>
      </c>
      <c r="C3839" s="38" t="s">
        <v>1297</v>
      </c>
      <c r="D3839" s="4">
        <v>2021</v>
      </c>
      <c r="E3839" s="4" t="s">
        <v>213</v>
      </c>
      <c r="F3839" s="18">
        <v>51</v>
      </c>
      <c r="G3839" s="18">
        <v>60</v>
      </c>
      <c r="H3839" s="18">
        <v>75.830479999999994</v>
      </c>
    </row>
    <row r="3840" spans="1:33" s="15" customFormat="1" ht="15.75" collapsed="1" x14ac:dyDescent="0.25">
      <c r="A3840" s="211"/>
      <c r="B3840" s="178" t="s">
        <v>228</v>
      </c>
      <c r="C3840" s="185" t="s">
        <v>3213</v>
      </c>
      <c r="D3840" s="178"/>
      <c r="E3840" s="178" t="s">
        <v>213</v>
      </c>
      <c r="F3840" s="178"/>
      <c r="G3840" s="178"/>
      <c r="H3840" s="178"/>
    </row>
    <row r="3841" spans="1:33" s="16" customFormat="1" ht="15" customHeight="1" x14ac:dyDescent="0.25">
      <c r="A3841" s="213"/>
      <c r="B3841" s="187"/>
      <c r="C3841" s="186"/>
      <c r="D3841" s="187"/>
      <c r="E3841" s="187" t="s">
        <v>213</v>
      </c>
      <c r="F3841" s="187"/>
      <c r="G3841" s="187"/>
      <c r="H3841" s="187"/>
      <c r="I3841" s="15"/>
      <c r="J3841" s="15"/>
      <c r="K3841" s="15"/>
      <c r="L3841" s="15"/>
      <c r="M3841" s="15"/>
      <c r="N3841" s="15"/>
      <c r="O3841" s="15"/>
      <c r="P3841" s="15"/>
      <c r="Q3841" s="15"/>
      <c r="R3841" s="15"/>
      <c r="S3841" s="15"/>
      <c r="T3841" s="15"/>
      <c r="U3841" s="15"/>
      <c r="V3841" s="15"/>
      <c r="W3841" s="15"/>
      <c r="X3841" s="15"/>
      <c r="Y3841" s="15"/>
      <c r="Z3841" s="15"/>
      <c r="AA3841" s="15"/>
      <c r="AB3841" s="15"/>
      <c r="AC3841" s="15"/>
      <c r="AD3841" s="15"/>
      <c r="AE3841" s="15"/>
      <c r="AF3841" s="15"/>
      <c r="AG3841" s="15"/>
    </row>
    <row r="3842" spans="1:33" s="16" customFormat="1" ht="15.75" customHeight="1" x14ac:dyDescent="0.25">
      <c r="A3842" s="212"/>
      <c r="B3842" s="187"/>
      <c r="C3842" s="186"/>
      <c r="D3842" s="187"/>
      <c r="E3842" s="187"/>
      <c r="F3842" s="187"/>
      <c r="G3842" s="187"/>
      <c r="H3842" s="187"/>
      <c r="I3842" s="15"/>
      <c r="J3842" s="15"/>
      <c r="K3842" s="15"/>
      <c r="L3842" s="15"/>
      <c r="M3842" s="15"/>
      <c r="N3842" s="15"/>
      <c r="O3842" s="15"/>
      <c r="P3842" s="15"/>
      <c r="Q3842" s="15"/>
      <c r="R3842" s="15"/>
      <c r="S3842" s="15"/>
      <c r="T3842" s="15"/>
      <c r="U3842" s="15"/>
      <c r="V3842" s="15"/>
      <c r="W3842" s="15"/>
      <c r="X3842" s="15"/>
      <c r="Y3842" s="15"/>
      <c r="Z3842" s="15"/>
      <c r="AA3842" s="15"/>
      <c r="AB3842" s="15"/>
      <c r="AC3842" s="15"/>
      <c r="AD3842" s="15"/>
      <c r="AE3842" s="15"/>
      <c r="AF3842" s="15"/>
      <c r="AG3842" s="15"/>
    </row>
    <row r="3843" spans="1:33" s="16" customFormat="1" ht="15.75" hidden="1" x14ac:dyDescent="0.25">
      <c r="A3843" s="44"/>
      <c r="B3843" s="179"/>
      <c r="C3843" s="181"/>
      <c r="D3843" s="179"/>
      <c r="E3843" s="179"/>
      <c r="F3843" s="179"/>
      <c r="G3843" s="179"/>
      <c r="H3843" s="179"/>
      <c r="I3843" s="15"/>
      <c r="J3843" s="15"/>
      <c r="K3843" s="15"/>
      <c r="L3843" s="15"/>
      <c r="M3843" s="15"/>
      <c r="N3843" s="15"/>
      <c r="O3843" s="15"/>
      <c r="P3843" s="15"/>
      <c r="Q3843" s="15"/>
      <c r="R3843" s="15"/>
      <c r="S3843" s="15"/>
      <c r="T3843" s="15"/>
      <c r="U3843" s="15"/>
      <c r="V3843" s="15"/>
      <c r="W3843" s="15"/>
      <c r="X3843" s="15"/>
      <c r="Y3843" s="15"/>
      <c r="Z3843" s="15"/>
      <c r="AA3843" s="15"/>
      <c r="AB3843" s="15"/>
      <c r="AC3843" s="15"/>
      <c r="AD3843" s="15"/>
      <c r="AE3843" s="15"/>
      <c r="AF3843" s="15"/>
      <c r="AG3843" s="15"/>
    </row>
    <row r="3844" spans="1:33" s="16" customFormat="1" ht="16.5" customHeight="1" x14ac:dyDescent="0.25">
      <c r="A3844" s="44"/>
      <c r="B3844" s="7" t="s">
        <v>228</v>
      </c>
      <c r="C3844" s="8" t="s">
        <v>1102</v>
      </c>
      <c r="D3844" s="7">
        <v>2020</v>
      </c>
      <c r="E3844" s="7" t="s">
        <v>213</v>
      </c>
      <c r="F3844" s="7">
        <f>SUMIF($D$3847:$D$3852,$D$3844,$F$3847:$F$3852)</f>
        <v>10</v>
      </c>
      <c r="G3844" s="7">
        <f>SUMIF($D$3847:$D$3852,$D$3844,$G$3847:$G$3852)</f>
        <v>150</v>
      </c>
      <c r="H3844" s="10">
        <f>SUMIF($D$3847:$D$3852,$D$3844,$H$3847:$H$3852)</f>
        <v>81.711179999999999</v>
      </c>
      <c r="I3844" s="15"/>
      <c r="J3844" s="15"/>
      <c r="K3844" s="15"/>
      <c r="L3844" s="15"/>
      <c r="M3844" s="15"/>
      <c r="N3844" s="15"/>
      <c r="O3844" s="15"/>
      <c r="P3844" s="15"/>
      <c r="Q3844" s="15"/>
      <c r="R3844" s="15"/>
      <c r="S3844" s="15"/>
      <c r="T3844" s="15"/>
      <c r="U3844" s="15"/>
      <c r="V3844" s="15"/>
      <c r="W3844" s="15"/>
      <c r="X3844" s="15"/>
      <c r="Y3844" s="15"/>
      <c r="Z3844" s="15"/>
      <c r="AA3844" s="15"/>
      <c r="AB3844" s="15"/>
      <c r="AC3844" s="15"/>
      <c r="AD3844" s="15"/>
      <c r="AE3844" s="15"/>
      <c r="AF3844" s="15"/>
      <c r="AG3844" s="15"/>
    </row>
    <row r="3845" spans="1:33" s="26" customFormat="1" ht="16.5" customHeight="1" x14ac:dyDescent="0.25">
      <c r="A3845" s="18"/>
      <c r="B3845" s="7" t="s">
        <v>228</v>
      </c>
      <c r="C3845" s="8" t="s">
        <v>1102</v>
      </c>
      <c r="D3845" s="7">
        <v>2021</v>
      </c>
      <c r="E3845" s="7" t="s">
        <v>213</v>
      </c>
      <c r="F3845" s="7">
        <f>SUMIF($D$3847:$D$3852,$D$3845,$F$3847:$F$3852)</f>
        <v>2223</v>
      </c>
      <c r="G3845" s="7">
        <f>SUMIF($D$3847:$D$3852,$D$3845,$G$3847:$G$3852)</f>
        <v>1350</v>
      </c>
      <c r="H3845" s="10">
        <f>SUMIF($D$3847:$D$3852,$D$3845,$H$3847:$H$3852)</f>
        <v>8222.4025999999994</v>
      </c>
      <c r="I3845" s="15"/>
      <c r="J3845" s="15"/>
      <c r="K3845" s="15"/>
      <c r="L3845" s="15"/>
      <c r="M3845" s="15"/>
      <c r="N3845" s="15"/>
      <c r="O3845" s="15"/>
      <c r="P3845" s="15"/>
      <c r="Q3845" s="15"/>
      <c r="R3845" s="15"/>
      <c r="S3845" s="15"/>
      <c r="T3845" s="15"/>
      <c r="U3845" s="15"/>
      <c r="V3845" s="15"/>
      <c r="W3845" s="15"/>
      <c r="X3845" s="15"/>
      <c r="Y3845" s="15"/>
      <c r="Z3845" s="15"/>
      <c r="AA3845" s="15"/>
      <c r="AB3845" s="15"/>
      <c r="AC3845" s="15"/>
      <c r="AD3845" s="15"/>
      <c r="AE3845" s="15"/>
      <c r="AF3845" s="15"/>
      <c r="AG3845" s="15"/>
    </row>
    <row r="3846" spans="1:33" s="26" customFormat="1" ht="15.75" x14ac:dyDescent="0.25">
      <c r="A3846" s="18"/>
      <c r="B3846" s="7" t="s">
        <v>228</v>
      </c>
      <c r="C3846" s="8" t="s">
        <v>1102</v>
      </c>
      <c r="D3846" s="7">
        <v>2022</v>
      </c>
      <c r="E3846" s="7" t="s">
        <v>213</v>
      </c>
      <c r="F3846" s="7">
        <f>SUMIF($D$3847:$D$3852,$D$3846,$F$3847:$F$3852)</f>
        <v>106</v>
      </c>
      <c r="G3846" s="7">
        <f>SUMIF($D$3847:$D$3852,$D$3846,$G$3847:$G$3852)</f>
        <v>2147</v>
      </c>
      <c r="H3846" s="10">
        <f>SUMIF($D$3847:$D$3852,$D$3846,$H$3847:$H$3852)</f>
        <v>460.18099999999998</v>
      </c>
      <c r="I3846" s="15"/>
      <c r="J3846" s="15"/>
      <c r="K3846" s="15"/>
      <c r="L3846" s="15"/>
      <c r="M3846" s="15"/>
      <c r="N3846" s="15"/>
      <c r="O3846" s="15"/>
      <c r="P3846" s="15"/>
      <c r="Q3846" s="15"/>
      <c r="R3846" s="15"/>
      <c r="S3846" s="15"/>
      <c r="T3846" s="15"/>
      <c r="U3846" s="15"/>
      <c r="V3846" s="15"/>
      <c r="W3846" s="15"/>
      <c r="X3846" s="15"/>
      <c r="Y3846" s="15"/>
      <c r="Z3846" s="15"/>
      <c r="AA3846" s="15"/>
      <c r="AB3846" s="15"/>
      <c r="AC3846" s="15"/>
      <c r="AD3846" s="15"/>
      <c r="AE3846" s="15"/>
      <c r="AF3846" s="15"/>
      <c r="AG3846" s="15"/>
    </row>
    <row r="3847" spans="1:33" s="26" customFormat="1" ht="110.25" hidden="1" outlineLevel="1" x14ac:dyDescent="0.25">
      <c r="A3847" s="18">
        <v>3000</v>
      </c>
      <c r="B3847" s="4" t="s">
        <v>228</v>
      </c>
      <c r="C3847" s="38" t="s">
        <v>4051</v>
      </c>
      <c r="D3847" s="4">
        <v>2022</v>
      </c>
      <c r="E3847" s="4" t="s">
        <v>213</v>
      </c>
      <c r="F3847" s="4">
        <v>36</v>
      </c>
      <c r="G3847" s="4">
        <v>147</v>
      </c>
      <c r="H3847" s="42">
        <v>104.181</v>
      </c>
      <c r="I3847" s="15"/>
      <c r="J3847" s="15"/>
      <c r="K3847" s="15"/>
      <c r="L3847" s="15"/>
      <c r="M3847" s="15"/>
      <c r="N3847" s="15"/>
      <c r="O3847" s="15"/>
      <c r="P3847" s="15"/>
      <c r="Q3847" s="15"/>
      <c r="R3847" s="15"/>
      <c r="S3847" s="15"/>
      <c r="T3847" s="15"/>
      <c r="U3847" s="15"/>
      <c r="V3847" s="15"/>
      <c r="W3847" s="15"/>
      <c r="X3847" s="15"/>
      <c r="Y3847" s="15"/>
      <c r="Z3847" s="15"/>
      <c r="AA3847" s="15"/>
      <c r="AB3847" s="15"/>
      <c r="AC3847" s="15"/>
      <c r="AD3847" s="15"/>
      <c r="AE3847" s="15"/>
      <c r="AF3847" s="15"/>
      <c r="AG3847" s="15"/>
    </row>
    <row r="3848" spans="1:33" s="26" customFormat="1" ht="94.5" hidden="1" outlineLevel="1" x14ac:dyDescent="0.25">
      <c r="A3848" s="18">
        <v>4550</v>
      </c>
      <c r="B3848" s="4" t="s">
        <v>228</v>
      </c>
      <c r="C3848" s="38" t="s">
        <v>4228</v>
      </c>
      <c r="D3848" s="4">
        <v>2022</v>
      </c>
      <c r="E3848" s="4" t="s">
        <v>213</v>
      </c>
      <c r="F3848" s="4">
        <v>70</v>
      </c>
      <c r="G3848" s="4">
        <v>2000</v>
      </c>
      <c r="H3848" s="42">
        <v>356</v>
      </c>
      <c r="I3848" s="15"/>
      <c r="J3848" s="15"/>
      <c r="K3848" s="15"/>
      <c r="L3848" s="15"/>
      <c r="M3848" s="15"/>
      <c r="N3848" s="15"/>
      <c r="O3848" s="15"/>
      <c r="P3848" s="15"/>
      <c r="Q3848" s="15"/>
      <c r="R3848" s="15"/>
      <c r="S3848" s="15"/>
      <c r="T3848" s="15"/>
      <c r="U3848" s="15"/>
      <c r="V3848" s="15"/>
      <c r="W3848" s="15"/>
      <c r="X3848" s="15"/>
      <c r="Y3848" s="15"/>
      <c r="Z3848" s="15"/>
      <c r="AA3848" s="15"/>
      <c r="AB3848" s="15"/>
      <c r="AC3848" s="15"/>
      <c r="AD3848" s="15"/>
      <c r="AE3848" s="15"/>
      <c r="AF3848" s="15"/>
      <c r="AG3848" s="15"/>
    </row>
    <row r="3849" spans="1:33" s="15" customFormat="1" ht="23.25" hidden="1" customHeight="1" outlineLevel="1" x14ac:dyDescent="0.25">
      <c r="A3849" s="18" t="s">
        <v>1111</v>
      </c>
      <c r="B3849" s="4" t="s">
        <v>228</v>
      </c>
      <c r="C3849" s="22" t="s">
        <v>59</v>
      </c>
      <c r="D3849" s="4">
        <v>2020</v>
      </c>
      <c r="E3849" s="4" t="s">
        <v>213</v>
      </c>
      <c r="F3849" s="4">
        <v>10</v>
      </c>
      <c r="G3849" s="42">
        <v>150</v>
      </c>
      <c r="H3849" s="42">
        <v>81.711179999999999</v>
      </c>
    </row>
    <row r="3850" spans="1:33" s="15" customFormat="1" ht="23.25" hidden="1" customHeight="1" outlineLevel="1" x14ac:dyDescent="0.25">
      <c r="A3850" s="48">
        <v>9579</v>
      </c>
      <c r="B3850" s="4" t="s">
        <v>228</v>
      </c>
      <c r="C3850" s="22" t="s">
        <v>2002</v>
      </c>
      <c r="D3850" s="4">
        <v>2021</v>
      </c>
      <c r="E3850" s="4" t="s">
        <v>213</v>
      </c>
      <c r="F3850" s="4">
        <v>1128</v>
      </c>
      <c r="G3850" s="42">
        <v>150</v>
      </c>
      <c r="H3850" s="42">
        <v>6349</v>
      </c>
    </row>
    <row r="3851" spans="1:33" s="15" customFormat="1" ht="23.25" hidden="1" customHeight="1" outlineLevel="1" x14ac:dyDescent="0.25">
      <c r="A3851" s="46">
        <v>9669</v>
      </c>
      <c r="B3851" s="4" t="s">
        <v>228</v>
      </c>
      <c r="C3851" s="22" t="s">
        <v>2000</v>
      </c>
      <c r="D3851" s="4">
        <v>2021</v>
      </c>
      <c r="E3851" s="4" t="s">
        <v>213</v>
      </c>
      <c r="F3851" s="4">
        <v>865</v>
      </c>
      <c r="G3851" s="42">
        <v>750</v>
      </c>
      <c r="H3851" s="42">
        <v>1262</v>
      </c>
    </row>
    <row r="3852" spans="1:33" s="15" customFormat="1" ht="23.25" hidden="1" customHeight="1" outlineLevel="1" x14ac:dyDescent="0.25">
      <c r="A3852" s="46">
        <v>9615</v>
      </c>
      <c r="B3852" s="4" t="s">
        <v>228</v>
      </c>
      <c r="C3852" s="22" t="s">
        <v>2003</v>
      </c>
      <c r="D3852" s="4">
        <v>2021</v>
      </c>
      <c r="E3852" s="4" t="s">
        <v>213</v>
      </c>
      <c r="F3852" s="4">
        <v>230</v>
      </c>
      <c r="G3852" s="42">
        <v>450</v>
      </c>
      <c r="H3852" s="42">
        <v>611.40260000000001</v>
      </c>
    </row>
    <row r="3853" spans="1:33" s="15" customFormat="1" ht="27.75" customHeight="1" collapsed="1" x14ac:dyDescent="0.25">
      <c r="A3853" s="18"/>
      <c r="B3853" s="6"/>
      <c r="C3853" s="126" t="s">
        <v>9154</v>
      </c>
      <c r="D3853" s="18"/>
      <c r="E3853" s="18"/>
      <c r="F3853" s="18"/>
      <c r="G3853" s="18"/>
      <c r="H3853" s="18"/>
    </row>
    <row r="3854" spans="1:33" s="16" customFormat="1" ht="15.75" x14ac:dyDescent="0.25">
      <c r="A3854" s="214"/>
      <c r="B3854" s="174" t="s">
        <v>5</v>
      </c>
      <c r="C3854" s="189" t="s">
        <v>3214</v>
      </c>
      <c r="D3854" s="174"/>
      <c r="E3854" s="174" t="s">
        <v>0</v>
      </c>
      <c r="F3854" s="174"/>
      <c r="G3854" s="174"/>
      <c r="H3854" s="174"/>
      <c r="I3854" s="15"/>
      <c r="J3854" s="15"/>
      <c r="K3854" s="15"/>
      <c r="L3854" s="15"/>
      <c r="M3854" s="15"/>
      <c r="N3854" s="15"/>
      <c r="O3854" s="15"/>
      <c r="P3854" s="15"/>
      <c r="Q3854" s="15"/>
      <c r="R3854" s="15"/>
      <c r="S3854" s="15"/>
      <c r="T3854" s="15"/>
      <c r="U3854" s="15"/>
      <c r="V3854" s="15"/>
      <c r="W3854" s="15"/>
      <c r="X3854" s="15"/>
      <c r="Y3854" s="15"/>
      <c r="Z3854" s="15"/>
      <c r="AA3854" s="15"/>
      <c r="AB3854" s="15"/>
      <c r="AC3854" s="15"/>
      <c r="AD3854" s="15"/>
      <c r="AE3854" s="15"/>
      <c r="AF3854" s="15"/>
      <c r="AG3854" s="15"/>
    </row>
    <row r="3855" spans="1:33" s="16" customFormat="1" ht="15.75" x14ac:dyDescent="0.25">
      <c r="A3855" s="213"/>
      <c r="B3855" s="188"/>
      <c r="C3855" s="198"/>
      <c r="D3855" s="188"/>
      <c r="E3855" s="188" t="s">
        <v>0</v>
      </c>
      <c r="F3855" s="188"/>
      <c r="G3855" s="188"/>
      <c r="H3855" s="188"/>
      <c r="I3855" s="15"/>
      <c r="J3855" s="15"/>
      <c r="K3855" s="15"/>
      <c r="L3855" s="15"/>
      <c r="M3855" s="15"/>
      <c r="N3855" s="15"/>
      <c r="O3855" s="15"/>
      <c r="P3855" s="15"/>
      <c r="Q3855" s="15"/>
      <c r="R3855" s="15"/>
      <c r="S3855" s="15"/>
      <c r="T3855" s="15"/>
      <c r="U3855" s="15"/>
      <c r="V3855" s="15"/>
      <c r="W3855" s="15"/>
      <c r="X3855" s="15"/>
      <c r="Y3855" s="15"/>
      <c r="Z3855" s="15"/>
      <c r="AA3855" s="15"/>
      <c r="AB3855" s="15"/>
      <c r="AC3855" s="15"/>
      <c r="AD3855" s="15"/>
      <c r="AE3855" s="15"/>
      <c r="AF3855" s="15"/>
      <c r="AG3855" s="15"/>
    </row>
    <row r="3856" spans="1:33" s="16" customFormat="1" ht="15.75" x14ac:dyDescent="0.25">
      <c r="A3856" s="213"/>
      <c r="B3856" s="188"/>
      <c r="C3856" s="198"/>
      <c r="D3856" s="188"/>
      <c r="E3856" s="188"/>
      <c r="F3856" s="188"/>
      <c r="G3856" s="188"/>
      <c r="H3856" s="188"/>
      <c r="I3856" s="15"/>
      <c r="J3856" s="15"/>
      <c r="K3856" s="15"/>
      <c r="L3856" s="15"/>
      <c r="M3856" s="15"/>
      <c r="N3856" s="15"/>
      <c r="O3856" s="15"/>
      <c r="P3856" s="15"/>
      <c r="Q3856" s="15"/>
      <c r="R3856" s="15"/>
      <c r="S3856" s="15"/>
      <c r="T3856" s="15"/>
      <c r="U3856" s="15"/>
      <c r="V3856" s="15"/>
      <c r="W3856" s="15"/>
      <c r="X3856" s="15"/>
      <c r="Y3856" s="15"/>
      <c r="Z3856" s="15"/>
      <c r="AA3856" s="15"/>
      <c r="AB3856" s="15"/>
      <c r="AC3856" s="15"/>
      <c r="AD3856" s="15"/>
      <c r="AE3856" s="15"/>
      <c r="AF3856" s="15"/>
      <c r="AG3856" s="15"/>
    </row>
    <row r="3857" spans="1:33" s="16" customFormat="1" ht="1.5" customHeight="1" x14ac:dyDescent="0.25">
      <c r="A3857" s="212"/>
      <c r="B3857" s="175"/>
      <c r="C3857" s="177"/>
      <c r="D3857" s="175"/>
      <c r="E3857" s="175"/>
      <c r="F3857" s="175"/>
      <c r="G3857" s="175"/>
      <c r="H3857" s="175"/>
      <c r="I3857" s="15"/>
      <c r="J3857" s="15"/>
      <c r="K3857" s="15"/>
      <c r="L3857" s="15"/>
      <c r="M3857" s="15"/>
      <c r="N3857" s="15"/>
      <c r="O3857" s="15"/>
      <c r="P3857" s="15"/>
      <c r="Q3857" s="15"/>
      <c r="R3857" s="15"/>
      <c r="S3857" s="15"/>
      <c r="T3857" s="15"/>
      <c r="U3857" s="15"/>
      <c r="V3857" s="15"/>
      <c r="W3857" s="15"/>
      <c r="X3857" s="15"/>
      <c r="Y3857" s="15"/>
      <c r="Z3857" s="15"/>
      <c r="AA3857" s="15"/>
      <c r="AB3857" s="15"/>
      <c r="AC3857" s="15"/>
      <c r="AD3857" s="15"/>
      <c r="AE3857" s="15"/>
      <c r="AF3857" s="15"/>
      <c r="AG3857" s="15"/>
    </row>
    <row r="3858" spans="1:33" s="16" customFormat="1" ht="16.5" customHeight="1" x14ac:dyDescent="0.25">
      <c r="A3858" s="18"/>
      <c r="B3858" s="11" t="s">
        <v>5</v>
      </c>
      <c r="C3858" s="12" t="s">
        <v>1102</v>
      </c>
      <c r="D3858" s="11">
        <v>2020</v>
      </c>
      <c r="E3858" s="11" t="s">
        <v>0</v>
      </c>
      <c r="F3858" s="11">
        <f>SUMIF($D$3861:$D$3862,$D$3858,$F$3861:$F$3862)</f>
        <v>108</v>
      </c>
      <c r="G3858" s="11">
        <f>SUMIF($D$3861:$D$3862,$D$3858,$G$3861:$G$3862)</f>
        <v>125</v>
      </c>
      <c r="H3858" s="14">
        <f>SUMIF($D$3861:$D$3862,$D$3858,$H$3861:$H$3862)</f>
        <v>1139.44211</v>
      </c>
      <c r="I3858" s="15"/>
      <c r="J3858" s="15"/>
      <c r="K3858" s="15"/>
      <c r="L3858" s="15"/>
      <c r="M3858" s="15"/>
      <c r="N3858" s="15"/>
      <c r="O3858" s="15"/>
      <c r="P3858" s="15"/>
      <c r="Q3858" s="15"/>
      <c r="R3858" s="15"/>
      <c r="S3858" s="15"/>
      <c r="T3858" s="15"/>
      <c r="U3858" s="15"/>
      <c r="V3858" s="15"/>
      <c r="W3858" s="15"/>
      <c r="X3858" s="15"/>
      <c r="Y3858" s="15"/>
      <c r="Z3858" s="15"/>
      <c r="AA3858" s="15"/>
      <c r="AB3858" s="15"/>
      <c r="AC3858" s="15"/>
      <c r="AD3858" s="15"/>
      <c r="AE3858" s="15"/>
      <c r="AF3858" s="15"/>
      <c r="AG3858" s="15"/>
    </row>
    <row r="3859" spans="1:33" s="26" customFormat="1" ht="16.5" customHeight="1" x14ac:dyDescent="0.25">
      <c r="A3859" s="18"/>
      <c r="B3859" s="11" t="s">
        <v>5</v>
      </c>
      <c r="C3859" s="12" t="s">
        <v>1102</v>
      </c>
      <c r="D3859" s="11">
        <v>2021</v>
      </c>
      <c r="E3859" s="11" t="s">
        <v>0</v>
      </c>
      <c r="F3859" s="11">
        <f>SUMIF($D$3861:$D$3862,$D$3859,$F$3861:$F$3862)</f>
        <v>0</v>
      </c>
      <c r="G3859" s="11">
        <f>SUMIF($D$3861:$D$3862,$D$3859,$G$3861:$G$3862)</f>
        <v>0</v>
      </c>
      <c r="H3859" s="11">
        <f>SUMIF($D$3861:$D$3862,$D$3860,$H$3861:$H$3862)</f>
        <v>0</v>
      </c>
      <c r="I3859" s="15"/>
      <c r="J3859" s="15"/>
      <c r="K3859" s="15"/>
      <c r="L3859" s="15"/>
      <c r="M3859" s="15"/>
      <c r="N3859" s="15"/>
      <c r="O3859" s="15"/>
      <c r="P3859" s="15"/>
      <c r="Q3859" s="15"/>
      <c r="R3859" s="15"/>
      <c r="S3859" s="15"/>
      <c r="T3859" s="15"/>
      <c r="U3859" s="15"/>
      <c r="V3859" s="15"/>
      <c r="W3859" s="15"/>
      <c r="X3859" s="15"/>
      <c r="Y3859" s="15"/>
      <c r="Z3859" s="15"/>
      <c r="AA3859" s="15"/>
      <c r="AB3859" s="15"/>
      <c r="AC3859" s="15"/>
      <c r="AD3859" s="15"/>
      <c r="AE3859" s="15"/>
      <c r="AF3859" s="15"/>
      <c r="AG3859" s="15"/>
    </row>
    <row r="3860" spans="1:33" s="15" customFormat="1" ht="15.75" x14ac:dyDescent="0.25">
      <c r="A3860" s="18"/>
      <c r="B3860" s="11" t="s">
        <v>5</v>
      </c>
      <c r="C3860" s="12" t="s">
        <v>3929</v>
      </c>
      <c r="D3860" s="11">
        <v>2022</v>
      </c>
      <c r="E3860" s="11" t="s">
        <v>0</v>
      </c>
      <c r="F3860" s="11">
        <f>SUMIF($D$3861:$D$3862,$D$3860,$F$3861:$F$3862)</f>
        <v>0</v>
      </c>
      <c r="G3860" s="11">
        <f>SUMIF($D$3861:$D$3862,$D$3860,$G$3861:$G$3862)</f>
        <v>0</v>
      </c>
      <c r="H3860" s="11">
        <f>SUMIF($D$3861:$D$3862,$D$3860,$H$3861:$H$3862)</f>
        <v>0</v>
      </c>
    </row>
    <row r="3861" spans="1:33" s="15" customFormat="1" ht="63" hidden="1" outlineLevel="1" x14ac:dyDescent="0.25">
      <c r="A3861" s="18">
        <v>1706</v>
      </c>
      <c r="B3861" s="4" t="s">
        <v>5</v>
      </c>
      <c r="C3861" s="22" t="s">
        <v>6</v>
      </c>
      <c r="D3861" s="4">
        <v>2020</v>
      </c>
      <c r="E3861" s="4" t="s">
        <v>0</v>
      </c>
      <c r="F3861" s="4">
        <v>108</v>
      </c>
      <c r="G3861" s="42">
        <v>125</v>
      </c>
      <c r="H3861" s="42">
        <v>1139.44211</v>
      </c>
    </row>
    <row r="3862" spans="1:33" s="15" customFormat="1" ht="15.75" hidden="1" outlineLevel="1" x14ac:dyDescent="0.25">
      <c r="A3862" s="18"/>
      <c r="B3862" s="4" t="s">
        <v>5</v>
      </c>
      <c r="C3862" s="22"/>
      <c r="D3862" s="4">
        <v>2021</v>
      </c>
      <c r="E3862" s="4" t="s">
        <v>0</v>
      </c>
      <c r="F3862" s="4"/>
      <c r="G3862" s="42"/>
      <c r="H3862" s="42"/>
    </row>
    <row r="3863" spans="1:33" s="15" customFormat="1" ht="25.5" customHeight="1" collapsed="1" x14ac:dyDescent="0.25">
      <c r="A3863" s="18"/>
      <c r="B3863" s="6"/>
      <c r="C3863" s="126" t="s">
        <v>9155</v>
      </c>
      <c r="D3863" s="18"/>
      <c r="E3863" s="18"/>
      <c r="F3863" s="18"/>
      <c r="G3863" s="18"/>
      <c r="H3863" s="18"/>
    </row>
    <row r="3864" spans="1:33" s="16" customFormat="1" ht="15.75" x14ac:dyDescent="0.25">
      <c r="A3864" s="214"/>
      <c r="B3864" s="178" t="s">
        <v>7</v>
      </c>
      <c r="C3864" s="185" t="s">
        <v>3215</v>
      </c>
      <c r="D3864" s="178"/>
      <c r="E3864" s="178" t="s">
        <v>0</v>
      </c>
      <c r="F3864" s="178"/>
      <c r="G3864" s="178"/>
      <c r="H3864" s="178"/>
      <c r="I3864" s="15"/>
      <c r="J3864" s="15"/>
      <c r="K3864" s="15"/>
      <c r="L3864" s="15"/>
      <c r="M3864" s="15"/>
      <c r="N3864" s="15"/>
      <c r="O3864" s="15"/>
      <c r="P3864" s="15"/>
      <c r="Q3864" s="15"/>
      <c r="R3864" s="15"/>
      <c r="S3864" s="15"/>
      <c r="T3864" s="15"/>
      <c r="U3864" s="15"/>
      <c r="V3864" s="15"/>
      <c r="W3864" s="15"/>
      <c r="X3864" s="15"/>
      <c r="Y3864" s="15"/>
      <c r="Z3864" s="15"/>
      <c r="AA3864" s="15"/>
      <c r="AB3864" s="15"/>
      <c r="AC3864" s="15"/>
      <c r="AD3864" s="15"/>
      <c r="AE3864" s="15"/>
      <c r="AF3864" s="15"/>
      <c r="AG3864" s="15"/>
    </row>
    <row r="3865" spans="1:33" s="15" customFormat="1" ht="15.75" x14ac:dyDescent="0.25">
      <c r="A3865" s="213"/>
      <c r="B3865" s="187"/>
      <c r="C3865" s="186"/>
      <c r="D3865" s="187"/>
      <c r="E3865" s="187"/>
      <c r="F3865" s="187"/>
      <c r="G3865" s="187"/>
      <c r="H3865" s="187"/>
    </row>
    <row r="3866" spans="1:33" s="16" customFormat="1" ht="11.25" customHeight="1" x14ac:dyDescent="0.25">
      <c r="A3866" s="213"/>
      <c r="B3866" s="187"/>
      <c r="C3866" s="186"/>
      <c r="D3866" s="187"/>
      <c r="E3866" s="187" t="s">
        <v>0</v>
      </c>
      <c r="F3866" s="187"/>
      <c r="G3866" s="187"/>
      <c r="H3866" s="187"/>
      <c r="I3866" s="15"/>
      <c r="J3866" s="15"/>
      <c r="K3866" s="15"/>
      <c r="L3866" s="15"/>
      <c r="M3866" s="15"/>
      <c r="N3866" s="15"/>
      <c r="O3866" s="15"/>
      <c r="P3866" s="15"/>
      <c r="Q3866" s="15"/>
      <c r="R3866" s="15"/>
      <c r="S3866" s="15"/>
      <c r="T3866" s="15"/>
      <c r="U3866" s="15"/>
      <c r="V3866" s="15"/>
      <c r="W3866" s="15"/>
      <c r="X3866" s="15"/>
      <c r="Y3866" s="15"/>
      <c r="Z3866" s="15"/>
      <c r="AA3866" s="15"/>
      <c r="AB3866" s="15"/>
      <c r="AC3866" s="15"/>
      <c r="AD3866" s="15"/>
      <c r="AE3866" s="15"/>
      <c r="AF3866" s="15"/>
      <c r="AG3866" s="15"/>
    </row>
    <row r="3867" spans="1:33" s="16" customFormat="1" ht="3.75" customHeight="1" x14ac:dyDescent="0.25">
      <c r="A3867" s="212"/>
      <c r="B3867" s="187"/>
      <c r="C3867" s="186"/>
      <c r="D3867" s="187"/>
      <c r="E3867" s="187"/>
      <c r="F3867" s="187"/>
      <c r="G3867" s="187"/>
      <c r="H3867" s="187"/>
      <c r="I3867" s="15"/>
      <c r="J3867" s="15"/>
      <c r="K3867" s="15"/>
      <c r="L3867" s="15"/>
      <c r="M3867" s="15"/>
      <c r="N3867" s="15"/>
      <c r="O3867" s="15"/>
      <c r="P3867" s="15"/>
      <c r="Q3867" s="15"/>
      <c r="R3867" s="15"/>
      <c r="S3867" s="15"/>
      <c r="T3867" s="15"/>
      <c r="U3867" s="15"/>
      <c r="V3867" s="15"/>
      <c r="W3867" s="15"/>
      <c r="X3867" s="15"/>
      <c r="Y3867" s="15"/>
      <c r="Z3867" s="15"/>
      <c r="AA3867" s="15"/>
      <c r="AB3867" s="15"/>
      <c r="AC3867" s="15"/>
      <c r="AD3867" s="15"/>
      <c r="AE3867" s="15"/>
      <c r="AF3867" s="15"/>
      <c r="AG3867" s="15"/>
    </row>
    <row r="3868" spans="1:33" s="16" customFormat="1" ht="15.75" hidden="1" x14ac:dyDescent="0.25">
      <c r="A3868" s="44"/>
      <c r="B3868" s="179"/>
      <c r="C3868" s="181"/>
      <c r="D3868" s="179"/>
      <c r="E3868" s="179"/>
      <c r="F3868" s="179"/>
      <c r="G3868" s="179"/>
      <c r="H3868" s="179"/>
      <c r="I3868" s="15"/>
      <c r="J3868" s="15"/>
      <c r="K3868" s="15"/>
      <c r="L3868" s="15"/>
      <c r="M3868" s="15"/>
      <c r="N3868" s="15"/>
      <c r="O3868" s="15"/>
      <c r="P3868" s="15"/>
      <c r="Q3868" s="15"/>
      <c r="R3868" s="15"/>
      <c r="S3868" s="15"/>
      <c r="T3868" s="15"/>
      <c r="U3868" s="15"/>
      <c r="V3868" s="15"/>
      <c r="W3868" s="15"/>
      <c r="X3868" s="15"/>
      <c r="Y3868" s="15"/>
      <c r="Z3868" s="15"/>
      <c r="AA3868" s="15"/>
      <c r="AB3868" s="15"/>
      <c r="AC3868" s="15"/>
      <c r="AD3868" s="15"/>
      <c r="AE3868" s="15"/>
      <c r="AF3868" s="15"/>
      <c r="AG3868" s="15"/>
    </row>
    <row r="3869" spans="1:33" s="16" customFormat="1" ht="16.5" customHeight="1" x14ac:dyDescent="0.25">
      <c r="A3869" s="18"/>
      <c r="B3869" s="7" t="s">
        <v>7</v>
      </c>
      <c r="C3869" s="8" t="s">
        <v>1102</v>
      </c>
      <c r="D3869" s="7">
        <v>2020</v>
      </c>
      <c r="E3869" s="7" t="s">
        <v>0</v>
      </c>
      <c r="F3869" s="7">
        <f>SUMIF($D$3872:$D$3874,$D$3869,$F$3872:$F$3874)</f>
        <v>31</v>
      </c>
      <c r="G3869" s="7">
        <f>SUMIF($D$3872:$D$3874,$D$3869,$G$3872:$G$3874)</f>
        <v>150</v>
      </c>
      <c r="H3869" s="10">
        <f>SUMIF($D$3872:$D$3874,$D$3869,$H$3872:$H$3874)</f>
        <v>137.02578</v>
      </c>
      <c r="I3869" s="15"/>
      <c r="J3869" s="15"/>
      <c r="K3869" s="15"/>
      <c r="L3869" s="15"/>
      <c r="M3869" s="15"/>
      <c r="N3869" s="15"/>
      <c r="O3869" s="15"/>
      <c r="P3869" s="15"/>
      <c r="Q3869" s="15"/>
      <c r="R3869" s="15"/>
      <c r="S3869" s="15"/>
      <c r="T3869" s="15"/>
      <c r="U3869" s="15"/>
      <c r="V3869" s="15"/>
      <c r="W3869" s="15"/>
      <c r="X3869" s="15"/>
      <c r="Y3869" s="15"/>
      <c r="Z3869" s="15"/>
      <c r="AA3869" s="15"/>
      <c r="AB3869" s="15"/>
      <c r="AC3869" s="15"/>
      <c r="AD3869" s="15"/>
      <c r="AE3869" s="15"/>
      <c r="AF3869" s="15"/>
      <c r="AG3869" s="15"/>
    </row>
    <row r="3870" spans="1:33" s="26" customFormat="1" ht="16.5" customHeight="1" x14ac:dyDescent="0.25">
      <c r="A3870" s="18"/>
      <c r="B3870" s="7" t="s">
        <v>7</v>
      </c>
      <c r="C3870" s="8" t="s">
        <v>1102</v>
      </c>
      <c r="D3870" s="7">
        <v>2021</v>
      </c>
      <c r="E3870" s="7" t="s">
        <v>0</v>
      </c>
      <c r="F3870" s="7">
        <f>SUMIF($D$3872:$D$3874,$D$3870,$F$3872:$F$3874)</f>
        <v>30</v>
      </c>
      <c r="G3870" s="7">
        <f>SUMIF($D$3872:$D$3874,$D$3870,$G$3872:$G$3874)</f>
        <v>67</v>
      </c>
      <c r="H3870" s="7">
        <f>SUMIF($D$3872:$D$3874,$D$3870,$H$3872:$H$3874)</f>
        <v>37</v>
      </c>
      <c r="I3870" s="15"/>
      <c r="J3870" s="15"/>
      <c r="K3870" s="15"/>
      <c r="L3870" s="15"/>
      <c r="M3870" s="15"/>
      <c r="N3870" s="15"/>
      <c r="O3870" s="15"/>
      <c r="P3870" s="15"/>
      <c r="Q3870" s="15"/>
      <c r="R3870" s="15"/>
      <c r="S3870" s="15"/>
      <c r="T3870" s="15"/>
      <c r="U3870" s="15"/>
      <c r="V3870" s="15"/>
      <c r="W3870" s="15"/>
      <c r="X3870" s="15"/>
      <c r="Y3870" s="15"/>
      <c r="Z3870" s="15"/>
      <c r="AA3870" s="15"/>
      <c r="AB3870" s="15"/>
      <c r="AC3870" s="15"/>
      <c r="AD3870" s="15"/>
      <c r="AE3870" s="15"/>
      <c r="AF3870" s="15"/>
      <c r="AG3870" s="15"/>
    </row>
    <row r="3871" spans="1:33" s="26" customFormat="1" ht="15.75" x14ac:dyDescent="0.25">
      <c r="A3871" s="18"/>
      <c r="B3871" s="7" t="s">
        <v>7</v>
      </c>
      <c r="C3871" s="8" t="s">
        <v>1102</v>
      </c>
      <c r="D3871" s="7">
        <v>2022</v>
      </c>
      <c r="E3871" s="7" t="s">
        <v>0</v>
      </c>
      <c r="F3871" s="7">
        <f>SUMIF($D$3872:$D$3874,$D$3871,$F$3872:$F$3874)</f>
        <v>0</v>
      </c>
      <c r="G3871" s="7">
        <f>SUMIF($D$3872:$D$3874,$D$3871,$G$3872:$G$3874)</f>
        <v>0</v>
      </c>
      <c r="H3871" s="7">
        <f>SUMIF($D$3872:$D$3874,$D$3871,$H$3872:$H$3874)</f>
        <v>0</v>
      </c>
      <c r="I3871" s="15"/>
      <c r="J3871" s="15"/>
      <c r="K3871" s="15"/>
      <c r="L3871" s="15"/>
      <c r="M3871" s="15"/>
      <c r="N3871" s="15"/>
      <c r="O3871" s="15"/>
      <c r="P3871" s="15"/>
      <c r="Q3871" s="15"/>
      <c r="R3871" s="15"/>
      <c r="S3871" s="15"/>
      <c r="T3871" s="15"/>
      <c r="U3871" s="15"/>
      <c r="V3871" s="15"/>
      <c r="W3871" s="15"/>
      <c r="X3871" s="15"/>
      <c r="Y3871" s="15"/>
      <c r="Z3871" s="15"/>
      <c r="AA3871" s="15"/>
      <c r="AB3871" s="15"/>
      <c r="AC3871" s="15"/>
      <c r="AD3871" s="15"/>
      <c r="AE3871" s="15"/>
      <c r="AF3871" s="15"/>
      <c r="AG3871" s="15"/>
    </row>
    <row r="3872" spans="1:33" s="15" customFormat="1" ht="16.5" hidden="1" customHeight="1" outlineLevel="1" x14ac:dyDescent="0.25">
      <c r="A3872" s="18"/>
      <c r="B3872" s="4" t="s">
        <v>7</v>
      </c>
      <c r="C3872" s="38"/>
      <c r="D3872" s="4">
        <v>2022</v>
      </c>
      <c r="E3872" s="4" t="s">
        <v>0</v>
      </c>
      <c r="F3872" s="4"/>
      <c r="G3872" s="4"/>
      <c r="H3872" s="4"/>
    </row>
    <row r="3873" spans="1:33" s="15" customFormat="1" ht="30.75" hidden="1" customHeight="1" outlineLevel="1" x14ac:dyDescent="0.25">
      <c r="A3873" s="18">
        <v>109</v>
      </c>
      <c r="B3873" s="4" t="s">
        <v>7</v>
      </c>
      <c r="C3873" s="22" t="s">
        <v>8</v>
      </c>
      <c r="D3873" s="4">
        <v>2020</v>
      </c>
      <c r="E3873" s="4" t="s">
        <v>0</v>
      </c>
      <c r="F3873" s="4">
        <v>31</v>
      </c>
      <c r="G3873" s="42">
        <v>150</v>
      </c>
      <c r="H3873" s="42">
        <v>137.02578</v>
      </c>
    </row>
    <row r="3874" spans="1:33" s="15" customFormat="1" ht="94.5" hidden="1" outlineLevel="1" x14ac:dyDescent="0.25">
      <c r="A3874" s="18">
        <v>9283</v>
      </c>
      <c r="B3874" s="4" t="s">
        <v>7</v>
      </c>
      <c r="C3874" s="22" t="s">
        <v>1553</v>
      </c>
      <c r="D3874" s="4">
        <v>2021</v>
      </c>
      <c r="E3874" s="18" t="s">
        <v>0</v>
      </c>
      <c r="F3874" s="4">
        <v>30</v>
      </c>
      <c r="G3874" s="42">
        <v>67</v>
      </c>
      <c r="H3874" s="42">
        <v>37</v>
      </c>
    </row>
    <row r="3875" spans="1:33" s="15" customFormat="1" ht="15.75" collapsed="1" x14ac:dyDescent="0.25">
      <c r="A3875" s="211"/>
      <c r="B3875" s="174" t="s">
        <v>7</v>
      </c>
      <c r="C3875" s="189" t="s">
        <v>3215</v>
      </c>
      <c r="D3875" s="174"/>
      <c r="E3875" s="174" t="s">
        <v>213</v>
      </c>
      <c r="F3875" s="174"/>
      <c r="G3875" s="174"/>
      <c r="H3875" s="174"/>
    </row>
    <row r="3876" spans="1:33" s="16" customFormat="1" ht="8.25" customHeight="1" x14ac:dyDescent="0.25">
      <c r="A3876" s="213"/>
      <c r="B3876" s="188"/>
      <c r="C3876" s="198"/>
      <c r="D3876" s="188"/>
      <c r="E3876" s="188" t="s">
        <v>213</v>
      </c>
      <c r="F3876" s="188"/>
      <c r="G3876" s="188"/>
      <c r="H3876" s="188"/>
      <c r="I3876" s="15"/>
      <c r="J3876" s="15"/>
      <c r="K3876" s="15"/>
      <c r="L3876" s="15"/>
      <c r="M3876" s="15"/>
      <c r="N3876" s="15"/>
      <c r="O3876" s="15"/>
      <c r="P3876" s="15"/>
      <c r="Q3876" s="15"/>
      <c r="R3876" s="15"/>
      <c r="S3876" s="15"/>
      <c r="T3876" s="15"/>
      <c r="U3876" s="15"/>
      <c r="V3876" s="15"/>
      <c r="W3876" s="15"/>
      <c r="X3876" s="15"/>
      <c r="Y3876" s="15"/>
      <c r="Z3876" s="15"/>
      <c r="AA3876" s="15"/>
      <c r="AB3876" s="15"/>
      <c r="AC3876" s="15"/>
      <c r="AD3876" s="15"/>
      <c r="AE3876" s="15"/>
      <c r="AF3876" s="15"/>
      <c r="AG3876" s="15"/>
    </row>
    <row r="3877" spans="1:33" s="16" customFormat="1" ht="11.25" customHeight="1" x14ac:dyDescent="0.25">
      <c r="A3877" s="213"/>
      <c r="B3877" s="188"/>
      <c r="C3877" s="198"/>
      <c r="D3877" s="188"/>
      <c r="E3877" s="188"/>
      <c r="F3877" s="188"/>
      <c r="G3877" s="188"/>
      <c r="H3877" s="188"/>
      <c r="I3877" s="15"/>
      <c r="J3877" s="15"/>
      <c r="K3877" s="15"/>
      <c r="L3877" s="15"/>
      <c r="M3877" s="15"/>
      <c r="N3877" s="15"/>
      <c r="O3877" s="15"/>
      <c r="P3877" s="15"/>
      <c r="Q3877" s="15"/>
      <c r="R3877" s="15"/>
      <c r="S3877" s="15"/>
      <c r="T3877" s="15"/>
      <c r="U3877" s="15"/>
      <c r="V3877" s="15"/>
      <c r="W3877" s="15"/>
      <c r="X3877" s="15"/>
      <c r="Y3877" s="15"/>
      <c r="Z3877" s="15"/>
      <c r="AA3877" s="15"/>
      <c r="AB3877" s="15"/>
      <c r="AC3877" s="15"/>
      <c r="AD3877" s="15"/>
      <c r="AE3877" s="15"/>
      <c r="AF3877" s="15"/>
      <c r="AG3877" s="15"/>
    </row>
    <row r="3878" spans="1:33" s="16" customFormat="1" ht="15.75" x14ac:dyDescent="0.25">
      <c r="A3878" s="212"/>
      <c r="B3878" s="175"/>
      <c r="C3878" s="177"/>
      <c r="D3878" s="175"/>
      <c r="E3878" s="175"/>
      <c r="F3878" s="175"/>
      <c r="G3878" s="175"/>
      <c r="H3878" s="175"/>
      <c r="I3878" s="15"/>
      <c r="J3878" s="15"/>
      <c r="K3878" s="15"/>
      <c r="L3878" s="15"/>
      <c r="M3878" s="15"/>
      <c r="N3878" s="15"/>
      <c r="O3878" s="15"/>
      <c r="P3878" s="15"/>
      <c r="Q3878" s="15"/>
      <c r="R3878" s="15"/>
      <c r="S3878" s="15"/>
      <c r="T3878" s="15"/>
      <c r="U3878" s="15"/>
      <c r="V3878" s="15"/>
      <c r="W3878" s="15"/>
      <c r="X3878" s="15"/>
      <c r="Y3878" s="15"/>
      <c r="Z3878" s="15"/>
      <c r="AA3878" s="15"/>
      <c r="AB3878" s="15"/>
      <c r="AC3878" s="15"/>
      <c r="AD3878" s="15"/>
      <c r="AE3878" s="15"/>
      <c r="AF3878" s="15"/>
      <c r="AG3878" s="15"/>
    </row>
    <row r="3879" spans="1:33" s="16" customFormat="1" ht="16.5" customHeight="1" x14ac:dyDescent="0.25">
      <c r="A3879" s="44"/>
      <c r="B3879" s="11" t="s">
        <v>7</v>
      </c>
      <c r="C3879" s="12" t="s">
        <v>1102</v>
      </c>
      <c r="D3879" s="11">
        <v>2020</v>
      </c>
      <c r="E3879" s="11" t="s">
        <v>213</v>
      </c>
      <c r="F3879" s="11">
        <f>SUMIF($D$3882:$D$3884,$D$3879,$F$3882:$F$3884)</f>
        <v>46</v>
      </c>
      <c r="G3879" s="11">
        <f>SUMIF($D$3882:$D$3884,$D$3879,$G$3882:$G$3884)</f>
        <v>150</v>
      </c>
      <c r="H3879" s="14">
        <f>SUMIF($D$3882:$D$3884,$D$3879,$H$3882:$H$3884)</f>
        <v>186.85334</v>
      </c>
      <c r="I3879" s="15"/>
      <c r="J3879" s="15"/>
      <c r="K3879" s="15"/>
      <c r="L3879" s="15"/>
      <c r="M3879" s="15"/>
      <c r="N3879" s="15"/>
      <c r="O3879" s="15"/>
      <c r="P3879" s="15"/>
      <c r="Q3879" s="15"/>
      <c r="R3879" s="15"/>
      <c r="S3879" s="15"/>
      <c r="T3879" s="15"/>
      <c r="U3879" s="15"/>
      <c r="V3879" s="15"/>
      <c r="W3879" s="15"/>
      <c r="X3879" s="15"/>
      <c r="Y3879" s="15"/>
      <c r="Z3879" s="15"/>
      <c r="AA3879" s="15"/>
      <c r="AB3879" s="15"/>
      <c r="AC3879" s="15"/>
      <c r="AD3879" s="15"/>
      <c r="AE3879" s="15"/>
      <c r="AF3879" s="15"/>
      <c r="AG3879" s="15"/>
    </row>
    <row r="3880" spans="1:33" s="26" customFormat="1" ht="16.5" customHeight="1" x14ac:dyDescent="0.25">
      <c r="A3880" s="18"/>
      <c r="B3880" s="11" t="s">
        <v>7</v>
      </c>
      <c r="C3880" s="12" t="s">
        <v>1102</v>
      </c>
      <c r="D3880" s="11">
        <v>2021</v>
      </c>
      <c r="E3880" s="11" t="s">
        <v>213</v>
      </c>
      <c r="F3880" s="11">
        <f>SUMIF($D$3882:$D$3884,$D$3880,$F$3882:$F$3884)</f>
        <v>0</v>
      </c>
      <c r="G3880" s="11">
        <f>SUMIF($D$3882:$D$3884,$D$3880,$G$3882:$G$3884)</f>
        <v>0</v>
      </c>
      <c r="H3880" s="11">
        <f>SUMIF($D$3882:$D$3884,$D$3880,$H$3882:$H$3884)</f>
        <v>0</v>
      </c>
      <c r="I3880" s="15"/>
      <c r="J3880" s="15"/>
      <c r="K3880" s="15"/>
      <c r="L3880" s="15"/>
      <c r="M3880" s="15"/>
      <c r="N3880" s="15"/>
      <c r="O3880" s="15"/>
      <c r="P3880" s="15"/>
      <c r="Q3880" s="15"/>
      <c r="R3880" s="15"/>
      <c r="S3880" s="15"/>
      <c r="T3880" s="15"/>
      <c r="U3880" s="15"/>
      <c r="V3880" s="15"/>
      <c r="W3880" s="15"/>
      <c r="X3880" s="15"/>
      <c r="Y3880" s="15"/>
      <c r="Z3880" s="15"/>
      <c r="AA3880" s="15"/>
      <c r="AB3880" s="15"/>
      <c r="AC3880" s="15"/>
      <c r="AD3880" s="15"/>
      <c r="AE3880" s="15"/>
      <c r="AF3880" s="15"/>
      <c r="AG3880" s="15"/>
    </row>
    <row r="3881" spans="1:33" s="26" customFormat="1" ht="15.75" x14ac:dyDescent="0.25">
      <c r="A3881" s="18"/>
      <c r="B3881" s="11" t="s">
        <v>7</v>
      </c>
      <c r="C3881" s="12" t="s">
        <v>1102</v>
      </c>
      <c r="D3881" s="11">
        <v>2022</v>
      </c>
      <c r="E3881" s="11" t="s">
        <v>213</v>
      </c>
      <c r="F3881" s="11">
        <f>SUMIF($D$3882:$D$3884,$D$3881,$F$3882:$F$3884)</f>
        <v>140</v>
      </c>
      <c r="G3881" s="11">
        <f>SUMIF($D$3882:$D$3884,$D$3881,$G$3882:$G$3884)</f>
        <v>0</v>
      </c>
      <c r="H3881" s="11">
        <f>SUMIF($D$3882:$D$3884,$D$3881,$H$3882:$H$3884)</f>
        <v>684</v>
      </c>
      <c r="I3881" s="15"/>
      <c r="J3881" s="15"/>
      <c r="K3881" s="15"/>
      <c r="L3881" s="15"/>
      <c r="M3881" s="15"/>
      <c r="N3881" s="15"/>
      <c r="O3881" s="15"/>
      <c r="P3881" s="15"/>
      <c r="Q3881" s="15"/>
      <c r="R3881" s="15"/>
      <c r="S3881" s="15"/>
      <c r="T3881" s="15"/>
      <c r="U3881" s="15"/>
      <c r="V3881" s="15"/>
      <c r="W3881" s="15"/>
      <c r="X3881" s="15"/>
      <c r="Y3881" s="15"/>
      <c r="Z3881" s="15"/>
      <c r="AA3881" s="15"/>
      <c r="AB3881" s="15"/>
      <c r="AC3881" s="15"/>
      <c r="AD3881" s="15"/>
      <c r="AE3881" s="15"/>
      <c r="AF3881" s="15"/>
      <c r="AG3881" s="15"/>
    </row>
    <row r="3882" spans="1:33" s="15" customFormat="1" ht="94.5" hidden="1" outlineLevel="1" x14ac:dyDescent="0.25">
      <c r="A3882" s="18">
        <v>4745</v>
      </c>
      <c r="B3882" s="4" t="s">
        <v>7</v>
      </c>
      <c r="C3882" s="38" t="s">
        <v>3972</v>
      </c>
      <c r="D3882" s="4">
        <v>2022</v>
      </c>
      <c r="E3882" s="4" t="s">
        <v>213</v>
      </c>
      <c r="F3882" s="4">
        <v>140</v>
      </c>
      <c r="G3882" s="4" t="s">
        <v>1896</v>
      </c>
      <c r="H3882" s="4">
        <v>684</v>
      </c>
    </row>
    <row r="3883" spans="1:33" s="15" customFormat="1" ht="74.25" hidden="1" customHeight="1" outlineLevel="1" x14ac:dyDescent="0.25">
      <c r="A3883" s="18">
        <v>109</v>
      </c>
      <c r="B3883" s="4" t="s">
        <v>7</v>
      </c>
      <c r="C3883" s="22" t="s">
        <v>8</v>
      </c>
      <c r="D3883" s="4">
        <v>2020</v>
      </c>
      <c r="E3883" s="4" t="s">
        <v>213</v>
      </c>
      <c r="F3883" s="4">
        <v>46</v>
      </c>
      <c r="G3883" s="4">
        <v>150</v>
      </c>
      <c r="H3883" s="42">
        <v>186.85334</v>
      </c>
    </row>
    <row r="3884" spans="1:33" s="15" customFormat="1" ht="15.75" hidden="1" outlineLevel="1" x14ac:dyDescent="0.25">
      <c r="A3884" s="18"/>
      <c r="B3884" s="4" t="s">
        <v>7</v>
      </c>
      <c r="C3884" s="22"/>
      <c r="D3884" s="4">
        <v>2021</v>
      </c>
      <c r="E3884" s="4" t="s">
        <v>213</v>
      </c>
      <c r="F3884" s="4"/>
      <c r="G3884" s="4"/>
      <c r="H3884" s="42"/>
    </row>
    <row r="3885" spans="1:33" s="16" customFormat="1" ht="27" customHeight="1" collapsed="1" x14ac:dyDescent="0.25">
      <c r="A3885" s="44"/>
      <c r="B3885" s="6"/>
      <c r="C3885" s="126" t="s">
        <v>3216</v>
      </c>
      <c r="D3885" s="18"/>
      <c r="E3885" s="18"/>
      <c r="F3885" s="18"/>
      <c r="G3885" s="18"/>
      <c r="H3885" s="18"/>
      <c r="I3885" s="15"/>
      <c r="J3885" s="15"/>
      <c r="K3885" s="15"/>
      <c r="L3885" s="15"/>
      <c r="M3885" s="15"/>
      <c r="N3885" s="15"/>
      <c r="O3885" s="15"/>
      <c r="P3885" s="15"/>
      <c r="Q3885" s="15"/>
      <c r="R3885" s="15"/>
      <c r="S3885" s="15"/>
      <c r="T3885" s="15"/>
      <c r="U3885" s="15"/>
      <c r="V3885" s="15"/>
      <c r="W3885" s="15"/>
      <c r="X3885" s="15"/>
      <c r="Y3885" s="15"/>
      <c r="Z3885" s="15"/>
      <c r="AA3885" s="15"/>
      <c r="AB3885" s="15"/>
      <c r="AC3885" s="15"/>
      <c r="AD3885" s="15"/>
      <c r="AE3885" s="15"/>
      <c r="AF3885" s="15"/>
      <c r="AG3885" s="15"/>
    </row>
    <row r="3886" spans="1:33" s="16" customFormat="1" ht="63" x14ac:dyDescent="0.25">
      <c r="A3886" s="44"/>
      <c r="B3886" s="63" t="s">
        <v>1084</v>
      </c>
      <c r="C3886" s="64" t="s">
        <v>3217</v>
      </c>
      <c r="D3886" s="65"/>
      <c r="E3886" s="66" t="s">
        <v>213</v>
      </c>
      <c r="F3886" s="65"/>
      <c r="G3886" s="65"/>
      <c r="H3886" s="65"/>
      <c r="I3886" s="15"/>
      <c r="J3886" s="15"/>
      <c r="K3886" s="15"/>
      <c r="L3886" s="15"/>
      <c r="M3886" s="15"/>
      <c r="N3886" s="15"/>
      <c r="O3886" s="15"/>
      <c r="P3886" s="15"/>
      <c r="Q3886" s="15"/>
      <c r="R3886" s="15"/>
      <c r="S3886" s="15"/>
      <c r="T3886" s="15"/>
      <c r="U3886" s="15"/>
      <c r="V3886" s="15"/>
      <c r="W3886" s="15"/>
      <c r="X3886" s="15"/>
      <c r="Y3886" s="15"/>
      <c r="Z3886" s="15"/>
      <c r="AA3886" s="15"/>
      <c r="AB3886" s="15"/>
      <c r="AC3886" s="15"/>
      <c r="AD3886" s="15"/>
      <c r="AE3886" s="15"/>
      <c r="AF3886" s="15"/>
      <c r="AG3886" s="15"/>
    </row>
    <row r="3887" spans="1:33" s="16" customFormat="1" ht="16.5" customHeight="1" x14ac:dyDescent="0.25">
      <c r="A3887" s="18"/>
      <c r="B3887" s="7" t="s">
        <v>1084</v>
      </c>
      <c r="C3887" s="8" t="s">
        <v>1102</v>
      </c>
      <c r="D3887" s="7">
        <v>2020</v>
      </c>
      <c r="E3887" s="7" t="s">
        <v>213</v>
      </c>
      <c r="F3887" s="7">
        <f>SUMIF($D$3890:$D$3893,$D$3887,$F$3890:$F$3893)</f>
        <v>3554</v>
      </c>
      <c r="G3887" s="10">
        <f>SUMIF($D$3890:$D$3893,$D$3887,$G$3890:$G$3893)</f>
        <v>5109.6000000000004</v>
      </c>
      <c r="H3887" s="10">
        <f>SUMIF($D$3890:$D$3893,$D$3887,$H$3890:$H$3893)</f>
        <v>45845.45865</v>
      </c>
      <c r="I3887" s="15"/>
      <c r="J3887" s="15"/>
      <c r="K3887" s="15"/>
      <c r="L3887" s="15"/>
      <c r="M3887" s="15"/>
      <c r="N3887" s="15"/>
      <c r="O3887" s="15"/>
      <c r="P3887" s="15"/>
      <c r="Q3887" s="15"/>
      <c r="R3887" s="15"/>
      <c r="S3887" s="15"/>
      <c r="T3887" s="15"/>
      <c r="U3887" s="15"/>
      <c r="V3887" s="15"/>
      <c r="W3887" s="15"/>
      <c r="X3887" s="15"/>
      <c r="Y3887" s="15"/>
      <c r="Z3887" s="15"/>
      <c r="AA3887" s="15"/>
      <c r="AB3887" s="15"/>
      <c r="AC3887" s="15"/>
      <c r="AD3887" s="15"/>
      <c r="AE3887" s="15"/>
      <c r="AF3887" s="15"/>
      <c r="AG3887" s="15"/>
    </row>
    <row r="3888" spans="1:33" s="26" customFormat="1" ht="16.5" customHeight="1" x14ac:dyDescent="0.25">
      <c r="A3888" s="18"/>
      <c r="B3888" s="7" t="s">
        <v>1084</v>
      </c>
      <c r="C3888" s="8" t="s">
        <v>1102</v>
      </c>
      <c r="D3888" s="7">
        <v>2021</v>
      </c>
      <c r="E3888" s="7" t="s">
        <v>213</v>
      </c>
      <c r="F3888" s="7">
        <f>SUMIF($D$3890:$D$3893,$D$3888,$F$3890:$F$3893)</f>
        <v>0</v>
      </c>
      <c r="G3888" s="7">
        <f>SUMIF($D$3890:$D$3893,$D$3888,$G$3890:$G$3893)</f>
        <v>0</v>
      </c>
      <c r="H3888" s="7">
        <f>SUMIF($D$3890:$D$3893,$D$3888,$H$3890:$H$3893)</f>
        <v>0</v>
      </c>
      <c r="I3888" s="15"/>
      <c r="J3888" s="15"/>
      <c r="K3888" s="15"/>
      <c r="L3888" s="15"/>
      <c r="M3888" s="15"/>
      <c r="N3888" s="15"/>
      <c r="O3888" s="15"/>
      <c r="P3888" s="15"/>
      <c r="Q3888" s="15"/>
      <c r="R3888" s="15"/>
      <c r="S3888" s="15"/>
      <c r="T3888" s="15"/>
      <c r="U3888" s="15"/>
      <c r="V3888" s="15"/>
      <c r="W3888" s="15"/>
      <c r="X3888" s="15"/>
      <c r="Y3888" s="15"/>
      <c r="Z3888" s="15"/>
      <c r="AA3888" s="15"/>
      <c r="AB3888" s="15"/>
      <c r="AC3888" s="15"/>
      <c r="AD3888" s="15"/>
      <c r="AE3888" s="15"/>
      <c r="AF3888" s="15"/>
      <c r="AG3888" s="15"/>
    </row>
    <row r="3889" spans="1:33" s="26" customFormat="1" ht="15.75" x14ac:dyDescent="0.25">
      <c r="A3889" s="18"/>
      <c r="B3889" s="7" t="s">
        <v>1084</v>
      </c>
      <c r="C3889" s="8" t="s">
        <v>3929</v>
      </c>
      <c r="D3889" s="7">
        <v>2022</v>
      </c>
      <c r="E3889" s="7" t="s">
        <v>213</v>
      </c>
      <c r="F3889" s="7">
        <f>SUMIF($D$3890:$D$3893,$D$3889,$F$3890:$F$3893)</f>
        <v>0</v>
      </c>
      <c r="G3889" s="7">
        <f>SUMIF($D$3890:$D$3893,$D$3889,$G$3890:$G$3893)</f>
        <v>0</v>
      </c>
      <c r="H3889" s="7">
        <f>SUMIF($D$3890:$D$3893,$D$3889,$H$3890:$H$3893)</f>
        <v>0</v>
      </c>
      <c r="I3889" s="15"/>
      <c r="J3889" s="15"/>
      <c r="K3889" s="15"/>
      <c r="L3889" s="15"/>
      <c r="M3889" s="15"/>
      <c r="N3889" s="15"/>
      <c r="O3889" s="15"/>
      <c r="P3889" s="15"/>
      <c r="Q3889" s="15"/>
      <c r="R3889" s="15"/>
      <c r="S3889" s="15"/>
      <c r="T3889" s="15"/>
      <c r="U3889" s="15"/>
      <c r="V3889" s="15"/>
      <c r="W3889" s="15"/>
      <c r="X3889" s="15"/>
      <c r="Y3889" s="15"/>
      <c r="Z3889" s="15"/>
      <c r="AA3889" s="15"/>
      <c r="AB3889" s="15"/>
      <c r="AC3889" s="15"/>
      <c r="AD3889" s="15"/>
      <c r="AE3889" s="15"/>
      <c r="AF3889" s="15"/>
      <c r="AG3889" s="15"/>
    </row>
    <row r="3890" spans="1:33" s="15" customFormat="1" ht="15.75" hidden="1" outlineLevel="1" x14ac:dyDescent="0.25">
      <c r="A3890" s="18"/>
      <c r="B3890" s="4" t="s">
        <v>219</v>
      </c>
      <c r="C3890" s="38"/>
      <c r="D3890" s="4">
        <v>2022</v>
      </c>
      <c r="E3890" s="4" t="s">
        <v>213</v>
      </c>
      <c r="F3890" s="4"/>
      <c r="G3890" s="4"/>
      <c r="H3890" s="42"/>
    </row>
    <row r="3891" spans="1:33" s="26" customFormat="1" ht="41.25" hidden="1" customHeight="1" outlineLevel="1" x14ac:dyDescent="0.25">
      <c r="A3891" s="18">
        <v>1436</v>
      </c>
      <c r="B3891" s="4" t="s">
        <v>219</v>
      </c>
      <c r="C3891" s="22" t="s">
        <v>218</v>
      </c>
      <c r="D3891" s="4">
        <v>2020</v>
      </c>
      <c r="E3891" s="4" t="s">
        <v>213</v>
      </c>
      <c r="F3891" s="42">
        <v>3524</v>
      </c>
      <c r="G3891" s="42">
        <v>4960.6000000000004</v>
      </c>
      <c r="H3891" s="42">
        <v>45507.747000000003</v>
      </c>
      <c r="I3891" s="15"/>
      <c r="J3891" s="15"/>
      <c r="K3891" s="15"/>
      <c r="L3891" s="15"/>
      <c r="M3891" s="15"/>
      <c r="N3891" s="15"/>
      <c r="O3891" s="15"/>
      <c r="P3891" s="15"/>
      <c r="Q3891" s="15"/>
      <c r="R3891" s="15"/>
      <c r="S3891" s="15"/>
      <c r="T3891" s="15"/>
      <c r="U3891" s="15"/>
      <c r="V3891" s="15"/>
      <c r="W3891" s="15"/>
      <c r="X3891" s="15"/>
      <c r="Y3891" s="15"/>
      <c r="Z3891" s="15"/>
      <c r="AA3891" s="15"/>
      <c r="AB3891" s="15"/>
      <c r="AC3891" s="15"/>
      <c r="AD3891" s="15"/>
      <c r="AE3891" s="15"/>
      <c r="AF3891" s="15"/>
      <c r="AG3891" s="15"/>
    </row>
    <row r="3892" spans="1:33" s="15" customFormat="1" ht="41.25" hidden="1" customHeight="1" outlineLevel="1" x14ac:dyDescent="0.25">
      <c r="A3892" s="18">
        <v>1762</v>
      </c>
      <c r="B3892" s="4" t="s">
        <v>219</v>
      </c>
      <c r="C3892" s="22" t="s">
        <v>45</v>
      </c>
      <c r="D3892" s="4">
        <v>2020</v>
      </c>
      <c r="E3892" s="4" t="s">
        <v>213</v>
      </c>
      <c r="F3892" s="4">
        <v>30</v>
      </c>
      <c r="G3892" s="42">
        <v>149</v>
      </c>
      <c r="H3892" s="42">
        <v>337.71165000000002</v>
      </c>
    </row>
    <row r="3893" spans="1:33" s="26" customFormat="1" ht="15.75" hidden="1" outlineLevel="1" x14ac:dyDescent="0.25">
      <c r="A3893" s="18"/>
      <c r="B3893" s="4" t="s">
        <v>1084</v>
      </c>
      <c r="C3893" s="38"/>
      <c r="D3893" s="4">
        <v>2021</v>
      </c>
      <c r="E3893" s="4" t="s">
        <v>213</v>
      </c>
      <c r="F3893" s="4"/>
      <c r="G3893" s="4"/>
      <c r="H3893" s="42"/>
      <c r="I3893" s="15"/>
      <c r="J3893" s="15"/>
      <c r="K3893" s="15"/>
      <c r="L3893" s="15"/>
      <c r="M3893" s="15"/>
      <c r="N3893" s="15"/>
      <c r="O3893" s="15"/>
      <c r="P3893" s="15"/>
      <c r="Q3893" s="15"/>
      <c r="R3893" s="15"/>
      <c r="S3893" s="15"/>
      <c r="T3893" s="15"/>
      <c r="U3893" s="15"/>
      <c r="V3893" s="15"/>
      <c r="W3893" s="15"/>
      <c r="X3893" s="15"/>
      <c r="Y3893" s="15"/>
      <c r="Z3893" s="15"/>
      <c r="AA3893" s="15"/>
      <c r="AB3893" s="15"/>
      <c r="AC3893" s="15"/>
      <c r="AD3893" s="15"/>
      <c r="AE3893" s="15"/>
      <c r="AF3893" s="15"/>
      <c r="AG3893" s="15"/>
    </row>
    <row r="3894" spans="1:33" s="26" customFormat="1" ht="49.5" customHeight="1" collapsed="1" x14ac:dyDescent="0.25">
      <c r="A3894" s="127"/>
      <c r="B3894" s="67" t="s">
        <v>3184</v>
      </c>
      <c r="C3894" s="68" t="s">
        <v>3218</v>
      </c>
      <c r="D3894" s="69"/>
      <c r="E3894" s="70" t="s">
        <v>213</v>
      </c>
      <c r="F3894" s="69"/>
      <c r="G3894" s="69"/>
      <c r="H3894" s="69"/>
      <c r="I3894" s="15"/>
      <c r="J3894" s="15"/>
      <c r="K3894" s="15"/>
      <c r="L3894" s="15"/>
      <c r="M3894" s="15"/>
      <c r="N3894" s="15"/>
      <c r="O3894" s="15"/>
      <c r="P3894" s="15"/>
      <c r="Q3894" s="15"/>
      <c r="R3894" s="15"/>
      <c r="S3894" s="15"/>
      <c r="T3894" s="15"/>
      <c r="U3894" s="15"/>
      <c r="V3894" s="15"/>
      <c r="W3894" s="15"/>
      <c r="X3894" s="15"/>
      <c r="Y3894" s="15"/>
      <c r="Z3894" s="15"/>
      <c r="AA3894" s="15"/>
      <c r="AB3894" s="15"/>
      <c r="AC3894" s="15"/>
      <c r="AD3894" s="15"/>
      <c r="AE3894" s="15"/>
      <c r="AF3894" s="15"/>
      <c r="AG3894" s="15"/>
    </row>
    <row r="3895" spans="1:33" s="26" customFormat="1" ht="21.75" customHeight="1" x14ac:dyDescent="0.25">
      <c r="A3895" s="47"/>
      <c r="B3895" s="11" t="s">
        <v>3184</v>
      </c>
      <c r="C3895" s="12" t="s">
        <v>1102</v>
      </c>
      <c r="D3895" s="11">
        <v>2020</v>
      </c>
      <c r="E3895" s="11" t="s">
        <v>213</v>
      </c>
      <c r="F3895" s="11">
        <f>SUMIF($D$3898:$D$3899,$D$3895,$F$3898:$F$3899)</f>
        <v>560</v>
      </c>
      <c r="G3895" s="14">
        <f>SUMIF($D$3898:$D$3899,$D$3895,$G$3898:$G$3899)</f>
        <v>150</v>
      </c>
      <c r="H3895" s="14">
        <f>SUMIF($D$3898:$D$3899,$D$3895,$H$3898:$H$3899)</f>
        <v>3553.9409999999998</v>
      </c>
      <c r="I3895" s="15"/>
      <c r="J3895" s="15"/>
      <c r="K3895" s="15"/>
      <c r="L3895" s="15"/>
      <c r="M3895" s="15"/>
      <c r="N3895" s="15"/>
      <c r="O3895" s="15"/>
      <c r="P3895" s="15"/>
      <c r="Q3895" s="15"/>
      <c r="R3895" s="15"/>
      <c r="S3895" s="15"/>
      <c r="T3895" s="15"/>
      <c r="U3895" s="15"/>
      <c r="V3895" s="15"/>
      <c r="W3895" s="15"/>
      <c r="X3895" s="15"/>
      <c r="Y3895" s="15"/>
      <c r="Z3895" s="15"/>
      <c r="AA3895" s="15"/>
      <c r="AB3895" s="15"/>
      <c r="AC3895" s="15"/>
      <c r="AD3895" s="15"/>
      <c r="AE3895" s="15"/>
      <c r="AF3895" s="15"/>
      <c r="AG3895" s="15"/>
    </row>
    <row r="3896" spans="1:33" s="26" customFormat="1" ht="21.75" customHeight="1" x14ac:dyDescent="0.25">
      <c r="A3896" s="47"/>
      <c r="B3896" s="11" t="s">
        <v>3184</v>
      </c>
      <c r="C3896" s="12" t="s">
        <v>1102</v>
      </c>
      <c r="D3896" s="11">
        <v>2021</v>
      </c>
      <c r="E3896" s="11" t="s">
        <v>213</v>
      </c>
      <c r="F3896" s="11">
        <v>0</v>
      </c>
      <c r="G3896" s="11">
        <v>0</v>
      </c>
      <c r="H3896" s="14">
        <v>0</v>
      </c>
      <c r="I3896" s="15"/>
      <c r="J3896" s="15"/>
      <c r="K3896" s="15"/>
      <c r="L3896" s="15"/>
      <c r="M3896" s="15"/>
      <c r="N3896" s="15"/>
      <c r="O3896" s="15"/>
      <c r="P3896" s="15"/>
      <c r="Q3896" s="15"/>
      <c r="R3896" s="15"/>
      <c r="S3896" s="15"/>
      <c r="T3896" s="15"/>
      <c r="U3896" s="15"/>
      <c r="V3896" s="15"/>
      <c r="W3896" s="15"/>
      <c r="X3896" s="15"/>
      <c r="Y3896" s="15"/>
      <c r="Z3896" s="15"/>
      <c r="AA3896" s="15"/>
      <c r="AB3896" s="15"/>
      <c r="AC3896" s="15"/>
      <c r="AD3896" s="15"/>
      <c r="AE3896" s="15"/>
      <c r="AF3896" s="15"/>
      <c r="AG3896" s="15"/>
    </row>
    <row r="3897" spans="1:33" s="26" customFormat="1" ht="15.75" x14ac:dyDescent="0.25">
      <c r="A3897" s="47"/>
      <c r="B3897" s="11" t="s">
        <v>3184</v>
      </c>
      <c r="C3897" s="12" t="s">
        <v>1102</v>
      </c>
      <c r="D3897" s="11">
        <v>2022</v>
      </c>
      <c r="E3897" s="11" t="s">
        <v>213</v>
      </c>
      <c r="F3897" s="11">
        <f>SUMIF($D$3898:$D$3899,$D$3897,$F$3898:$F$3899)</f>
        <v>51</v>
      </c>
      <c r="G3897" s="14">
        <f>SUMIF($D$3898:$D$3899,$D$3897,$G$3898:$G$3899)</f>
        <v>194.71</v>
      </c>
      <c r="H3897" s="14">
        <f>SUMIF($D$3898:$D$3899,$D$3897,$H$3898:$H$3899)</f>
        <v>515.24699999999996</v>
      </c>
      <c r="I3897" s="15"/>
      <c r="J3897" s="15"/>
      <c r="K3897" s="15"/>
      <c r="L3897" s="15"/>
      <c r="M3897" s="15"/>
      <c r="N3897" s="15"/>
      <c r="O3897" s="15"/>
      <c r="P3897" s="15"/>
      <c r="Q3897" s="15"/>
      <c r="R3897" s="15"/>
      <c r="S3897" s="15"/>
      <c r="T3897" s="15"/>
      <c r="U3897" s="15"/>
      <c r="V3897" s="15"/>
      <c r="W3897" s="15"/>
      <c r="X3897" s="15"/>
      <c r="Y3897" s="15"/>
      <c r="Z3897" s="15"/>
      <c r="AA3897" s="15"/>
      <c r="AB3897" s="15"/>
      <c r="AC3897" s="15"/>
      <c r="AD3897" s="15"/>
      <c r="AE3897" s="15"/>
      <c r="AF3897" s="15"/>
      <c r="AG3897" s="15"/>
    </row>
    <row r="3898" spans="1:33" s="15" customFormat="1" ht="78.75" hidden="1" outlineLevel="1" x14ac:dyDescent="0.25">
      <c r="A3898" s="18">
        <v>2711</v>
      </c>
      <c r="B3898" s="4" t="s">
        <v>3184</v>
      </c>
      <c r="C3898" s="96" t="s">
        <v>3948</v>
      </c>
      <c r="D3898" s="4">
        <v>2022</v>
      </c>
      <c r="E3898" s="4" t="s">
        <v>213</v>
      </c>
      <c r="F3898" s="4">
        <v>51</v>
      </c>
      <c r="G3898" s="4">
        <v>194.71</v>
      </c>
      <c r="H3898" s="4">
        <v>515.24699999999996</v>
      </c>
    </row>
    <row r="3899" spans="1:33" s="15" customFormat="1" ht="60" hidden="1" customHeight="1" outlineLevel="1" x14ac:dyDescent="0.25">
      <c r="A3899" s="4">
        <v>1707</v>
      </c>
      <c r="B3899" s="4" t="s">
        <v>3184</v>
      </c>
      <c r="C3899" s="38" t="s">
        <v>1081</v>
      </c>
      <c r="D3899" s="4">
        <v>2020</v>
      </c>
      <c r="E3899" s="4" t="s">
        <v>213</v>
      </c>
      <c r="F3899" s="4">
        <v>560</v>
      </c>
      <c r="G3899" s="4">
        <v>150</v>
      </c>
      <c r="H3899" s="4">
        <v>3553.9409999999998</v>
      </c>
    </row>
    <row r="3900" spans="1:33" s="15" customFormat="1" ht="63" customHeight="1" collapsed="1" x14ac:dyDescent="0.25">
      <c r="A3900" s="4"/>
      <c r="B3900" s="63" t="s">
        <v>4248</v>
      </c>
      <c r="C3900" s="64" t="s">
        <v>4249</v>
      </c>
      <c r="D3900" s="65"/>
      <c r="E3900" s="66" t="s">
        <v>0</v>
      </c>
      <c r="F3900" s="65"/>
      <c r="G3900" s="65"/>
      <c r="H3900" s="65"/>
    </row>
    <row r="3901" spans="1:33" s="15" customFormat="1" ht="23.25" customHeight="1" x14ac:dyDescent="0.25">
      <c r="A3901" s="4"/>
      <c r="B3901" s="7" t="s">
        <v>4248</v>
      </c>
      <c r="C3901" s="8" t="s">
        <v>1102</v>
      </c>
      <c r="D3901" s="7">
        <v>2020</v>
      </c>
      <c r="E3901" s="7" t="s">
        <v>0</v>
      </c>
      <c r="F3901" s="7">
        <v>0</v>
      </c>
      <c r="G3901" s="10">
        <v>0</v>
      </c>
      <c r="H3901" s="10">
        <v>0</v>
      </c>
    </row>
    <row r="3902" spans="1:33" s="15" customFormat="1" ht="23.25" customHeight="1" x14ac:dyDescent="0.25">
      <c r="A3902" s="4"/>
      <c r="B3902" s="7" t="s">
        <v>4248</v>
      </c>
      <c r="C3902" s="8" t="s">
        <v>1102</v>
      </c>
      <c r="D3902" s="7">
        <v>2021</v>
      </c>
      <c r="E3902" s="7" t="s">
        <v>0</v>
      </c>
      <c r="F3902" s="7">
        <v>0</v>
      </c>
      <c r="G3902" s="10">
        <v>0</v>
      </c>
      <c r="H3902" s="10">
        <v>0</v>
      </c>
    </row>
    <row r="3903" spans="1:33" s="15" customFormat="1" ht="23.25" customHeight="1" x14ac:dyDescent="0.25">
      <c r="A3903" s="4"/>
      <c r="B3903" s="7" t="s">
        <v>4248</v>
      </c>
      <c r="C3903" s="8" t="s">
        <v>3929</v>
      </c>
      <c r="D3903" s="7">
        <v>2022</v>
      </c>
      <c r="E3903" s="7" t="s">
        <v>0</v>
      </c>
      <c r="F3903" s="7">
        <f>SUMIF($D$3904:$D$3905,$D$3903,$F$3904:$F$3905)</f>
        <v>28</v>
      </c>
      <c r="G3903" s="10">
        <f>SUMIF($D$3904:$D$3905,$D$3903,$G$3904:$G$3905)</f>
        <v>10</v>
      </c>
      <c r="H3903" s="10">
        <f>SUMIF($D$3904:$D$3905,$D$3903,$H$3904:$H$3905)</f>
        <v>227.26900000000001</v>
      </c>
    </row>
    <row r="3904" spans="1:33" s="15" customFormat="1" ht="31.5" hidden="1" outlineLevel="1" x14ac:dyDescent="0.25">
      <c r="A3904" s="18">
        <v>2983</v>
      </c>
      <c r="B3904" s="4" t="s">
        <v>4248</v>
      </c>
      <c r="C3904" s="38" t="s">
        <v>3993</v>
      </c>
      <c r="D3904" s="18">
        <v>2022</v>
      </c>
      <c r="E3904" s="18" t="s">
        <v>4250</v>
      </c>
      <c r="F3904" s="4">
        <v>28</v>
      </c>
      <c r="G3904" s="4">
        <v>10</v>
      </c>
      <c r="H3904" s="4">
        <v>227.26900000000001</v>
      </c>
    </row>
    <row r="3905" spans="1:33" s="15" customFormat="1" ht="15.75" hidden="1" outlineLevel="1" x14ac:dyDescent="0.25">
      <c r="A3905" s="4"/>
      <c r="B3905" s="4" t="s">
        <v>4248</v>
      </c>
      <c r="C3905" s="38"/>
      <c r="D3905" s="4"/>
      <c r="E3905" s="4"/>
      <c r="F3905" s="4"/>
      <c r="G3905" s="4"/>
      <c r="H3905" s="4"/>
    </row>
    <row r="3906" spans="1:33" s="15" customFormat="1" ht="33.75" customHeight="1" collapsed="1" x14ac:dyDescent="0.25">
      <c r="A3906" s="18"/>
      <c r="B3906" s="182" t="s">
        <v>1100</v>
      </c>
      <c r="C3906" s="183"/>
      <c r="D3906" s="183"/>
      <c r="E3906" s="183"/>
      <c r="F3906" s="183"/>
      <c r="G3906" s="183"/>
      <c r="H3906" s="184"/>
    </row>
    <row r="3907" spans="1:33" s="16" customFormat="1" ht="15.75" x14ac:dyDescent="0.25">
      <c r="A3907" s="44"/>
      <c r="B3907" s="58" t="s">
        <v>1085</v>
      </c>
      <c r="C3907" s="64" t="s">
        <v>3219</v>
      </c>
      <c r="D3907" s="65"/>
      <c r="E3907" s="66" t="s">
        <v>229</v>
      </c>
      <c r="F3907" s="65"/>
      <c r="G3907" s="65"/>
      <c r="H3907" s="65"/>
      <c r="I3907" s="15"/>
      <c r="J3907" s="15"/>
      <c r="K3907" s="15"/>
      <c r="L3907" s="15"/>
      <c r="M3907" s="15"/>
      <c r="N3907" s="15"/>
      <c r="O3907" s="15"/>
      <c r="P3907" s="15"/>
      <c r="Q3907" s="15"/>
      <c r="R3907" s="15"/>
      <c r="S3907" s="15"/>
      <c r="T3907" s="15"/>
      <c r="U3907" s="15"/>
      <c r="V3907" s="15"/>
      <c r="W3907" s="15"/>
      <c r="X3907" s="15"/>
      <c r="Y3907" s="15"/>
      <c r="Z3907" s="15"/>
      <c r="AA3907" s="15"/>
      <c r="AB3907" s="15"/>
      <c r="AC3907" s="15"/>
      <c r="AD3907" s="15"/>
      <c r="AE3907" s="15"/>
      <c r="AF3907" s="15"/>
      <c r="AG3907" s="15"/>
    </row>
    <row r="3908" spans="1:33" s="23" customFormat="1" ht="16.5" customHeight="1" x14ac:dyDescent="0.25">
      <c r="A3908" s="18"/>
      <c r="B3908" s="7" t="s">
        <v>1085</v>
      </c>
      <c r="C3908" s="8" t="s">
        <v>1102</v>
      </c>
      <c r="D3908" s="7">
        <v>2020</v>
      </c>
      <c r="E3908" s="19" t="s">
        <v>229</v>
      </c>
      <c r="F3908" s="7">
        <f>SUMIF($D$3911:$D$3913,$D$3908,$F$3911:$F$3913)</f>
        <v>1</v>
      </c>
      <c r="G3908" s="7">
        <f>SUMIF($D$3911:$D$3913,$D$3908,$G$3911:$G$3913)</f>
        <v>15</v>
      </c>
      <c r="H3908" s="10">
        <f>SUMIF($D$3911:$D$3913,$D$3908,$H$3911:$H$3913)</f>
        <v>609.96199999999999</v>
      </c>
      <c r="I3908" s="15"/>
      <c r="J3908" s="15"/>
      <c r="K3908" s="15"/>
      <c r="L3908" s="15"/>
      <c r="M3908" s="15"/>
      <c r="N3908" s="15"/>
      <c r="O3908" s="15"/>
      <c r="P3908" s="15"/>
      <c r="Q3908" s="15"/>
      <c r="R3908" s="15"/>
      <c r="S3908" s="15"/>
      <c r="T3908" s="15"/>
      <c r="U3908" s="15"/>
      <c r="V3908" s="15"/>
      <c r="W3908" s="15"/>
      <c r="X3908" s="15"/>
      <c r="Y3908" s="15"/>
      <c r="Z3908" s="15"/>
      <c r="AA3908" s="15"/>
      <c r="AB3908" s="15"/>
      <c r="AC3908" s="15"/>
      <c r="AD3908" s="15"/>
      <c r="AE3908" s="15"/>
      <c r="AF3908" s="15"/>
      <c r="AG3908" s="15"/>
    </row>
    <row r="3909" spans="1:33" s="26" customFormat="1" ht="16.5" customHeight="1" x14ac:dyDescent="0.25">
      <c r="A3909" s="18"/>
      <c r="B3909" s="7" t="s">
        <v>1085</v>
      </c>
      <c r="C3909" s="8" t="s">
        <v>1102</v>
      </c>
      <c r="D3909" s="7">
        <v>2021</v>
      </c>
      <c r="E3909" s="19" t="s">
        <v>229</v>
      </c>
      <c r="F3909" s="7">
        <f>SUMIF($D$3911:$D$3913,$D$3909,$F$3911:$F$3913)</f>
        <v>0</v>
      </c>
      <c r="G3909" s="7">
        <f>SUMIF($D$3911:$D$3913,$D$3909,$G$3911:$G$3913)</f>
        <v>0</v>
      </c>
      <c r="H3909" s="7">
        <f>SUMIF($D$3911:$D$3913,$D$3909,$H$3911:$H$3913)</f>
        <v>0</v>
      </c>
      <c r="I3909" s="15"/>
      <c r="J3909" s="15"/>
      <c r="K3909" s="15"/>
      <c r="L3909" s="15"/>
      <c r="M3909" s="15"/>
      <c r="N3909" s="15"/>
      <c r="O3909" s="15"/>
      <c r="P3909" s="15"/>
      <c r="Q3909" s="15"/>
      <c r="R3909" s="15"/>
      <c r="S3909" s="15"/>
      <c r="T3909" s="15"/>
      <c r="U3909" s="15"/>
      <c r="V3909" s="15"/>
      <c r="W3909" s="15"/>
      <c r="X3909" s="15"/>
      <c r="Y3909" s="15"/>
      <c r="Z3909" s="15"/>
      <c r="AA3909" s="15"/>
      <c r="AB3909" s="15"/>
      <c r="AC3909" s="15"/>
      <c r="AD3909" s="15"/>
      <c r="AE3909" s="15"/>
      <c r="AF3909" s="15"/>
      <c r="AG3909" s="15"/>
    </row>
    <row r="3910" spans="1:33" s="26" customFormat="1" ht="15.75" x14ac:dyDescent="0.25">
      <c r="A3910" s="18"/>
      <c r="B3910" s="7" t="s">
        <v>1085</v>
      </c>
      <c r="C3910" s="8" t="s">
        <v>1102</v>
      </c>
      <c r="D3910" s="7">
        <v>2022</v>
      </c>
      <c r="E3910" s="19" t="s">
        <v>229</v>
      </c>
      <c r="F3910" s="7">
        <f>SUMIF($D$3911:$D$3913,$D$3910,$F$3911:$F$3913)</f>
        <v>0</v>
      </c>
      <c r="G3910" s="7">
        <f>SUMIF($D$3911:$D$3913,$D$3910,$G$3911:$G$3913)</f>
        <v>0</v>
      </c>
      <c r="H3910" s="7">
        <f>SUMIF($D$3911:$D$3913,$D$3910,$H$3911:$H$3913)</f>
        <v>0</v>
      </c>
      <c r="I3910" s="15"/>
      <c r="J3910" s="15"/>
      <c r="K3910" s="15"/>
      <c r="L3910" s="15"/>
      <c r="M3910" s="15"/>
      <c r="N3910" s="15"/>
      <c r="O3910" s="15"/>
      <c r="P3910" s="15"/>
      <c r="Q3910" s="15"/>
      <c r="R3910" s="15"/>
      <c r="S3910" s="15"/>
      <c r="T3910" s="15"/>
      <c r="U3910" s="15"/>
      <c r="V3910" s="15"/>
      <c r="W3910" s="15"/>
      <c r="X3910" s="15"/>
      <c r="Y3910" s="15"/>
      <c r="Z3910" s="15"/>
      <c r="AA3910" s="15"/>
      <c r="AB3910" s="15"/>
      <c r="AC3910" s="15"/>
      <c r="AD3910" s="15"/>
      <c r="AE3910" s="15"/>
      <c r="AF3910" s="15"/>
      <c r="AG3910" s="15"/>
    </row>
    <row r="3911" spans="1:33" s="15" customFormat="1" ht="16.5" hidden="1" customHeight="1" outlineLevel="1" x14ac:dyDescent="0.25">
      <c r="A3911" s="18"/>
      <c r="B3911" s="4" t="s">
        <v>1085</v>
      </c>
      <c r="C3911" s="38"/>
      <c r="D3911" s="4">
        <v>2022</v>
      </c>
      <c r="E3911" s="18" t="s">
        <v>229</v>
      </c>
      <c r="F3911" s="4"/>
      <c r="G3911" s="4"/>
      <c r="H3911" s="4"/>
    </row>
    <row r="3912" spans="1:33" s="15" customFormat="1" ht="63" hidden="1" outlineLevel="1" x14ac:dyDescent="0.25">
      <c r="A3912" s="18">
        <v>1301</v>
      </c>
      <c r="B3912" s="4" t="s">
        <v>1085</v>
      </c>
      <c r="C3912" s="22" t="s">
        <v>862</v>
      </c>
      <c r="D3912" s="4">
        <v>2020</v>
      </c>
      <c r="E3912" s="18" t="s">
        <v>229</v>
      </c>
      <c r="F3912" s="4">
        <v>1</v>
      </c>
      <c r="G3912" s="42">
        <v>15</v>
      </c>
      <c r="H3912" s="42">
        <v>609.96199999999999</v>
      </c>
    </row>
    <row r="3913" spans="1:33" s="15" customFormat="1" ht="15.75" hidden="1" outlineLevel="1" x14ac:dyDescent="0.25">
      <c r="A3913" s="18"/>
      <c r="B3913" s="4" t="s">
        <v>1085</v>
      </c>
      <c r="C3913" s="22"/>
      <c r="D3913" s="4">
        <v>2021</v>
      </c>
      <c r="E3913" s="18" t="s">
        <v>229</v>
      </c>
      <c r="F3913" s="4"/>
      <c r="G3913" s="42"/>
      <c r="H3913" s="42"/>
    </row>
    <row r="3914" spans="1:33" s="15" customFormat="1" ht="15.75" collapsed="1" x14ac:dyDescent="0.25">
      <c r="A3914" s="18"/>
      <c r="B3914" s="70" t="s">
        <v>230</v>
      </c>
      <c r="C3914" s="71" t="s">
        <v>3220</v>
      </c>
      <c r="D3914" s="69"/>
      <c r="E3914" s="74" t="s">
        <v>229</v>
      </c>
      <c r="F3914" s="69"/>
      <c r="G3914" s="69"/>
      <c r="H3914" s="69"/>
    </row>
    <row r="3915" spans="1:33" s="16" customFormat="1" ht="16.5" customHeight="1" x14ac:dyDescent="0.25">
      <c r="A3915" s="44"/>
      <c r="B3915" s="11" t="s">
        <v>230</v>
      </c>
      <c r="C3915" s="12" t="s">
        <v>1102</v>
      </c>
      <c r="D3915" s="11">
        <v>2020</v>
      </c>
      <c r="E3915" s="20" t="s">
        <v>229</v>
      </c>
      <c r="F3915" s="11">
        <f>SUMIF($D$3918:$D$3921,$D$3915,$F$3918:$F$3921)</f>
        <v>1</v>
      </c>
      <c r="G3915" s="11">
        <f>SUMIF($D$3918:$D$3921,$D$3915,$G$3918:$G$3921)</f>
        <v>250</v>
      </c>
      <c r="H3915" s="14">
        <f>SUMIF($D$3918:$D$3921,$D$3915,$H$3918:$H$3921)</f>
        <v>2060.2728099999999</v>
      </c>
      <c r="I3915" s="15"/>
      <c r="J3915" s="15"/>
      <c r="K3915" s="15"/>
      <c r="L3915" s="15"/>
      <c r="M3915" s="15"/>
      <c r="N3915" s="15"/>
      <c r="O3915" s="15"/>
      <c r="P3915" s="15"/>
      <c r="Q3915" s="15"/>
      <c r="R3915" s="15"/>
      <c r="S3915" s="15"/>
      <c r="T3915" s="15"/>
      <c r="U3915" s="15"/>
      <c r="V3915" s="15"/>
      <c r="W3915" s="15"/>
      <c r="X3915" s="15"/>
      <c r="Y3915" s="15"/>
      <c r="Z3915" s="15"/>
      <c r="AA3915" s="15"/>
      <c r="AB3915" s="15"/>
      <c r="AC3915" s="15"/>
      <c r="AD3915" s="15"/>
      <c r="AE3915" s="15"/>
      <c r="AF3915" s="15"/>
      <c r="AG3915" s="15"/>
    </row>
    <row r="3916" spans="1:33" s="26" customFormat="1" ht="16.5" customHeight="1" x14ac:dyDescent="0.25">
      <c r="A3916" s="18"/>
      <c r="B3916" s="11" t="s">
        <v>230</v>
      </c>
      <c r="C3916" s="12" t="s">
        <v>1102</v>
      </c>
      <c r="D3916" s="11">
        <v>2021</v>
      </c>
      <c r="E3916" s="20" t="s">
        <v>229</v>
      </c>
      <c r="F3916" s="11">
        <f>SUMIF($D$3918:$D$3921,$D$3916,$F$3918:$F$3921)</f>
        <v>2</v>
      </c>
      <c r="G3916" s="11">
        <f>SUMIF($D$3918:$D$3921,$D$3916,$G$3918:$G$3921)</f>
        <v>299</v>
      </c>
      <c r="H3916" s="11">
        <f>SUMIF($D$3918:$D$3921,$D$3916,$H$3918:$H$3921)</f>
        <v>3546</v>
      </c>
      <c r="I3916" s="15"/>
      <c r="J3916" s="15"/>
      <c r="K3916" s="15"/>
      <c r="L3916" s="15"/>
      <c r="M3916" s="15"/>
      <c r="N3916" s="15"/>
      <c r="O3916" s="15"/>
      <c r="P3916" s="15"/>
      <c r="Q3916" s="15"/>
      <c r="R3916" s="15"/>
      <c r="S3916" s="15"/>
      <c r="T3916" s="15"/>
      <c r="U3916" s="15"/>
      <c r="V3916" s="15"/>
      <c r="W3916" s="15"/>
      <c r="X3916" s="15"/>
      <c r="Y3916" s="15"/>
      <c r="Z3916" s="15"/>
      <c r="AA3916" s="15"/>
      <c r="AB3916" s="15"/>
      <c r="AC3916" s="15"/>
      <c r="AD3916" s="15"/>
      <c r="AE3916" s="15"/>
      <c r="AF3916" s="15"/>
      <c r="AG3916" s="15"/>
    </row>
    <row r="3917" spans="1:33" s="15" customFormat="1" ht="15.75" x14ac:dyDescent="0.25">
      <c r="A3917" s="18"/>
      <c r="B3917" s="11" t="s">
        <v>230</v>
      </c>
      <c r="C3917" s="12" t="s">
        <v>1102</v>
      </c>
      <c r="D3917" s="11">
        <v>2022</v>
      </c>
      <c r="E3917" s="20" t="s">
        <v>229</v>
      </c>
      <c r="F3917" s="11">
        <f>SUMIF($D$3918:$D$3921,$D$3917,$F$3918:$F$3921)</f>
        <v>0</v>
      </c>
      <c r="G3917" s="11">
        <f>SUMIF($D$3918:$D$3921,$D$3917,$G$3918:$G$3921)</f>
        <v>0</v>
      </c>
      <c r="H3917" s="11">
        <f>SUMIF($D$3918:$D$3921,$D$3917,$H$3918:$H$3921)</f>
        <v>0</v>
      </c>
    </row>
    <row r="3918" spans="1:33" s="15" customFormat="1" ht="15.75" hidden="1" outlineLevel="1" x14ac:dyDescent="0.25">
      <c r="A3918" s="18"/>
      <c r="B3918" s="4" t="s">
        <v>230</v>
      </c>
      <c r="C3918" s="22"/>
      <c r="D3918" s="4">
        <v>2022</v>
      </c>
      <c r="E3918" s="18" t="s">
        <v>229</v>
      </c>
      <c r="F3918" s="4"/>
      <c r="G3918" s="42"/>
      <c r="H3918" s="42"/>
    </row>
    <row r="3919" spans="1:33" s="15" customFormat="1" ht="39.75" hidden="1" customHeight="1" outlineLevel="1" x14ac:dyDescent="0.25">
      <c r="A3919" s="18">
        <v>1710</v>
      </c>
      <c r="B3919" s="4" t="s">
        <v>230</v>
      </c>
      <c r="C3919" s="22" t="s">
        <v>231</v>
      </c>
      <c r="D3919" s="4">
        <v>2020</v>
      </c>
      <c r="E3919" s="18"/>
      <c r="F3919" s="4">
        <v>1</v>
      </c>
      <c r="G3919" s="42">
        <v>250</v>
      </c>
      <c r="H3919" s="42">
        <v>2060.2728099999999</v>
      </c>
    </row>
    <row r="3920" spans="1:33" s="15" customFormat="1" ht="34.5" hidden="1" customHeight="1" outlineLevel="1" x14ac:dyDescent="0.25">
      <c r="A3920" s="46">
        <v>9088</v>
      </c>
      <c r="B3920" s="4" t="s">
        <v>230</v>
      </c>
      <c r="C3920" s="22" t="s">
        <v>2004</v>
      </c>
      <c r="D3920" s="4">
        <v>2021</v>
      </c>
      <c r="E3920" s="18"/>
      <c r="F3920" s="4">
        <v>1</v>
      </c>
      <c r="G3920" s="42">
        <v>149</v>
      </c>
      <c r="H3920" s="42">
        <v>2290</v>
      </c>
    </row>
    <row r="3921" spans="1:33" s="15" customFormat="1" ht="34.5" hidden="1" customHeight="1" outlineLevel="1" x14ac:dyDescent="0.25">
      <c r="A3921" s="46">
        <v>9579</v>
      </c>
      <c r="B3921" s="4" t="s">
        <v>230</v>
      </c>
      <c r="C3921" s="22" t="s">
        <v>2002</v>
      </c>
      <c r="D3921" s="4">
        <v>2021</v>
      </c>
      <c r="E3921" s="18"/>
      <c r="F3921" s="4">
        <v>1</v>
      </c>
      <c r="G3921" s="42">
        <v>150</v>
      </c>
      <c r="H3921" s="42">
        <v>1256</v>
      </c>
    </row>
    <row r="3922" spans="1:33" s="15" customFormat="1" ht="42" customHeight="1" collapsed="1" x14ac:dyDescent="0.25">
      <c r="A3922" s="18"/>
      <c r="B3922" s="182" t="s">
        <v>1101</v>
      </c>
      <c r="C3922" s="183"/>
      <c r="D3922" s="183"/>
      <c r="E3922" s="183"/>
      <c r="F3922" s="183"/>
      <c r="G3922" s="183"/>
      <c r="H3922" s="184"/>
    </row>
    <row r="3923" spans="1:33" s="16" customFormat="1" ht="31.5" x14ac:dyDescent="0.25">
      <c r="A3923" s="44"/>
      <c r="B3923" s="58" t="s">
        <v>233</v>
      </c>
      <c r="C3923" s="72" t="s">
        <v>3221</v>
      </c>
      <c r="D3923" s="65"/>
      <c r="E3923" s="66" t="s">
        <v>234</v>
      </c>
      <c r="F3923" s="65"/>
      <c r="G3923" s="65"/>
      <c r="H3923" s="65"/>
      <c r="I3923" s="15"/>
      <c r="J3923" s="15"/>
      <c r="K3923" s="15"/>
      <c r="L3923" s="15"/>
      <c r="M3923" s="15"/>
      <c r="N3923" s="15"/>
      <c r="O3923" s="15"/>
      <c r="P3923" s="15"/>
      <c r="Q3923" s="15"/>
      <c r="R3923" s="15"/>
      <c r="S3923" s="15"/>
      <c r="T3923" s="15"/>
      <c r="U3923" s="15"/>
      <c r="V3923" s="15"/>
      <c r="W3923" s="15"/>
      <c r="X3923" s="15"/>
      <c r="Y3923" s="15"/>
      <c r="Z3923" s="15"/>
      <c r="AA3923" s="15"/>
      <c r="AB3923" s="15"/>
      <c r="AC3923" s="15"/>
      <c r="AD3923" s="15"/>
      <c r="AE3923" s="15"/>
      <c r="AF3923" s="15"/>
      <c r="AG3923" s="15"/>
    </row>
    <row r="3924" spans="1:33" s="16" customFormat="1" ht="16.5" customHeight="1" x14ac:dyDescent="0.25">
      <c r="A3924" s="18"/>
      <c r="B3924" s="7" t="s">
        <v>233</v>
      </c>
      <c r="C3924" s="8" t="s">
        <v>1102</v>
      </c>
      <c r="D3924" s="19">
        <v>2020</v>
      </c>
      <c r="E3924" s="7" t="s">
        <v>234</v>
      </c>
      <c r="F3924" s="7">
        <f>SUMIF($D$3927:$D$4053,$D$3924,$F$3927:$F$4053)</f>
        <v>19</v>
      </c>
      <c r="G3924" s="10">
        <f>SUMIF($D$3927:$D$4053,$D$3924,$G$3927:$G$4053)</f>
        <v>253.2</v>
      </c>
      <c r="H3924" s="10">
        <f>SUMIF($D$3927:$D$4053,$D$3924,$H$3927:$H$4053)</f>
        <v>9211.3582000000006</v>
      </c>
      <c r="I3924" s="15"/>
      <c r="J3924" s="15"/>
      <c r="K3924" s="15"/>
      <c r="L3924" s="15"/>
      <c r="M3924" s="15"/>
      <c r="N3924" s="15"/>
      <c r="O3924" s="15"/>
      <c r="P3924" s="15"/>
      <c r="Q3924" s="15"/>
      <c r="R3924" s="15"/>
      <c r="S3924" s="15"/>
      <c r="T3924" s="15"/>
      <c r="U3924" s="15"/>
      <c r="V3924" s="15"/>
      <c r="W3924" s="15"/>
      <c r="X3924" s="15"/>
      <c r="Y3924" s="15"/>
      <c r="Z3924" s="15"/>
      <c r="AA3924" s="15"/>
      <c r="AB3924" s="15"/>
      <c r="AC3924" s="15"/>
      <c r="AD3924" s="15"/>
      <c r="AE3924" s="15"/>
      <c r="AF3924" s="15"/>
      <c r="AG3924" s="15"/>
    </row>
    <row r="3925" spans="1:33" s="26" customFormat="1" ht="16.5" customHeight="1" x14ac:dyDescent="0.25">
      <c r="A3925" s="18"/>
      <c r="B3925" s="7" t="s">
        <v>233</v>
      </c>
      <c r="C3925" s="8" t="s">
        <v>1102</v>
      </c>
      <c r="D3925" s="19">
        <v>2021</v>
      </c>
      <c r="E3925" s="7" t="s">
        <v>234</v>
      </c>
      <c r="F3925" s="7">
        <f>SUMIF($D$3927:$D$4053,$D$3925,$F$3927:$F$4053)</f>
        <v>50</v>
      </c>
      <c r="G3925" s="10">
        <f>SUMIF($D$3927:$D$4053,$D$3925,$G$3927:$G$4053)</f>
        <v>868.9</v>
      </c>
      <c r="H3925" s="10">
        <f>SUMIF($D$3927:$D$4053,$D$3925,$H$3927:$H$4053)</f>
        <v>22161.878040000007</v>
      </c>
      <c r="I3925" s="15"/>
      <c r="J3925" s="15"/>
      <c r="K3925" s="15"/>
      <c r="L3925" s="15"/>
      <c r="M3925" s="15"/>
      <c r="N3925" s="15"/>
      <c r="O3925" s="15"/>
      <c r="P3925" s="15"/>
      <c r="Q3925" s="15"/>
      <c r="R3925" s="15"/>
      <c r="S3925" s="15"/>
      <c r="T3925" s="15"/>
      <c r="U3925" s="15"/>
      <c r="V3925" s="15"/>
      <c r="W3925" s="15"/>
      <c r="X3925" s="15"/>
      <c r="Y3925" s="15"/>
      <c r="Z3925" s="15"/>
      <c r="AA3925" s="15"/>
      <c r="AB3925" s="15"/>
      <c r="AC3925" s="15"/>
      <c r="AD3925" s="15"/>
      <c r="AE3925" s="15"/>
      <c r="AF3925" s="15"/>
      <c r="AG3925" s="15"/>
    </row>
    <row r="3926" spans="1:33" s="26" customFormat="1" ht="15.75" x14ac:dyDescent="0.25">
      <c r="A3926" s="18"/>
      <c r="B3926" s="7" t="s">
        <v>233</v>
      </c>
      <c r="C3926" s="8" t="s">
        <v>3929</v>
      </c>
      <c r="D3926" s="19">
        <v>2022</v>
      </c>
      <c r="E3926" s="7" t="s">
        <v>234</v>
      </c>
      <c r="F3926" s="7">
        <f>SUMIF($D$3927:$D$4053,$D$3926,$F$3927:$F$4053)</f>
        <v>58</v>
      </c>
      <c r="G3926" s="10">
        <f>SUMIF($D$3927:$D$4053,$D$3926,$G$3927:$G$4053)</f>
        <v>823.5</v>
      </c>
      <c r="H3926" s="10">
        <f>SUMIF($D$3927:$D$4053,$D$3926,$H$3927:$H$4053)</f>
        <v>28845.219720000001</v>
      </c>
      <c r="I3926" s="15"/>
      <c r="J3926" s="15"/>
      <c r="K3926" s="15"/>
      <c r="L3926" s="15"/>
      <c r="M3926" s="15"/>
      <c r="N3926" s="15"/>
      <c r="O3926" s="15"/>
      <c r="P3926" s="15"/>
      <c r="Q3926" s="15"/>
      <c r="R3926" s="15"/>
      <c r="S3926" s="15"/>
      <c r="T3926" s="15"/>
      <c r="U3926" s="15"/>
      <c r="V3926" s="15"/>
      <c r="W3926" s="15"/>
      <c r="X3926" s="15"/>
      <c r="Y3926" s="15"/>
      <c r="Z3926" s="15"/>
      <c r="AA3926" s="15"/>
      <c r="AB3926" s="15"/>
      <c r="AC3926" s="15"/>
      <c r="AD3926" s="15"/>
      <c r="AE3926" s="15"/>
      <c r="AF3926" s="15"/>
      <c r="AG3926" s="15"/>
    </row>
    <row r="3927" spans="1:33" s="15" customFormat="1" ht="36" hidden="1" customHeight="1" outlineLevel="1" x14ac:dyDescent="0.25">
      <c r="A3927" s="18">
        <v>2926</v>
      </c>
      <c r="B3927" s="4" t="s">
        <v>233</v>
      </c>
      <c r="C3927" s="38" t="s">
        <v>3240</v>
      </c>
      <c r="D3927" s="18">
        <v>2022</v>
      </c>
      <c r="E3927" s="4" t="s">
        <v>234</v>
      </c>
      <c r="F3927" s="4">
        <v>1</v>
      </c>
      <c r="G3927" s="42">
        <v>15</v>
      </c>
      <c r="H3927" s="4">
        <v>478</v>
      </c>
    </row>
    <row r="3928" spans="1:33" s="15" customFormat="1" ht="33.75" hidden="1" customHeight="1" outlineLevel="1" x14ac:dyDescent="0.25">
      <c r="A3928" s="18">
        <v>2927</v>
      </c>
      <c r="B3928" s="4" t="s">
        <v>233</v>
      </c>
      <c r="C3928" s="38" t="s">
        <v>3244</v>
      </c>
      <c r="D3928" s="18">
        <v>2022</v>
      </c>
      <c r="E3928" s="4" t="s">
        <v>234</v>
      </c>
      <c r="F3928" s="4">
        <v>1</v>
      </c>
      <c r="G3928" s="42">
        <v>10</v>
      </c>
      <c r="H3928" s="4">
        <f>0.55655*(1000)</f>
        <v>556.54999999999995</v>
      </c>
    </row>
    <row r="3929" spans="1:33" s="15" customFormat="1" ht="32.25" hidden="1" customHeight="1" outlineLevel="1" x14ac:dyDescent="0.25">
      <c r="A3929" s="18">
        <v>2771</v>
      </c>
      <c r="B3929" s="4" t="s">
        <v>233</v>
      </c>
      <c r="C3929" s="38" t="s">
        <v>3252</v>
      </c>
      <c r="D3929" s="18">
        <v>2022</v>
      </c>
      <c r="E3929" s="4" t="s">
        <v>234</v>
      </c>
      <c r="F3929" s="4">
        <v>1</v>
      </c>
      <c r="G3929" s="42">
        <v>15</v>
      </c>
      <c r="H3929" s="4">
        <f>0.20378*(1000)</f>
        <v>203.78</v>
      </c>
    </row>
    <row r="3930" spans="1:33" s="15" customFormat="1" ht="51" hidden="1" customHeight="1" outlineLevel="1" x14ac:dyDescent="0.25">
      <c r="A3930" s="18">
        <v>2795</v>
      </c>
      <c r="B3930" s="4" t="s">
        <v>233</v>
      </c>
      <c r="C3930" s="38" t="s">
        <v>3260</v>
      </c>
      <c r="D3930" s="18">
        <v>2022</v>
      </c>
      <c r="E3930" s="4" t="s">
        <v>234</v>
      </c>
      <c r="F3930" s="4">
        <v>1</v>
      </c>
      <c r="G3930" s="42">
        <v>15</v>
      </c>
      <c r="H3930" s="4">
        <f>0.161987*(1000)</f>
        <v>161.98699999999999</v>
      </c>
    </row>
    <row r="3931" spans="1:33" s="15" customFormat="1" ht="34.5" hidden="1" customHeight="1" outlineLevel="1" x14ac:dyDescent="0.25">
      <c r="A3931" s="18">
        <v>2717</v>
      </c>
      <c r="B3931" s="4" t="s">
        <v>233</v>
      </c>
      <c r="C3931" s="38" t="s">
        <v>3293</v>
      </c>
      <c r="D3931" s="18">
        <v>2022</v>
      </c>
      <c r="E3931" s="4" t="s">
        <v>234</v>
      </c>
      <c r="F3931" s="4">
        <v>1</v>
      </c>
      <c r="G3931" s="42">
        <v>15</v>
      </c>
      <c r="H3931" s="4">
        <f>0.51658757*(1000)</f>
        <v>516.58757000000003</v>
      </c>
    </row>
    <row r="3932" spans="1:33" s="15" customFormat="1" ht="33.75" hidden="1" customHeight="1" outlineLevel="1" x14ac:dyDescent="0.25">
      <c r="A3932" s="18">
        <v>4127</v>
      </c>
      <c r="B3932" s="4" t="s">
        <v>233</v>
      </c>
      <c r="C3932" s="38" t="s">
        <v>3361</v>
      </c>
      <c r="D3932" s="18">
        <v>2022</v>
      </c>
      <c r="E3932" s="4" t="s">
        <v>234</v>
      </c>
      <c r="F3932" s="4">
        <v>1</v>
      </c>
      <c r="G3932" s="42">
        <v>15</v>
      </c>
      <c r="H3932" s="4">
        <f>0.640078*(1000)</f>
        <v>640.07800000000009</v>
      </c>
    </row>
    <row r="3933" spans="1:33" s="15" customFormat="1" ht="42" hidden="1" customHeight="1" outlineLevel="1" x14ac:dyDescent="0.25">
      <c r="A3933" s="18">
        <v>1465</v>
      </c>
      <c r="B3933" s="4" t="s">
        <v>233</v>
      </c>
      <c r="C3933" s="38" t="s">
        <v>3375</v>
      </c>
      <c r="D3933" s="18">
        <v>2022</v>
      </c>
      <c r="E3933" s="4" t="s">
        <v>234</v>
      </c>
      <c r="F3933" s="4">
        <v>1</v>
      </c>
      <c r="G3933" s="42">
        <v>15</v>
      </c>
      <c r="H3933" s="4">
        <v>482.44445000000002</v>
      </c>
    </row>
    <row r="3934" spans="1:33" s="15" customFormat="1" ht="16.5" hidden="1" customHeight="1" outlineLevel="1" x14ac:dyDescent="0.25">
      <c r="A3934" s="18">
        <v>1467</v>
      </c>
      <c r="B3934" s="4" t="s">
        <v>233</v>
      </c>
      <c r="C3934" s="38" t="s">
        <v>3377</v>
      </c>
      <c r="D3934" s="18">
        <v>2022</v>
      </c>
      <c r="E3934" s="4" t="s">
        <v>234</v>
      </c>
      <c r="F3934" s="4">
        <v>1</v>
      </c>
      <c r="G3934" s="42">
        <v>15</v>
      </c>
      <c r="H3934" s="4">
        <v>458.55973999999998</v>
      </c>
    </row>
    <row r="3935" spans="1:33" s="15" customFormat="1" ht="39" hidden="1" customHeight="1" outlineLevel="1" x14ac:dyDescent="0.25">
      <c r="A3935" s="18">
        <v>1230</v>
      </c>
      <c r="B3935" s="4" t="s">
        <v>233</v>
      </c>
      <c r="C3935" s="38" t="s">
        <v>3378</v>
      </c>
      <c r="D3935" s="18">
        <v>2022</v>
      </c>
      <c r="E3935" s="4" t="s">
        <v>234</v>
      </c>
      <c r="F3935" s="4">
        <v>1</v>
      </c>
      <c r="G3935" s="42">
        <v>1</v>
      </c>
      <c r="H3935" s="4">
        <v>463.92514999999997</v>
      </c>
    </row>
    <row r="3936" spans="1:33" s="15" customFormat="1" ht="33.75" hidden="1" customHeight="1" outlineLevel="1" x14ac:dyDescent="0.25">
      <c r="A3936" s="18">
        <v>1196</v>
      </c>
      <c r="B3936" s="4" t="s">
        <v>233</v>
      </c>
      <c r="C3936" s="38" t="s">
        <v>3384</v>
      </c>
      <c r="D3936" s="18">
        <v>2022</v>
      </c>
      <c r="E3936" s="4" t="s">
        <v>234</v>
      </c>
      <c r="F3936" s="4">
        <v>1</v>
      </c>
      <c r="G3936" s="42">
        <v>15</v>
      </c>
      <c r="H3936" s="4">
        <v>514.34452999999996</v>
      </c>
    </row>
    <row r="3937" spans="1:8" s="15" customFormat="1" ht="16.5" hidden="1" customHeight="1" outlineLevel="1" x14ac:dyDescent="0.25">
      <c r="A3937" s="18">
        <v>1150</v>
      </c>
      <c r="B3937" s="4" t="s">
        <v>233</v>
      </c>
      <c r="C3937" s="38" t="s">
        <v>3386</v>
      </c>
      <c r="D3937" s="18">
        <v>2022</v>
      </c>
      <c r="E3937" s="4" t="s">
        <v>234</v>
      </c>
      <c r="F3937" s="4">
        <v>1</v>
      </c>
      <c r="G3937" s="42">
        <v>15</v>
      </c>
      <c r="H3937" s="4">
        <v>534.98041000000001</v>
      </c>
    </row>
    <row r="3938" spans="1:8" s="15" customFormat="1" ht="16.5" hidden="1" customHeight="1" outlineLevel="1" x14ac:dyDescent="0.25">
      <c r="A3938" s="18">
        <v>1162</v>
      </c>
      <c r="B3938" s="4" t="s">
        <v>233</v>
      </c>
      <c r="C3938" s="38" t="s">
        <v>3389</v>
      </c>
      <c r="D3938" s="18">
        <v>2022</v>
      </c>
      <c r="E3938" s="4" t="s">
        <v>234</v>
      </c>
      <c r="F3938" s="4">
        <v>1</v>
      </c>
      <c r="G3938" s="42">
        <v>15</v>
      </c>
      <c r="H3938" s="4">
        <v>542.64164000000005</v>
      </c>
    </row>
    <row r="3939" spans="1:8" s="15" customFormat="1" ht="16.5" hidden="1" customHeight="1" outlineLevel="1" x14ac:dyDescent="0.25">
      <c r="A3939" s="18">
        <v>1229</v>
      </c>
      <c r="B3939" s="4" t="s">
        <v>233</v>
      </c>
      <c r="C3939" s="38" t="s">
        <v>3419</v>
      </c>
      <c r="D3939" s="18">
        <v>2022</v>
      </c>
      <c r="E3939" s="4" t="s">
        <v>234</v>
      </c>
      <c r="F3939" s="4">
        <v>1</v>
      </c>
      <c r="G3939" s="42">
        <v>15</v>
      </c>
      <c r="H3939" s="4">
        <v>522.73523999999998</v>
      </c>
    </row>
    <row r="3940" spans="1:8" s="15" customFormat="1" ht="16.5" hidden="1" customHeight="1" outlineLevel="1" x14ac:dyDescent="0.25">
      <c r="A3940" s="18">
        <v>1057</v>
      </c>
      <c r="B3940" s="4" t="s">
        <v>233</v>
      </c>
      <c r="C3940" s="38" t="s">
        <v>3423</v>
      </c>
      <c r="D3940" s="18">
        <v>2022</v>
      </c>
      <c r="E3940" s="4" t="s">
        <v>234</v>
      </c>
      <c r="F3940" s="4">
        <v>1</v>
      </c>
      <c r="G3940" s="42">
        <v>15</v>
      </c>
      <c r="H3940" s="4">
        <v>548.87419999999997</v>
      </c>
    </row>
    <row r="3941" spans="1:8" s="15" customFormat="1" ht="16.5" hidden="1" customHeight="1" outlineLevel="1" x14ac:dyDescent="0.25">
      <c r="A3941" s="18">
        <v>1132</v>
      </c>
      <c r="B3941" s="4" t="s">
        <v>233</v>
      </c>
      <c r="C3941" s="38" t="s">
        <v>3424</v>
      </c>
      <c r="D3941" s="18">
        <v>2022</v>
      </c>
      <c r="E3941" s="4" t="s">
        <v>234</v>
      </c>
      <c r="F3941" s="4">
        <v>1</v>
      </c>
      <c r="G3941" s="42">
        <v>15</v>
      </c>
      <c r="H3941" s="4">
        <v>562.74640999999997</v>
      </c>
    </row>
    <row r="3942" spans="1:8" s="15" customFormat="1" ht="16.5" hidden="1" customHeight="1" outlineLevel="1" x14ac:dyDescent="0.25">
      <c r="A3942" s="18">
        <v>1491</v>
      </c>
      <c r="B3942" s="4" t="s">
        <v>233</v>
      </c>
      <c r="C3942" s="38" t="s">
        <v>3427</v>
      </c>
      <c r="D3942" s="18">
        <v>2022</v>
      </c>
      <c r="E3942" s="4" t="s">
        <v>234</v>
      </c>
      <c r="F3942" s="4">
        <v>1</v>
      </c>
      <c r="G3942" s="42">
        <v>15</v>
      </c>
      <c r="H3942" s="4">
        <v>539.08167000000003</v>
      </c>
    </row>
    <row r="3943" spans="1:8" s="15" customFormat="1" ht="16.5" hidden="1" customHeight="1" outlineLevel="1" x14ac:dyDescent="0.25">
      <c r="A3943" s="18">
        <v>1047</v>
      </c>
      <c r="B3943" s="4" t="s">
        <v>233</v>
      </c>
      <c r="C3943" s="38" t="s">
        <v>3436</v>
      </c>
      <c r="D3943" s="18">
        <v>2022</v>
      </c>
      <c r="E3943" s="4" t="s">
        <v>234</v>
      </c>
      <c r="F3943" s="4">
        <v>1</v>
      </c>
      <c r="G3943" s="42">
        <v>15</v>
      </c>
      <c r="H3943" s="4">
        <v>576.00863000000004</v>
      </c>
    </row>
    <row r="3944" spans="1:8" s="15" customFormat="1" ht="16.5" hidden="1" customHeight="1" outlineLevel="1" x14ac:dyDescent="0.25">
      <c r="A3944" s="18">
        <v>1174</v>
      </c>
      <c r="B3944" s="4" t="s">
        <v>233</v>
      </c>
      <c r="C3944" s="38" t="s">
        <v>3457</v>
      </c>
      <c r="D3944" s="18">
        <v>2022</v>
      </c>
      <c r="E3944" s="4" t="s">
        <v>234</v>
      </c>
      <c r="F3944" s="4">
        <v>1</v>
      </c>
      <c r="G3944" s="42">
        <v>15</v>
      </c>
      <c r="H3944" s="4">
        <v>468.67406999999997</v>
      </c>
    </row>
    <row r="3945" spans="1:8" s="15" customFormat="1" ht="33.75" hidden="1" customHeight="1" outlineLevel="1" x14ac:dyDescent="0.25">
      <c r="A3945" s="18">
        <v>1085</v>
      </c>
      <c r="B3945" s="4" t="s">
        <v>233</v>
      </c>
      <c r="C3945" s="38" t="s">
        <v>3468</v>
      </c>
      <c r="D3945" s="18">
        <v>2022</v>
      </c>
      <c r="E3945" s="4" t="s">
        <v>234</v>
      </c>
      <c r="F3945" s="4">
        <v>1</v>
      </c>
      <c r="G3945" s="42">
        <v>15</v>
      </c>
      <c r="H3945" s="4">
        <v>539.70627000000002</v>
      </c>
    </row>
    <row r="3946" spans="1:8" s="15" customFormat="1" ht="16.5" hidden="1" customHeight="1" outlineLevel="1" x14ac:dyDescent="0.25">
      <c r="A3946" s="18">
        <v>1199</v>
      </c>
      <c r="B3946" s="4" t="s">
        <v>233</v>
      </c>
      <c r="C3946" s="38" t="s">
        <v>3477</v>
      </c>
      <c r="D3946" s="18">
        <v>2022</v>
      </c>
      <c r="E3946" s="4" t="s">
        <v>234</v>
      </c>
      <c r="F3946" s="4">
        <v>1</v>
      </c>
      <c r="G3946" s="42">
        <v>15</v>
      </c>
      <c r="H3946" s="4">
        <v>412.34136000000001</v>
      </c>
    </row>
    <row r="3947" spans="1:8" s="15" customFormat="1" ht="16.5" hidden="1" customHeight="1" outlineLevel="1" x14ac:dyDescent="0.25">
      <c r="A3947" s="18">
        <v>1430</v>
      </c>
      <c r="B3947" s="4" t="s">
        <v>233</v>
      </c>
      <c r="C3947" s="38" t="s">
        <v>3482</v>
      </c>
      <c r="D3947" s="18">
        <v>2022</v>
      </c>
      <c r="E3947" s="4" t="s">
        <v>234</v>
      </c>
      <c r="F3947" s="4">
        <v>1</v>
      </c>
      <c r="G3947" s="42">
        <v>15</v>
      </c>
      <c r="H3947" s="4">
        <v>543.48085000000003</v>
      </c>
    </row>
    <row r="3948" spans="1:8" s="15" customFormat="1" ht="16.5" hidden="1" customHeight="1" outlineLevel="1" x14ac:dyDescent="0.25">
      <c r="A3948" s="18">
        <v>1579</v>
      </c>
      <c r="B3948" s="4" t="s">
        <v>233</v>
      </c>
      <c r="C3948" s="38" t="s">
        <v>3488</v>
      </c>
      <c r="D3948" s="18">
        <v>2022</v>
      </c>
      <c r="E3948" s="4" t="s">
        <v>234</v>
      </c>
      <c r="F3948" s="4">
        <v>1</v>
      </c>
      <c r="G3948" s="42">
        <v>15</v>
      </c>
      <c r="H3948" s="4">
        <v>594.61662000000001</v>
      </c>
    </row>
    <row r="3949" spans="1:8" s="15" customFormat="1" ht="16.5" hidden="1" customHeight="1" outlineLevel="1" x14ac:dyDescent="0.25">
      <c r="A3949" s="18">
        <v>1043</v>
      </c>
      <c r="B3949" s="4" t="s">
        <v>233</v>
      </c>
      <c r="C3949" s="38" t="s">
        <v>3492</v>
      </c>
      <c r="D3949" s="18">
        <v>2022</v>
      </c>
      <c r="E3949" s="4" t="s">
        <v>234</v>
      </c>
      <c r="F3949" s="4">
        <v>1</v>
      </c>
      <c r="G3949" s="42">
        <v>15</v>
      </c>
      <c r="H3949" s="4">
        <v>638.76441</v>
      </c>
    </row>
    <row r="3950" spans="1:8" s="15" customFormat="1" ht="21.75" hidden="1" customHeight="1" outlineLevel="1" x14ac:dyDescent="0.25">
      <c r="A3950" s="18">
        <v>456</v>
      </c>
      <c r="B3950" s="4" t="s">
        <v>233</v>
      </c>
      <c r="C3950" s="38" t="s">
        <v>4251</v>
      </c>
      <c r="D3950" s="18">
        <v>2022</v>
      </c>
      <c r="E3950" s="4" t="s">
        <v>234</v>
      </c>
      <c r="F3950" s="4">
        <v>1</v>
      </c>
      <c r="G3950" s="42">
        <v>15</v>
      </c>
      <c r="H3950" s="4">
        <v>353.74633999999998</v>
      </c>
    </row>
    <row r="3951" spans="1:8" s="15" customFormat="1" ht="16.5" hidden="1" customHeight="1" outlineLevel="1" x14ac:dyDescent="0.25">
      <c r="A3951" s="18">
        <v>457</v>
      </c>
      <c r="B3951" s="4" t="s">
        <v>233</v>
      </c>
      <c r="C3951" s="38" t="s">
        <v>3542</v>
      </c>
      <c r="D3951" s="18">
        <v>2022</v>
      </c>
      <c r="E3951" s="4" t="s">
        <v>234</v>
      </c>
      <c r="F3951" s="4">
        <v>1</v>
      </c>
      <c r="G3951" s="42">
        <v>15</v>
      </c>
      <c r="H3951" s="4">
        <v>320.59685000000002</v>
      </c>
    </row>
    <row r="3952" spans="1:8" s="15" customFormat="1" ht="16.5" hidden="1" customHeight="1" outlineLevel="1" x14ac:dyDescent="0.25">
      <c r="A3952" s="18">
        <v>462</v>
      </c>
      <c r="B3952" s="4" t="s">
        <v>233</v>
      </c>
      <c r="C3952" s="38" t="s">
        <v>3564</v>
      </c>
      <c r="D3952" s="18">
        <v>2022</v>
      </c>
      <c r="E3952" s="4" t="s">
        <v>234</v>
      </c>
      <c r="F3952" s="4">
        <v>1</v>
      </c>
      <c r="G3952" s="42">
        <v>15</v>
      </c>
      <c r="H3952" s="4">
        <v>444.39708000000002</v>
      </c>
    </row>
    <row r="3953" spans="1:8" s="15" customFormat="1" ht="16.5" hidden="1" customHeight="1" outlineLevel="1" x14ac:dyDescent="0.25">
      <c r="A3953" s="18">
        <v>465</v>
      </c>
      <c r="B3953" s="4" t="s">
        <v>233</v>
      </c>
      <c r="C3953" s="38" t="s">
        <v>3568</v>
      </c>
      <c r="D3953" s="18">
        <v>2022</v>
      </c>
      <c r="E3953" s="4" t="s">
        <v>234</v>
      </c>
      <c r="F3953" s="4">
        <v>1</v>
      </c>
      <c r="G3953" s="42">
        <v>15</v>
      </c>
      <c r="H3953" s="4">
        <v>675.35366999999997</v>
      </c>
    </row>
    <row r="3954" spans="1:8" s="15" customFormat="1" ht="16.5" hidden="1" customHeight="1" outlineLevel="1" x14ac:dyDescent="0.25">
      <c r="A3954" s="18">
        <v>467</v>
      </c>
      <c r="B3954" s="4" t="s">
        <v>233</v>
      </c>
      <c r="C3954" s="38" t="s">
        <v>3569</v>
      </c>
      <c r="D3954" s="18">
        <v>2022</v>
      </c>
      <c r="E3954" s="4" t="s">
        <v>234</v>
      </c>
      <c r="F3954" s="4">
        <v>1</v>
      </c>
      <c r="G3954" s="42">
        <v>15</v>
      </c>
      <c r="H3954" s="4">
        <v>490.81760000000003</v>
      </c>
    </row>
    <row r="3955" spans="1:8" s="15" customFormat="1" ht="16.5" hidden="1" customHeight="1" outlineLevel="1" x14ac:dyDescent="0.25">
      <c r="A3955" s="18">
        <v>470</v>
      </c>
      <c r="B3955" s="4" t="s">
        <v>233</v>
      </c>
      <c r="C3955" s="38" t="s">
        <v>3578</v>
      </c>
      <c r="D3955" s="18">
        <v>2022</v>
      </c>
      <c r="E3955" s="4" t="s">
        <v>234</v>
      </c>
      <c r="F3955" s="4">
        <v>1</v>
      </c>
      <c r="G3955" s="42">
        <v>15</v>
      </c>
      <c r="H3955" s="4">
        <v>513.91995999999995</v>
      </c>
    </row>
    <row r="3956" spans="1:8" s="15" customFormat="1" ht="16.5" hidden="1" customHeight="1" outlineLevel="1" x14ac:dyDescent="0.25">
      <c r="A3956" s="18">
        <v>2007</v>
      </c>
      <c r="B3956" s="4" t="s">
        <v>233</v>
      </c>
      <c r="C3956" s="38" t="s">
        <v>4203</v>
      </c>
      <c r="D3956" s="18">
        <v>2022</v>
      </c>
      <c r="E3956" s="4" t="s">
        <v>234</v>
      </c>
      <c r="F3956" s="4">
        <v>1</v>
      </c>
      <c r="G3956" s="42">
        <v>15</v>
      </c>
      <c r="H3956" s="4">
        <v>495.55599999999998</v>
      </c>
    </row>
    <row r="3957" spans="1:8" s="15" customFormat="1" ht="16.5" hidden="1" customHeight="1" outlineLevel="1" x14ac:dyDescent="0.25">
      <c r="A3957" s="18">
        <v>1869</v>
      </c>
      <c r="B3957" s="4" t="s">
        <v>233</v>
      </c>
      <c r="C3957" s="38" t="s">
        <v>4204</v>
      </c>
      <c r="D3957" s="18">
        <v>2022</v>
      </c>
      <c r="E3957" s="4" t="s">
        <v>234</v>
      </c>
      <c r="F3957" s="4">
        <v>1</v>
      </c>
      <c r="G3957" s="42">
        <v>4</v>
      </c>
      <c r="H3957" s="4">
        <v>394.88900000000001</v>
      </c>
    </row>
    <row r="3958" spans="1:8" s="15" customFormat="1" ht="16.5" hidden="1" customHeight="1" outlineLevel="1" x14ac:dyDescent="0.25">
      <c r="A3958" s="18">
        <v>1940</v>
      </c>
      <c r="B3958" s="4" t="s">
        <v>233</v>
      </c>
      <c r="C3958" s="38" t="s">
        <v>4205</v>
      </c>
      <c r="D3958" s="18">
        <v>2022</v>
      </c>
      <c r="E3958" s="4" t="s">
        <v>234</v>
      </c>
      <c r="F3958" s="4">
        <v>1</v>
      </c>
      <c r="G3958" s="42">
        <v>10</v>
      </c>
      <c r="H3958" s="4">
        <v>479.78699999999998</v>
      </c>
    </row>
    <row r="3959" spans="1:8" s="15" customFormat="1" ht="33.75" hidden="1" customHeight="1" outlineLevel="1" x14ac:dyDescent="0.25">
      <c r="A3959" s="18">
        <v>2242</v>
      </c>
      <c r="B3959" s="4" t="s">
        <v>233</v>
      </c>
      <c r="C3959" s="38" t="s">
        <v>4207</v>
      </c>
      <c r="D3959" s="18">
        <v>2022</v>
      </c>
      <c r="E3959" s="4" t="s">
        <v>234</v>
      </c>
      <c r="F3959" s="4">
        <v>1</v>
      </c>
      <c r="G3959" s="42">
        <v>15</v>
      </c>
      <c r="H3959" s="4">
        <v>592.64200000000005</v>
      </c>
    </row>
    <row r="3960" spans="1:8" s="15" customFormat="1" ht="16.5" hidden="1" customHeight="1" outlineLevel="1" x14ac:dyDescent="0.25">
      <c r="A3960" s="18">
        <v>2007</v>
      </c>
      <c r="B3960" s="4" t="s">
        <v>233</v>
      </c>
      <c r="C3960" s="38" t="s">
        <v>4203</v>
      </c>
      <c r="D3960" s="18">
        <v>2022</v>
      </c>
      <c r="E3960" s="4" t="s">
        <v>234</v>
      </c>
      <c r="F3960" s="4">
        <v>1</v>
      </c>
      <c r="G3960" s="42">
        <v>15</v>
      </c>
      <c r="H3960" s="4">
        <v>495.55599999999998</v>
      </c>
    </row>
    <row r="3961" spans="1:8" s="15" customFormat="1" ht="24" hidden="1" customHeight="1" outlineLevel="1" x14ac:dyDescent="0.25">
      <c r="A3961" s="18">
        <v>1869</v>
      </c>
      <c r="B3961" s="4" t="s">
        <v>233</v>
      </c>
      <c r="C3961" s="38" t="s">
        <v>4204</v>
      </c>
      <c r="D3961" s="18">
        <v>2022</v>
      </c>
      <c r="E3961" s="4" t="s">
        <v>234</v>
      </c>
      <c r="F3961" s="4">
        <v>1</v>
      </c>
      <c r="G3961" s="42">
        <v>4</v>
      </c>
      <c r="H3961" s="4">
        <v>394.88900000000001</v>
      </c>
    </row>
    <row r="3962" spans="1:8" s="15" customFormat="1" ht="16.5" hidden="1" customHeight="1" outlineLevel="1" x14ac:dyDescent="0.25">
      <c r="A3962" s="18">
        <v>1940</v>
      </c>
      <c r="B3962" s="4" t="s">
        <v>233</v>
      </c>
      <c r="C3962" s="38" t="s">
        <v>4205</v>
      </c>
      <c r="D3962" s="18">
        <v>2022</v>
      </c>
      <c r="E3962" s="4" t="s">
        <v>234</v>
      </c>
      <c r="F3962" s="4">
        <v>1</v>
      </c>
      <c r="G3962" s="42">
        <v>10</v>
      </c>
      <c r="H3962" s="4">
        <v>479.78699999999998</v>
      </c>
    </row>
    <row r="3963" spans="1:8" s="15" customFormat="1" ht="16.5" hidden="1" customHeight="1" outlineLevel="1" x14ac:dyDescent="0.25">
      <c r="A3963" s="18">
        <v>2242</v>
      </c>
      <c r="B3963" s="4" t="s">
        <v>233</v>
      </c>
      <c r="C3963" s="38" t="s">
        <v>4207</v>
      </c>
      <c r="D3963" s="18">
        <v>2022</v>
      </c>
      <c r="E3963" s="4" t="s">
        <v>234</v>
      </c>
      <c r="F3963" s="4">
        <v>1</v>
      </c>
      <c r="G3963" s="42">
        <v>15</v>
      </c>
      <c r="H3963" s="4">
        <v>592.64200000000005</v>
      </c>
    </row>
    <row r="3964" spans="1:8" s="15" customFormat="1" ht="16.5" hidden="1" customHeight="1" outlineLevel="1" x14ac:dyDescent="0.25">
      <c r="A3964" s="18">
        <v>2429</v>
      </c>
      <c r="B3964" s="4" t="s">
        <v>233</v>
      </c>
      <c r="C3964" s="38" t="s">
        <v>4237</v>
      </c>
      <c r="D3964" s="18">
        <v>2022</v>
      </c>
      <c r="E3964" s="4" t="s">
        <v>234</v>
      </c>
      <c r="F3964" s="4">
        <v>1</v>
      </c>
      <c r="G3964" s="42">
        <v>12</v>
      </c>
      <c r="H3964" s="4">
        <v>1435.059</v>
      </c>
    </row>
    <row r="3965" spans="1:8" s="15" customFormat="1" ht="16.5" hidden="1" customHeight="1" outlineLevel="1" x14ac:dyDescent="0.25">
      <c r="A3965" s="18">
        <v>2253</v>
      </c>
      <c r="B3965" s="4" t="s">
        <v>233</v>
      </c>
      <c r="C3965" s="38" t="s">
        <v>4165</v>
      </c>
      <c r="D3965" s="18">
        <v>2022</v>
      </c>
      <c r="E3965" s="4" t="s">
        <v>234</v>
      </c>
      <c r="F3965" s="4">
        <v>1</v>
      </c>
      <c r="G3965" s="42">
        <v>14</v>
      </c>
      <c r="H3965" s="4">
        <v>482.46499999999997</v>
      </c>
    </row>
    <row r="3966" spans="1:8" s="15" customFormat="1" ht="16.5" hidden="1" customHeight="1" outlineLevel="1" x14ac:dyDescent="0.25">
      <c r="A3966" s="18">
        <v>2544</v>
      </c>
      <c r="B3966" s="4" t="s">
        <v>233</v>
      </c>
      <c r="C3966" s="38" t="s">
        <v>4174</v>
      </c>
      <c r="D3966" s="18">
        <v>2022</v>
      </c>
      <c r="E3966" s="4" t="s">
        <v>234</v>
      </c>
      <c r="F3966" s="4">
        <v>1</v>
      </c>
      <c r="G3966" s="42">
        <v>15</v>
      </c>
      <c r="H3966" s="4">
        <v>844.69399999999996</v>
      </c>
    </row>
    <row r="3967" spans="1:8" s="15" customFormat="1" ht="16.5" hidden="1" customHeight="1" outlineLevel="1" x14ac:dyDescent="0.25">
      <c r="A3967" s="18">
        <v>2565</v>
      </c>
      <c r="B3967" s="4" t="s">
        <v>233</v>
      </c>
      <c r="C3967" s="38" t="s">
        <v>4196</v>
      </c>
      <c r="D3967" s="18">
        <v>2022</v>
      </c>
      <c r="E3967" s="4" t="s">
        <v>234</v>
      </c>
      <c r="F3967" s="4">
        <v>1</v>
      </c>
      <c r="G3967" s="42">
        <v>15</v>
      </c>
      <c r="H3967" s="4">
        <v>609.4</v>
      </c>
    </row>
    <row r="3968" spans="1:8" s="15" customFormat="1" ht="16.5" hidden="1" customHeight="1" outlineLevel="1" x14ac:dyDescent="0.25">
      <c r="A3968" s="18">
        <v>5690</v>
      </c>
      <c r="B3968" s="4" t="s">
        <v>233</v>
      </c>
      <c r="C3968" s="38" t="s">
        <v>3624</v>
      </c>
      <c r="D3968" s="18">
        <v>2022</v>
      </c>
      <c r="E3968" s="4" t="s">
        <v>234</v>
      </c>
      <c r="F3968" s="4">
        <v>1</v>
      </c>
      <c r="G3968" s="42">
        <v>10</v>
      </c>
      <c r="H3968" s="4">
        <v>249.89400000000001</v>
      </c>
    </row>
    <row r="3969" spans="1:8" s="15" customFormat="1" ht="16.5" hidden="1" customHeight="1" outlineLevel="1" x14ac:dyDescent="0.25">
      <c r="A3969" s="18">
        <v>5835</v>
      </c>
      <c r="B3969" s="4" t="s">
        <v>233</v>
      </c>
      <c r="C3969" s="38" t="s">
        <v>3645</v>
      </c>
      <c r="D3969" s="18">
        <v>2022</v>
      </c>
      <c r="E3969" s="4" t="s">
        <v>234</v>
      </c>
      <c r="F3969" s="4">
        <v>1</v>
      </c>
      <c r="G3969" s="42">
        <v>15</v>
      </c>
      <c r="H3969" s="4">
        <v>105.706</v>
      </c>
    </row>
    <row r="3970" spans="1:8" s="15" customFormat="1" ht="33.75" hidden="1" customHeight="1" outlineLevel="1" x14ac:dyDescent="0.25">
      <c r="A3970" s="18">
        <v>5436</v>
      </c>
      <c r="B3970" s="4" t="s">
        <v>233</v>
      </c>
      <c r="C3970" s="38" t="s">
        <v>3665</v>
      </c>
      <c r="D3970" s="18">
        <v>2022</v>
      </c>
      <c r="E3970" s="4" t="s">
        <v>234</v>
      </c>
      <c r="F3970" s="4">
        <v>1</v>
      </c>
      <c r="G3970" s="42">
        <v>15</v>
      </c>
      <c r="H3970" s="4">
        <v>333.67</v>
      </c>
    </row>
    <row r="3971" spans="1:8" s="15" customFormat="1" ht="16.5" hidden="1" customHeight="1" outlineLevel="1" x14ac:dyDescent="0.25">
      <c r="A3971" s="18">
        <v>5767</v>
      </c>
      <c r="B3971" s="4" t="s">
        <v>233</v>
      </c>
      <c r="C3971" s="38" t="s">
        <v>3675</v>
      </c>
      <c r="D3971" s="18">
        <v>2022</v>
      </c>
      <c r="E3971" s="4" t="s">
        <v>234</v>
      </c>
      <c r="F3971" s="4">
        <v>1</v>
      </c>
      <c r="G3971" s="42">
        <v>15</v>
      </c>
      <c r="H3971" s="4">
        <v>412.84399999999999</v>
      </c>
    </row>
    <row r="3972" spans="1:8" s="15" customFormat="1" ht="16.5" hidden="1" customHeight="1" outlineLevel="1" x14ac:dyDescent="0.25">
      <c r="A3972" s="18">
        <v>119</v>
      </c>
      <c r="B3972" s="4" t="s">
        <v>233</v>
      </c>
      <c r="C3972" s="38" t="s">
        <v>3691</v>
      </c>
      <c r="D3972" s="18">
        <v>2022</v>
      </c>
      <c r="E3972" s="4" t="s">
        <v>234</v>
      </c>
      <c r="F3972" s="4">
        <v>1</v>
      </c>
      <c r="G3972" s="42">
        <v>15</v>
      </c>
      <c r="H3972" s="4">
        <v>395</v>
      </c>
    </row>
    <row r="3973" spans="1:8" s="15" customFormat="1" ht="16.5" hidden="1" customHeight="1" outlineLevel="1" x14ac:dyDescent="0.25">
      <c r="A3973" s="18">
        <v>157</v>
      </c>
      <c r="B3973" s="4" t="s">
        <v>233</v>
      </c>
      <c r="C3973" s="38" t="s">
        <v>3704</v>
      </c>
      <c r="D3973" s="18">
        <v>2022</v>
      </c>
      <c r="E3973" s="4" t="s">
        <v>234</v>
      </c>
      <c r="F3973" s="4">
        <v>1</v>
      </c>
      <c r="G3973" s="42">
        <v>15</v>
      </c>
      <c r="H3973" s="4">
        <v>389</v>
      </c>
    </row>
    <row r="3974" spans="1:8" s="15" customFormat="1" ht="16.5" hidden="1" customHeight="1" outlineLevel="1" x14ac:dyDescent="0.25">
      <c r="A3974" s="18">
        <v>205</v>
      </c>
      <c r="B3974" s="4" t="s">
        <v>233</v>
      </c>
      <c r="C3974" s="38" t="s">
        <v>3707</v>
      </c>
      <c r="D3974" s="18">
        <v>2022</v>
      </c>
      <c r="E3974" s="4" t="s">
        <v>234</v>
      </c>
      <c r="F3974" s="4">
        <v>1</v>
      </c>
      <c r="G3974" s="42">
        <v>15</v>
      </c>
      <c r="H3974" s="4">
        <v>330</v>
      </c>
    </row>
    <row r="3975" spans="1:8" s="15" customFormat="1" ht="16.5" hidden="1" customHeight="1" outlineLevel="1" x14ac:dyDescent="0.25">
      <c r="A3975" s="18">
        <v>207</v>
      </c>
      <c r="B3975" s="4" t="s">
        <v>233</v>
      </c>
      <c r="C3975" s="38" t="s">
        <v>3710</v>
      </c>
      <c r="D3975" s="18">
        <v>2022</v>
      </c>
      <c r="E3975" s="4" t="s">
        <v>234</v>
      </c>
      <c r="F3975" s="4">
        <v>1</v>
      </c>
      <c r="G3975" s="42">
        <v>15</v>
      </c>
      <c r="H3975" s="4">
        <v>611</v>
      </c>
    </row>
    <row r="3976" spans="1:8" s="15" customFormat="1" ht="16.5" hidden="1" customHeight="1" outlineLevel="1" x14ac:dyDescent="0.25">
      <c r="A3976" s="18">
        <v>155</v>
      </c>
      <c r="B3976" s="4" t="s">
        <v>233</v>
      </c>
      <c r="C3976" s="38" t="s">
        <v>3716</v>
      </c>
      <c r="D3976" s="18">
        <v>2022</v>
      </c>
      <c r="E3976" s="4" t="s">
        <v>234</v>
      </c>
      <c r="F3976" s="4">
        <v>1</v>
      </c>
      <c r="G3976" s="42">
        <v>15</v>
      </c>
      <c r="H3976" s="4">
        <v>385</v>
      </c>
    </row>
    <row r="3977" spans="1:8" s="15" customFormat="1" ht="16.5" hidden="1" customHeight="1" outlineLevel="1" x14ac:dyDescent="0.25">
      <c r="A3977" s="18">
        <v>104</v>
      </c>
      <c r="B3977" s="4" t="s">
        <v>233</v>
      </c>
      <c r="C3977" s="38" t="s">
        <v>3733</v>
      </c>
      <c r="D3977" s="18">
        <v>2022</v>
      </c>
      <c r="E3977" s="4" t="s">
        <v>234</v>
      </c>
      <c r="F3977" s="4">
        <v>1</v>
      </c>
      <c r="G3977" s="42">
        <v>30</v>
      </c>
      <c r="H3977" s="4">
        <v>399</v>
      </c>
    </row>
    <row r="3978" spans="1:8" s="15" customFormat="1" ht="16.5" hidden="1" customHeight="1" outlineLevel="1" x14ac:dyDescent="0.25">
      <c r="A3978" s="18">
        <v>103</v>
      </c>
      <c r="B3978" s="4" t="s">
        <v>233</v>
      </c>
      <c r="C3978" s="38" t="s">
        <v>3735</v>
      </c>
      <c r="D3978" s="18">
        <v>2022</v>
      </c>
      <c r="E3978" s="4" t="s">
        <v>234</v>
      </c>
      <c r="F3978" s="4">
        <v>1</v>
      </c>
      <c r="G3978" s="42">
        <v>15</v>
      </c>
      <c r="H3978" s="4">
        <v>532</v>
      </c>
    </row>
    <row r="3979" spans="1:8" s="15" customFormat="1" ht="16.5" hidden="1" customHeight="1" outlineLevel="1" x14ac:dyDescent="0.25">
      <c r="A3979" s="18">
        <v>16</v>
      </c>
      <c r="B3979" s="4" t="s">
        <v>233</v>
      </c>
      <c r="C3979" s="38" t="s">
        <v>3738</v>
      </c>
      <c r="D3979" s="18">
        <v>2022</v>
      </c>
      <c r="E3979" s="4" t="s">
        <v>234</v>
      </c>
      <c r="F3979" s="4">
        <v>1</v>
      </c>
      <c r="G3979" s="42">
        <v>15</v>
      </c>
      <c r="H3979" s="4">
        <v>507</v>
      </c>
    </row>
    <row r="3980" spans="1:8" s="15" customFormat="1" ht="16.5" hidden="1" customHeight="1" outlineLevel="1" x14ac:dyDescent="0.25">
      <c r="A3980" s="18">
        <v>94</v>
      </c>
      <c r="B3980" s="4" t="s">
        <v>233</v>
      </c>
      <c r="C3980" s="38" t="s">
        <v>3765</v>
      </c>
      <c r="D3980" s="18">
        <v>2022</v>
      </c>
      <c r="E3980" s="4" t="s">
        <v>234</v>
      </c>
      <c r="F3980" s="4">
        <v>1</v>
      </c>
      <c r="G3980" s="42">
        <v>7.5</v>
      </c>
      <c r="H3980" s="4">
        <v>247</v>
      </c>
    </row>
    <row r="3981" spans="1:8" s="15" customFormat="1" ht="16.5" hidden="1" customHeight="1" outlineLevel="1" x14ac:dyDescent="0.25">
      <c r="A3981" s="18">
        <v>224</v>
      </c>
      <c r="B3981" s="4" t="s">
        <v>233</v>
      </c>
      <c r="C3981" s="38" t="s">
        <v>3982</v>
      </c>
      <c r="D3981" s="18">
        <v>2022</v>
      </c>
      <c r="E3981" s="4" t="s">
        <v>234</v>
      </c>
      <c r="F3981" s="4">
        <v>1</v>
      </c>
      <c r="G3981" s="42">
        <v>15</v>
      </c>
      <c r="H3981" s="4">
        <v>467</v>
      </c>
    </row>
    <row r="3982" spans="1:8" s="15" customFormat="1" ht="16.5" hidden="1" customHeight="1" outlineLevel="1" x14ac:dyDescent="0.25">
      <c r="A3982" s="18">
        <v>396</v>
      </c>
      <c r="B3982" s="4" t="s">
        <v>233</v>
      </c>
      <c r="C3982" s="38" t="s">
        <v>3828</v>
      </c>
      <c r="D3982" s="18">
        <v>2022</v>
      </c>
      <c r="E3982" s="4" t="s">
        <v>234</v>
      </c>
      <c r="F3982" s="4">
        <v>1</v>
      </c>
      <c r="G3982" s="42">
        <v>21</v>
      </c>
      <c r="H3982" s="4">
        <v>598</v>
      </c>
    </row>
    <row r="3983" spans="1:8" s="15" customFormat="1" ht="16.5" hidden="1" customHeight="1" outlineLevel="1" x14ac:dyDescent="0.25">
      <c r="A3983" s="18">
        <v>427</v>
      </c>
      <c r="B3983" s="4" t="s">
        <v>233</v>
      </c>
      <c r="C3983" s="38" t="s">
        <v>3835</v>
      </c>
      <c r="D3983" s="18">
        <v>2022</v>
      </c>
      <c r="E3983" s="4" t="s">
        <v>234</v>
      </c>
      <c r="F3983" s="4">
        <v>1</v>
      </c>
      <c r="G3983" s="42">
        <v>15</v>
      </c>
      <c r="H3983" s="4">
        <v>638</v>
      </c>
    </row>
    <row r="3984" spans="1:8" s="15" customFormat="1" ht="16.5" hidden="1" customHeight="1" outlineLevel="1" x14ac:dyDescent="0.25">
      <c r="A3984" s="18">
        <v>397</v>
      </c>
      <c r="B3984" s="4" t="s">
        <v>233</v>
      </c>
      <c r="C3984" s="38" t="s">
        <v>3838</v>
      </c>
      <c r="D3984" s="18">
        <v>2022</v>
      </c>
      <c r="E3984" s="4" t="s">
        <v>234</v>
      </c>
      <c r="F3984" s="4">
        <v>1</v>
      </c>
      <c r="G3984" s="42">
        <v>15</v>
      </c>
      <c r="H3984" s="4">
        <v>648</v>
      </c>
    </row>
    <row r="3985" spans="1:8" s="15" customFormat="1" ht="26.25" hidden="1" customHeight="1" outlineLevel="1" x14ac:dyDescent="0.25">
      <c r="A3985" s="18">
        <v>574</v>
      </c>
      <c r="B3985" s="4" t="s">
        <v>233</v>
      </c>
      <c r="C3985" s="22" t="s">
        <v>235</v>
      </c>
      <c r="D3985" s="18">
        <v>2020</v>
      </c>
      <c r="E3985" s="4" t="s">
        <v>234</v>
      </c>
      <c r="F3985" s="4">
        <v>1</v>
      </c>
      <c r="G3985" s="42">
        <v>15</v>
      </c>
      <c r="H3985" s="42">
        <v>483.21467000000001</v>
      </c>
    </row>
    <row r="3986" spans="1:8" s="15" customFormat="1" ht="26.25" hidden="1" customHeight="1" outlineLevel="1" x14ac:dyDescent="0.25">
      <c r="A3986" s="18">
        <v>1802</v>
      </c>
      <c r="B3986" s="4" t="s">
        <v>233</v>
      </c>
      <c r="C3986" s="22" t="s">
        <v>23</v>
      </c>
      <c r="D3986" s="18">
        <v>2020</v>
      </c>
      <c r="E3986" s="4" t="s">
        <v>234</v>
      </c>
      <c r="F3986" s="4">
        <v>1</v>
      </c>
      <c r="G3986" s="42">
        <v>15</v>
      </c>
      <c r="H3986" s="42">
        <v>322.84631999999999</v>
      </c>
    </row>
    <row r="3987" spans="1:8" s="15" customFormat="1" ht="26.25" hidden="1" customHeight="1" outlineLevel="1" x14ac:dyDescent="0.25">
      <c r="A3987" s="18">
        <v>1768</v>
      </c>
      <c r="B3987" s="4" t="s">
        <v>233</v>
      </c>
      <c r="C3987" s="22" t="s">
        <v>101</v>
      </c>
      <c r="D3987" s="18">
        <v>2020</v>
      </c>
      <c r="E3987" s="4" t="s">
        <v>234</v>
      </c>
      <c r="F3987" s="4">
        <v>1</v>
      </c>
      <c r="G3987" s="42">
        <v>15</v>
      </c>
      <c r="H3987" s="42">
        <v>650.97621000000004</v>
      </c>
    </row>
    <row r="3988" spans="1:8" s="15" customFormat="1" ht="26.25" hidden="1" customHeight="1" outlineLevel="1" x14ac:dyDescent="0.25">
      <c r="A3988" s="18">
        <v>1717</v>
      </c>
      <c r="B3988" s="4" t="s">
        <v>233</v>
      </c>
      <c r="C3988" s="22" t="s">
        <v>146</v>
      </c>
      <c r="D3988" s="18">
        <v>2020</v>
      </c>
      <c r="E3988" s="4" t="s">
        <v>234</v>
      </c>
      <c r="F3988" s="18">
        <v>1</v>
      </c>
      <c r="G3988" s="18">
        <v>7</v>
      </c>
      <c r="H3988" s="18">
        <v>327.96300000000002</v>
      </c>
    </row>
    <row r="3989" spans="1:8" s="15" customFormat="1" ht="26.25" hidden="1" customHeight="1" outlineLevel="1" x14ac:dyDescent="0.25">
      <c r="A3989" s="18">
        <v>389</v>
      </c>
      <c r="B3989" s="4" t="s">
        <v>233</v>
      </c>
      <c r="C3989" s="22" t="s">
        <v>194</v>
      </c>
      <c r="D3989" s="18">
        <v>2020</v>
      </c>
      <c r="E3989" s="4" t="s">
        <v>234</v>
      </c>
      <c r="F3989" s="18">
        <v>1</v>
      </c>
      <c r="G3989" s="18">
        <v>10</v>
      </c>
      <c r="H3989" s="18">
        <v>376</v>
      </c>
    </row>
    <row r="3990" spans="1:8" s="15" customFormat="1" ht="26.25" hidden="1" customHeight="1" outlineLevel="1" x14ac:dyDescent="0.25">
      <c r="A3990" s="18">
        <v>458</v>
      </c>
      <c r="B3990" s="4" t="s">
        <v>233</v>
      </c>
      <c r="C3990" s="22" t="s">
        <v>195</v>
      </c>
      <c r="D3990" s="18">
        <v>2020</v>
      </c>
      <c r="E3990" s="4" t="s">
        <v>234</v>
      </c>
      <c r="F3990" s="18">
        <v>1</v>
      </c>
      <c r="G3990" s="18">
        <v>15</v>
      </c>
      <c r="H3990" s="18">
        <v>469</v>
      </c>
    </row>
    <row r="3991" spans="1:8" s="15" customFormat="1" ht="26.25" hidden="1" customHeight="1" outlineLevel="1" x14ac:dyDescent="0.25">
      <c r="A3991" s="18">
        <v>1808</v>
      </c>
      <c r="B3991" s="4" t="s">
        <v>233</v>
      </c>
      <c r="C3991" s="22" t="s">
        <v>172</v>
      </c>
      <c r="D3991" s="18">
        <v>2020</v>
      </c>
      <c r="E3991" s="4" t="s">
        <v>234</v>
      </c>
      <c r="F3991" s="18">
        <v>1</v>
      </c>
      <c r="G3991" s="18">
        <v>1.2</v>
      </c>
      <c r="H3991" s="18">
        <v>277</v>
      </c>
    </row>
    <row r="3992" spans="1:8" s="15" customFormat="1" ht="26.25" hidden="1" customHeight="1" outlineLevel="1" x14ac:dyDescent="0.25">
      <c r="A3992" s="18">
        <v>218</v>
      </c>
      <c r="B3992" s="4" t="s">
        <v>233</v>
      </c>
      <c r="C3992" s="22" t="s">
        <v>173</v>
      </c>
      <c r="D3992" s="18">
        <v>2020</v>
      </c>
      <c r="E3992" s="4" t="s">
        <v>234</v>
      </c>
      <c r="F3992" s="18">
        <v>1</v>
      </c>
      <c r="G3992" s="18">
        <v>15</v>
      </c>
      <c r="H3992" s="18">
        <v>692</v>
      </c>
    </row>
    <row r="3993" spans="1:8" s="15" customFormat="1" ht="26.25" hidden="1" customHeight="1" outlineLevel="1" x14ac:dyDescent="0.25">
      <c r="A3993" s="18">
        <v>1718</v>
      </c>
      <c r="B3993" s="4" t="s">
        <v>233</v>
      </c>
      <c r="C3993" s="22" t="s">
        <v>593</v>
      </c>
      <c r="D3993" s="18">
        <v>2020</v>
      </c>
      <c r="E3993" s="4" t="s">
        <v>234</v>
      </c>
      <c r="F3993" s="4">
        <v>1</v>
      </c>
      <c r="G3993" s="42">
        <v>15</v>
      </c>
      <c r="H3993" s="42">
        <v>293.89600000000002</v>
      </c>
    </row>
    <row r="3994" spans="1:8" s="15" customFormat="1" ht="26.25" hidden="1" customHeight="1" outlineLevel="1" x14ac:dyDescent="0.25">
      <c r="A3994" s="18">
        <v>544</v>
      </c>
      <c r="B3994" s="4" t="s">
        <v>233</v>
      </c>
      <c r="C3994" s="22" t="s">
        <v>523</v>
      </c>
      <c r="D3994" s="18">
        <v>2020</v>
      </c>
      <c r="E3994" s="4" t="s">
        <v>234</v>
      </c>
      <c r="F3994" s="4">
        <v>1</v>
      </c>
      <c r="G3994" s="42">
        <v>15</v>
      </c>
      <c r="H3994" s="42">
        <v>404.31599999999997</v>
      </c>
    </row>
    <row r="3995" spans="1:8" s="15" customFormat="1" ht="26.25" hidden="1" customHeight="1" outlineLevel="1" x14ac:dyDescent="0.25">
      <c r="A3995" s="18">
        <v>1714</v>
      </c>
      <c r="B3995" s="4" t="s">
        <v>233</v>
      </c>
      <c r="C3995" s="22" t="s">
        <v>836</v>
      </c>
      <c r="D3995" s="18">
        <v>2020</v>
      </c>
      <c r="E3995" s="4" t="s">
        <v>234</v>
      </c>
      <c r="F3995" s="4">
        <v>1</v>
      </c>
      <c r="G3995" s="42">
        <v>15</v>
      </c>
      <c r="H3995" s="42">
        <v>772.67</v>
      </c>
    </row>
    <row r="3996" spans="1:8" s="15" customFormat="1" ht="26.25" hidden="1" customHeight="1" outlineLevel="1" x14ac:dyDescent="0.25">
      <c r="A3996" s="18">
        <v>1716</v>
      </c>
      <c r="B3996" s="4" t="s">
        <v>233</v>
      </c>
      <c r="C3996" s="22" t="s">
        <v>596</v>
      </c>
      <c r="D3996" s="18">
        <v>2020</v>
      </c>
      <c r="E3996" s="4" t="s">
        <v>234</v>
      </c>
      <c r="F3996" s="4">
        <v>1</v>
      </c>
      <c r="G3996" s="42">
        <v>5</v>
      </c>
      <c r="H3996" s="42">
        <v>384.04199999999997</v>
      </c>
    </row>
    <row r="3997" spans="1:8" s="15" customFormat="1" ht="26.25" hidden="1" customHeight="1" outlineLevel="1" x14ac:dyDescent="0.25">
      <c r="A3997" s="18">
        <v>1145</v>
      </c>
      <c r="B3997" s="4" t="s">
        <v>233</v>
      </c>
      <c r="C3997" s="22" t="s">
        <v>546</v>
      </c>
      <c r="D3997" s="18">
        <v>2020</v>
      </c>
      <c r="E3997" s="4" t="s">
        <v>234</v>
      </c>
      <c r="F3997" s="4">
        <v>1</v>
      </c>
      <c r="G3997" s="42">
        <v>15</v>
      </c>
      <c r="H3997" s="42">
        <v>676.88900000000001</v>
      </c>
    </row>
    <row r="3998" spans="1:8" s="15" customFormat="1" ht="26.25" hidden="1" customHeight="1" outlineLevel="1" x14ac:dyDescent="0.25">
      <c r="A3998" s="18">
        <v>1749</v>
      </c>
      <c r="B3998" s="4" t="s">
        <v>233</v>
      </c>
      <c r="C3998" s="22" t="s">
        <v>548</v>
      </c>
      <c r="D3998" s="18">
        <v>2020</v>
      </c>
      <c r="E3998" s="4" t="s">
        <v>234</v>
      </c>
      <c r="F3998" s="4">
        <v>1</v>
      </c>
      <c r="G3998" s="42">
        <v>15</v>
      </c>
      <c r="H3998" s="42">
        <v>511.88799999999998</v>
      </c>
    </row>
    <row r="3999" spans="1:8" s="15" customFormat="1" ht="26.25" hidden="1" customHeight="1" outlineLevel="1" x14ac:dyDescent="0.25">
      <c r="A3999" s="18">
        <v>157</v>
      </c>
      <c r="B3999" s="4" t="s">
        <v>233</v>
      </c>
      <c r="C3999" s="22" t="s">
        <v>1086</v>
      </c>
      <c r="D3999" s="18">
        <v>2020</v>
      </c>
      <c r="E3999" s="4" t="s">
        <v>234</v>
      </c>
      <c r="F3999" s="4">
        <v>1</v>
      </c>
      <c r="G3999" s="42">
        <v>20</v>
      </c>
      <c r="H3999" s="42">
        <v>501.053</v>
      </c>
    </row>
    <row r="4000" spans="1:8" s="15" customFormat="1" ht="26.25" hidden="1" customHeight="1" outlineLevel="1" x14ac:dyDescent="0.25">
      <c r="A4000" s="18">
        <v>246</v>
      </c>
      <c r="B4000" s="4" t="s">
        <v>233</v>
      </c>
      <c r="C4000" s="22" t="s">
        <v>931</v>
      </c>
      <c r="D4000" s="18">
        <v>2020</v>
      </c>
      <c r="E4000" s="4" t="s">
        <v>234</v>
      </c>
      <c r="F4000" s="4">
        <v>1</v>
      </c>
      <c r="G4000" s="42">
        <v>15</v>
      </c>
      <c r="H4000" s="42">
        <v>326.005</v>
      </c>
    </row>
    <row r="4001" spans="1:8" s="15" customFormat="1" ht="26.25" hidden="1" customHeight="1" outlineLevel="1" x14ac:dyDescent="0.25">
      <c r="A4001" s="18">
        <v>626</v>
      </c>
      <c r="B4001" s="4" t="s">
        <v>233</v>
      </c>
      <c r="C4001" s="22" t="s">
        <v>962</v>
      </c>
      <c r="D4001" s="18">
        <v>2020</v>
      </c>
      <c r="E4001" s="4" t="s">
        <v>234</v>
      </c>
      <c r="F4001" s="4">
        <v>1</v>
      </c>
      <c r="G4001" s="42">
        <v>15</v>
      </c>
      <c r="H4001" s="42">
        <v>828.77499999999998</v>
      </c>
    </row>
    <row r="4002" spans="1:8" s="15" customFormat="1" ht="26.25" hidden="1" customHeight="1" outlineLevel="1" x14ac:dyDescent="0.25">
      <c r="A4002" s="18">
        <v>1651</v>
      </c>
      <c r="B4002" s="4" t="s">
        <v>233</v>
      </c>
      <c r="C4002" s="22" t="s">
        <v>578</v>
      </c>
      <c r="D4002" s="18">
        <v>2020</v>
      </c>
      <c r="E4002" s="4" t="s">
        <v>234</v>
      </c>
      <c r="F4002" s="4">
        <v>1</v>
      </c>
      <c r="G4002" s="42">
        <v>15</v>
      </c>
      <c r="H4002" s="42">
        <v>403.84899999999999</v>
      </c>
    </row>
    <row r="4003" spans="1:8" s="15" customFormat="1" ht="26.25" hidden="1" customHeight="1" outlineLevel="1" x14ac:dyDescent="0.25">
      <c r="A4003" s="18">
        <v>771</v>
      </c>
      <c r="B4003" s="4" t="s">
        <v>233</v>
      </c>
      <c r="C4003" s="22" t="s">
        <v>579</v>
      </c>
      <c r="D4003" s="18">
        <v>2020</v>
      </c>
      <c r="E4003" s="4" t="s">
        <v>234</v>
      </c>
      <c r="F4003" s="4">
        <v>1</v>
      </c>
      <c r="G4003" s="42">
        <v>15</v>
      </c>
      <c r="H4003" s="42">
        <v>508.97500000000002</v>
      </c>
    </row>
    <row r="4004" spans="1:8" s="15" customFormat="1" ht="25.5" hidden="1" customHeight="1" outlineLevel="1" x14ac:dyDescent="0.25">
      <c r="A4004" s="45">
        <v>794</v>
      </c>
      <c r="B4004" s="4" t="s">
        <v>233</v>
      </c>
      <c r="C4004" s="22" t="s">
        <v>1386</v>
      </c>
      <c r="D4004" s="18">
        <v>2021</v>
      </c>
      <c r="E4004" s="4" t="s">
        <v>234</v>
      </c>
      <c r="F4004" s="4">
        <v>1</v>
      </c>
      <c r="G4004" s="42">
        <v>15</v>
      </c>
      <c r="H4004" s="42">
        <v>803</v>
      </c>
    </row>
    <row r="4005" spans="1:8" s="15" customFormat="1" ht="25.5" hidden="1" customHeight="1" outlineLevel="1" x14ac:dyDescent="0.25">
      <c r="A4005" s="46">
        <v>9746</v>
      </c>
      <c r="B4005" s="4" t="s">
        <v>233</v>
      </c>
      <c r="C4005" s="22" t="s">
        <v>1421</v>
      </c>
      <c r="D4005" s="18">
        <v>2021</v>
      </c>
      <c r="E4005" s="4" t="s">
        <v>234</v>
      </c>
      <c r="F4005" s="4">
        <v>1</v>
      </c>
      <c r="G4005" s="42">
        <v>15</v>
      </c>
      <c r="H4005" s="42">
        <v>370</v>
      </c>
    </row>
    <row r="4006" spans="1:8" s="15" customFormat="1" ht="25.5" hidden="1" customHeight="1" outlineLevel="1" x14ac:dyDescent="0.25">
      <c r="A4006" s="45">
        <v>1267</v>
      </c>
      <c r="B4006" s="4" t="s">
        <v>233</v>
      </c>
      <c r="C4006" s="22" t="s">
        <v>1426</v>
      </c>
      <c r="D4006" s="18">
        <v>2021</v>
      </c>
      <c r="E4006" s="4" t="s">
        <v>234</v>
      </c>
      <c r="F4006" s="4">
        <v>1</v>
      </c>
      <c r="G4006" s="42">
        <v>15</v>
      </c>
      <c r="H4006" s="42">
        <v>371</v>
      </c>
    </row>
    <row r="4007" spans="1:8" s="15" customFormat="1" ht="25.5" hidden="1" customHeight="1" outlineLevel="1" x14ac:dyDescent="0.25">
      <c r="A4007" s="45">
        <v>1265</v>
      </c>
      <c r="B4007" s="4" t="s">
        <v>233</v>
      </c>
      <c r="C4007" s="22" t="s">
        <v>1444</v>
      </c>
      <c r="D4007" s="18">
        <v>2021</v>
      </c>
      <c r="E4007" s="4" t="s">
        <v>234</v>
      </c>
      <c r="F4007" s="4">
        <v>1</v>
      </c>
      <c r="G4007" s="42">
        <v>15</v>
      </c>
      <c r="H4007" s="42">
        <v>465</v>
      </c>
    </row>
    <row r="4008" spans="1:8" s="15" customFormat="1" ht="25.5" hidden="1" customHeight="1" outlineLevel="1" x14ac:dyDescent="0.25">
      <c r="A4008" s="45">
        <v>3824</v>
      </c>
      <c r="B4008" s="4" t="s">
        <v>233</v>
      </c>
      <c r="C4008" s="22" t="s">
        <v>1179</v>
      </c>
      <c r="D4008" s="18">
        <v>2021</v>
      </c>
      <c r="E4008" s="4" t="s">
        <v>234</v>
      </c>
      <c r="F4008" s="4">
        <v>1</v>
      </c>
      <c r="G4008" s="42" t="s">
        <v>1447</v>
      </c>
      <c r="H4008" s="42">
        <v>424</v>
      </c>
    </row>
    <row r="4009" spans="1:8" s="15" customFormat="1" ht="25.5" hidden="1" customHeight="1" outlineLevel="1" x14ac:dyDescent="0.25">
      <c r="A4009" s="46">
        <v>9598</v>
      </c>
      <c r="B4009" s="4" t="s">
        <v>233</v>
      </c>
      <c r="C4009" s="22" t="s">
        <v>1566</v>
      </c>
      <c r="D4009" s="18">
        <v>2021</v>
      </c>
      <c r="E4009" s="4" t="s">
        <v>234</v>
      </c>
      <c r="F4009" s="4">
        <v>1</v>
      </c>
      <c r="G4009" s="42">
        <v>15</v>
      </c>
      <c r="H4009" s="42">
        <v>467</v>
      </c>
    </row>
    <row r="4010" spans="1:8" s="15" customFormat="1" ht="25.5" hidden="1" customHeight="1" outlineLevel="1" x14ac:dyDescent="0.25">
      <c r="A4010" s="45">
        <v>3757</v>
      </c>
      <c r="B4010" s="4" t="s">
        <v>233</v>
      </c>
      <c r="C4010" s="22" t="s">
        <v>1567</v>
      </c>
      <c r="D4010" s="18">
        <v>2021</v>
      </c>
      <c r="E4010" s="4" t="s">
        <v>234</v>
      </c>
      <c r="F4010" s="4">
        <v>1</v>
      </c>
      <c r="G4010" s="42">
        <v>5</v>
      </c>
      <c r="H4010" s="42">
        <v>464</v>
      </c>
    </row>
    <row r="4011" spans="1:8" s="15" customFormat="1" ht="25.5" hidden="1" customHeight="1" outlineLevel="1" x14ac:dyDescent="0.25">
      <c r="A4011" s="46">
        <v>9602</v>
      </c>
      <c r="B4011" s="4" t="s">
        <v>233</v>
      </c>
      <c r="C4011" s="22" t="s">
        <v>1583</v>
      </c>
      <c r="D4011" s="18">
        <v>2021</v>
      </c>
      <c r="E4011" s="4" t="s">
        <v>234</v>
      </c>
      <c r="F4011" s="4">
        <v>1</v>
      </c>
      <c r="G4011" s="42">
        <v>15</v>
      </c>
      <c r="H4011" s="42">
        <v>431</v>
      </c>
    </row>
    <row r="4012" spans="1:8" s="15" customFormat="1" ht="25.5" hidden="1" customHeight="1" outlineLevel="1" x14ac:dyDescent="0.25">
      <c r="A4012" s="46">
        <v>9453</v>
      </c>
      <c r="B4012" s="4" t="s">
        <v>233</v>
      </c>
      <c r="C4012" s="22" t="s">
        <v>1604</v>
      </c>
      <c r="D4012" s="18">
        <v>2021</v>
      </c>
      <c r="E4012" s="4" t="s">
        <v>234</v>
      </c>
      <c r="F4012" s="4">
        <v>1</v>
      </c>
      <c r="G4012" s="42">
        <v>20</v>
      </c>
      <c r="H4012" s="42">
        <v>551</v>
      </c>
    </row>
    <row r="4013" spans="1:8" s="15" customFormat="1" ht="25.5" hidden="1" customHeight="1" outlineLevel="1" x14ac:dyDescent="0.25">
      <c r="A4013" s="46">
        <v>9649</v>
      </c>
      <c r="B4013" s="4" t="s">
        <v>233</v>
      </c>
      <c r="C4013" s="22" t="s">
        <v>1608</v>
      </c>
      <c r="D4013" s="18">
        <v>2021</v>
      </c>
      <c r="E4013" s="4" t="s">
        <v>234</v>
      </c>
      <c r="F4013" s="4">
        <v>1</v>
      </c>
      <c r="G4013" s="42">
        <v>15</v>
      </c>
      <c r="H4013" s="42">
        <v>451</v>
      </c>
    </row>
    <row r="4014" spans="1:8" s="15" customFormat="1" ht="25.5" hidden="1" customHeight="1" outlineLevel="1" x14ac:dyDescent="0.25">
      <c r="A4014" s="45">
        <v>920</v>
      </c>
      <c r="B4014" s="4" t="s">
        <v>233</v>
      </c>
      <c r="C4014" s="22" t="s">
        <v>1611</v>
      </c>
      <c r="D4014" s="18">
        <v>2021</v>
      </c>
      <c r="E4014" s="4" t="s">
        <v>234</v>
      </c>
      <c r="F4014" s="4">
        <v>1</v>
      </c>
      <c r="G4014" s="42">
        <v>15</v>
      </c>
      <c r="H4014" s="42">
        <v>503</v>
      </c>
    </row>
    <row r="4015" spans="1:8" s="15" customFormat="1" ht="25.5" hidden="1" customHeight="1" outlineLevel="1" x14ac:dyDescent="0.25">
      <c r="A4015" s="45">
        <v>3750</v>
      </c>
      <c r="B4015" s="4" t="s">
        <v>233</v>
      </c>
      <c r="C4015" s="22" t="s">
        <v>1613</v>
      </c>
      <c r="D4015" s="18">
        <v>2021</v>
      </c>
      <c r="E4015" s="4" t="s">
        <v>234</v>
      </c>
      <c r="F4015" s="4">
        <v>1</v>
      </c>
      <c r="G4015" s="42">
        <v>15</v>
      </c>
      <c r="H4015" s="42">
        <v>408</v>
      </c>
    </row>
    <row r="4016" spans="1:8" s="15" customFormat="1" ht="25.5" hidden="1" customHeight="1" outlineLevel="1" x14ac:dyDescent="0.25">
      <c r="A4016" s="46">
        <v>9590</v>
      </c>
      <c r="B4016" s="4" t="s">
        <v>233</v>
      </c>
      <c r="C4016" s="22" t="s">
        <v>1614</v>
      </c>
      <c r="D4016" s="18">
        <v>2021</v>
      </c>
      <c r="E4016" s="4" t="s">
        <v>234</v>
      </c>
      <c r="F4016" s="4">
        <v>1</v>
      </c>
      <c r="G4016" s="42">
        <v>15</v>
      </c>
      <c r="H4016" s="42">
        <v>379</v>
      </c>
    </row>
    <row r="4017" spans="1:8" s="15" customFormat="1" ht="25.5" hidden="1" customHeight="1" outlineLevel="1" x14ac:dyDescent="0.25">
      <c r="A4017" s="46">
        <v>9657</v>
      </c>
      <c r="B4017" s="4" t="s">
        <v>233</v>
      </c>
      <c r="C4017" s="22" t="s">
        <v>1628</v>
      </c>
      <c r="D4017" s="18">
        <v>2021</v>
      </c>
      <c r="E4017" s="4" t="s">
        <v>234</v>
      </c>
      <c r="F4017" s="4">
        <v>1</v>
      </c>
      <c r="G4017" s="42">
        <v>15</v>
      </c>
      <c r="H4017" s="42">
        <v>323</v>
      </c>
    </row>
    <row r="4018" spans="1:8" s="15" customFormat="1" ht="25.5" hidden="1" customHeight="1" outlineLevel="1" x14ac:dyDescent="0.25">
      <c r="A4018" s="46">
        <v>9608</v>
      </c>
      <c r="B4018" s="4" t="s">
        <v>233</v>
      </c>
      <c r="C4018" s="22" t="s">
        <v>1633</v>
      </c>
      <c r="D4018" s="18">
        <v>2021</v>
      </c>
      <c r="E4018" s="4" t="s">
        <v>234</v>
      </c>
      <c r="F4018" s="4">
        <v>1</v>
      </c>
      <c r="G4018" s="42">
        <v>15</v>
      </c>
      <c r="H4018" s="42">
        <v>397</v>
      </c>
    </row>
    <row r="4019" spans="1:8" s="15" customFormat="1" ht="25.5" hidden="1" customHeight="1" outlineLevel="1" x14ac:dyDescent="0.25">
      <c r="A4019" s="46">
        <v>9584</v>
      </c>
      <c r="B4019" s="4" t="s">
        <v>233</v>
      </c>
      <c r="C4019" s="22" t="s">
        <v>1637</v>
      </c>
      <c r="D4019" s="18">
        <v>2021</v>
      </c>
      <c r="E4019" s="4" t="s">
        <v>234</v>
      </c>
      <c r="F4019" s="4">
        <v>1</v>
      </c>
      <c r="G4019" s="42">
        <v>14</v>
      </c>
      <c r="H4019" s="42">
        <v>438</v>
      </c>
    </row>
    <row r="4020" spans="1:8" s="15" customFormat="1" ht="25.5" hidden="1" customHeight="1" outlineLevel="1" x14ac:dyDescent="0.25">
      <c r="A4020" s="46">
        <v>9582</v>
      </c>
      <c r="B4020" s="4" t="s">
        <v>233</v>
      </c>
      <c r="C4020" s="22" t="s">
        <v>1640</v>
      </c>
      <c r="D4020" s="18">
        <v>2021</v>
      </c>
      <c r="E4020" s="4" t="s">
        <v>234</v>
      </c>
      <c r="F4020" s="4">
        <v>1</v>
      </c>
      <c r="G4020" s="42">
        <v>14</v>
      </c>
      <c r="H4020" s="42">
        <v>389</v>
      </c>
    </row>
    <row r="4021" spans="1:8" s="15" customFormat="1" ht="25.5" hidden="1" customHeight="1" outlineLevel="1" x14ac:dyDescent="0.25">
      <c r="A4021" s="46">
        <v>9587</v>
      </c>
      <c r="B4021" s="4" t="s">
        <v>233</v>
      </c>
      <c r="C4021" s="22" t="s">
        <v>1642</v>
      </c>
      <c r="D4021" s="18">
        <v>2021</v>
      </c>
      <c r="E4021" s="4" t="s">
        <v>234</v>
      </c>
      <c r="F4021" s="4">
        <v>1</v>
      </c>
      <c r="G4021" s="42">
        <v>1</v>
      </c>
      <c r="H4021" s="42">
        <v>450</v>
      </c>
    </row>
    <row r="4022" spans="1:8" s="15" customFormat="1" ht="25.5" hidden="1" customHeight="1" outlineLevel="1" x14ac:dyDescent="0.25">
      <c r="A4022" s="46">
        <v>9606</v>
      </c>
      <c r="B4022" s="4" t="s">
        <v>233</v>
      </c>
      <c r="C4022" s="38" t="s">
        <v>1647</v>
      </c>
      <c r="D4022" s="18">
        <v>2021</v>
      </c>
      <c r="E4022" s="4" t="s">
        <v>234</v>
      </c>
      <c r="F4022" s="4">
        <v>1</v>
      </c>
      <c r="G4022" s="42">
        <v>15</v>
      </c>
      <c r="H4022" s="42">
        <v>451</v>
      </c>
    </row>
    <row r="4023" spans="1:8" s="15" customFormat="1" ht="25.5" hidden="1" customHeight="1" outlineLevel="1" x14ac:dyDescent="0.25">
      <c r="A4023" s="46">
        <v>9651</v>
      </c>
      <c r="B4023" s="4" t="s">
        <v>233</v>
      </c>
      <c r="C4023" s="22" t="s">
        <v>1651</v>
      </c>
      <c r="D4023" s="18">
        <v>2021</v>
      </c>
      <c r="E4023" s="4" t="s">
        <v>234</v>
      </c>
      <c r="F4023" s="4">
        <v>1</v>
      </c>
      <c r="G4023" s="42">
        <v>5</v>
      </c>
      <c r="H4023" s="42">
        <v>324</v>
      </c>
    </row>
    <row r="4024" spans="1:8" s="15" customFormat="1" ht="25.5" hidden="1" customHeight="1" outlineLevel="1" x14ac:dyDescent="0.25">
      <c r="A4024" s="46">
        <v>9648</v>
      </c>
      <c r="B4024" s="4" t="s">
        <v>233</v>
      </c>
      <c r="C4024" s="22" t="s">
        <v>1949</v>
      </c>
      <c r="D4024" s="18">
        <v>2021</v>
      </c>
      <c r="E4024" s="4" t="s">
        <v>234</v>
      </c>
      <c r="F4024" s="4">
        <v>1</v>
      </c>
      <c r="G4024" s="42">
        <v>45</v>
      </c>
      <c r="H4024" s="42">
        <v>711</v>
      </c>
    </row>
    <row r="4025" spans="1:8" s="15" customFormat="1" ht="25.5" hidden="1" customHeight="1" outlineLevel="1" x14ac:dyDescent="0.25">
      <c r="A4025" s="46">
        <v>9604</v>
      </c>
      <c r="B4025" s="4" t="s">
        <v>233</v>
      </c>
      <c r="C4025" s="22" t="s">
        <v>1841</v>
      </c>
      <c r="D4025" s="18">
        <v>2021</v>
      </c>
      <c r="E4025" s="4" t="s">
        <v>234</v>
      </c>
      <c r="F4025" s="4">
        <v>1</v>
      </c>
      <c r="G4025" s="42">
        <v>15</v>
      </c>
      <c r="H4025" s="42">
        <v>496</v>
      </c>
    </row>
    <row r="4026" spans="1:8" s="15" customFormat="1" ht="25.5" hidden="1" customHeight="1" outlineLevel="1" x14ac:dyDescent="0.25">
      <c r="A4026" s="46">
        <v>9661</v>
      </c>
      <c r="B4026" s="4" t="s">
        <v>233</v>
      </c>
      <c r="C4026" s="22" t="s">
        <v>1978</v>
      </c>
      <c r="D4026" s="18">
        <v>2021</v>
      </c>
      <c r="E4026" s="4" t="s">
        <v>234</v>
      </c>
      <c r="F4026" s="4">
        <v>1</v>
      </c>
      <c r="G4026" s="42">
        <v>15</v>
      </c>
      <c r="H4026" s="42">
        <v>495</v>
      </c>
    </row>
    <row r="4027" spans="1:8" s="15" customFormat="1" ht="25.5" hidden="1" customHeight="1" outlineLevel="1" x14ac:dyDescent="0.25">
      <c r="A4027" s="46">
        <v>9354</v>
      </c>
      <c r="B4027" s="4" t="s">
        <v>233</v>
      </c>
      <c r="C4027" s="22" t="s">
        <v>1348</v>
      </c>
      <c r="D4027" s="18">
        <v>2021</v>
      </c>
      <c r="E4027" s="4" t="s">
        <v>234</v>
      </c>
      <c r="F4027" s="4">
        <v>1</v>
      </c>
      <c r="G4027" s="42">
        <v>15</v>
      </c>
      <c r="H4027" s="42">
        <v>336.80599999999998</v>
      </c>
    </row>
    <row r="4028" spans="1:8" s="15" customFormat="1" ht="25.5" hidden="1" customHeight="1" outlineLevel="1" x14ac:dyDescent="0.25">
      <c r="A4028" s="46">
        <v>9421</v>
      </c>
      <c r="B4028" s="4" t="s">
        <v>233</v>
      </c>
      <c r="C4028" s="22" t="s">
        <v>1232</v>
      </c>
      <c r="D4028" s="18">
        <v>2021</v>
      </c>
      <c r="E4028" s="4" t="s">
        <v>234</v>
      </c>
      <c r="F4028" s="4">
        <v>1</v>
      </c>
      <c r="G4028" s="42">
        <v>15</v>
      </c>
      <c r="H4028" s="42">
        <v>423.55799999999999</v>
      </c>
    </row>
    <row r="4029" spans="1:8" s="15" customFormat="1" ht="25.5" hidden="1" customHeight="1" outlineLevel="1" x14ac:dyDescent="0.25">
      <c r="A4029" s="46">
        <v>9360</v>
      </c>
      <c r="B4029" s="4" t="s">
        <v>233</v>
      </c>
      <c r="C4029" s="22" t="s">
        <v>1235</v>
      </c>
      <c r="D4029" s="18">
        <v>2021</v>
      </c>
      <c r="E4029" s="4" t="s">
        <v>234</v>
      </c>
      <c r="F4029" s="4">
        <v>1</v>
      </c>
      <c r="G4029" s="42">
        <v>15</v>
      </c>
      <c r="H4029" s="42">
        <v>225.09800000000001</v>
      </c>
    </row>
    <row r="4030" spans="1:8" s="15" customFormat="1" ht="25.5" hidden="1" customHeight="1" outlineLevel="1" x14ac:dyDescent="0.25">
      <c r="A4030" s="46">
        <v>9078</v>
      </c>
      <c r="B4030" s="4" t="s">
        <v>233</v>
      </c>
      <c r="C4030" s="22" t="s">
        <v>1237</v>
      </c>
      <c r="D4030" s="18">
        <v>2021</v>
      </c>
      <c r="E4030" s="4" t="s">
        <v>234</v>
      </c>
      <c r="F4030" s="4">
        <v>1</v>
      </c>
      <c r="G4030" s="42">
        <v>15</v>
      </c>
      <c r="H4030" s="42">
        <v>228.262</v>
      </c>
    </row>
    <row r="4031" spans="1:8" s="15" customFormat="1" ht="25.5" hidden="1" customHeight="1" outlineLevel="1" x14ac:dyDescent="0.25">
      <c r="A4031" s="45">
        <v>3713</v>
      </c>
      <c r="B4031" s="4" t="s">
        <v>233</v>
      </c>
      <c r="C4031" s="22" t="s">
        <v>1291</v>
      </c>
      <c r="D4031" s="18">
        <v>2021</v>
      </c>
      <c r="E4031" s="4" t="s">
        <v>234</v>
      </c>
      <c r="F4031" s="4">
        <v>1</v>
      </c>
      <c r="G4031" s="42">
        <v>15</v>
      </c>
      <c r="H4031" s="42">
        <v>396.14299999999997</v>
      </c>
    </row>
    <row r="4032" spans="1:8" s="15" customFormat="1" ht="25.5" hidden="1" customHeight="1" outlineLevel="1" x14ac:dyDescent="0.25">
      <c r="A4032" s="46">
        <v>9367</v>
      </c>
      <c r="B4032" s="4" t="s">
        <v>233</v>
      </c>
      <c r="C4032" s="22" t="s">
        <v>1255</v>
      </c>
      <c r="D4032" s="18">
        <v>2021</v>
      </c>
      <c r="E4032" s="4" t="s">
        <v>234</v>
      </c>
      <c r="F4032" s="4">
        <v>1</v>
      </c>
      <c r="G4032" s="42">
        <v>15</v>
      </c>
      <c r="H4032" s="42">
        <v>394.98399999999998</v>
      </c>
    </row>
    <row r="4033" spans="1:8" s="15" customFormat="1" ht="25.5" hidden="1" customHeight="1" outlineLevel="1" x14ac:dyDescent="0.25">
      <c r="A4033" s="46">
        <v>9357</v>
      </c>
      <c r="B4033" s="4" t="s">
        <v>233</v>
      </c>
      <c r="C4033" s="22" t="s">
        <v>1256</v>
      </c>
      <c r="D4033" s="18">
        <v>2021</v>
      </c>
      <c r="E4033" s="4" t="s">
        <v>234</v>
      </c>
      <c r="F4033" s="4">
        <v>1</v>
      </c>
      <c r="G4033" s="42">
        <v>20</v>
      </c>
      <c r="H4033" s="42">
        <v>585.00199999999995</v>
      </c>
    </row>
    <row r="4034" spans="1:8" s="15" customFormat="1" ht="25.5" hidden="1" customHeight="1" outlineLevel="1" x14ac:dyDescent="0.25">
      <c r="A4034" s="46">
        <v>9366</v>
      </c>
      <c r="B4034" s="4" t="s">
        <v>233</v>
      </c>
      <c r="C4034" s="22" t="s">
        <v>1258</v>
      </c>
      <c r="D4034" s="18">
        <v>2021</v>
      </c>
      <c r="E4034" s="4" t="s">
        <v>234</v>
      </c>
      <c r="F4034" s="4">
        <v>1</v>
      </c>
      <c r="G4034" s="42">
        <v>10</v>
      </c>
      <c r="H4034" s="42">
        <v>418.29899999999998</v>
      </c>
    </row>
    <row r="4035" spans="1:8" s="15" customFormat="1" ht="25.5" hidden="1" customHeight="1" outlineLevel="1" x14ac:dyDescent="0.25">
      <c r="A4035" s="46">
        <v>9356</v>
      </c>
      <c r="B4035" s="4" t="s">
        <v>233</v>
      </c>
      <c r="C4035" s="22" t="s">
        <v>1271</v>
      </c>
      <c r="D4035" s="18">
        <v>2021</v>
      </c>
      <c r="E4035" s="4" t="s">
        <v>234</v>
      </c>
      <c r="F4035" s="4">
        <v>1</v>
      </c>
      <c r="G4035" s="42">
        <v>75</v>
      </c>
      <c r="H4035" s="42">
        <v>478.18700000000001</v>
      </c>
    </row>
    <row r="4036" spans="1:8" s="15" customFormat="1" ht="25.5" hidden="1" customHeight="1" outlineLevel="1" x14ac:dyDescent="0.25">
      <c r="A4036" s="45">
        <v>3881</v>
      </c>
      <c r="B4036" s="4" t="s">
        <v>233</v>
      </c>
      <c r="C4036" s="22" t="s">
        <v>1679</v>
      </c>
      <c r="D4036" s="18">
        <v>2021</v>
      </c>
      <c r="E4036" s="4" t="s">
        <v>234</v>
      </c>
      <c r="F4036" s="4">
        <v>1</v>
      </c>
      <c r="G4036" s="42">
        <v>1.4</v>
      </c>
      <c r="H4036" s="42">
        <v>469.59553</v>
      </c>
    </row>
    <row r="4037" spans="1:8" s="15" customFormat="1" ht="25.5" hidden="1" customHeight="1" outlineLevel="1" x14ac:dyDescent="0.25">
      <c r="A4037" s="46">
        <v>9511</v>
      </c>
      <c r="B4037" s="4" t="s">
        <v>233</v>
      </c>
      <c r="C4037" s="22" t="s">
        <v>1685</v>
      </c>
      <c r="D4037" s="18">
        <v>2021</v>
      </c>
      <c r="E4037" s="4" t="s">
        <v>234</v>
      </c>
      <c r="F4037" s="4">
        <v>1</v>
      </c>
      <c r="G4037" s="42">
        <v>15</v>
      </c>
      <c r="H4037" s="42">
        <v>451.52823000000001</v>
      </c>
    </row>
    <row r="4038" spans="1:8" s="15" customFormat="1" ht="25.5" hidden="1" customHeight="1" outlineLevel="1" x14ac:dyDescent="0.25">
      <c r="A4038" s="45">
        <v>728</v>
      </c>
      <c r="B4038" s="4" t="s">
        <v>233</v>
      </c>
      <c r="C4038" s="22" t="s">
        <v>1859</v>
      </c>
      <c r="D4038" s="18">
        <v>2021</v>
      </c>
      <c r="E4038" s="4" t="s">
        <v>234</v>
      </c>
      <c r="F4038" s="4">
        <v>1</v>
      </c>
      <c r="G4038" s="42">
        <v>10</v>
      </c>
      <c r="H4038" s="42">
        <v>764.83618999999999</v>
      </c>
    </row>
    <row r="4039" spans="1:8" s="15" customFormat="1" ht="25.5" hidden="1" customHeight="1" outlineLevel="1" x14ac:dyDescent="0.25">
      <c r="A4039" s="46">
        <v>9447</v>
      </c>
      <c r="B4039" s="4" t="s">
        <v>233</v>
      </c>
      <c r="C4039" s="22" t="s">
        <v>1765</v>
      </c>
      <c r="D4039" s="18">
        <v>2021</v>
      </c>
      <c r="E4039" s="4" t="s">
        <v>234</v>
      </c>
      <c r="F4039" s="4">
        <v>1</v>
      </c>
      <c r="G4039" s="42">
        <v>10</v>
      </c>
      <c r="H4039" s="42">
        <v>341.56781000000001</v>
      </c>
    </row>
    <row r="4040" spans="1:8" s="15" customFormat="1" ht="25.5" hidden="1" customHeight="1" outlineLevel="1" x14ac:dyDescent="0.25">
      <c r="A4040" s="46">
        <v>9494</v>
      </c>
      <c r="B4040" s="4" t="s">
        <v>233</v>
      </c>
      <c r="C4040" s="22" t="s">
        <v>1697</v>
      </c>
      <c r="D4040" s="18">
        <v>2021</v>
      </c>
      <c r="E4040" s="4" t="s">
        <v>234</v>
      </c>
      <c r="F4040" s="4">
        <v>1</v>
      </c>
      <c r="G4040" s="42">
        <v>8</v>
      </c>
      <c r="H4040" s="42">
        <v>256.25148000000002</v>
      </c>
    </row>
    <row r="4041" spans="1:8" s="15" customFormat="1" ht="25.5" hidden="1" customHeight="1" outlineLevel="1" x14ac:dyDescent="0.25">
      <c r="A4041" s="46">
        <v>9623</v>
      </c>
      <c r="B4041" s="4" t="s">
        <v>233</v>
      </c>
      <c r="C4041" s="22" t="s">
        <v>1863</v>
      </c>
      <c r="D4041" s="18">
        <v>2021</v>
      </c>
      <c r="E4041" s="4" t="s">
        <v>234</v>
      </c>
      <c r="F4041" s="4">
        <v>1</v>
      </c>
      <c r="G4041" s="42">
        <v>9.5</v>
      </c>
      <c r="H4041" s="42">
        <v>381.80041999999997</v>
      </c>
    </row>
    <row r="4042" spans="1:8" s="15" customFormat="1" ht="25.5" hidden="1" customHeight="1" outlineLevel="1" x14ac:dyDescent="0.25">
      <c r="A4042" s="45">
        <v>726</v>
      </c>
      <c r="B4042" s="4" t="s">
        <v>233</v>
      </c>
      <c r="C4042" s="22" t="s">
        <v>1864</v>
      </c>
      <c r="D4042" s="18">
        <v>2021</v>
      </c>
      <c r="E4042" s="4" t="s">
        <v>234</v>
      </c>
      <c r="F4042" s="4">
        <v>1</v>
      </c>
      <c r="G4042" s="42">
        <v>15</v>
      </c>
      <c r="H4042" s="42">
        <v>386.23066</v>
      </c>
    </row>
    <row r="4043" spans="1:8" s="15" customFormat="1" ht="25.5" hidden="1" customHeight="1" outlineLevel="1" x14ac:dyDescent="0.25">
      <c r="A4043" s="46">
        <v>9527</v>
      </c>
      <c r="B4043" s="4" t="s">
        <v>233</v>
      </c>
      <c r="C4043" s="22" t="s">
        <v>1866</v>
      </c>
      <c r="D4043" s="18">
        <v>2021</v>
      </c>
      <c r="E4043" s="4" t="s">
        <v>234</v>
      </c>
      <c r="F4043" s="4">
        <v>1</v>
      </c>
      <c r="G4043" s="42">
        <v>15</v>
      </c>
      <c r="H4043" s="42">
        <v>397.15661999999998</v>
      </c>
    </row>
    <row r="4044" spans="1:8" s="15" customFormat="1" ht="25.5" hidden="1" customHeight="1" outlineLevel="1" x14ac:dyDescent="0.25">
      <c r="A4044" s="46">
        <v>9622</v>
      </c>
      <c r="B4044" s="4" t="s">
        <v>233</v>
      </c>
      <c r="C4044" s="22" t="s">
        <v>1741</v>
      </c>
      <c r="D4044" s="18">
        <v>2021</v>
      </c>
      <c r="E4044" s="4" t="s">
        <v>234</v>
      </c>
      <c r="F4044" s="4">
        <v>1</v>
      </c>
      <c r="G4044" s="42">
        <v>1</v>
      </c>
      <c r="H4044" s="42">
        <v>456.76065</v>
      </c>
    </row>
    <row r="4045" spans="1:8" s="15" customFormat="1" ht="25.5" hidden="1" customHeight="1" outlineLevel="1" x14ac:dyDescent="0.25">
      <c r="A4045" s="46">
        <v>9621</v>
      </c>
      <c r="B4045" s="4" t="s">
        <v>233</v>
      </c>
      <c r="C4045" s="22" t="s">
        <v>1746</v>
      </c>
      <c r="D4045" s="18">
        <v>2021</v>
      </c>
      <c r="E4045" s="4" t="s">
        <v>234</v>
      </c>
      <c r="F4045" s="4">
        <v>1</v>
      </c>
      <c r="G4045" s="42">
        <v>15</v>
      </c>
      <c r="H4045" s="42">
        <v>374.25853999999998</v>
      </c>
    </row>
    <row r="4046" spans="1:8" s="15" customFormat="1" ht="25.5" hidden="1" customHeight="1" outlineLevel="1" x14ac:dyDescent="0.25">
      <c r="A4046" s="46">
        <v>9617</v>
      </c>
      <c r="B4046" s="4" t="s">
        <v>233</v>
      </c>
      <c r="C4046" s="22" t="s">
        <v>1748</v>
      </c>
      <c r="D4046" s="18">
        <v>2021</v>
      </c>
      <c r="E4046" s="4" t="s">
        <v>234</v>
      </c>
      <c r="F4046" s="4">
        <v>1</v>
      </c>
      <c r="G4046" s="42">
        <v>15</v>
      </c>
      <c r="H4046" s="42">
        <v>431.75900999999999</v>
      </c>
    </row>
    <row r="4047" spans="1:8" s="15" customFormat="1" ht="25.5" hidden="1" customHeight="1" outlineLevel="1" x14ac:dyDescent="0.25">
      <c r="A4047" s="46">
        <v>9620</v>
      </c>
      <c r="B4047" s="4" t="s">
        <v>233</v>
      </c>
      <c r="C4047" s="22" t="s">
        <v>1749</v>
      </c>
      <c r="D4047" s="18">
        <v>2021</v>
      </c>
      <c r="E4047" s="4" t="s">
        <v>234</v>
      </c>
      <c r="F4047" s="4">
        <v>1</v>
      </c>
      <c r="G4047" s="42">
        <v>15</v>
      </c>
      <c r="H4047" s="42">
        <v>462.08717999999999</v>
      </c>
    </row>
    <row r="4048" spans="1:8" s="15" customFormat="1" ht="25.5" hidden="1" customHeight="1" outlineLevel="1" x14ac:dyDescent="0.25">
      <c r="A4048" s="46">
        <v>9484</v>
      </c>
      <c r="B4048" s="4" t="s">
        <v>233</v>
      </c>
      <c r="C4048" s="22" t="s">
        <v>1750</v>
      </c>
      <c r="D4048" s="18">
        <v>2021</v>
      </c>
      <c r="E4048" s="4" t="s">
        <v>234</v>
      </c>
      <c r="F4048" s="4">
        <v>1</v>
      </c>
      <c r="G4048" s="42">
        <v>15</v>
      </c>
      <c r="H4048" s="42">
        <v>437.30633</v>
      </c>
    </row>
    <row r="4049" spans="1:33" s="15" customFormat="1" ht="25.5" hidden="1" customHeight="1" outlineLevel="1" x14ac:dyDescent="0.25">
      <c r="A4049" s="46">
        <v>9873</v>
      </c>
      <c r="B4049" s="4" t="s">
        <v>233</v>
      </c>
      <c r="C4049" s="22" t="s">
        <v>1773</v>
      </c>
      <c r="D4049" s="18">
        <v>2021</v>
      </c>
      <c r="E4049" s="4" t="s">
        <v>234</v>
      </c>
      <c r="F4049" s="4">
        <v>1</v>
      </c>
      <c r="G4049" s="42">
        <v>10</v>
      </c>
      <c r="H4049" s="42">
        <v>312.21343999999999</v>
      </c>
    </row>
    <row r="4050" spans="1:33" s="15" customFormat="1" ht="25.5" hidden="1" customHeight="1" outlineLevel="1" x14ac:dyDescent="0.25">
      <c r="A4050" s="46">
        <v>9491</v>
      </c>
      <c r="B4050" s="4" t="s">
        <v>233</v>
      </c>
      <c r="C4050" s="22" t="s">
        <v>1776</v>
      </c>
      <c r="D4050" s="18">
        <v>2021</v>
      </c>
      <c r="E4050" s="4" t="s">
        <v>234</v>
      </c>
      <c r="F4050" s="4">
        <v>1</v>
      </c>
      <c r="G4050" s="42">
        <v>10</v>
      </c>
      <c r="H4050" s="42">
        <v>578.13243999999997</v>
      </c>
    </row>
    <row r="4051" spans="1:33" s="15" customFormat="1" ht="25.5" hidden="1" customHeight="1" outlineLevel="1" x14ac:dyDescent="0.25">
      <c r="A4051" s="46">
        <v>9448</v>
      </c>
      <c r="B4051" s="4" t="s">
        <v>233</v>
      </c>
      <c r="C4051" s="22" t="s">
        <v>1785</v>
      </c>
      <c r="D4051" s="18">
        <v>2021</v>
      </c>
      <c r="E4051" s="4" t="s">
        <v>234</v>
      </c>
      <c r="F4051" s="4">
        <v>1</v>
      </c>
      <c r="G4051" s="42">
        <v>15</v>
      </c>
      <c r="H4051" s="42">
        <v>568.54322999999999</v>
      </c>
    </row>
    <row r="4052" spans="1:33" s="15" customFormat="1" ht="25.5" hidden="1" customHeight="1" outlineLevel="1" x14ac:dyDescent="0.25">
      <c r="A4052" s="46">
        <v>9526</v>
      </c>
      <c r="B4052" s="4" t="s">
        <v>233</v>
      </c>
      <c r="C4052" s="22" t="s">
        <v>2005</v>
      </c>
      <c r="D4052" s="18">
        <v>2021</v>
      </c>
      <c r="E4052" s="4" t="s">
        <v>234</v>
      </c>
      <c r="F4052" s="4">
        <v>1</v>
      </c>
      <c r="G4052" s="42">
        <v>150</v>
      </c>
      <c r="H4052" s="42">
        <v>328.99086999999997</v>
      </c>
    </row>
    <row r="4053" spans="1:33" s="15" customFormat="1" ht="25.5" hidden="1" customHeight="1" outlineLevel="1" x14ac:dyDescent="0.25">
      <c r="A4053" s="45">
        <v>901</v>
      </c>
      <c r="B4053" s="4" t="s">
        <v>233</v>
      </c>
      <c r="C4053" s="22" t="s">
        <v>2006</v>
      </c>
      <c r="D4053" s="18">
        <v>2021</v>
      </c>
      <c r="E4053" s="4" t="s">
        <v>234</v>
      </c>
      <c r="F4053" s="4">
        <v>1</v>
      </c>
      <c r="G4053" s="42">
        <v>15</v>
      </c>
      <c r="H4053" s="42">
        <v>715.52040999999997</v>
      </c>
    </row>
    <row r="4054" spans="1:33" s="21" customFormat="1" ht="31.5" collapsed="1" x14ac:dyDescent="0.25">
      <c r="A4054" s="18"/>
      <c r="B4054" s="73" t="s">
        <v>233</v>
      </c>
      <c r="C4054" s="72" t="s">
        <v>3221</v>
      </c>
      <c r="D4054" s="65"/>
      <c r="E4054" s="58" t="s">
        <v>232</v>
      </c>
      <c r="F4054" s="65"/>
      <c r="G4054" s="65"/>
      <c r="H4054" s="65"/>
      <c r="I4054" s="15"/>
      <c r="J4054" s="15"/>
      <c r="K4054" s="15"/>
      <c r="L4054" s="15"/>
      <c r="M4054" s="15"/>
      <c r="N4054" s="15"/>
      <c r="O4054" s="15"/>
      <c r="P4054" s="15"/>
      <c r="Q4054" s="15"/>
      <c r="R4054" s="15"/>
      <c r="S4054" s="15"/>
      <c r="T4054" s="15"/>
      <c r="U4054" s="15"/>
      <c r="V4054" s="15"/>
      <c r="W4054" s="15"/>
      <c r="X4054" s="15"/>
      <c r="Y4054" s="15"/>
      <c r="Z4054" s="15"/>
      <c r="AA4054" s="15"/>
      <c r="AB4054" s="15"/>
      <c r="AC4054" s="15"/>
      <c r="AD4054" s="15"/>
      <c r="AE4054" s="15"/>
      <c r="AF4054" s="15"/>
      <c r="AG4054" s="15"/>
    </row>
    <row r="4055" spans="1:33" s="21" customFormat="1" ht="16.5" customHeight="1" x14ac:dyDescent="0.25">
      <c r="A4055" s="18"/>
      <c r="B4055" s="7" t="s">
        <v>233</v>
      </c>
      <c r="C4055" s="8" t="s">
        <v>1102</v>
      </c>
      <c r="D4055" s="19">
        <v>2020</v>
      </c>
      <c r="E4055" s="19" t="s">
        <v>232</v>
      </c>
      <c r="F4055" s="7">
        <f>SUMIF($D$4058:$D$4067,$D$4055,$F$4058:$F$4067)</f>
        <v>3</v>
      </c>
      <c r="G4055" s="7">
        <f>SUMIF($D$4058:$D$4067,$D$4055,$G$4058:$G$4067)</f>
        <v>40</v>
      </c>
      <c r="H4055" s="10">
        <f>SUMIF($D$4058:$D$4067,$D$4055,$H$4058:$H$4067)</f>
        <v>1337.3890000000001</v>
      </c>
      <c r="I4055" s="15"/>
      <c r="J4055" s="15"/>
      <c r="K4055" s="15"/>
      <c r="L4055" s="15"/>
      <c r="M4055" s="15"/>
      <c r="N4055" s="15"/>
      <c r="O4055" s="15"/>
      <c r="P4055" s="15"/>
      <c r="Q4055" s="15"/>
      <c r="R4055" s="15"/>
      <c r="S4055" s="15"/>
      <c r="T4055" s="15"/>
      <c r="U4055" s="15"/>
      <c r="V4055" s="15"/>
      <c r="W4055" s="15"/>
      <c r="X4055" s="15"/>
      <c r="Y4055" s="15"/>
      <c r="Z4055" s="15"/>
      <c r="AA4055" s="15"/>
      <c r="AB4055" s="15"/>
      <c r="AC4055" s="15"/>
      <c r="AD4055" s="15"/>
      <c r="AE4055" s="15"/>
      <c r="AF4055" s="15"/>
      <c r="AG4055" s="15"/>
    </row>
    <row r="4056" spans="1:33" s="26" customFormat="1" ht="16.5" customHeight="1" x14ac:dyDescent="0.25">
      <c r="A4056" s="18"/>
      <c r="B4056" s="7" t="s">
        <v>233</v>
      </c>
      <c r="C4056" s="8" t="s">
        <v>1102</v>
      </c>
      <c r="D4056" s="19">
        <v>2021</v>
      </c>
      <c r="E4056" s="19" t="s">
        <v>232</v>
      </c>
      <c r="F4056" s="7">
        <f>SUMIF($D$4058:$D$4067,$D$4056,$F$4058:$F$4067)</f>
        <v>6</v>
      </c>
      <c r="G4056" s="7">
        <f>SUMIF($D$4058:$D$4067,$D$4056,$G$4058:$G$4067)</f>
        <v>210</v>
      </c>
      <c r="H4056" s="10">
        <f>SUMIF($D$4058:$D$4067,$D$4056,$H$4058:$H$4067)</f>
        <v>3183.9587000000001</v>
      </c>
      <c r="I4056" s="15"/>
      <c r="J4056" s="15"/>
      <c r="K4056" s="15"/>
      <c r="L4056" s="15"/>
      <c r="M4056" s="15"/>
      <c r="N4056" s="15"/>
      <c r="O4056" s="15"/>
      <c r="P4056" s="15"/>
      <c r="Q4056" s="15"/>
      <c r="R4056" s="15"/>
      <c r="S4056" s="15"/>
      <c r="T4056" s="15"/>
      <c r="U4056" s="15"/>
      <c r="V4056" s="15"/>
      <c r="W4056" s="15"/>
      <c r="X4056" s="15"/>
      <c r="Y4056" s="15"/>
      <c r="Z4056" s="15"/>
      <c r="AA4056" s="15"/>
      <c r="AB4056" s="15"/>
      <c r="AC4056" s="15"/>
      <c r="AD4056" s="15"/>
      <c r="AE4056" s="15"/>
      <c r="AF4056" s="15"/>
      <c r="AG4056" s="15"/>
    </row>
    <row r="4057" spans="1:33" s="26" customFormat="1" ht="15.75" x14ac:dyDescent="0.25">
      <c r="A4057" s="18"/>
      <c r="B4057" s="7" t="s">
        <v>233</v>
      </c>
      <c r="C4057" s="8" t="s">
        <v>1102</v>
      </c>
      <c r="D4057" s="19">
        <v>2022</v>
      </c>
      <c r="E4057" s="19" t="s">
        <v>232</v>
      </c>
      <c r="F4057" s="7">
        <f>SUMIF($D$4058:$D$4067,$D$4057,$F$4058:$F$4067)</f>
        <v>1</v>
      </c>
      <c r="G4057" s="7">
        <f>SUMIF($D$4058:$D$4067,$D$4057,$G$4058:$G$4067)</f>
        <v>15</v>
      </c>
      <c r="H4057" s="10">
        <f>SUMIF($D$4058:$D$4067,$D$4057,$H$4058:$H$4067)</f>
        <v>585</v>
      </c>
      <c r="I4057" s="15"/>
      <c r="J4057" s="15"/>
      <c r="K4057" s="15"/>
      <c r="L4057" s="15"/>
      <c r="M4057" s="15"/>
      <c r="N4057" s="15"/>
      <c r="O4057" s="15"/>
      <c r="P4057" s="15"/>
      <c r="Q4057" s="15"/>
      <c r="R4057" s="15"/>
      <c r="S4057" s="15"/>
      <c r="T4057" s="15"/>
      <c r="U4057" s="15"/>
      <c r="V4057" s="15"/>
      <c r="W4057" s="15"/>
      <c r="X4057" s="15"/>
      <c r="Y4057" s="15"/>
      <c r="Z4057" s="15"/>
      <c r="AA4057" s="15"/>
      <c r="AB4057" s="15"/>
      <c r="AC4057" s="15"/>
      <c r="AD4057" s="15"/>
      <c r="AE4057" s="15"/>
      <c r="AF4057" s="15"/>
      <c r="AG4057" s="15"/>
    </row>
    <row r="4058" spans="1:33" s="15" customFormat="1" ht="63" hidden="1" outlineLevel="1" x14ac:dyDescent="0.25">
      <c r="A4058" s="18">
        <v>424</v>
      </c>
      <c r="B4058" s="4" t="s">
        <v>233</v>
      </c>
      <c r="C4058" s="22" t="s">
        <v>4252</v>
      </c>
      <c r="D4058" s="18">
        <v>2022</v>
      </c>
      <c r="E4058" s="18" t="s">
        <v>232</v>
      </c>
      <c r="F4058" s="4">
        <v>1</v>
      </c>
      <c r="G4058" s="42">
        <v>15</v>
      </c>
      <c r="H4058" s="42">
        <v>585</v>
      </c>
    </row>
    <row r="4059" spans="1:33" s="15" customFormat="1" ht="38.25" hidden="1" customHeight="1" outlineLevel="1" x14ac:dyDescent="0.25">
      <c r="A4059" s="18">
        <v>1724</v>
      </c>
      <c r="B4059" s="4" t="s">
        <v>233</v>
      </c>
      <c r="C4059" s="38" t="s">
        <v>595</v>
      </c>
      <c r="D4059" s="18">
        <v>2020</v>
      </c>
      <c r="E4059" s="18" t="s">
        <v>232</v>
      </c>
      <c r="F4059" s="4">
        <v>1</v>
      </c>
      <c r="G4059" s="42">
        <v>15</v>
      </c>
      <c r="H4059" s="42">
        <v>146.16</v>
      </c>
    </row>
    <row r="4060" spans="1:33" s="15" customFormat="1" ht="38.25" hidden="1" customHeight="1" outlineLevel="1" x14ac:dyDescent="0.25">
      <c r="A4060" s="18">
        <v>1720</v>
      </c>
      <c r="B4060" s="4" t="s">
        <v>233</v>
      </c>
      <c r="C4060" s="38" t="s">
        <v>524</v>
      </c>
      <c r="D4060" s="18">
        <v>2020</v>
      </c>
      <c r="E4060" s="18" t="s">
        <v>232</v>
      </c>
      <c r="F4060" s="4">
        <v>1</v>
      </c>
      <c r="G4060" s="42">
        <v>10</v>
      </c>
      <c r="H4060" s="42">
        <v>481.34300000000002</v>
      </c>
    </row>
    <row r="4061" spans="1:33" s="15" customFormat="1" ht="38.25" hidden="1" customHeight="1" outlineLevel="1" x14ac:dyDescent="0.25">
      <c r="A4061" s="18">
        <v>1072</v>
      </c>
      <c r="B4061" s="4" t="s">
        <v>233</v>
      </c>
      <c r="C4061" s="38" t="s">
        <v>532</v>
      </c>
      <c r="D4061" s="18">
        <v>2020</v>
      </c>
      <c r="E4061" s="18" t="s">
        <v>232</v>
      </c>
      <c r="F4061" s="4">
        <v>1</v>
      </c>
      <c r="G4061" s="42">
        <v>15</v>
      </c>
      <c r="H4061" s="42">
        <v>709.88599999999997</v>
      </c>
    </row>
    <row r="4062" spans="1:33" s="15" customFormat="1" ht="26.25" hidden="1" customHeight="1" outlineLevel="1" x14ac:dyDescent="0.25">
      <c r="A4062" s="45">
        <v>1282</v>
      </c>
      <c r="B4062" s="4" t="s">
        <v>233</v>
      </c>
      <c r="C4062" s="38" t="s">
        <v>1380</v>
      </c>
      <c r="D4062" s="18">
        <v>2021</v>
      </c>
      <c r="E4062" s="18" t="s">
        <v>232</v>
      </c>
      <c r="F4062" s="4">
        <v>1</v>
      </c>
      <c r="G4062" s="42">
        <v>20</v>
      </c>
      <c r="H4062" s="42">
        <v>715</v>
      </c>
    </row>
    <row r="4063" spans="1:33" s="15" customFormat="1" ht="26.25" hidden="1" customHeight="1" outlineLevel="1" x14ac:dyDescent="0.25">
      <c r="A4063" s="46">
        <v>9632</v>
      </c>
      <c r="B4063" s="4" t="s">
        <v>233</v>
      </c>
      <c r="C4063" s="38" t="s">
        <v>1831</v>
      </c>
      <c r="D4063" s="18">
        <v>2021</v>
      </c>
      <c r="E4063" s="18" t="s">
        <v>232</v>
      </c>
      <c r="F4063" s="4">
        <v>1</v>
      </c>
      <c r="G4063" s="42">
        <v>60</v>
      </c>
      <c r="H4063" s="42">
        <v>732</v>
      </c>
    </row>
    <row r="4064" spans="1:33" s="15" customFormat="1" ht="26.25" hidden="1" customHeight="1" outlineLevel="1" x14ac:dyDescent="0.25">
      <c r="A4064" s="46">
        <v>9610</v>
      </c>
      <c r="B4064" s="4" t="s">
        <v>233</v>
      </c>
      <c r="C4064" s="38" t="s">
        <v>2007</v>
      </c>
      <c r="D4064" s="18">
        <v>2021</v>
      </c>
      <c r="E4064" s="18" t="s">
        <v>232</v>
      </c>
      <c r="F4064" s="4">
        <v>1</v>
      </c>
      <c r="G4064" s="42">
        <v>30</v>
      </c>
      <c r="H4064" s="42">
        <v>236</v>
      </c>
    </row>
    <row r="4065" spans="1:33" s="15" customFormat="1" ht="26.25" hidden="1" customHeight="1" outlineLevel="1" x14ac:dyDescent="0.25">
      <c r="A4065" s="46">
        <v>9672</v>
      </c>
      <c r="B4065" s="4" t="s">
        <v>233</v>
      </c>
      <c r="C4065" s="38" t="s">
        <v>1838</v>
      </c>
      <c r="D4065" s="18">
        <v>2021</v>
      </c>
      <c r="E4065" s="18" t="s">
        <v>232</v>
      </c>
      <c r="F4065" s="4">
        <v>1</v>
      </c>
      <c r="G4065" s="42">
        <v>70</v>
      </c>
      <c r="H4065" s="42">
        <v>671</v>
      </c>
    </row>
    <row r="4066" spans="1:33" s="15" customFormat="1" ht="26.25" hidden="1" customHeight="1" outlineLevel="1" x14ac:dyDescent="0.25">
      <c r="A4066" s="46">
        <v>9611</v>
      </c>
      <c r="B4066" s="4" t="s">
        <v>233</v>
      </c>
      <c r="C4066" s="38" t="s">
        <v>1840</v>
      </c>
      <c r="D4066" s="18">
        <v>2021</v>
      </c>
      <c r="E4066" s="18" t="s">
        <v>232</v>
      </c>
      <c r="F4066" s="4">
        <v>1</v>
      </c>
      <c r="G4066" s="42">
        <v>15</v>
      </c>
      <c r="H4066" s="42">
        <v>506</v>
      </c>
    </row>
    <row r="4067" spans="1:33" s="15" customFormat="1" ht="26.25" hidden="1" customHeight="1" outlineLevel="1" x14ac:dyDescent="0.25">
      <c r="A4067" s="46">
        <v>9456</v>
      </c>
      <c r="B4067" s="4" t="s">
        <v>233</v>
      </c>
      <c r="C4067" s="38" t="s">
        <v>1767</v>
      </c>
      <c r="D4067" s="18">
        <v>2021</v>
      </c>
      <c r="E4067" s="18" t="s">
        <v>232</v>
      </c>
      <c r="F4067" s="4">
        <v>1</v>
      </c>
      <c r="G4067" s="42">
        <v>15</v>
      </c>
      <c r="H4067" s="42">
        <v>323.95870000000002</v>
      </c>
    </row>
    <row r="4068" spans="1:33" s="15" customFormat="1" ht="31.5" collapsed="1" x14ac:dyDescent="0.25">
      <c r="A4068" s="18"/>
      <c r="B4068" s="70" t="s">
        <v>236</v>
      </c>
      <c r="C4068" s="71" t="s">
        <v>3222</v>
      </c>
      <c r="D4068" s="69"/>
      <c r="E4068" s="74" t="s">
        <v>234</v>
      </c>
      <c r="F4068" s="69"/>
      <c r="G4068" s="69"/>
      <c r="H4068" s="69"/>
    </row>
    <row r="4069" spans="1:33" s="15" customFormat="1" ht="16.5" customHeight="1" x14ac:dyDescent="0.25">
      <c r="A4069" s="18"/>
      <c r="B4069" s="11" t="s">
        <v>236</v>
      </c>
      <c r="C4069" s="12" t="s">
        <v>1102</v>
      </c>
      <c r="D4069" s="20">
        <v>2020</v>
      </c>
      <c r="E4069" s="11" t="s">
        <v>234</v>
      </c>
      <c r="F4069" s="11">
        <f>SUMIF($D$4072:$D$4139,$D$4069,$F$4072:$F$4139)</f>
        <v>19</v>
      </c>
      <c r="G4069" s="14">
        <f>SUMIF($D$4072:$D$4139,$D$4069,$G$4072:$G$4139)</f>
        <v>265</v>
      </c>
      <c r="H4069" s="14">
        <f>SUMIF($D$4072:$D$4139,$D$4069,$H$4072:$H$4139)</f>
        <v>9206.8370000000014</v>
      </c>
    </row>
    <row r="4070" spans="1:33" s="26" customFormat="1" ht="16.5" customHeight="1" x14ac:dyDescent="0.25">
      <c r="A4070" s="18"/>
      <c r="B4070" s="11" t="s">
        <v>236</v>
      </c>
      <c r="C4070" s="12" t="s">
        <v>1102</v>
      </c>
      <c r="D4070" s="20">
        <v>2021</v>
      </c>
      <c r="E4070" s="11" t="s">
        <v>234</v>
      </c>
      <c r="F4070" s="11">
        <f>SUMIF($D$4072:$D$4139,$D$4070,$F$4072:$F$4139)</f>
        <v>23</v>
      </c>
      <c r="G4070" s="14">
        <f>SUMIF($D$4072:$D$4139,$D$4070,$G$4072:$G$4139)</f>
        <v>342</v>
      </c>
      <c r="H4070" s="14">
        <f>SUMIF($D$4072:$D$4139,$D$4070,$H$4072:$H$4139)</f>
        <v>11374.810510000001</v>
      </c>
      <c r="I4070" s="15"/>
      <c r="J4070" s="15"/>
      <c r="K4070" s="15"/>
      <c r="L4070" s="15"/>
      <c r="M4070" s="15"/>
      <c r="N4070" s="15"/>
      <c r="O4070" s="15"/>
      <c r="P4070" s="15"/>
      <c r="Q4070" s="15"/>
      <c r="R4070" s="15"/>
      <c r="S4070" s="15"/>
      <c r="T4070" s="15"/>
      <c r="U4070" s="15"/>
      <c r="V4070" s="15"/>
      <c r="W4070" s="15"/>
      <c r="X4070" s="15"/>
      <c r="Y4070" s="15"/>
      <c r="Z4070" s="15"/>
      <c r="AA4070" s="15"/>
      <c r="AB4070" s="15"/>
      <c r="AC4070" s="15"/>
      <c r="AD4070" s="15"/>
      <c r="AE4070" s="15"/>
      <c r="AF4070" s="15"/>
      <c r="AG4070" s="15"/>
    </row>
    <row r="4071" spans="1:33" s="26" customFormat="1" ht="15.75" x14ac:dyDescent="0.25">
      <c r="A4071" s="18"/>
      <c r="B4071" s="11" t="s">
        <v>236</v>
      </c>
      <c r="C4071" s="12" t="s">
        <v>1102</v>
      </c>
      <c r="D4071" s="20">
        <v>2022</v>
      </c>
      <c r="E4071" s="11" t="s">
        <v>234</v>
      </c>
      <c r="F4071" s="11">
        <f>SUMIF($D$4072:$D$4139,$D$4071,$F$4072:$F$4139)</f>
        <v>26</v>
      </c>
      <c r="G4071" s="14">
        <f>SUMIF($D$4072:$D$4139,$D$4071,$G$4072:$G$4139)</f>
        <v>375</v>
      </c>
      <c r="H4071" s="14">
        <f>SUMIF($D$4072:$D$4139,$D$4071,$H$4072:$H$4139)</f>
        <v>13776.77504</v>
      </c>
      <c r="I4071" s="15"/>
      <c r="J4071" s="15"/>
      <c r="K4071" s="15"/>
      <c r="L4071" s="15"/>
      <c r="M4071" s="15"/>
      <c r="N4071" s="15"/>
      <c r="O4071" s="15"/>
      <c r="P4071" s="15"/>
      <c r="Q4071" s="15"/>
      <c r="R4071" s="15"/>
      <c r="S4071" s="15"/>
      <c r="T4071" s="15"/>
      <c r="U4071" s="15"/>
      <c r="V4071" s="15"/>
      <c r="W4071" s="15"/>
      <c r="X4071" s="15"/>
      <c r="Y4071" s="15"/>
      <c r="Z4071" s="15"/>
      <c r="AA4071" s="15"/>
      <c r="AB4071" s="15"/>
      <c r="AC4071" s="15"/>
      <c r="AD4071" s="15"/>
      <c r="AE4071" s="15"/>
      <c r="AF4071" s="15"/>
      <c r="AG4071" s="15"/>
    </row>
    <row r="4072" spans="1:33" s="15" customFormat="1" ht="94.5" hidden="1" outlineLevel="1" x14ac:dyDescent="0.25">
      <c r="A4072" s="18">
        <v>2718</v>
      </c>
      <c r="B4072" s="4" t="s">
        <v>236</v>
      </c>
      <c r="C4072" s="22" t="s">
        <v>3294</v>
      </c>
      <c r="D4072" s="18">
        <v>2022</v>
      </c>
      <c r="E4072" s="18" t="s">
        <v>234</v>
      </c>
      <c r="F4072" s="18">
        <v>1</v>
      </c>
      <c r="G4072" s="18">
        <v>25</v>
      </c>
      <c r="H4072" s="18">
        <v>490.33517000000001</v>
      </c>
    </row>
    <row r="4073" spans="1:33" s="15" customFormat="1" ht="94.5" hidden="1" outlineLevel="1" x14ac:dyDescent="0.25">
      <c r="A4073" s="18">
        <v>2718</v>
      </c>
      <c r="B4073" s="4" t="s">
        <v>236</v>
      </c>
      <c r="C4073" s="22" t="s">
        <v>3245</v>
      </c>
      <c r="D4073" s="18">
        <v>2022</v>
      </c>
      <c r="E4073" s="18" t="s">
        <v>234</v>
      </c>
      <c r="F4073" s="18">
        <v>1</v>
      </c>
      <c r="G4073" s="18">
        <v>25</v>
      </c>
      <c r="H4073" s="18">
        <v>283.97899999999998</v>
      </c>
    </row>
    <row r="4074" spans="1:33" s="15" customFormat="1" ht="126" hidden="1" outlineLevel="1" x14ac:dyDescent="0.25">
      <c r="A4074" s="18">
        <v>1492</v>
      </c>
      <c r="B4074" s="4" t="s">
        <v>236</v>
      </c>
      <c r="C4074" s="22" t="s">
        <v>3438</v>
      </c>
      <c r="D4074" s="18">
        <v>2022</v>
      </c>
      <c r="E4074" s="18" t="s">
        <v>234</v>
      </c>
      <c r="F4074" s="18">
        <v>1</v>
      </c>
      <c r="G4074" s="18">
        <v>15</v>
      </c>
      <c r="H4074" s="18">
        <v>598.27706000000001</v>
      </c>
    </row>
    <row r="4075" spans="1:33" s="15" customFormat="1" ht="110.25" hidden="1" outlineLevel="1" x14ac:dyDescent="0.25">
      <c r="A4075" s="18">
        <v>473</v>
      </c>
      <c r="B4075" s="4" t="s">
        <v>236</v>
      </c>
      <c r="C4075" s="22" t="s">
        <v>3585</v>
      </c>
      <c r="D4075" s="18">
        <v>2022</v>
      </c>
      <c r="E4075" s="18" t="s">
        <v>234</v>
      </c>
      <c r="F4075" s="18">
        <v>1</v>
      </c>
      <c r="G4075" s="18">
        <v>15</v>
      </c>
      <c r="H4075" s="18">
        <v>795.18380999999999</v>
      </c>
    </row>
    <row r="4076" spans="1:33" s="15" customFormat="1" ht="94.5" hidden="1" outlineLevel="1" x14ac:dyDescent="0.25">
      <c r="A4076" s="18">
        <v>4791</v>
      </c>
      <c r="B4076" s="4" t="s">
        <v>236</v>
      </c>
      <c r="C4076" s="22" t="s">
        <v>3962</v>
      </c>
      <c r="D4076" s="18">
        <v>2022</v>
      </c>
      <c r="E4076" s="18" t="s">
        <v>234</v>
      </c>
      <c r="F4076" s="18">
        <v>1</v>
      </c>
      <c r="G4076" s="18" t="s">
        <v>1447</v>
      </c>
      <c r="H4076" s="18">
        <v>604</v>
      </c>
    </row>
    <row r="4077" spans="1:33" s="15" customFormat="1" ht="126" hidden="1" outlineLevel="1" x14ac:dyDescent="0.25">
      <c r="A4077" s="18">
        <v>4603</v>
      </c>
      <c r="B4077" s="4" t="s">
        <v>236</v>
      </c>
      <c r="C4077" s="22" t="s">
        <v>3964</v>
      </c>
      <c r="D4077" s="18">
        <v>2022</v>
      </c>
      <c r="E4077" s="18" t="s">
        <v>234</v>
      </c>
      <c r="F4077" s="18">
        <v>1</v>
      </c>
      <c r="G4077" s="18" t="s">
        <v>3965</v>
      </c>
      <c r="H4077" s="18">
        <v>386</v>
      </c>
    </row>
    <row r="4078" spans="1:33" s="15" customFormat="1" ht="110.25" hidden="1" outlineLevel="1" x14ac:dyDescent="0.25">
      <c r="A4078" s="18">
        <v>4914</v>
      </c>
      <c r="B4078" s="4" t="s">
        <v>236</v>
      </c>
      <c r="C4078" s="22" t="s">
        <v>4081</v>
      </c>
      <c r="D4078" s="18">
        <v>2022</v>
      </c>
      <c r="E4078" s="18" t="s">
        <v>234</v>
      </c>
      <c r="F4078" s="18">
        <v>1</v>
      </c>
      <c r="G4078" s="18">
        <v>15</v>
      </c>
      <c r="H4078" s="18">
        <v>716</v>
      </c>
    </row>
    <row r="4079" spans="1:33" s="15" customFormat="1" ht="63" hidden="1" outlineLevel="1" x14ac:dyDescent="0.25">
      <c r="A4079" s="18">
        <v>121</v>
      </c>
      <c r="B4079" s="4" t="s">
        <v>236</v>
      </c>
      <c r="C4079" s="22" t="s">
        <v>3690</v>
      </c>
      <c r="D4079" s="18">
        <v>2022</v>
      </c>
      <c r="E4079" s="18" t="s">
        <v>234</v>
      </c>
      <c r="F4079" s="18">
        <v>1</v>
      </c>
      <c r="G4079" s="18">
        <v>15</v>
      </c>
      <c r="H4079" s="18">
        <v>516</v>
      </c>
    </row>
    <row r="4080" spans="1:33" s="15" customFormat="1" ht="63" hidden="1" outlineLevel="1" x14ac:dyDescent="0.25">
      <c r="A4080" s="18">
        <v>117</v>
      </c>
      <c r="B4080" s="4" t="s">
        <v>236</v>
      </c>
      <c r="C4080" s="22" t="s">
        <v>3698</v>
      </c>
      <c r="D4080" s="18">
        <v>2022</v>
      </c>
      <c r="E4080" s="18" t="s">
        <v>234</v>
      </c>
      <c r="F4080" s="18">
        <v>1</v>
      </c>
      <c r="G4080" s="18">
        <v>15</v>
      </c>
      <c r="H4080" s="18">
        <v>540</v>
      </c>
    </row>
    <row r="4081" spans="1:8" s="15" customFormat="1" ht="78.75" hidden="1" outlineLevel="1" x14ac:dyDescent="0.25">
      <c r="A4081" s="18">
        <v>201</v>
      </c>
      <c r="B4081" s="4" t="s">
        <v>236</v>
      </c>
      <c r="C4081" s="22" t="s">
        <v>3713</v>
      </c>
      <c r="D4081" s="18">
        <v>2022</v>
      </c>
      <c r="E4081" s="18" t="s">
        <v>234</v>
      </c>
      <c r="F4081" s="18">
        <v>1</v>
      </c>
      <c r="G4081" s="18">
        <v>15</v>
      </c>
      <c r="H4081" s="18">
        <v>641</v>
      </c>
    </row>
    <row r="4082" spans="1:8" s="15" customFormat="1" ht="63" hidden="1" outlineLevel="1" x14ac:dyDescent="0.25">
      <c r="A4082" s="18">
        <v>183</v>
      </c>
      <c r="B4082" s="4" t="s">
        <v>236</v>
      </c>
      <c r="C4082" s="22" t="s">
        <v>3730</v>
      </c>
      <c r="D4082" s="18">
        <v>2022</v>
      </c>
      <c r="E4082" s="18" t="s">
        <v>234</v>
      </c>
      <c r="F4082" s="18">
        <v>1</v>
      </c>
      <c r="G4082" s="18">
        <v>15</v>
      </c>
      <c r="H4082" s="18">
        <v>459</v>
      </c>
    </row>
    <row r="4083" spans="1:8" s="15" customFormat="1" ht="78.75" hidden="1" outlineLevel="1" x14ac:dyDescent="0.25">
      <c r="A4083" s="18">
        <v>357</v>
      </c>
      <c r="B4083" s="4" t="s">
        <v>236</v>
      </c>
      <c r="C4083" s="22" t="s">
        <v>3831</v>
      </c>
      <c r="D4083" s="18">
        <v>2022</v>
      </c>
      <c r="E4083" s="18" t="s">
        <v>234</v>
      </c>
      <c r="F4083" s="18">
        <v>1</v>
      </c>
      <c r="G4083" s="18">
        <v>15</v>
      </c>
      <c r="H4083" s="18">
        <v>617</v>
      </c>
    </row>
    <row r="4084" spans="1:8" s="15" customFormat="1" ht="63" hidden="1" outlineLevel="1" x14ac:dyDescent="0.25">
      <c r="A4084" s="18">
        <v>382</v>
      </c>
      <c r="B4084" s="4" t="s">
        <v>236</v>
      </c>
      <c r="C4084" s="22" t="s">
        <v>3850</v>
      </c>
      <c r="D4084" s="18">
        <v>2022</v>
      </c>
      <c r="E4084" s="18" t="s">
        <v>234</v>
      </c>
      <c r="F4084" s="18">
        <v>1</v>
      </c>
      <c r="G4084" s="18">
        <v>15</v>
      </c>
      <c r="H4084" s="18">
        <v>457</v>
      </c>
    </row>
    <row r="4085" spans="1:8" s="15" customFormat="1" ht="63" hidden="1" outlineLevel="1" x14ac:dyDescent="0.25">
      <c r="A4085" s="18">
        <v>121</v>
      </c>
      <c r="B4085" s="4" t="s">
        <v>236</v>
      </c>
      <c r="C4085" s="22" t="s">
        <v>3690</v>
      </c>
      <c r="D4085" s="18">
        <v>2022</v>
      </c>
      <c r="E4085" s="18" t="s">
        <v>234</v>
      </c>
      <c r="F4085" s="18">
        <v>1</v>
      </c>
      <c r="G4085" s="18">
        <v>15</v>
      </c>
      <c r="H4085" s="18">
        <v>516</v>
      </c>
    </row>
    <row r="4086" spans="1:8" s="15" customFormat="1" ht="63" hidden="1" outlineLevel="1" x14ac:dyDescent="0.25">
      <c r="A4086" s="18">
        <v>117</v>
      </c>
      <c r="B4086" s="4" t="s">
        <v>236</v>
      </c>
      <c r="C4086" s="22" t="s">
        <v>3698</v>
      </c>
      <c r="D4086" s="18">
        <v>2022</v>
      </c>
      <c r="E4086" s="18" t="s">
        <v>234</v>
      </c>
      <c r="F4086" s="18">
        <v>1</v>
      </c>
      <c r="G4086" s="18">
        <v>15</v>
      </c>
      <c r="H4086" s="18">
        <v>540</v>
      </c>
    </row>
    <row r="4087" spans="1:8" s="15" customFormat="1" ht="78.75" hidden="1" outlineLevel="1" x14ac:dyDescent="0.25">
      <c r="A4087" s="18">
        <v>201</v>
      </c>
      <c r="B4087" s="4" t="s">
        <v>236</v>
      </c>
      <c r="C4087" s="22" t="s">
        <v>3713</v>
      </c>
      <c r="D4087" s="18">
        <v>2022</v>
      </c>
      <c r="E4087" s="18" t="s">
        <v>234</v>
      </c>
      <c r="F4087" s="18">
        <v>1</v>
      </c>
      <c r="G4087" s="18">
        <v>15</v>
      </c>
      <c r="H4087" s="18">
        <v>641</v>
      </c>
    </row>
    <row r="4088" spans="1:8" s="15" customFormat="1" ht="63" hidden="1" outlineLevel="1" x14ac:dyDescent="0.25">
      <c r="A4088" s="18">
        <v>183</v>
      </c>
      <c r="B4088" s="4" t="s">
        <v>236</v>
      </c>
      <c r="C4088" s="22" t="s">
        <v>3730</v>
      </c>
      <c r="D4088" s="18">
        <v>2022</v>
      </c>
      <c r="E4088" s="18" t="s">
        <v>234</v>
      </c>
      <c r="F4088" s="18">
        <v>1</v>
      </c>
      <c r="G4088" s="18">
        <v>15</v>
      </c>
      <c r="H4088" s="18">
        <v>459</v>
      </c>
    </row>
    <row r="4089" spans="1:8" s="15" customFormat="1" ht="78.75" hidden="1" outlineLevel="1" x14ac:dyDescent="0.25">
      <c r="A4089" s="18">
        <v>357</v>
      </c>
      <c r="B4089" s="4" t="s">
        <v>236</v>
      </c>
      <c r="C4089" s="22" t="s">
        <v>3831</v>
      </c>
      <c r="D4089" s="18">
        <v>2022</v>
      </c>
      <c r="E4089" s="18" t="s">
        <v>234</v>
      </c>
      <c r="F4089" s="18">
        <v>1</v>
      </c>
      <c r="G4089" s="18">
        <v>15</v>
      </c>
      <c r="H4089" s="18">
        <v>617</v>
      </c>
    </row>
    <row r="4090" spans="1:8" s="15" customFormat="1" ht="63" hidden="1" outlineLevel="1" x14ac:dyDescent="0.25">
      <c r="A4090" s="18">
        <v>382</v>
      </c>
      <c r="B4090" s="4" t="s">
        <v>236</v>
      </c>
      <c r="C4090" s="22" t="s">
        <v>3850</v>
      </c>
      <c r="D4090" s="18">
        <v>2022</v>
      </c>
      <c r="E4090" s="18" t="s">
        <v>234</v>
      </c>
      <c r="F4090" s="18">
        <v>1</v>
      </c>
      <c r="G4090" s="18">
        <v>15</v>
      </c>
      <c r="H4090" s="18">
        <v>457</v>
      </c>
    </row>
    <row r="4091" spans="1:8" s="15" customFormat="1" ht="94.5" hidden="1" outlineLevel="1" x14ac:dyDescent="0.25">
      <c r="A4091" s="18">
        <v>5396</v>
      </c>
      <c r="B4091" s="4" t="s">
        <v>236</v>
      </c>
      <c r="C4091" s="22" t="s">
        <v>3892</v>
      </c>
      <c r="D4091" s="18">
        <v>2022</v>
      </c>
      <c r="E4091" s="18" t="s">
        <v>234</v>
      </c>
      <c r="F4091" s="18">
        <v>1</v>
      </c>
      <c r="G4091" s="18">
        <v>15</v>
      </c>
      <c r="H4091" s="18">
        <v>400</v>
      </c>
    </row>
    <row r="4092" spans="1:8" s="15" customFormat="1" ht="110.25" hidden="1" outlineLevel="1" x14ac:dyDescent="0.25">
      <c r="A4092" s="18">
        <v>5397</v>
      </c>
      <c r="B4092" s="4" t="s">
        <v>236</v>
      </c>
      <c r="C4092" s="22" t="s">
        <v>3893</v>
      </c>
      <c r="D4092" s="18">
        <v>2022</v>
      </c>
      <c r="E4092" s="18" t="s">
        <v>234</v>
      </c>
      <c r="F4092" s="18">
        <v>1</v>
      </c>
      <c r="G4092" s="18">
        <v>15</v>
      </c>
      <c r="H4092" s="18">
        <v>320</v>
      </c>
    </row>
    <row r="4093" spans="1:8" s="15" customFormat="1" ht="110.25" hidden="1" outlineLevel="1" x14ac:dyDescent="0.25">
      <c r="A4093" s="18">
        <v>5077</v>
      </c>
      <c r="B4093" s="4" t="s">
        <v>236</v>
      </c>
      <c r="C4093" s="22" t="s">
        <v>3899</v>
      </c>
      <c r="D4093" s="18">
        <v>2022</v>
      </c>
      <c r="E4093" s="18" t="s">
        <v>234</v>
      </c>
      <c r="F4093" s="18">
        <v>1</v>
      </c>
      <c r="G4093" s="18">
        <v>15</v>
      </c>
      <c r="H4093" s="18">
        <v>305</v>
      </c>
    </row>
    <row r="4094" spans="1:8" s="15" customFormat="1" ht="110.25" hidden="1" outlineLevel="1" x14ac:dyDescent="0.25">
      <c r="A4094" s="18">
        <v>5058</v>
      </c>
      <c r="B4094" s="4" t="s">
        <v>236</v>
      </c>
      <c r="C4094" s="22" t="s">
        <v>3909</v>
      </c>
      <c r="D4094" s="18">
        <v>2022</v>
      </c>
      <c r="E4094" s="18" t="s">
        <v>234</v>
      </c>
      <c r="F4094" s="18">
        <v>1</v>
      </c>
      <c r="G4094" s="18">
        <v>15</v>
      </c>
      <c r="H4094" s="18">
        <v>444</v>
      </c>
    </row>
    <row r="4095" spans="1:8" s="15" customFormat="1" ht="94.5" hidden="1" outlineLevel="1" x14ac:dyDescent="0.25">
      <c r="A4095" s="18">
        <v>5301</v>
      </c>
      <c r="B4095" s="4" t="s">
        <v>236</v>
      </c>
      <c r="C4095" s="22" t="s">
        <v>4253</v>
      </c>
      <c r="D4095" s="18">
        <v>2022</v>
      </c>
      <c r="E4095" s="18" t="s">
        <v>234</v>
      </c>
      <c r="F4095" s="18">
        <v>1</v>
      </c>
      <c r="G4095" s="18">
        <v>15</v>
      </c>
      <c r="H4095" s="18">
        <v>848</v>
      </c>
    </row>
    <row r="4096" spans="1:8" s="15" customFormat="1" ht="94.5" hidden="1" outlineLevel="1" x14ac:dyDescent="0.25">
      <c r="A4096" s="18">
        <v>5099</v>
      </c>
      <c r="B4096" s="4" t="s">
        <v>236</v>
      </c>
      <c r="C4096" s="22" t="s">
        <v>3922</v>
      </c>
      <c r="D4096" s="18">
        <v>2022</v>
      </c>
      <c r="E4096" s="18" t="s">
        <v>234</v>
      </c>
      <c r="F4096" s="18">
        <v>1</v>
      </c>
      <c r="G4096" s="18">
        <v>15</v>
      </c>
      <c r="H4096" s="18">
        <v>613</v>
      </c>
    </row>
    <row r="4097" spans="1:8" s="15" customFormat="1" ht="110.25" hidden="1" outlineLevel="1" x14ac:dyDescent="0.25">
      <c r="A4097" s="18">
        <v>5100</v>
      </c>
      <c r="B4097" s="4" t="s">
        <v>236</v>
      </c>
      <c r="C4097" s="22" t="s">
        <v>3923</v>
      </c>
      <c r="D4097" s="18">
        <v>2022</v>
      </c>
      <c r="E4097" s="18" t="s">
        <v>234</v>
      </c>
      <c r="F4097" s="18">
        <v>1</v>
      </c>
      <c r="G4097" s="18">
        <v>10</v>
      </c>
      <c r="H4097" s="18">
        <v>513</v>
      </c>
    </row>
    <row r="4098" spans="1:8" s="15" customFormat="1" ht="31.5" hidden="1" customHeight="1" outlineLevel="1" x14ac:dyDescent="0.25">
      <c r="A4098" s="18">
        <v>1662</v>
      </c>
      <c r="B4098" s="4" t="s">
        <v>236</v>
      </c>
      <c r="C4098" s="22" t="s">
        <v>1036</v>
      </c>
      <c r="D4098" s="18">
        <v>2020</v>
      </c>
      <c r="E4098" s="18" t="s">
        <v>234</v>
      </c>
      <c r="F4098" s="18">
        <v>1</v>
      </c>
      <c r="G4098" s="18">
        <v>15</v>
      </c>
      <c r="H4098" s="18">
        <v>476.69499999999999</v>
      </c>
    </row>
    <row r="4099" spans="1:8" s="15" customFormat="1" ht="31.5" hidden="1" customHeight="1" outlineLevel="1" x14ac:dyDescent="0.25">
      <c r="A4099" s="18">
        <v>1577</v>
      </c>
      <c r="B4099" s="4" t="s">
        <v>236</v>
      </c>
      <c r="C4099" s="22" t="s">
        <v>1037</v>
      </c>
      <c r="D4099" s="18">
        <v>2020</v>
      </c>
      <c r="E4099" s="18" t="s">
        <v>234</v>
      </c>
      <c r="F4099" s="18">
        <v>1</v>
      </c>
      <c r="G4099" s="18">
        <v>15</v>
      </c>
      <c r="H4099" s="18">
        <v>529.70500000000004</v>
      </c>
    </row>
    <row r="4100" spans="1:8" s="15" customFormat="1" ht="31.5" hidden="1" customHeight="1" outlineLevel="1" x14ac:dyDescent="0.25">
      <c r="A4100" s="18">
        <v>550</v>
      </c>
      <c r="B4100" s="4" t="s">
        <v>236</v>
      </c>
      <c r="C4100" s="22" t="s">
        <v>1038</v>
      </c>
      <c r="D4100" s="18">
        <v>2020</v>
      </c>
      <c r="E4100" s="18" t="s">
        <v>234</v>
      </c>
      <c r="F4100" s="18">
        <v>1</v>
      </c>
      <c r="G4100" s="18">
        <v>15</v>
      </c>
      <c r="H4100" s="18">
        <v>600.51700000000005</v>
      </c>
    </row>
    <row r="4101" spans="1:8" s="15" customFormat="1" ht="31.5" hidden="1" customHeight="1" outlineLevel="1" x14ac:dyDescent="0.25">
      <c r="A4101" s="18">
        <v>195</v>
      </c>
      <c r="B4101" s="4" t="s">
        <v>236</v>
      </c>
      <c r="C4101" s="22" t="s">
        <v>822</v>
      </c>
      <c r="D4101" s="18">
        <v>2020</v>
      </c>
      <c r="E4101" s="18" t="s">
        <v>234</v>
      </c>
      <c r="F4101" s="18">
        <v>1</v>
      </c>
      <c r="G4101" s="18">
        <v>15</v>
      </c>
      <c r="H4101" s="18">
        <v>566.60900000000004</v>
      </c>
    </row>
    <row r="4102" spans="1:8" s="15" customFormat="1" ht="31.5" hidden="1" customHeight="1" outlineLevel="1" x14ac:dyDescent="0.25">
      <c r="A4102" s="18">
        <v>1124</v>
      </c>
      <c r="B4102" s="4" t="s">
        <v>236</v>
      </c>
      <c r="C4102" s="22" t="s">
        <v>899</v>
      </c>
      <c r="D4102" s="18">
        <v>2020</v>
      </c>
      <c r="E4102" s="18" t="s">
        <v>234</v>
      </c>
      <c r="F4102" s="18">
        <v>1</v>
      </c>
      <c r="G4102" s="18">
        <v>5</v>
      </c>
      <c r="H4102" s="18">
        <v>394.11500000000001</v>
      </c>
    </row>
    <row r="4103" spans="1:8" s="15" customFormat="1" ht="31.5" hidden="1" customHeight="1" outlineLevel="1" x14ac:dyDescent="0.25">
      <c r="A4103" s="18">
        <v>1731</v>
      </c>
      <c r="B4103" s="4" t="s">
        <v>236</v>
      </c>
      <c r="C4103" s="22" t="s">
        <v>1087</v>
      </c>
      <c r="D4103" s="18">
        <v>2020</v>
      </c>
      <c r="E4103" s="18" t="s">
        <v>234</v>
      </c>
      <c r="F4103" s="18">
        <v>1</v>
      </c>
      <c r="G4103" s="18">
        <v>15</v>
      </c>
      <c r="H4103" s="18">
        <v>507.44299999999998</v>
      </c>
    </row>
    <row r="4104" spans="1:8" s="15" customFormat="1" ht="31.5" hidden="1" customHeight="1" outlineLevel="1" x14ac:dyDescent="0.25">
      <c r="A4104" s="18">
        <v>1658</v>
      </c>
      <c r="B4104" s="4" t="s">
        <v>236</v>
      </c>
      <c r="C4104" s="22" t="s">
        <v>550</v>
      </c>
      <c r="D4104" s="18">
        <v>2020</v>
      </c>
      <c r="E4104" s="18" t="s">
        <v>234</v>
      </c>
      <c r="F4104" s="18">
        <v>1</v>
      </c>
      <c r="G4104" s="18">
        <v>15</v>
      </c>
      <c r="H4104" s="18">
        <v>475.25400000000002</v>
      </c>
    </row>
    <row r="4105" spans="1:8" s="15" customFormat="1" ht="31.5" hidden="1" customHeight="1" outlineLevel="1" x14ac:dyDescent="0.25">
      <c r="A4105" s="18">
        <v>1932</v>
      </c>
      <c r="B4105" s="4" t="s">
        <v>236</v>
      </c>
      <c r="C4105" s="22" t="s">
        <v>921</v>
      </c>
      <c r="D4105" s="18">
        <v>2020</v>
      </c>
      <c r="E4105" s="18" t="s">
        <v>234</v>
      </c>
      <c r="F4105" s="18">
        <v>1</v>
      </c>
      <c r="G4105" s="18">
        <v>15</v>
      </c>
      <c r="H4105" s="18">
        <v>675.63099999999997</v>
      </c>
    </row>
    <row r="4106" spans="1:8" s="15" customFormat="1" ht="31.5" hidden="1" customHeight="1" outlineLevel="1" x14ac:dyDescent="0.25">
      <c r="A4106" s="18">
        <v>1670</v>
      </c>
      <c r="B4106" s="4" t="s">
        <v>236</v>
      </c>
      <c r="C4106" s="22" t="s">
        <v>555</v>
      </c>
      <c r="D4106" s="18">
        <v>2020</v>
      </c>
      <c r="E4106" s="18" t="s">
        <v>234</v>
      </c>
      <c r="F4106" s="18">
        <v>1</v>
      </c>
      <c r="G4106" s="18">
        <v>15</v>
      </c>
      <c r="H4106" s="18">
        <v>677.34199999999998</v>
      </c>
    </row>
    <row r="4107" spans="1:8" s="15" customFormat="1" ht="31.5" hidden="1" customHeight="1" outlineLevel="1" x14ac:dyDescent="0.25">
      <c r="A4107" s="18">
        <v>1652</v>
      </c>
      <c r="B4107" s="4" t="s">
        <v>236</v>
      </c>
      <c r="C4107" s="22" t="s">
        <v>567</v>
      </c>
      <c r="D4107" s="18">
        <v>2020</v>
      </c>
      <c r="E4107" s="18" t="s">
        <v>234</v>
      </c>
      <c r="F4107" s="18">
        <v>1</v>
      </c>
      <c r="G4107" s="18">
        <v>15</v>
      </c>
      <c r="H4107" s="18">
        <v>127.63200000000001</v>
      </c>
    </row>
    <row r="4108" spans="1:8" s="15" customFormat="1" ht="31.5" hidden="1" customHeight="1" outlineLevel="1" x14ac:dyDescent="0.25">
      <c r="A4108" s="18">
        <v>456</v>
      </c>
      <c r="B4108" s="4" t="s">
        <v>236</v>
      </c>
      <c r="C4108" s="22" t="s">
        <v>125</v>
      </c>
      <c r="D4108" s="18">
        <v>2020</v>
      </c>
      <c r="E4108" s="18" t="s">
        <v>234</v>
      </c>
      <c r="F4108" s="18">
        <v>1</v>
      </c>
      <c r="G4108" s="18">
        <v>15</v>
      </c>
      <c r="H4108" s="18">
        <v>503.36900000000003</v>
      </c>
    </row>
    <row r="4109" spans="1:8" s="15" customFormat="1" ht="31.5" hidden="1" customHeight="1" outlineLevel="1" x14ac:dyDescent="0.25">
      <c r="A4109" s="18">
        <v>683</v>
      </c>
      <c r="B4109" s="4" t="s">
        <v>236</v>
      </c>
      <c r="C4109" s="22" t="s">
        <v>126</v>
      </c>
      <c r="D4109" s="18">
        <v>2020</v>
      </c>
      <c r="E4109" s="18" t="s">
        <v>234</v>
      </c>
      <c r="F4109" s="18">
        <v>1</v>
      </c>
      <c r="G4109" s="18">
        <v>15</v>
      </c>
      <c r="H4109" s="18">
        <v>500.61099999999999</v>
      </c>
    </row>
    <row r="4110" spans="1:8" s="15" customFormat="1" ht="31.5" hidden="1" customHeight="1" outlineLevel="1" x14ac:dyDescent="0.25">
      <c r="A4110" s="18">
        <v>746</v>
      </c>
      <c r="B4110" s="4" t="s">
        <v>236</v>
      </c>
      <c r="C4110" s="22" t="s">
        <v>188</v>
      </c>
      <c r="D4110" s="18">
        <v>2020</v>
      </c>
      <c r="E4110" s="18" t="s">
        <v>234</v>
      </c>
      <c r="F4110" s="18">
        <v>1</v>
      </c>
      <c r="G4110" s="18">
        <v>10</v>
      </c>
      <c r="H4110" s="18">
        <v>437.01100000000002</v>
      </c>
    </row>
    <row r="4111" spans="1:8" s="15" customFormat="1" ht="31.5" hidden="1" customHeight="1" outlineLevel="1" x14ac:dyDescent="0.25">
      <c r="A4111" s="18">
        <v>1806</v>
      </c>
      <c r="B4111" s="4" t="s">
        <v>236</v>
      </c>
      <c r="C4111" s="22" t="s">
        <v>168</v>
      </c>
      <c r="D4111" s="18">
        <v>2020</v>
      </c>
      <c r="E4111" s="18" t="s">
        <v>234</v>
      </c>
      <c r="F4111" s="18">
        <v>1</v>
      </c>
      <c r="G4111" s="18">
        <v>15</v>
      </c>
      <c r="H4111" s="18">
        <v>283</v>
      </c>
    </row>
    <row r="4112" spans="1:8" s="15" customFormat="1" ht="31.5" hidden="1" customHeight="1" outlineLevel="1" x14ac:dyDescent="0.25">
      <c r="A4112" s="18">
        <v>1809</v>
      </c>
      <c r="B4112" s="4" t="s">
        <v>236</v>
      </c>
      <c r="C4112" s="22" t="s">
        <v>175</v>
      </c>
      <c r="D4112" s="18">
        <v>2020</v>
      </c>
      <c r="E4112" s="18" t="s">
        <v>234</v>
      </c>
      <c r="F4112" s="18">
        <v>1</v>
      </c>
      <c r="G4112" s="18">
        <v>10</v>
      </c>
      <c r="H4112" s="18">
        <v>353</v>
      </c>
    </row>
    <row r="4113" spans="1:8" s="15" customFormat="1" ht="31.5" hidden="1" customHeight="1" outlineLevel="1" x14ac:dyDescent="0.25">
      <c r="A4113" s="18">
        <v>435</v>
      </c>
      <c r="B4113" s="4" t="s">
        <v>236</v>
      </c>
      <c r="C4113" s="22" t="s">
        <v>207</v>
      </c>
      <c r="D4113" s="18">
        <v>2020</v>
      </c>
      <c r="E4113" s="18" t="s">
        <v>234</v>
      </c>
      <c r="F4113" s="18">
        <v>1</v>
      </c>
      <c r="G4113" s="18">
        <v>15</v>
      </c>
      <c r="H4113" s="18">
        <v>546</v>
      </c>
    </row>
    <row r="4114" spans="1:8" s="15" customFormat="1" ht="31.5" hidden="1" customHeight="1" outlineLevel="1" x14ac:dyDescent="0.25">
      <c r="A4114" s="18">
        <v>388</v>
      </c>
      <c r="B4114" s="4" t="s">
        <v>236</v>
      </c>
      <c r="C4114" s="22" t="s">
        <v>208</v>
      </c>
      <c r="D4114" s="18">
        <v>2020</v>
      </c>
      <c r="E4114" s="18" t="s">
        <v>234</v>
      </c>
      <c r="F4114" s="18">
        <v>1</v>
      </c>
      <c r="G4114" s="18">
        <v>15</v>
      </c>
      <c r="H4114" s="18">
        <v>577</v>
      </c>
    </row>
    <row r="4115" spans="1:8" s="15" customFormat="1" ht="31.5" hidden="1" customHeight="1" outlineLevel="1" x14ac:dyDescent="0.25">
      <c r="A4115" s="18">
        <v>220</v>
      </c>
      <c r="B4115" s="4" t="s">
        <v>236</v>
      </c>
      <c r="C4115" s="22" t="s">
        <v>178</v>
      </c>
      <c r="D4115" s="18">
        <v>2020</v>
      </c>
      <c r="E4115" s="18" t="s">
        <v>234</v>
      </c>
      <c r="F4115" s="18">
        <v>1</v>
      </c>
      <c r="G4115" s="18">
        <v>15</v>
      </c>
      <c r="H4115" s="18">
        <v>455</v>
      </c>
    </row>
    <row r="4116" spans="1:8" s="15" customFormat="1" ht="31.5" hidden="1" customHeight="1" outlineLevel="1" x14ac:dyDescent="0.25">
      <c r="A4116" s="18">
        <v>667</v>
      </c>
      <c r="B4116" s="4" t="s">
        <v>236</v>
      </c>
      <c r="C4116" s="22" t="s">
        <v>144</v>
      </c>
      <c r="D4116" s="18">
        <v>2020</v>
      </c>
      <c r="E4116" s="18" t="s">
        <v>234</v>
      </c>
      <c r="F4116" s="18">
        <v>1</v>
      </c>
      <c r="G4116" s="18">
        <v>15</v>
      </c>
      <c r="H4116" s="18">
        <v>520.90300000000002</v>
      </c>
    </row>
    <row r="4117" spans="1:8" s="15" customFormat="1" ht="32.25" hidden="1" customHeight="1" outlineLevel="1" x14ac:dyDescent="0.25">
      <c r="A4117" s="46">
        <v>9507</v>
      </c>
      <c r="B4117" s="4" t="s">
        <v>236</v>
      </c>
      <c r="C4117" s="22" t="s">
        <v>1513</v>
      </c>
      <c r="D4117" s="18">
        <v>2021</v>
      </c>
      <c r="E4117" s="18" t="s">
        <v>234</v>
      </c>
      <c r="F4117" s="18">
        <v>1</v>
      </c>
      <c r="G4117" s="18">
        <v>10</v>
      </c>
      <c r="H4117" s="18">
        <v>550.18899999999996</v>
      </c>
    </row>
    <row r="4118" spans="1:8" s="15" customFormat="1" ht="32.25" hidden="1" customHeight="1" outlineLevel="1" x14ac:dyDescent="0.25">
      <c r="A4118" s="46">
        <v>9519</v>
      </c>
      <c r="B4118" s="4" t="s">
        <v>236</v>
      </c>
      <c r="C4118" s="22" t="s">
        <v>1515</v>
      </c>
      <c r="D4118" s="18">
        <v>2021</v>
      </c>
      <c r="E4118" s="18" t="s">
        <v>234</v>
      </c>
      <c r="F4118" s="18">
        <v>1</v>
      </c>
      <c r="G4118" s="18">
        <v>15</v>
      </c>
      <c r="H4118" s="18">
        <v>493.64299999999997</v>
      </c>
    </row>
    <row r="4119" spans="1:8" s="15" customFormat="1" ht="32.25" hidden="1" customHeight="1" outlineLevel="1" x14ac:dyDescent="0.25">
      <c r="A4119" s="46">
        <v>9515</v>
      </c>
      <c r="B4119" s="4" t="s">
        <v>236</v>
      </c>
      <c r="C4119" s="22" t="s">
        <v>1521</v>
      </c>
      <c r="D4119" s="18">
        <v>2021</v>
      </c>
      <c r="E4119" s="18" t="s">
        <v>234</v>
      </c>
      <c r="F4119" s="18">
        <v>1</v>
      </c>
      <c r="G4119" s="18">
        <v>15</v>
      </c>
      <c r="H4119" s="18">
        <v>507.28500000000003</v>
      </c>
    </row>
    <row r="4120" spans="1:8" s="15" customFormat="1" ht="32.25" hidden="1" customHeight="1" outlineLevel="1" x14ac:dyDescent="0.25">
      <c r="A4120" s="46">
        <v>9496</v>
      </c>
      <c r="B4120" s="4" t="s">
        <v>236</v>
      </c>
      <c r="C4120" s="22" t="s">
        <v>1525</v>
      </c>
      <c r="D4120" s="18">
        <v>2021</v>
      </c>
      <c r="E4120" s="18" t="s">
        <v>234</v>
      </c>
      <c r="F4120" s="18">
        <v>1</v>
      </c>
      <c r="G4120" s="18">
        <v>15</v>
      </c>
      <c r="H4120" s="18">
        <v>443.25700000000001</v>
      </c>
    </row>
    <row r="4121" spans="1:8" s="15" customFormat="1" ht="32.25" hidden="1" customHeight="1" outlineLevel="1" x14ac:dyDescent="0.25">
      <c r="A4121" s="46">
        <v>9505</v>
      </c>
      <c r="B4121" s="4" t="s">
        <v>236</v>
      </c>
      <c r="C4121" s="35" t="s">
        <v>1530</v>
      </c>
      <c r="D4121" s="18">
        <v>2021</v>
      </c>
      <c r="E4121" s="18" t="s">
        <v>234</v>
      </c>
      <c r="F4121" s="18">
        <v>1</v>
      </c>
      <c r="G4121" s="18">
        <v>15</v>
      </c>
      <c r="H4121" s="18">
        <v>342.447</v>
      </c>
    </row>
    <row r="4122" spans="1:8" s="15" customFormat="1" ht="32.25" hidden="1" customHeight="1" outlineLevel="1" x14ac:dyDescent="0.25">
      <c r="A4122" s="46">
        <v>9502</v>
      </c>
      <c r="B4122" s="4" t="s">
        <v>236</v>
      </c>
      <c r="C4122" s="22" t="s">
        <v>1541</v>
      </c>
      <c r="D4122" s="18">
        <v>2021</v>
      </c>
      <c r="E4122" s="18" t="s">
        <v>234</v>
      </c>
      <c r="F4122" s="18">
        <v>1</v>
      </c>
      <c r="G4122" s="18">
        <v>15</v>
      </c>
      <c r="H4122" s="18">
        <v>572.31100000000004</v>
      </c>
    </row>
    <row r="4123" spans="1:8" s="15" customFormat="1" ht="32.25" hidden="1" customHeight="1" outlineLevel="1" x14ac:dyDescent="0.25">
      <c r="A4123" s="46">
        <v>9495</v>
      </c>
      <c r="B4123" s="4" t="s">
        <v>236</v>
      </c>
      <c r="C4123" s="22" t="s">
        <v>1542</v>
      </c>
      <c r="D4123" s="18">
        <v>2021</v>
      </c>
      <c r="E4123" s="18" t="s">
        <v>234</v>
      </c>
      <c r="F4123" s="18">
        <v>1</v>
      </c>
      <c r="G4123" s="18">
        <v>15</v>
      </c>
      <c r="H4123" s="18">
        <v>592.37199999999996</v>
      </c>
    </row>
    <row r="4124" spans="1:8" s="15" customFormat="1" ht="32.25" hidden="1" customHeight="1" outlineLevel="1" x14ac:dyDescent="0.25">
      <c r="A4124" s="46">
        <v>9499</v>
      </c>
      <c r="B4124" s="4" t="s">
        <v>236</v>
      </c>
      <c r="C4124" s="22" t="s">
        <v>1543</v>
      </c>
      <c r="D4124" s="18">
        <v>2021</v>
      </c>
      <c r="E4124" s="18" t="s">
        <v>234</v>
      </c>
      <c r="F4124" s="18">
        <v>1</v>
      </c>
      <c r="G4124" s="18">
        <v>15</v>
      </c>
      <c r="H4124" s="18">
        <v>467.52800000000002</v>
      </c>
    </row>
    <row r="4125" spans="1:8" s="15" customFormat="1" ht="32.25" hidden="1" customHeight="1" outlineLevel="1" x14ac:dyDescent="0.25">
      <c r="A4125" s="46">
        <v>9500</v>
      </c>
      <c r="B4125" s="4" t="s">
        <v>236</v>
      </c>
      <c r="C4125" s="22" t="s">
        <v>1544</v>
      </c>
      <c r="D4125" s="18">
        <v>2021</v>
      </c>
      <c r="E4125" s="18" t="s">
        <v>234</v>
      </c>
      <c r="F4125" s="18">
        <v>1</v>
      </c>
      <c r="G4125" s="18">
        <v>15</v>
      </c>
      <c r="H4125" s="18">
        <v>580.02700000000004</v>
      </c>
    </row>
    <row r="4126" spans="1:8" s="15" customFormat="1" ht="32.25" hidden="1" customHeight="1" outlineLevel="1" x14ac:dyDescent="0.25">
      <c r="A4126" s="46">
        <v>9524</v>
      </c>
      <c r="B4126" s="4" t="s">
        <v>236</v>
      </c>
      <c r="C4126" s="22" t="s">
        <v>1547</v>
      </c>
      <c r="D4126" s="18">
        <v>2021</v>
      </c>
      <c r="E4126" s="18" t="s">
        <v>234</v>
      </c>
      <c r="F4126" s="18">
        <v>1</v>
      </c>
      <c r="G4126" s="18">
        <v>10</v>
      </c>
      <c r="H4126" s="18">
        <v>528.33699999999999</v>
      </c>
    </row>
    <row r="4127" spans="1:8" s="15" customFormat="1" ht="32.25" hidden="1" customHeight="1" outlineLevel="1" x14ac:dyDescent="0.25">
      <c r="A4127" s="18">
        <v>10900</v>
      </c>
      <c r="B4127" s="4" t="s">
        <v>236</v>
      </c>
      <c r="C4127" s="22" t="s">
        <v>1565</v>
      </c>
      <c r="D4127" s="18">
        <v>2021</v>
      </c>
      <c r="E4127" s="18" t="s">
        <v>234</v>
      </c>
      <c r="F4127" s="18">
        <v>1</v>
      </c>
      <c r="G4127" s="18">
        <v>15</v>
      </c>
      <c r="H4127" s="18">
        <v>447</v>
      </c>
    </row>
    <row r="4128" spans="1:8" s="15" customFormat="1" ht="32.25" hidden="1" customHeight="1" outlineLevel="1" x14ac:dyDescent="0.25">
      <c r="A4128" s="46">
        <v>9090</v>
      </c>
      <c r="B4128" s="4" t="s">
        <v>236</v>
      </c>
      <c r="C4128" s="22" t="s">
        <v>1571</v>
      </c>
      <c r="D4128" s="18">
        <v>2021</v>
      </c>
      <c r="E4128" s="18" t="s">
        <v>234</v>
      </c>
      <c r="F4128" s="18">
        <v>1</v>
      </c>
      <c r="G4128" s="18">
        <v>15</v>
      </c>
      <c r="H4128" s="18">
        <v>174</v>
      </c>
    </row>
    <row r="4129" spans="1:33" s="15" customFormat="1" ht="32.25" hidden="1" customHeight="1" outlineLevel="1" x14ac:dyDescent="0.25">
      <c r="A4129" s="46">
        <v>9662</v>
      </c>
      <c r="B4129" s="4" t="s">
        <v>236</v>
      </c>
      <c r="C4129" s="22" t="s">
        <v>1572</v>
      </c>
      <c r="D4129" s="18">
        <v>2021</v>
      </c>
      <c r="E4129" s="18" t="s">
        <v>234</v>
      </c>
      <c r="F4129" s="18">
        <v>1</v>
      </c>
      <c r="G4129" s="18">
        <v>15</v>
      </c>
      <c r="H4129" s="18">
        <v>577</v>
      </c>
    </row>
    <row r="4130" spans="1:33" s="15" customFormat="1" ht="32.25" hidden="1" customHeight="1" outlineLevel="1" x14ac:dyDescent="0.25">
      <c r="A4130" s="45">
        <v>909</v>
      </c>
      <c r="B4130" s="4" t="s">
        <v>236</v>
      </c>
      <c r="C4130" s="22" t="s">
        <v>1609</v>
      </c>
      <c r="D4130" s="18">
        <v>2021</v>
      </c>
      <c r="E4130" s="18" t="s">
        <v>234</v>
      </c>
      <c r="F4130" s="18">
        <v>1</v>
      </c>
      <c r="G4130" s="18">
        <v>15</v>
      </c>
      <c r="H4130" s="18">
        <v>1007</v>
      </c>
    </row>
    <row r="4131" spans="1:33" s="15" customFormat="1" ht="32.25" hidden="1" customHeight="1" outlineLevel="1" x14ac:dyDescent="0.25">
      <c r="A4131" s="46">
        <v>9594</v>
      </c>
      <c r="B4131" s="4" t="s">
        <v>236</v>
      </c>
      <c r="C4131" s="22" t="s">
        <v>1630</v>
      </c>
      <c r="D4131" s="18">
        <v>2021</v>
      </c>
      <c r="E4131" s="18" t="s">
        <v>234</v>
      </c>
      <c r="F4131" s="18">
        <v>1</v>
      </c>
      <c r="G4131" s="18">
        <v>15</v>
      </c>
      <c r="H4131" s="18">
        <v>420</v>
      </c>
    </row>
    <row r="4132" spans="1:33" s="15" customFormat="1" ht="32.25" hidden="1" customHeight="1" outlineLevel="1" x14ac:dyDescent="0.25">
      <c r="A4132" s="46">
        <v>9593</v>
      </c>
      <c r="B4132" s="4" t="s">
        <v>236</v>
      </c>
      <c r="C4132" s="22" t="s">
        <v>1641</v>
      </c>
      <c r="D4132" s="18">
        <v>2021</v>
      </c>
      <c r="E4132" s="18" t="s">
        <v>234</v>
      </c>
      <c r="F4132" s="18">
        <v>1</v>
      </c>
      <c r="G4132" s="18">
        <v>15</v>
      </c>
      <c r="H4132" s="18">
        <v>459</v>
      </c>
    </row>
    <row r="4133" spans="1:33" s="15" customFormat="1" ht="32.25" hidden="1" customHeight="1" outlineLevel="1" x14ac:dyDescent="0.25">
      <c r="A4133" s="46">
        <v>9588</v>
      </c>
      <c r="B4133" s="4" t="s">
        <v>236</v>
      </c>
      <c r="C4133" s="22" t="s">
        <v>1833</v>
      </c>
      <c r="D4133" s="18">
        <v>2021</v>
      </c>
      <c r="E4133" s="18" t="s">
        <v>234</v>
      </c>
      <c r="F4133" s="18">
        <v>1</v>
      </c>
      <c r="G4133" s="18">
        <v>30</v>
      </c>
      <c r="H4133" s="18">
        <v>402</v>
      </c>
    </row>
    <row r="4134" spans="1:33" s="15" customFormat="1" ht="32.25" hidden="1" customHeight="1" outlineLevel="1" x14ac:dyDescent="0.25">
      <c r="A4134" s="46">
        <v>9450</v>
      </c>
      <c r="B4134" s="4" t="s">
        <v>236</v>
      </c>
      <c r="C4134" s="22" t="s">
        <v>1206</v>
      </c>
      <c r="D4134" s="18">
        <v>2021</v>
      </c>
      <c r="E4134" s="18" t="s">
        <v>234</v>
      </c>
      <c r="F4134" s="18">
        <v>1</v>
      </c>
      <c r="G4134" s="18">
        <v>7</v>
      </c>
      <c r="H4134" s="18">
        <v>217</v>
      </c>
    </row>
    <row r="4135" spans="1:33" s="15" customFormat="1" ht="32.25" hidden="1" customHeight="1" outlineLevel="1" x14ac:dyDescent="0.25">
      <c r="A4135" s="46">
        <v>9452</v>
      </c>
      <c r="B4135" s="4" t="s">
        <v>236</v>
      </c>
      <c r="C4135" s="22" t="s">
        <v>1222</v>
      </c>
      <c r="D4135" s="18">
        <v>2021</v>
      </c>
      <c r="E4135" s="18" t="s">
        <v>234</v>
      </c>
      <c r="F4135" s="18">
        <v>1</v>
      </c>
      <c r="G4135" s="18">
        <v>15</v>
      </c>
      <c r="H4135" s="18">
        <v>694</v>
      </c>
    </row>
    <row r="4136" spans="1:33" s="15" customFormat="1" ht="32.25" hidden="1" customHeight="1" outlineLevel="1" x14ac:dyDescent="0.25">
      <c r="A4136" s="46">
        <v>9640</v>
      </c>
      <c r="B4136" s="4" t="s">
        <v>236</v>
      </c>
      <c r="C4136" s="22" t="s">
        <v>1848</v>
      </c>
      <c r="D4136" s="18">
        <v>2021</v>
      </c>
      <c r="E4136" s="18" t="s">
        <v>234</v>
      </c>
      <c r="F4136" s="18">
        <v>1</v>
      </c>
      <c r="G4136" s="18">
        <v>15</v>
      </c>
      <c r="H4136" s="18">
        <v>409.07398999999998</v>
      </c>
    </row>
    <row r="4137" spans="1:33" s="15" customFormat="1" ht="32.25" hidden="1" customHeight="1" outlineLevel="1" x14ac:dyDescent="0.25">
      <c r="A4137" s="46">
        <v>9483</v>
      </c>
      <c r="B4137" s="4" t="s">
        <v>236</v>
      </c>
      <c r="C4137" s="22" t="s">
        <v>1862</v>
      </c>
      <c r="D4137" s="18">
        <v>2021</v>
      </c>
      <c r="E4137" s="18" t="s">
        <v>234</v>
      </c>
      <c r="F4137" s="18">
        <v>1</v>
      </c>
      <c r="G4137" s="18">
        <v>15</v>
      </c>
      <c r="H4137" s="18">
        <v>423.37563</v>
      </c>
    </row>
    <row r="4138" spans="1:33" s="15" customFormat="1" ht="32.25" hidden="1" customHeight="1" outlineLevel="1" x14ac:dyDescent="0.25">
      <c r="A4138" s="46">
        <v>9512</v>
      </c>
      <c r="B4138" s="4" t="s">
        <v>236</v>
      </c>
      <c r="C4138" s="22" t="s">
        <v>1768</v>
      </c>
      <c r="D4138" s="18">
        <v>2021</v>
      </c>
      <c r="E4138" s="18" t="s">
        <v>234</v>
      </c>
      <c r="F4138" s="18">
        <v>1</v>
      </c>
      <c r="G4138" s="18">
        <v>15</v>
      </c>
      <c r="H4138" s="18">
        <v>625.52018999999996</v>
      </c>
    </row>
    <row r="4139" spans="1:33" s="15" customFormat="1" ht="32.25" hidden="1" customHeight="1" outlineLevel="1" x14ac:dyDescent="0.25">
      <c r="A4139" s="46">
        <v>9485</v>
      </c>
      <c r="B4139" s="4" t="s">
        <v>236</v>
      </c>
      <c r="C4139" s="22" t="s">
        <v>2008</v>
      </c>
      <c r="D4139" s="18">
        <v>2021</v>
      </c>
      <c r="E4139" s="18" t="s">
        <v>234</v>
      </c>
      <c r="F4139" s="18">
        <v>1</v>
      </c>
      <c r="G4139" s="18">
        <v>15</v>
      </c>
      <c r="H4139" s="18">
        <v>442.44470000000001</v>
      </c>
    </row>
    <row r="4140" spans="1:33" s="16" customFormat="1" ht="31.5" collapsed="1" x14ac:dyDescent="0.25">
      <c r="A4140" s="44"/>
      <c r="B4140" s="70" t="s">
        <v>236</v>
      </c>
      <c r="C4140" s="71" t="s">
        <v>3222</v>
      </c>
      <c r="D4140" s="69"/>
      <c r="E4140" s="70" t="s">
        <v>232</v>
      </c>
      <c r="F4140" s="69"/>
      <c r="G4140" s="69"/>
      <c r="H4140" s="69"/>
      <c r="I4140" s="15"/>
      <c r="J4140" s="15"/>
      <c r="K4140" s="15"/>
      <c r="L4140" s="15"/>
      <c r="M4140" s="15"/>
      <c r="N4140" s="15"/>
      <c r="O4140" s="15"/>
      <c r="P4140" s="15"/>
      <c r="Q4140" s="15"/>
      <c r="R4140" s="15"/>
      <c r="S4140" s="15"/>
      <c r="T4140" s="15"/>
      <c r="U4140" s="15"/>
      <c r="V4140" s="15"/>
      <c r="W4140" s="15"/>
      <c r="X4140" s="15"/>
      <c r="Y4140" s="15"/>
      <c r="Z4140" s="15"/>
      <c r="AA4140" s="15"/>
      <c r="AB4140" s="15"/>
      <c r="AC4140" s="15"/>
      <c r="AD4140" s="15"/>
      <c r="AE4140" s="15"/>
      <c r="AF4140" s="15"/>
      <c r="AG4140" s="15"/>
    </row>
    <row r="4141" spans="1:33" s="16" customFormat="1" ht="16.5" customHeight="1" x14ac:dyDescent="0.25">
      <c r="A4141" s="18"/>
      <c r="B4141" s="11" t="s">
        <v>236</v>
      </c>
      <c r="C4141" s="12" t="s">
        <v>1102</v>
      </c>
      <c r="D4141" s="20">
        <v>2020</v>
      </c>
      <c r="E4141" s="20" t="s">
        <v>232</v>
      </c>
      <c r="F4141" s="11">
        <f>SUMIF($D$4144:$D$4150,$D$4141,$F$4144:$F$4150)</f>
        <v>2</v>
      </c>
      <c r="G4141" s="11">
        <f>SUMIF($D$4144:$D$4150,$D$4141,$G$4144:$G$4150)</f>
        <v>23</v>
      </c>
      <c r="H4141" s="14">
        <f>SUMIF($D$4144:$D$4150,$D$4141,$H$4144:$H$4150)</f>
        <v>1049.8220000000001</v>
      </c>
      <c r="I4141" s="15"/>
      <c r="J4141" s="15"/>
      <c r="K4141" s="15"/>
      <c r="L4141" s="15"/>
      <c r="M4141" s="15"/>
      <c r="N4141" s="15"/>
      <c r="O4141" s="15"/>
      <c r="P4141" s="15"/>
      <c r="Q4141" s="15"/>
      <c r="R4141" s="15"/>
      <c r="S4141" s="15"/>
      <c r="T4141" s="15"/>
      <c r="U4141" s="15"/>
      <c r="V4141" s="15"/>
      <c r="W4141" s="15"/>
      <c r="X4141" s="15"/>
      <c r="Y4141" s="15"/>
      <c r="Z4141" s="15"/>
      <c r="AA4141" s="15"/>
      <c r="AB4141" s="15"/>
      <c r="AC4141" s="15"/>
      <c r="AD4141" s="15"/>
      <c r="AE4141" s="15"/>
      <c r="AF4141" s="15"/>
      <c r="AG4141" s="15"/>
    </row>
    <row r="4142" spans="1:33" s="26" customFormat="1" ht="16.5" customHeight="1" x14ac:dyDescent="0.25">
      <c r="A4142" s="18"/>
      <c r="B4142" s="11" t="s">
        <v>236</v>
      </c>
      <c r="C4142" s="12" t="s">
        <v>1102</v>
      </c>
      <c r="D4142" s="20">
        <v>2021</v>
      </c>
      <c r="E4142" s="20" t="s">
        <v>232</v>
      </c>
      <c r="F4142" s="11">
        <f>SUMIF($D$4144:$D$4150,$D$4142,$F$4144:$F$4150)</f>
        <v>0</v>
      </c>
      <c r="G4142" s="11">
        <f>SUMIF($D$4144:$D$4150,$D$4142,$G$4144:$G$4150)</f>
        <v>0</v>
      </c>
      <c r="H4142" s="14">
        <f>SUMIF($D$4144:$D$4150,$D$4142,$H$4144:$H$4150)</f>
        <v>0</v>
      </c>
      <c r="I4142" s="15"/>
      <c r="J4142" s="15"/>
      <c r="K4142" s="15"/>
      <c r="L4142" s="15"/>
      <c r="M4142" s="15"/>
      <c r="N4142" s="15"/>
      <c r="O4142" s="15"/>
      <c r="P4142" s="15"/>
      <c r="Q4142" s="15"/>
      <c r="R4142" s="15"/>
      <c r="S4142" s="15"/>
      <c r="T4142" s="15"/>
      <c r="U4142" s="15"/>
      <c r="V4142" s="15"/>
      <c r="W4142" s="15"/>
      <c r="X4142" s="15"/>
      <c r="Y4142" s="15"/>
      <c r="Z4142" s="15"/>
      <c r="AA4142" s="15"/>
      <c r="AB4142" s="15"/>
      <c r="AC4142" s="15"/>
      <c r="AD4142" s="15"/>
      <c r="AE4142" s="15"/>
      <c r="AF4142" s="15"/>
      <c r="AG4142" s="15"/>
    </row>
    <row r="4143" spans="1:33" s="26" customFormat="1" ht="15.75" x14ac:dyDescent="0.25">
      <c r="A4143" s="18"/>
      <c r="B4143" s="11" t="s">
        <v>236</v>
      </c>
      <c r="C4143" s="12" t="s">
        <v>1102</v>
      </c>
      <c r="D4143" s="20">
        <v>2022</v>
      </c>
      <c r="E4143" s="20" t="s">
        <v>232</v>
      </c>
      <c r="F4143" s="11">
        <f>SUMIF($D$4144:$D$4150,$D$4143,$F$4144:$F$4150)</f>
        <v>4</v>
      </c>
      <c r="G4143" s="11">
        <f>SUMIF($D$4144:$D$4150,$D$4143,$G$4144:$G$4150)</f>
        <v>60</v>
      </c>
      <c r="H4143" s="14">
        <f>SUMIF($D$4144:$D$4150,$D$4143,$H$4144:$H$4150)</f>
        <v>2300.9095900000002</v>
      </c>
      <c r="I4143" s="15"/>
      <c r="J4143" s="15"/>
      <c r="K4143" s="15"/>
      <c r="L4143" s="15"/>
      <c r="M4143" s="15"/>
      <c r="N4143" s="15"/>
      <c r="O4143" s="15"/>
      <c r="P4143" s="15"/>
      <c r="Q4143" s="15"/>
      <c r="R4143" s="15"/>
      <c r="S4143" s="15"/>
      <c r="T4143" s="15"/>
      <c r="U4143" s="15"/>
      <c r="V4143" s="15"/>
      <c r="W4143" s="15"/>
      <c r="X4143" s="15"/>
      <c r="Y4143" s="15"/>
      <c r="Z4143" s="15"/>
      <c r="AA4143" s="15"/>
      <c r="AB4143" s="15"/>
      <c r="AC4143" s="15"/>
      <c r="AD4143" s="15"/>
      <c r="AE4143" s="15"/>
      <c r="AF4143" s="15"/>
      <c r="AG4143" s="15"/>
    </row>
    <row r="4144" spans="1:33" s="15" customFormat="1" ht="110.25" hidden="1" outlineLevel="1" x14ac:dyDescent="0.25">
      <c r="A4144" s="18">
        <v>1663</v>
      </c>
      <c r="B4144" s="4" t="s">
        <v>236</v>
      </c>
      <c r="C4144" s="22" t="s">
        <v>4021</v>
      </c>
      <c r="D4144" s="18">
        <v>2022</v>
      </c>
      <c r="E4144" s="18" t="s">
        <v>232</v>
      </c>
      <c r="F4144" s="4">
        <v>1</v>
      </c>
      <c r="G4144" s="42">
        <v>15</v>
      </c>
      <c r="H4144" s="42">
        <v>566.73560999999995</v>
      </c>
    </row>
    <row r="4145" spans="1:33" s="15" customFormat="1" ht="94.5" hidden="1" outlineLevel="1" x14ac:dyDescent="0.25">
      <c r="A4145" s="18">
        <v>474</v>
      </c>
      <c r="B4145" s="4" t="s">
        <v>236</v>
      </c>
      <c r="C4145" s="22" t="s">
        <v>3611</v>
      </c>
      <c r="D4145" s="18">
        <v>2022</v>
      </c>
      <c r="E4145" s="18" t="s">
        <v>232</v>
      </c>
      <c r="F4145" s="4">
        <v>1</v>
      </c>
      <c r="G4145" s="42">
        <v>15</v>
      </c>
      <c r="H4145" s="42">
        <v>808.17398000000003</v>
      </c>
    </row>
    <row r="4146" spans="1:33" s="15" customFormat="1" ht="47.25" hidden="1" outlineLevel="1" x14ac:dyDescent="0.25">
      <c r="A4146" s="18">
        <v>43</v>
      </c>
      <c r="B4146" s="4" t="s">
        <v>236</v>
      </c>
      <c r="C4146" s="22" t="s">
        <v>3754</v>
      </c>
      <c r="D4146" s="18">
        <v>2022</v>
      </c>
      <c r="E4146" s="18" t="s">
        <v>232</v>
      </c>
      <c r="F4146" s="4">
        <v>1</v>
      </c>
      <c r="G4146" s="42">
        <v>15</v>
      </c>
      <c r="H4146" s="42">
        <v>463</v>
      </c>
    </row>
    <row r="4147" spans="1:33" s="15" customFormat="1" ht="47.25" hidden="1" outlineLevel="1" x14ac:dyDescent="0.25">
      <c r="A4147" s="18">
        <v>43</v>
      </c>
      <c r="B4147" s="4" t="s">
        <v>236</v>
      </c>
      <c r="C4147" s="22" t="s">
        <v>3754</v>
      </c>
      <c r="D4147" s="18">
        <v>2022</v>
      </c>
      <c r="E4147" s="18" t="s">
        <v>232</v>
      </c>
      <c r="F4147" s="4">
        <v>1</v>
      </c>
      <c r="G4147" s="42">
        <v>15</v>
      </c>
      <c r="H4147" s="42">
        <v>463</v>
      </c>
    </row>
    <row r="4148" spans="1:33" s="15" customFormat="1" ht="57.75" hidden="1" customHeight="1" outlineLevel="1" x14ac:dyDescent="0.25">
      <c r="A4148" s="18">
        <v>263</v>
      </c>
      <c r="B4148" s="4" t="s">
        <v>236</v>
      </c>
      <c r="C4148" s="22" t="s">
        <v>176</v>
      </c>
      <c r="D4148" s="18">
        <v>2020</v>
      </c>
      <c r="E4148" s="18" t="s">
        <v>232</v>
      </c>
      <c r="F4148" s="4">
        <v>1</v>
      </c>
      <c r="G4148" s="42">
        <v>8</v>
      </c>
      <c r="H4148" s="42">
        <v>506</v>
      </c>
    </row>
    <row r="4149" spans="1:33" s="15" customFormat="1" ht="36.75" hidden="1" customHeight="1" outlineLevel="1" x14ac:dyDescent="0.25">
      <c r="A4149" s="18">
        <v>1671</v>
      </c>
      <c r="B4149" s="4" t="s">
        <v>236</v>
      </c>
      <c r="C4149" s="38" t="s">
        <v>580</v>
      </c>
      <c r="D4149" s="18">
        <v>2020</v>
      </c>
      <c r="E4149" s="18" t="s">
        <v>232</v>
      </c>
      <c r="F4149" s="4">
        <v>1</v>
      </c>
      <c r="G4149" s="4">
        <v>15</v>
      </c>
      <c r="H4149" s="4">
        <v>543.822</v>
      </c>
    </row>
    <row r="4150" spans="1:33" s="15" customFormat="1" ht="15.75" hidden="1" outlineLevel="1" x14ac:dyDescent="0.25">
      <c r="A4150" s="18"/>
      <c r="B4150" s="4" t="s">
        <v>236</v>
      </c>
      <c r="C4150" s="22"/>
      <c r="D4150" s="18">
        <v>2021</v>
      </c>
      <c r="E4150" s="18" t="s">
        <v>232</v>
      </c>
      <c r="F4150" s="4"/>
      <c r="G4150" s="42"/>
      <c r="H4150" s="42"/>
    </row>
    <row r="4151" spans="1:33" s="16" customFormat="1" ht="31.5" collapsed="1" x14ac:dyDescent="0.25">
      <c r="A4151" s="18"/>
      <c r="B4151" s="58" t="s">
        <v>237</v>
      </c>
      <c r="C4151" s="72" t="s">
        <v>3223</v>
      </c>
      <c r="D4151" s="65"/>
      <c r="E4151" s="66" t="s">
        <v>234</v>
      </c>
      <c r="F4151" s="65"/>
      <c r="G4151" s="65"/>
      <c r="H4151" s="65"/>
      <c r="I4151" s="15"/>
      <c r="J4151" s="15"/>
      <c r="K4151" s="15"/>
      <c r="L4151" s="15"/>
      <c r="M4151" s="15"/>
      <c r="N4151" s="15"/>
      <c r="O4151" s="15"/>
      <c r="P4151" s="15"/>
      <c r="Q4151" s="15"/>
      <c r="R4151" s="15"/>
      <c r="S4151" s="15"/>
      <c r="T4151" s="15"/>
      <c r="U4151" s="15"/>
      <c r="V4151" s="15"/>
      <c r="W4151" s="15"/>
      <c r="X4151" s="15"/>
      <c r="Y4151" s="15"/>
      <c r="Z4151" s="15"/>
      <c r="AA4151" s="15"/>
      <c r="AB4151" s="15"/>
      <c r="AC4151" s="15"/>
      <c r="AD4151" s="15"/>
      <c r="AE4151" s="15"/>
      <c r="AF4151" s="15"/>
      <c r="AG4151" s="15"/>
    </row>
    <row r="4152" spans="1:33" s="15" customFormat="1" ht="16.5" customHeight="1" x14ac:dyDescent="0.25">
      <c r="A4152" s="18"/>
      <c r="B4152" s="7" t="s">
        <v>237</v>
      </c>
      <c r="C4152" s="8" t="s">
        <v>1102</v>
      </c>
      <c r="D4152" s="19">
        <v>2020</v>
      </c>
      <c r="E4152" s="7" t="s">
        <v>234</v>
      </c>
      <c r="F4152" s="7">
        <f>SUMIF($D$4155:$D$4261,$D$4152,$F$4155:$F$4261)</f>
        <v>46</v>
      </c>
      <c r="G4152" s="7">
        <f>SUMIF($D$4155:$D$4261,$D$4152,$G$4155:$G$4261)</f>
        <v>1562.3</v>
      </c>
      <c r="H4152" s="10">
        <f>SUMIF($D$4155:$D$4261,$D$4152,$H$4155:$H$4261)</f>
        <v>21659.00506</v>
      </c>
    </row>
    <row r="4153" spans="1:33" s="15" customFormat="1" ht="16.5" customHeight="1" x14ac:dyDescent="0.25">
      <c r="A4153" s="18"/>
      <c r="B4153" s="7" t="s">
        <v>237</v>
      </c>
      <c r="C4153" s="8" t="s">
        <v>1102</v>
      </c>
      <c r="D4153" s="19">
        <v>2021</v>
      </c>
      <c r="E4153" s="7" t="s">
        <v>234</v>
      </c>
      <c r="F4153" s="7">
        <f>SUMIF($D$4155:$D$4261,$D$4153,$F$4155:$F$4261)</f>
        <v>23</v>
      </c>
      <c r="G4153" s="7">
        <f>SUMIF($D$4155:$D$4261,$D$4153,$G$4155:$G$4261)</f>
        <v>976</v>
      </c>
      <c r="H4153" s="10">
        <f>SUMIF($D$4155:$D$4261,$D$4153,$H$4155:$H$4261)</f>
        <v>11663.040169999998</v>
      </c>
    </row>
    <row r="4154" spans="1:33" s="15" customFormat="1" ht="15.75" x14ac:dyDescent="0.25">
      <c r="A4154" s="18"/>
      <c r="B4154" s="7" t="s">
        <v>237</v>
      </c>
      <c r="C4154" s="8" t="s">
        <v>3929</v>
      </c>
      <c r="D4154" s="19">
        <v>2022</v>
      </c>
      <c r="E4154" s="7" t="s">
        <v>234</v>
      </c>
      <c r="F4154" s="7">
        <f>SUMIF($D$4155:$D$4261,$D$4154,$F$4155:$F$4261)</f>
        <v>54</v>
      </c>
      <c r="G4154" s="7">
        <f>SUMIF($D$4155:$D$4261,$D$4154,$G$4155:$G$4261)</f>
        <v>1828.5</v>
      </c>
      <c r="H4154" s="10">
        <f>SUMIF($D$4155:$D$4261,$D$4154,$H$4155:$H$4261)</f>
        <v>31604.81567</v>
      </c>
    </row>
    <row r="4155" spans="1:33" s="15" customFormat="1" ht="94.5" hidden="1" outlineLevel="1" x14ac:dyDescent="0.25">
      <c r="A4155" s="18">
        <v>2722</v>
      </c>
      <c r="B4155" s="4" t="s">
        <v>237</v>
      </c>
      <c r="C4155" s="22" t="s">
        <v>3934</v>
      </c>
      <c r="D4155" s="18">
        <v>2022</v>
      </c>
      <c r="E4155" s="18" t="s">
        <v>234</v>
      </c>
      <c r="F4155" s="18">
        <v>1</v>
      </c>
      <c r="G4155" s="18">
        <v>28</v>
      </c>
      <c r="H4155" s="18">
        <v>531.59699999999998</v>
      </c>
    </row>
    <row r="4156" spans="1:33" s="15" customFormat="1" ht="94.5" hidden="1" outlineLevel="1" x14ac:dyDescent="0.25">
      <c r="A4156" s="18">
        <v>2784</v>
      </c>
      <c r="B4156" s="4" t="s">
        <v>237</v>
      </c>
      <c r="C4156" s="22" t="s">
        <v>3259</v>
      </c>
      <c r="D4156" s="18">
        <v>2022</v>
      </c>
      <c r="E4156" s="18" t="s">
        <v>234</v>
      </c>
      <c r="F4156" s="18">
        <v>1</v>
      </c>
      <c r="G4156" s="18">
        <v>30</v>
      </c>
      <c r="H4156" s="18">
        <f>0.29667*(1000)</f>
        <v>296.67</v>
      </c>
    </row>
    <row r="4157" spans="1:33" s="15" customFormat="1" ht="110.25" hidden="1" outlineLevel="1" x14ac:dyDescent="0.25">
      <c r="A4157" s="18">
        <v>2863</v>
      </c>
      <c r="B4157" s="4" t="s">
        <v>237</v>
      </c>
      <c r="C4157" s="22" t="s">
        <v>3270</v>
      </c>
      <c r="D4157" s="18">
        <v>2022</v>
      </c>
      <c r="E4157" s="18" t="s">
        <v>234</v>
      </c>
      <c r="F4157" s="18">
        <v>1</v>
      </c>
      <c r="G4157" s="18">
        <v>45</v>
      </c>
      <c r="H4157" s="18">
        <f>0.271805*(1000)</f>
        <v>271.80500000000001</v>
      </c>
    </row>
    <row r="4158" spans="1:33" s="15" customFormat="1" ht="94.5" hidden="1" outlineLevel="1" x14ac:dyDescent="0.25">
      <c r="A4158" s="18">
        <v>2920</v>
      </c>
      <c r="B4158" s="4" t="s">
        <v>237</v>
      </c>
      <c r="C4158" s="22" t="s">
        <v>3940</v>
      </c>
      <c r="D4158" s="18">
        <v>2022</v>
      </c>
      <c r="E4158" s="18" t="s">
        <v>234</v>
      </c>
      <c r="F4158" s="18">
        <v>1</v>
      </c>
      <c r="G4158" s="18">
        <v>15</v>
      </c>
      <c r="H4158" s="18">
        <f>0.384268*(1000)</f>
        <v>384.26799999999997</v>
      </c>
    </row>
    <row r="4159" spans="1:33" s="15" customFormat="1" ht="110.25" hidden="1" outlineLevel="1" x14ac:dyDescent="0.25">
      <c r="A4159" s="18">
        <v>4112</v>
      </c>
      <c r="B4159" s="4" t="s">
        <v>237</v>
      </c>
      <c r="C4159" s="22" t="s">
        <v>3291</v>
      </c>
      <c r="D4159" s="18">
        <v>2022</v>
      </c>
      <c r="E4159" s="18" t="s">
        <v>234</v>
      </c>
      <c r="F4159" s="18">
        <v>1</v>
      </c>
      <c r="G4159" s="18">
        <v>45</v>
      </c>
      <c r="H4159" s="18">
        <f>0.708811*(1000)</f>
        <v>708.81099999999992</v>
      </c>
    </row>
    <row r="4160" spans="1:33" s="15" customFormat="1" ht="94.5" hidden="1" outlineLevel="1" x14ac:dyDescent="0.25">
      <c r="A4160" s="18">
        <v>4114</v>
      </c>
      <c r="B4160" s="4" t="s">
        <v>237</v>
      </c>
      <c r="C4160" s="22" t="s">
        <v>3292</v>
      </c>
      <c r="D4160" s="18">
        <v>2022</v>
      </c>
      <c r="E4160" s="18" t="s">
        <v>234</v>
      </c>
      <c r="F4160" s="18">
        <v>1</v>
      </c>
      <c r="G4160" s="18">
        <v>15</v>
      </c>
      <c r="H4160" s="18">
        <f>0.65013942*(1000)</f>
        <v>650.13941999999997</v>
      </c>
    </row>
    <row r="4161" spans="1:8" s="15" customFormat="1" ht="94.5" hidden="1" outlineLevel="1" x14ac:dyDescent="0.25">
      <c r="A4161" s="18">
        <v>2862</v>
      </c>
      <c r="B4161" s="4" t="s">
        <v>237</v>
      </c>
      <c r="C4161" s="22" t="s">
        <v>3299</v>
      </c>
      <c r="D4161" s="18">
        <v>2022</v>
      </c>
      <c r="E4161" s="18" t="s">
        <v>234</v>
      </c>
      <c r="F4161" s="18">
        <v>1</v>
      </c>
      <c r="G4161" s="18">
        <v>50</v>
      </c>
      <c r="H4161" s="18">
        <f>0.24232663*(1000)</f>
        <v>242.32662999999999</v>
      </c>
    </row>
    <row r="4162" spans="1:8" s="15" customFormat="1" ht="110.25" hidden="1" outlineLevel="1" x14ac:dyDescent="0.25">
      <c r="A4162" s="18">
        <v>2915</v>
      </c>
      <c r="B4162" s="4" t="s">
        <v>237</v>
      </c>
      <c r="C4162" s="22" t="s">
        <v>3302</v>
      </c>
      <c r="D4162" s="18">
        <v>2022</v>
      </c>
      <c r="E4162" s="18" t="s">
        <v>234</v>
      </c>
      <c r="F4162" s="18">
        <v>1</v>
      </c>
      <c r="G4162" s="18">
        <v>80</v>
      </c>
      <c r="H4162" s="18">
        <f>0.30578279*(1000)</f>
        <v>305.78279000000003</v>
      </c>
    </row>
    <row r="4163" spans="1:8" s="15" customFormat="1" ht="63" hidden="1" outlineLevel="1" x14ac:dyDescent="0.25">
      <c r="A4163" s="18">
        <v>2991</v>
      </c>
      <c r="B4163" s="4" t="s">
        <v>237</v>
      </c>
      <c r="C4163" s="22" t="s">
        <v>4007</v>
      </c>
      <c r="D4163" s="18">
        <v>2022</v>
      </c>
      <c r="E4163" s="18" t="s">
        <v>234</v>
      </c>
      <c r="F4163" s="18">
        <v>1</v>
      </c>
      <c r="G4163" s="18">
        <v>80</v>
      </c>
      <c r="H4163" s="18">
        <f>0.1496381*(1000)</f>
        <v>149.63810000000001</v>
      </c>
    </row>
    <row r="4164" spans="1:8" s="15" customFormat="1" ht="94.5" hidden="1" outlineLevel="1" x14ac:dyDescent="0.25">
      <c r="A4164" s="18">
        <v>4126</v>
      </c>
      <c r="B4164" s="4" t="s">
        <v>237</v>
      </c>
      <c r="C4164" s="22" t="s">
        <v>3310</v>
      </c>
      <c r="D4164" s="18">
        <v>2022</v>
      </c>
      <c r="E4164" s="18" t="s">
        <v>234</v>
      </c>
      <c r="F4164" s="18">
        <v>1</v>
      </c>
      <c r="G4164" s="18">
        <v>80</v>
      </c>
      <c r="H4164" s="18">
        <f>0.69041567*(1000)</f>
        <v>690.41567000000009</v>
      </c>
    </row>
    <row r="4165" spans="1:8" s="15" customFormat="1" ht="94.5" hidden="1" outlineLevel="1" x14ac:dyDescent="0.25">
      <c r="A4165" s="18">
        <v>4223</v>
      </c>
      <c r="B4165" s="4" t="s">
        <v>237</v>
      </c>
      <c r="C4165" s="22" t="s">
        <v>3350</v>
      </c>
      <c r="D4165" s="18">
        <v>2022</v>
      </c>
      <c r="E4165" s="18" t="s">
        <v>234</v>
      </c>
      <c r="F4165" s="18">
        <v>1</v>
      </c>
      <c r="G4165" s="18">
        <v>90</v>
      </c>
      <c r="H4165" s="18">
        <f>0.68623833*(1000)</f>
        <v>686.23833000000002</v>
      </c>
    </row>
    <row r="4166" spans="1:8" s="15" customFormat="1" ht="173.25" hidden="1" outlineLevel="1" x14ac:dyDescent="0.25">
      <c r="A4166" s="18">
        <v>1547</v>
      </c>
      <c r="B4166" s="4" t="s">
        <v>237</v>
      </c>
      <c r="C4166" s="22" t="s">
        <v>3367</v>
      </c>
      <c r="D4166" s="18">
        <v>2022</v>
      </c>
      <c r="E4166" s="18" t="s">
        <v>234</v>
      </c>
      <c r="F4166" s="18">
        <v>1</v>
      </c>
      <c r="G4166" s="18">
        <v>52</v>
      </c>
      <c r="H4166" s="18">
        <v>591.96999000000005</v>
      </c>
    </row>
    <row r="4167" spans="1:8" s="15" customFormat="1" ht="126" hidden="1" outlineLevel="1" x14ac:dyDescent="0.25">
      <c r="A4167" s="18">
        <v>1592</v>
      </c>
      <c r="B4167" s="4" t="s">
        <v>237</v>
      </c>
      <c r="C4167" s="22" t="s">
        <v>3382</v>
      </c>
      <c r="D4167" s="18">
        <v>2022</v>
      </c>
      <c r="E4167" s="18" t="s">
        <v>234</v>
      </c>
      <c r="F4167" s="18">
        <v>1</v>
      </c>
      <c r="G4167" s="18">
        <v>30</v>
      </c>
      <c r="H4167" s="18">
        <v>503.37961999999999</v>
      </c>
    </row>
    <row r="4168" spans="1:8" s="15" customFormat="1" ht="126" hidden="1" outlineLevel="1" x14ac:dyDescent="0.25">
      <c r="A4168" s="18">
        <v>1591</v>
      </c>
      <c r="B4168" s="4" t="s">
        <v>237</v>
      </c>
      <c r="C4168" s="22" t="s">
        <v>3387</v>
      </c>
      <c r="D4168" s="18">
        <v>2022</v>
      </c>
      <c r="E4168" s="18" t="s">
        <v>234</v>
      </c>
      <c r="F4168" s="18">
        <v>1</v>
      </c>
      <c r="G4168" s="18">
        <v>25</v>
      </c>
      <c r="H4168" s="18">
        <v>546.14095999999995</v>
      </c>
    </row>
    <row r="4169" spans="1:8" s="15" customFormat="1" ht="141.75" hidden="1" outlineLevel="1" x14ac:dyDescent="0.25">
      <c r="A4169" s="18">
        <v>1434</v>
      </c>
      <c r="B4169" s="4" t="s">
        <v>237</v>
      </c>
      <c r="C4169" s="22" t="s">
        <v>3397</v>
      </c>
      <c r="D4169" s="18">
        <v>2022</v>
      </c>
      <c r="E4169" s="18" t="s">
        <v>234</v>
      </c>
      <c r="F4169" s="18">
        <v>1</v>
      </c>
      <c r="G4169" s="18">
        <v>25</v>
      </c>
      <c r="H4169" s="18">
        <v>559.43848000000003</v>
      </c>
    </row>
    <row r="4170" spans="1:8" s="15" customFormat="1" ht="94.5" hidden="1" outlineLevel="1" x14ac:dyDescent="0.25">
      <c r="A4170" s="18">
        <v>463</v>
      </c>
      <c r="B4170" s="4" t="s">
        <v>237</v>
      </c>
      <c r="C4170" s="22" t="s">
        <v>3566</v>
      </c>
      <c r="D4170" s="18">
        <v>2022</v>
      </c>
      <c r="E4170" s="18" t="s">
        <v>234</v>
      </c>
      <c r="F4170" s="18">
        <v>1</v>
      </c>
      <c r="G4170" s="18">
        <v>50</v>
      </c>
      <c r="H4170" s="18">
        <v>754.00117999999998</v>
      </c>
    </row>
    <row r="4171" spans="1:8" s="15" customFormat="1" ht="110.25" hidden="1" outlineLevel="1" x14ac:dyDescent="0.25">
      <c r="A4171" s="18">
        <v>4792</v>
      </c>
      <c r="B4171" s="4" t="s">
        <v>237</v>
      </c>
      <c r="C4171" s="22" t="s">
        <v>3960</v>
      </c>
      <c r="D4171" s="18">
        <v>2022</v>
      </c>
      <c r="E4171" s="18" t="s">
        <v>234</v>
      </c>
      <c r="F4171" s="18">
        <v>1</v>
      </c>
      <c r="G4171" s="18">
        <v>30.3</v>
      </c>
      <c r="H4171" s="18">
        <v>604</v>
      </c>
    </row>
    <row r="4172" spans="1:8" s="15" customFormat="1" ht="110.25" hidden="1" outlineLevel="1" x14ac:dyDescent="0.25">
      <c r="A4172" s="18">
        <v>4604</v>
      </c>
      <c r="B4172" s="4" t="s">
        <v>237</v>
      </c>
      <c r="C4172" s="22" t="s">
        <v>3967</v>
      </c>
      <c r="D4172" s="18">
        <v>2022</v>
      </c>
      <c r="E4172" s="18" t="s">
        <v>234</v>
      </c>
      <c r="F4172" s="18">
        <v>1</v>
      </c>
      <c r="G4172" s="18">
        <v>25</v>
      </c>
      <c r="H4172" s="18">
        <v>436</v>
      </c>
    </row>
    <row r="4173" spans="1:8" s="15" customFormat="1" ht="110.25" hidden="1" outlineLevel="1" x14ac:dyDescent="0.25">
      <c r="A4173" s="18">
        <v>4877</v>
      </c>
      <c r="B4173" s="4" t="s">
        <v>237</v>
      </c>
      <c r="C4173" s="22" t="s">
        <v>3969</v>
      </c>
      <c r="D4173" s="18">
        <v>2022</v>
      </c>
      <c r="E4173" s="18" t="s">
        <v>234</v>
      </c>
      <c r="F4173" s="18">
        <v>1</v>
      </c>
      <c r="G4173" s="18">
        <v>40</v>
      </c>
      <c r="H4173" s="18">
        <v>652</v>
      </c>
    </row>
    <row r="4174" spans="1:8" s="15" customFormat="1" ht="94.5" hidden="1" outlineLevel="1" x14ac:dyDescent="0.25">
      <c r="A4174" s="18">
        <v>4878</v>
      </c>
      <c r="B4174" s="4" t="s">
        <v>237</v>
      </c>
      <c r="C4174" s="22" t="s">
        <v>3970</v>
      </c>
      <c r="D4174" s="18">
        <v>2022</v>
      </c>
      <c r="E4174" s="18" t="s">
        <v>234</v>
      </c>
      <c r="F4174" s="18">
        <v>1</v>
      </c>
      <c r="G4174" s="18">
        <v>90</v>
      </c>
      <c r="H4174" s="18">
        <v>716</v>
      </c>
    </row>
    <row r="4175" spans="1:8" s="15" customFormat="1" ht="141.75" hidden="1" outlineLevel="1" x14ac:dyDescent="0.25">
      <c r="A4175" s="18">
        <v>4899</v>
      </c>
      <c r="B4175" s="4" t="s">
        <v>237</v>
      </c>
      <c r="C4175" s="22" t="s">
        <v>3973</v>
      </c>
      <c r="D4175" s="18">
        <v>2022</v>
      </c>
      <c r="E4175" s="18" t="s">
        <v>234</v>
      </c>
      <c r="F4175" s="18">
        <v>1</v>
      </c>
      <c r="G4175" s="18">
        <v>47</v>
      </c>
      <c r="H4175" s="18">
        <v>790</v>
      </c>
    </row>
    <row r="4176" spans="1:8" s="15" customFormat="1" ht="126" hidden="1" outlineLevel="1" x14ac:dyDescent="0.25">
      <c r="A4176" s="18">
        <v>4589</v>
      </c>
      <c r="B4176" s="4" t="s">
        <v>237</v>
      </c>
      <c r="C4176" s="22" t="s">
        <v>4082</v>
      </c>
      <c r="D4176" s="18">
        <v>2022</v>
      </c>
      <c r="E4176" s="18" t="s">
        <v>234</v>
      </c>
      <c r="F4176" s="18">
        <v>1</v>
      </c>
      <c r="G4176" s="18">
        <v>20</v>
      </c>
      <c r="H4176" s="18">
        <v>364.43900000000002</v>
      </c>
    </row>
    <row r="4177" spans="1:8" s="15" customFormat="1" ht="110.25" hidden="1" outlineLevel="1" x14ac:dyDescent="0.25">
      <c r="A4177" s="18">
        <v>4829</v>
      </c>
      <c r="B4177" s="4" t="s">
        <v>237</v>
      </c>
      <c r="C4177" s="22" t="s">
        <v>4095</v>
      </c>
      <c r="D4177" s="18">
        <v>2022</v>
      </c>
      <c r="E4177" s="18" t="s">
        <v>234</v>
      </c>
      <c r="F4177" s="18">
        <v>1</v>
      </c>
      <c r="G4177" s="18">
        <v>15</v>
      </c>
      <c r="H4177" s="18">
        <v>453.78000000000003</v>
      </c>
    </row>
    <row r="4178" spans="1:8" s="15" customFormat="1" ht="94.5" hidden="1" outlineLevel="1" x14ac:dyDescent="0.25">
      <c r="A4178" s="18">
        <v>2069</v>
      </c>
      <c r="B4178" s="4" t="s">
        <v>237</v>
      </c>
      <c r="C4178" s="22" t="s">
        <v>4213</v>
      </c>
      <c r="D4178" s="18">
        <v>2022</v>
      </c>
      <c r="E4178" s="18" t="s">
        <v>234</v>
      </c>
      <c r="F4178" s="18">
        <v>1</v>
      </c>
      <c r="G4178" s="18">
        <v>80</v>
      </c>
      <c r="H4178" s="18">
        <v>439.43150000000003</v>
      </c>
    </row>
    <row r="4179" spans="1:8" s="15" customFormat="1" ht="126" hidden="1" outlineLevel="1" x14ac:dyDescent="0.25">
      <c r="A4179" s="18">
        <v>5885</v>
      </c>
      <c r="B4179" s="4" t="s">
        <v>237</v>
      </c>
      <c r="C4179" s="22" t="s">
        <v>3669</v>
      </c>
      <c r="D4179" s="18">
        <v>2022</v>
      </c>
      <c r="E4179" s="18" t="s">
        <v>234</v>
      </c>
      <c r="F4179" s="18">
        <v>1</v>
      </c>
      <c r="G4179" s="18">
        <v>30</v>
      </c>
      <c r="H4179" s="18">
        <v>706.03200000000004</v>
      </c>
    </row>
    <row r="4180" spans="1:8" s="15" customFormat="1" ht="126" hidden="1" outlineLevel="1" x14ac:dyDescent="0.25">
      <c r="A4180" s="18">
        <v>5768</v>
      </c>
      <c r="B4180" s="4" t="s">
        <v>237</v>
      </c>
      <c r="C4180" s="22" t="s">
        <v>3676</v>
      </c>
      <c r="D4180" s="18">
        <v>2022</v>
      </c>
      <c r="E4180" s="18" t="s">
        <v>234</v>
      </c>
      <c r="F4180" s="18">
        <v>1</v>
      </c>
      <c r="G4180" s="18">
        <v>62</v>
      </c>
      <c r="H4180" s="18">
        <v>562.51099999999997</v>
      </c>
    </row>
    <row r="4181" spans="1:8" s="15" customFormat="1" ht="63" hidden="1" outlineLevel="1" x14ac:dyDescent="0.25">
      <c r="A4181" s="18">
        <v>181</v>
      </c>
      <c r="B4181" s="4" t="s">
        <v>237</v>
      </c>
      <c r="C4181" s="22" t="s">
        <v>3694</v>
      </c>
      <c r="D4181" s="18">
        <v>2022</v>
      </c>
      <c r="E4181" s="18" t="s">
        <v>234</v>
      </c>
      <c r="F4181" s="18">
        <v>1</v>
      </c>
      <c r="G4181" s="18">
        <v>15</v>
      </c>
      <c r="H4181" s="18">
        <v>533</v>
      </c>
    </row>
    <row r="4182" spans="1:8" s="15" customFormat="1" ht="94.5" hidden="1" outlineLevel="1" x14ac:dyDescent="0.25">
      <c r="A4182" s="18">
        <v>261</v>
      </c>
      <c r="B4182" s="4" t="s">
        <v>237</v>
      </c>
      <c r="C4182" s="22" t="s">
        <v>4042</v>
      </c>
      <c r="D4182" s="18">
        <v>2022</v>
      </c>
      <c r="E4182" s="18" t="s">
        <v>234</v>
      </c>
      <c r="F4182" s="18">
        <v>1</v>
      </c>
      <c r="G4182" s="18">
        <v>25</v>
      </c>
      <c r="H4182" s="18">
        <v>508</v>
      </c>
    </row>
    <row r="4183" spans="1:8" s="15" customFormat="1" ht="47.25" hidden="1" outlineLevel="1" x14ac:dyDescent="0.25">
      <c r="A4183" s="18">
        <v>355</v>
      </c>
      <c r="B4183" s="4" t="s">
        <v>237</v>
      </c>
      <c r="C4183" s="22" t="s">
        <v>3827</v>
      </c>
      <c r="D4183" s="18">
        <v>2022</v>
      </c>
      <c r="E4183" s="18" t="s">
        <v>234</v>
      </c>
      <c r="F4183" s="18">
        <v>1</v>
      </c>
      <c r="G4183" s="18">
        <v>60</v>
      </c>
      <c r="H4183" s="18">
        <v>770</v>
      </c>
    </row>
    <row r="4184" spans="1:8" s="15" customFormat="1" ht="63" hidden="1" outlineLevel="1" x14ac:dyDescent="0.25">
      <c r="A4184" s="18">
        <v>398</v>
      </c>
      <c r="B4184" s="4" t="s">
        <v>237</v>
      </c>
      <c r="C4184" s="22" t="s">
        <v>3829</v>
      </c>
      <c r="D4184" s="18">
        <v>2022</v>
      </c>
      <c r="E4184" s="18" t="s">
        <v>234</v>
      </c>
      <c r="F4184" s="18">
        <v>1</v>
      </c>
      <c r="G4184" s="18">
        <v>30</v>
      </c>
      <c r="H4184" s="18">
        <v>574</v>
      </c>
    </row>
    <row r="4185" spans="1:8" s="15" customFormat="1" ht="47.25" hidden="1" outlineLevel="1" x14ac:dyDescent="0.25">
      <c r="A4185" s="18">
        <v>423</v>
      </c>
      <c r="B4185" s="4" t="s">
        <v>237</v>
      </c>
      <c r="C4185" s="22" t="s">
        <v>3989</v>
      </c>
      <c r="D4185" s="18">
        <v>2022</v>
      </c>
      <c r="E4185" s="18" t="s">
        <v>234</v>
      </c>
      <c r="F4185" s="18">
        <v>1</v>
      </c>
      <c r="G4185" s="18">
        <v>45</v>
      </c>
      <c r="H4185" s="18">
        <v>760</v>
      </c>
    </row>
    <row r="4186" spans="1:8" s="15" customFormat="1" ht="63" hidden="1" outlineLevel="1" x14ac:dyDescent="0.25">
      <c r="A4186" s="18">
        <v>432</v>
      </c>
      <c r="B4186" s="4" t="s">
        <v>237</v>
      </c>
      <c r="C4186" s="22" t="s">
        <v>3992</v>
      </c>
      <c r="D4186" s="18">
        <v>2022</v>
      </c>
      <c r="E4186" s="18" t="s">
        <v>234</v>
      </c>
      <c r="F4186" s="18">
        <v>1</v>
      </c>
      <c r="G4186" s="18">
        <v>15</v>
      </c>
      <c r="H4186" s="18">
        <v>622</v>
      </c>
    </row>
    <row r="4187" spans="1:8" s="15" customFormat="1" ht="63" hidden="1" outlineLevel="1" x14ac:dyDescent="0.25">
      <c r="A4187" s="18">
        <v>181</v>
      </c>
      <c r="B4187" s="4" t="s">
        <v>237</v>
      </c>
      <c r="C4187" s="22" t="s">
        <v>3694</v>
      </c>
      <c r="D4187" s="18">
        <v>2022</v>
      </c>
      <c r="E4187" s="18" t="s">
        <v>234</v>
      </c>
      <c r="F4187" s="18">
        <v>1</v>
      </c>
      <c r="G4187" s="18">
        <v>15</v>
      </c>
      <c r="H4187" s="18">
        <v>533</v>
      </c>
    </row>
    <row r="4188" spans="1:8" s="15" customFormat="1" ht="94.5" hidden="1" outlineLevel="1" x14ac:dyDescent="0.25">
      <c r="A4188" s="18">
        <v>261</v>
      </c>
      <c r="B4188" s="4" t="s">
        <v>237</v>
      </c>
      <c r="C4188" s="22" t="s">
        <v>4042</v>
      </c>
      <c r="D4188" s="18">
        <v>2022</v>
      </c>
      <c r="E4188" s="18" t="s">
        <v>234</v>
      </c>
      <c r="F4188" s="18">
        <v>1</v>
      </c>
      <c r="G4188" s="18">
        <v>25</v>
      </c>
      <c r="H4188" s="18">
        <v>508</v>
      </c>
    </row>
    <row r="4189" spans="1:8" s="15" customFormat="1" ht="47.25" hidden="1" outlineLevel="1" x14ac:dyDescent="0.25">
      <c r="A4189" s="18">
        <v>355</v>
      </c>
      <c r="B4189" s="4" t="s">
        <v>237</v>
      </c>
      <c r="C4189" s="22" t="s">
        <v>3827</v>
      </c>
      <c r="D4189" s="18">
        <v>2022</v>
      </c>
      <c r="E4189" s="18" t="s">
        <v>234</v>
      </c>
      <c r="F4189" s="18">
        <v>1</v>
      </c>
      <c r="G4189" s="18">
        <v>60</v>
      </c>
      <c r="H4189" s="18">
        <v>770</v>
      </c>
    </row>
    <row r="4190" spans="1:8" s="15" customFormat="1" ht="63" hidden="1" outlineLevel="1" x14ac:dyDescent="0.25">
      <c r="A4190" s="18">
        <v>398</v>
      </c>
      <c r="B4190" s="4" t="s">
        <v>237</v>
      </c>
      <c r="C4190" s="22" t="s">
        <v>3829</v>
      </c>
      <c r="D4190" s="18">
        <v>2022</v>
      </c>
      <c r="E4190" s="18" t="s">
        <v>234</v>
      </c>
      <c r="F4190" s="18">
        <v>1</v>
      </c>
      <c r="G4190" s="18">
        <v>30</v>
      </c>
      <c r="H4190" s="18">
        <v>574</v>
      </c>
    </row>
    <row r="4191" spans="1:8" s="15" customFormat="1" ht="110.25" hidden="1" outlineLevel="1" x14ac:dyDescent="0.25">
      <c r="A4191" s="18">
        <v>5056</v>
      </c>
      <c r="B4191" s="4" t="s">
        <v>237</v>
      </c>
      <c r="C4191" s="38" t="s">
        <v>4265</v>
      </c>
      <c r="D4191" s="18">
        <v>2022</v>
      </c>
      <c r="E4191" s="18" t="s">
        <v>234</v>
      </c>
      <c r="F4191" s="4">
        <v>16</v>
      </c>
      <c r="G4191" s="4">
        <v>269.2</v>
      </c>
      <c r="H4191" s="4">
        <v>10474</v>
      </c>
    </row>
    <row r="4192" spans="1:8" s="15" customFormat="1" ht="47.25" hidden="1" outlineLevel="1" x14ac:dyDescent="0.25">
      <c r="A4192" s="18">
        <v>423</v>
      </c>
      <c r="B4192" s="4" t="s">
        <v>237</v>
      </c>
      <c r="C4192" s="22" t="s">
        <v>3989</v>
      </c>
      <c r="D4192" s="18">
        <v>2022</v>
      </c>
      <c r="E4192" s="18" t="s">
        <v>234</v>
      </c>
      <c r="F4192" s="18">
        <v>1</v>
      </c>
      <c r="G4192" s="18">
        <v>45</v>
      </c>
      <c r="H4192" s="18">
        <v>760</v>
      </c>
    </row>
    <row r="4193" spans="1:8" s="15" customFormat="1" ht="63" hidden="1" outlineLevel="1" x14ac:dyDescent="0.25">
      <c r="A4193" s="18">
        <v>432</v>
      </c>
      <c r="B4193" s="4" t="s">
        <v>237</v>
      </c>
      <c r="C4193" s="22" t="s">
        <v>3992</v>
      </c>
      <c r="D4193" s="18">
        <v>2022</v>
      </c>
      <c r="E4193" s="18" t="s">
        <v>234</v>
      </c>
      <c r="F4193" s="18">
        <v>1</v>
      </c>
      <c r="G4193" s="18">
        <v>15</v>
      </c>
      <c r="H4193" s="18">
        <v>622</v>
      </c>
    </row>
    <row r="4194" spans="1:8" s="15" customFormat="1" ht="21" hidden="1" customHeight="1" outlineLevel="1" x14ac:dyDescent="0.25">
      <c r="A4194" s="18">
        <v>180</v>
      </c>
      <c r="B4194" s="4" t="s">
        <v>237</v>
      </c>
      <c r="C4194" s="22" t="s">
        <v>361</v>
      </c>
      <c r="D4194" s="18">
        <v>2020</v>
      </c>
      <c r="E4194" s="18" t="s">
        <v>234</v>
      </c>
      <c r="F4194" s="18">
        <v>1</v>
      </c>
      <c r="G4194" s="18">
        <v>45</v>
      </c>
      <c r="H4194" s="18">
        <v>443.88625999999999</v>
      </c>
    </row>
    <row r="4195" spans="1:8" s="15" customFormat="1" ht="21" hidden="1" customHeight="1" outlineLevel="1" x14ac:dyDescent="0.25">
      <c r="A4195" s="18">
        <v>479</v>
      </c>
      <c r="B4195" s="4" t="s">
        <v>237</v>
      </c>
      <c r="C4195" s="22" t="s">
        <v>261</v>
      </c>
      <c r="D4195" s="18">
        <v>2020</v>
      </c>
      <c r="E4195" s="18" t="s">
        <v>234</v>
      </c>
      <c r="F4195" s="18">
        <v>1</v>
      </c>
      <c r="G4195" s="18">
        <v>50</v>
      </c>
      <c r="H4195" s="18">
        <v>526.47568999999999</v>
      </c>
    </row>
    <row r="4196" spans="1:8" s="15" customFormat="1" ht="21" hidden="1" customHeight="1" outlineLevel="1" x14ac:dyDescent="0.25">
      <c r="A4196" s="18">
        <v>560</v>
      </c>
      <c r="B4196" s="4" t="s">
        <v>237</v>
      </c>
      <c r="C4196" s="22" t="s">
        <v>484</v>
      </c>
      <c r="D4196" s="18">
        <v>2020</v>
      </c>
      <c r="E4196" s="18" t="s">
        <v>234</v>
      </c>
      <c r="F4196" s="18">
        <v>1</v>
      </c>
      <c r="G4196" s="18">
        <v>15</v>
      </c>
      <c r="H4196" s="18">
        <v>245.14100999999999</v>
      </c>
    </row>
    <row r="4197" spans="1:8" s="15" customFormat="1" ht="21" hidden="1" customHeight="1" outlineLevel="1" x14ac:dyDescent="0.25">
      <c r="A4197" s="18">
        <v>1600</v>
      </c>
      <c r="B4197" s="4" t="s">
        <v>237</v>
      </c>
      <c r="C4197" s="22" t="s">
        <v>485</v>
      </c>
      <c r="D4197" s="18">
        <v>2020</v>
      </c>
      <c r="E4197" s="18" t="s">
        <v>234</v>
      </c>
      <c r="F4197" s="18">
        <v>1</v>
      </c>
      <c r="G4197" s="18">
        <v>15</v>
      </c>
      <c r="H4197" s="18">
        <v>386.87168000000003</v>
      </c>
    </row>
    <row r="4198" spans="1:8" s="15" customFormat="1" ht="21" hidden="1" customHeight="1" outlineLevel="1" x14ac:dyDescent="0.25">
      <c r="A4198" s="18">
        <v>1518</v>
      </c>
      <c r="B4198" s="4" t="s">
        <v>237</v>
      </c>
      <c r="C4198" s="22" t="s">
        <v>420</v>
      </c>
      <c r="D4198" s="18">
        <v>2020</v>
      </c>
      <c r="E4198" s="18" t="s">
        <v>234</v>
      </c>
      <c r="F4198" s="18">
        <v>1</v>
      </c>
      <c r="G4198" s="18">
        <v>23.8</v>
      </c>
      <c r="H4198" s="18">
        <v>305.94977999999998</v>
      </c>
    </row>
    <row r="4199" spans="1:8" s="15" customFormat="1" ht="21" hidden="1" customHeight="1" outlineLevel="1" x14ac:dyDescent="0.25">
      <c r="A4199" s="18">
        <v>1526</v>
      </c>
      <c r="B4199" s="4" t="s">
        <v>237</v>
      </c>
      <c r="C4199" s="22" t="s">
        <v>424</v>
      </c>
      <c r="D4199" s="18">
        <v>2020</v>
      </c>
      <c r="E4199" s="18" t="s">
        <v>234</v>
      </c>
      <c r="F4199" s="18">
        <v>1</v>
      </c>
      <c r="G4199" s="18">
        <v>15</v>
      </c>
      <c r="H4199" s="18">
        <v>347.16503</v>
      </c>
    </row>
    <row r="4200" spans="1:8" s="15" customFormat="1" ht="21" hidden="1" customHeight="1" outlineLevel="1" x14ac:dyDescent="0.25">
      <c r="A4200" s="18">
        <v>1525</v>
      </c>
      <c r="B4200" s="4" t="s">
        <v>237</v>
      </c>
      <c r="C4200" s="22" t="s">
        <v>464</v>
      </c>
      <c r="D4200" s="18">
        <v>2020</v>
      </c>
      <c r="E4200" s="18" t="s">
        <v>234</v>
      </c>
      <c r="F4200" s="18">
        <v>1</v>
      </c>
      <c r="G4200" s="18">
        <v>30</v>
      </c>
      <c r="H4200" s="18">
        <v>254.07364000000001</v>
      </c>
    </row>
    <row r="4201" spans="1:8" s="15" customFormat="1" ht="21" hidden="1" customHeight="1" outlineLevel="1" x14ac:dyDescent="0.25">
      <c r="A4201" s="18">
        <v>857</v>
      </c>
      <c r="B4201" s="4" t="s">
        <v>237</v>
      </c>
      <c r="C4201" s="22" t="s">
        <v>503</v>
      </c>
      <c r="D4201" s="18">
        <v>2020</v>
      </c>
      <c r="E4201" s="18" t="s">
        <v>234</v>
      </c>
      <c r="F4201" s="18">
        <v>1</v>
      </c>
      <c r="G4201" s="18">
        <v>15</v>
      </c>
      <c r="H4201" s="18">
        <v>730</v>
      </c>
    </row>
    <row r="4202" spans="1:8" s="15" customFormat="1" ht="21" hidden="1" customHeight="1" outlineLevel="1" x14ac:dyDescent="0.25">
      <c r="A4202" s="18">
        <v>582</v>
      </c>
      <c r="B4202" s="4" t="s">
        <v>237</v>
      </c>
      <c r="C4202" s="22" t="s">
        <v>679</v>
      </c>
      <c r="D4202" s="18">
        <v>2020</v>
      </c>
      <c r="E4202" s="18" t="s">
        <v>234</v>
      </c>
      <c r="F4202" s="18">
        <v>1</v>
      </c>
      <c r="G4202" s="18">
        <v>15</v>
      </c>
      <c r="H4202" s="18">
        <v>768</v>
      </c>
    </row>
    <row r="4203" spans="1:8" s="15" customFormat="1" ht="21" hidden="1" customHeight="1" outlineLevel="1" x14ac:dyDescent="0.25">
      <c r="A4203" s="18">
        <v>944</v>
      </c>
      <c r="B4203" s="4" t="s">
        <v>237</v>
      </c>
      <c r="C4203" s="22" t="s">
        <v>698</v>
      </c>
      <c r="D4203" s="18">
        <v>2020</v>
      </c>
      <c r="E4203" s="18" t="s">
        <v>234</v>
      </c>
      <c r="F4203" s="18">
        <v>1</v>
      </c>
      <c r="G4203" s="18">
        <v>16.5</v>
      </c>
      <c r="H4203" s="18">
        <v>751</v>
      </c>
    </row>
    <row r="4204" spans="1:8" s="15" customFormat="1" ht="21" hidden="1" customHeight="1" outlineLevel="1" x14ac:dyDescent="0.25">
      <c r="A4204" s="18">
        <v>555</v>
      </c>
      <c r="B4204" s="4" t="s">
        <v>237</v>
      </c>
      <c r="C4204" s="22" t="s">
        <v>708</v>
      </c>
      <c r="D4204" s="18">
        <v>2020</v>
      </c>
      <c r="E4204" s="18" t="s">
        <v>234</v>
      </c>
      <c r="F4204" s="18">
        <v>1</v>
      </c>
      <c r="G4204" s="18">
        <v>14</v>
      </c>
      <c r="H4204" s="18">
        <v>756</v>
      </c>
    </row>
    <row r="4205" spans="1:8" s="15" customFormat="1" ht="21" hidden="1" customHeight="1" outlineLevel="1" x14ac:dyDescent="0.25">
      <c r="A4205" s="18">
        <v>954</v>
      </c>
      <c r="B4205" s="4" t="s">
        <v>237</v>
      </c>
      <c r="C4205" s="22" t="s">
        <v>709</v>
      </c>
      <c r="D4205" s="18">
        <v>2020</v>
      </c>
      <c r="E4205" s="18" t="s">
        <v>234</v>
      </c>
      <c r="F4205" s="18">
        <v>1</v>
      </c>
      <c r="G4205" s="18">
        <v>15</v>
      </c>
      <c r="H4205" s="18">
        <v>793</v>
      </c>
    </row>
    <row r="4206" spans="1:8" s="15" customFormat="1" ht="21" hidden="1" customHeight="1" outlineLevel="1" x14ac:dyDescent="0.25">
      <c r="A4206" s="18">
        <v>1750</v>
      </c>
      <c r="B4206" s="4" t="s">
        <v>237</v>
      </c>
      <c r="C4206" s="22" t="s">
        <v>518</v>
      </c>
      <c r="D4206" s="18">
        <v>2020</v>
      </c>
      <c r="E4206" s="18" t="s">
        <v>234</v>
      </c>
      <c r="F4206" s="18">
        <v>1</v>
      </c>
      <c r="G4206" s="18">
        <v>50</v>
      </c>
      <c r="H4206" s="18">
        <v>421.685</v>
      </c>
    </row>
    <row r="4207" spans="1:8" s="15" customFormat="1" ht="21" hidden="1" customHeight="1" outlineLevel="1" x14ac:dyDescent="0.25">
      <c r="A4207" s="18">
        <v>1744</v>
      </c>
      <c r="B4207" s="4" t="s">
        <v>237</v>
      </c>
      <c r="C4207" s="22" t="s">
        <v>526</v>
      </c>
      <c r="D4207" s="18">
        <v>2020</v>
      </c>
      <c r="E4207" s="18" t="s">
        <v>234</v>
      </c>
      <c r="F4207" s="18">
        <v>1</v>
      </c>
      <c r="G4207" s="18">
        <v>63</v>
      </c>
      <c r="H4207" s="18">
        <v>678.69399999999996</v>
      </c>
    </row>
    <row r="4208" spans="1:8" s="15" customFormat="1" ht="21" hidden="1" customHeight="1" outlineLevel="1" x14ac:dyDescent="0.25">
      <c r="A4208" s="18">
        <v>471</v>
      </c>
      <c r="B4208" s="4" t="s">
        <v>237</v>
      </c>
      <c r="C4208" s="22" t="s">
        <v>527</v>
      </c>
      <c r="D4208" s="18">
        <v>2020</v>
      </c>
      <c r="E4208" s="18" t="s">
        <v>234</v>
      </c>
      <c r="F4208" s="18">
        <v>1</v>
      </c>
      <c r="G4208" s="18">
        <v>60</v>
      </c>
      <c r="H4208" s="18">
        <v>481.245</v>
      </c>
    </row>
    <row r="4209" spans="1:8" s="15" customFormat="1" ht="21" hidden="1" customHeight="1" outlineLevel="1" x14ac:dyDescent="0.25">
      <c r="A4209" s="18">
        <v>1755</v>
      </c>
      <c r="B4209" s="4" t="s">
        <v>237</v>
      </c>
      <c r="C4209" s="22" t="s">
        <v>599</v>
      </c>
      <c r="D4209" s="18">
        <v>2020</v>
      </c>
      <c r="E4209" s="18" t="s">
        <v>234</v>
      </c>
      <c r="F4209" s="18">
        <v>1</v>
      </c>
      <c r="G4209" s="18">
        <v>50</v>
      </c>
      <c r="H4209" s="18">
        <v>606.09400000000005</v>
      </c>
    </row>
    <row r="4210" spans="1:8" s="15" customFormat="1" ht="21" hidden="1" customHeight="1" outlineLevel="1" x14ac:dyDescent="0.25">
      <c r="A4210" s="18">
        <v>1748</v>
      </c>
      <c r="B4210" s="4" t="s">
        <v>237</v>
      </c>
      <c r="C4210" s="22" t="s">
        <v>600</v>
      </c>
      <c r="D4210" s="18">
        <v>2020</v>
      </c>
      <c r="E4210" s="18" t="s">
        <v>234</v>
      </c>
      <c r="F4210" s="18">
        <v>1</v>
      </c>
      <c r="G4210" s="18">
        <v>15</v>
      </c>
      <c r="H4210" s="18">
        <v>504.22500000000002</v>
      </c>
    </row>
    <row r="4211" spans="1:8" s="15" customFormat="1" ht="21" hidden="1" customHeight="1" outlineLevel="1" x14ac:dyDescent="0.25">
      <c r="A4211" s="18">
        <v>104</v>
      </c>
      <c r="B4211" s="4" t="s">
        <v>237</v>
      </c>
      <c r="C4211" s="22" t="s">
        <v>535</v>
      </c>
      <c r="D4211" s="18">
        <v>2020</v>
      </c>
      <c r="E4211" s="18" t="s">
        <v>234</v>
      </c>
      <c r="F4211" s="18">
        <v>1</v>
      </c>
      <c r="G4211" s="18">
        <v>40</v>
      </c>
      <c r="H4211" s="18">
        <v>512.08799999999997</v>
      </c>
    </row>
    <row r="4212" spans="1:8" s="15" customFormat="1" ht="21" hidden="1" customHeight="1" outlineLevel="1" x14ac:dyDescent="0.25">
      <c r="A4212" s="18">
        <v>424</v>
      </c>
      <c r="B4212" s="4" t="s">
        <v>237</v>
      </c>
      <c r="C4212" s="22" t="s">
        <v>602</v>
      </c>
      <c r="D4212" s="18">
        <v>2020</v>
      </c>
      <c r="E4212" s="18" t="s">
        <v>234</v>
      </c>
      <c r="F4212" s="18">
        <v>1</v>
      </c>
      <c r="G4212" s="18">
        <v>80</v>
      </c>
      <c r="H4212" s="18">
        <v>503.51</v>
      </c>
    </row>
    <row r="4213" spans="1:8" s="15" customFormat="1" ht="21" hidden="1" customHeight="1" outlineLevel="1" x14ac:dyDescent="0.25">
      <c r="A4213" s="18">
        <v>794</v>
      </c>
      <c r="B4213" s="4" t="s">
        <v>237</v>
      </c>
      <c r="C4213" s="22" t="s">
        <v>536</v>
      </c>
      <c r="D4213" s="18">
        <v>2020</v>
      </c>
      <c r="E4213" s="18" t="s">
        <v>234</v>
      </c>
      <c r="F4213" s="18">
        <v>1</v>
      </c>
      <c r="G4213" s="18">
        <v>15</v>
      </c>
      <c r="H4213" s="18">
        <v>478.36799999999999</v>
      </c>
    </row>
    <row r="4214" spans="1:8" s="15" customFormat="1" ht="21" hidden="1" customHeight="1" outlineLevel="1" x14ac:dyDescent="0.25">
      <c r="A4214" s="18">
        <v>232</v>
      </c>
      <c r="B4214" s="4" t="s">
        <v>237</v>
      </c>
      <c r="C4214" s="22" t="s">
        <v>604</v>
      </c>
      <c r="D4214" s="18">
        <v>2020</v>
      </c>
      <c r="E4214" s="18" t="s">
        <v>234</v>
      </c>
      <c r="F4214" s="18">
        <v>1</v>
      </c>
      <c r="G4214" s="18">
        <v>30</v>
      </c>
      <c r="H4214" s="18">
        <v>569.89800000000002</v>
      </c>
    </row>
    <row r="4215" spans="1:8" s="15" customFormat="1" ht="21" hidden="1" customHeight="1" outlineLevel="1" x14ac:dyDescent="0.25">
      <c r="A4215" s="18">
        <v>1737</v>
      </c>
      <c r="B4215" s="4" t="s">
        <v>237</v>
      </c>
      <c r="C4215" s="22" t="s">
        <v>539</v>
      </c>
      <c r="D4215" s="18">
        <v>2020</v>
      </c>
      <c r="E4215" s="18" t="s">
        <v>234</v>
      </c>
      <c r="F4215" s="18">
        <v>1</v>
      </c>
      <c r="G4215" s="18">
        <v>50</v>
      </c>
      <c r="H4215" s="18">
        <v>119.624</v>
      </c>
    </row>
    <row r="4216" spans="1:8" s="15" customFormat="1" ht="21" hidden="1" customHeight="1" outlineLevel="1" x14ac:dyDescent="0.25">
      <c r="A4216" s="18">
        <v>1738</v>
      </c>
      <c r="B4216" s="4" t="s">
        <v>237</v>
      </c>
      <c r="C4216" s="22" t="s">
        <v>541</v>
      </c>
      <c r="D4216" s="18">
        <v>2020</v>
      </c>
      <c r="E4216" s="18" t="s">
        <v>234</v>
      </c>
      <c r="F4216" s="18">
        <v>1</v>
      </c>
      <c r="G4216" s="18">
        <v>50</v>
      </c>
      <c r="H4216" s="18">
        <v>590.75300000000004</v>
      </c>
    </row>
    <row r="4217" spans="1:8" s="15" customFormat="1" ht="21" hidden="1" customHeight="1" outlineLevel="1" x14ac:dyDescent="0.25">
      <c r="A4217" s="18">
        <v>1622</v>
      </c>
      <c r="B4217" s="4" t="s">
        <v>237</v>
      </c>
      <c r="C4217" s="22" t="s">
        <v>552</v>
      </c>
      <c r="D4217" s="18">
        <v>2020</v>
      </c>
      <c r="E4217" s="18" t="s">
        <v>234</v>
      </c>
      <c r="F4217" s="18">
        <v>1</v>
      </c>
      <c r="G4217" s="18">
        <v>75</v>
      </c>
      <c r="H4217" s="18">
        <v>458.56599999999997</v>
      </c>
    </row>
    <row r="4218" spans="1:8" s="15" customFormat="1" ht="21" hidden="1" customHeight="1" outlineLevel="1" x14ac:dyDescent="0.25">
      <c r="A4218" s="18">
        <v>610</v>
      </c>
      <c r="B4218" s="4" t="s">
        <v>237</v>
      </c>
      <c r="C4218" s="22" t="s">
        <v>609</v>
      </c>
      <c r="D4218" s="18">
        <v>2020</v>
      </c>
      <c r="E4218" s="18" t="s">
        <v>234</v>
      </c>
      <c r="F4218" s="18">
        <v>1</v>
      </c>
      <c r="G4218" s="18">
        <v>60</v>
      </c>
      <c r="H4218" s="18">
        <v>534.59199999999998</v>
      </c>
    </row>
    <row r="4219" spans="1:8" s="15" customFormat="1" ht="21" hidden="1" customHeight="1" outlineLevel="1" x14ac:dyDescent="0.25">
      <c r="A4219" s="18">
        <v>674</v>
      </c>
      <c r="B4219" s="4" t="s">
        <v>237</v>
      </c>
      <c r="C4219" s="22" t="s">
        <v>612</v>
      </c>
      <c r="D4219" s="18">
        <v>2020</v>
      </c>
      <c r="E4219" s="18" t="s">
        <v>234</v>
      </c>
      <c r="F4219" s="18">
        <v>1</v>
      </c>
      <c r="G4219" s="18">
        <v>35</v>
      </c>
      <c r="H4219" s="18">
        <v>538.53599999999994</v>
      </c>
    </row>
    <row r="4220" spans="1:8" s="15" customFormat="1" ht="21" hidden="1" customHeight="1" outlineLevel="1" x14ac:dyDescent="0.25">
      <c r="A4220" s="18">
        <v>670</v>
      </c>
      <c r="B4220" s="4" t="s">
        <v>237</v>
      </c>
      <c r="C4220" s="22" t="s">
        <v>613</v>
      </c>
      <c r="D4220" s="18">
        <v>2020</v>
      </c>
      <c r="E4220" s="18" t="s">
        <v>234</v>
      </c>
      <c r="F4220" s="18">
        <v>1</v>
      </c>
      <c r="G4220" s="18">
        <v>45</v>
      </c>
      <c r="H4220" s="18">
        <v>548.24599999999998</v>
      </c>
    </row>
    <row r="4221" spans="1:8" s="15" customFormat="1" ht="21" hidden="1" customHeight="1" outlineLevel="1" x14ac:dyDescent="0.25">
      <c r="A4221" s="18">
        <v>1663</v>
      </c>
      <c r="B4221" s="4" t="s">
        <v>237</v>
      </c>
      <c r="C4221" s="22" t="s">
        <v>618</v>
      </c>
      <c r="D4221" s="18">
        <v>2020</v>
      </c>
      <c r="E4221" s="18" t="s">
        <v>234</v>
      </c>
      <c r="F4221" s="18">
        <v>1</v>
      </c>
      <c r="G4221" s="18">
        <v>50</v>
      </c>
      <c r="H4221" s="18">
        <v>537.96600000000001</v>
      </c>
    </row>
    <row r="4222" spans="1:8" s="15" customFormat="1" ht="21" hidden="1" customHeight="1" outlineLevel="1" x14ac:dyDescent="0.25">
      <c r="A4222" s="18">
        <v>1560</v>
      </c>
      <c r="B4222" s="4" t="s">
        <v>237</v>
      </c>
      <c r="C4222" s="22" t="s">
        <v>314</v>
      </c>
      <c r="D4222" s="18">
        <v>2020</v>
      </c>
      <c r="E4222" s="18" t="s">
        <v>234</v>
      </c>
      <c r="F4222" s="18">
        <v>1</v>
      </c>
      <c r="G4222" s="18">
        <v>15</v>
      </c>
      <c r="H4222" s="18">
        <v>424.44326000000001</v>
      </c>
    </row>
    <row r="4223" spans="1:8" s="15" customFormat="1" ht="21" hidden="1" customHeight="1" outlineLevel="1" x14ac:dyDescent="0.25">
      <c r="A4223" s="18">
        <v>1563</v>
      </c>
      <c r="B4223" s="4" t="s">
        <v>237</v>
      </c>
      <c r="C4223" s="22" t="s">
        <v>256</v>
      </c>
      <c r="D4223" s="18">
        <v>2020</v>
      </c>
      <c r="E4223" s="18" t="s">
        <v>234</v>
      </c>
      <c r="F4223" s="18">
        <v>1</v>
      </c>
      <c r="G4223" s="18">
        <v>15</v>
      </c>
      <c r="H4223" s="18">
        <v>376.19376</v>
      </c>
    </row>
    <row r="4224" spans="1:8" s="15" customFormat="1" ht="21" hidden="1" customHeight="1" outlineLevel="1" x14ac:dyDescent="0.25">
      <c r="A4224" s="18">
        <v>1562</v>
      </c>
      <c r="B4224" s="4" t="s">
        <v>237</v>
      </c>
      <c r="C4224" s="22" t="s">
        <v>257</v>
      </c>
      <c r="D4224" s="18">
        <v>2020</v>
      </c>
      <c r="E4224" s="18" t="s">
        <v>234</v>
      </c>
      <c r="F4224" s="18">
        <v>1</v>
      </c>
      <c r="G4224" s="18">
        <v>15</v>
      </c>
      <c r="H4224" s="18">
        <v>326.23018000000002</v>
      </c>
    </row>
    <row r="4225" spans="1:8" s="15" customFormat="1" ht="21" hidden="1" customHeight="1" outlineLevel="1" x14ac:dyDescent="0.25">
      <c r="A4225" s="18">
        <v>283</v>
      </c>
      <c r="B4225" s="4" t="s">
        <v>237</v>
      </c>
      <c r="C4225" s="22" t="s">
        <v>371</v>
      </c>
      <c r="D4225" s="18">
        <v>2020</v>
      </c>
      <c r="E4225" s="18" t="s">
        <v>234</v>
      </c>
      <c r="F4225" s="18">
        <v>1</v>
      </c>
      <c r="G4225" s="18">
        <v>30</v>
      </c>
      <c r="H4225" s="18">
        <v>363.38531999999998</v>
      </c>
    </row>
    <row r="4226" spans="1:8" s="15" customFormat="1" ht="21" hidden="1" customHeight="1" outlineLevel="1" x14ac:dyDescent="0.25">
      <c r="A4226" s="18">
        <v>354</v>
      </c>
      <c r="B4226" s="4" t="s">
        <v>237</v>
      </c>
      <c r="C4226" s="22" t="s">
        <v>381</v>
      </c>
      <c r="D4226" s="18">
        <v>2020</v>
      </c>
      <c r="E4226" s="18" t="s">
        <v>234</v>
      </c>
      <c r="F4226" s="18">
        <v>1</v>
      </c>
      <c r="G4226" s="18">
        <v>30</v>
      </c>
      <c r="H4226" s="18">
        <v>304.35863000000001</v>
      </c>
    </row>
    <row r="4227" spans="1:8" s="15" customFormat="1" ht="21" hidden="1" customHeight="1" outlineLevel="1" x14ac:dyDescent="0.25">
      <c r="A4227" s="18">
        <v>280</v>
      </c>
      <c r="B4227" s="4" t="s">
        <v>237</v>
      </c>
      <c r="C4227" s="22" t="s">
        <v>259</v>
      </c>
      <c r="D4227" s="18">
        <v>2020</v>
      </c>
      <c r="E4227" s="18" t="s">
        <v>234</v>
      </c>
      <c r="F4227" s="18">
        <v>1</v>
      </c>
      <c r="G4227" s="18">
        <v>15</v>
      </c>
      <c r="H4227" s="18">
        <v>297.90773999999999</v>
      </c>
    </row>
    <row r="4228" spans="1:8" s="15" customFormat="1" ht="21" hidden="1" customHeight="1" outlineLevel="1" x14ac:dyDescent="0.25">
      <c r="A4228" s="18">
        <v>1522</v>
      </c>
      <c r="B4228" s="4" t="s">
        <v>237</v>
      </c>
      <c r="C4228" s="22" t="s">
        <v>262</v>
      </c>
      <c r="D4228" s="18">
        <v>2020</v>
      </c>
      <c r="E4228" s="18" t="s">
        <v>234</v>
      </c>
      <c r="F4228" s="18">
        <v>1</v>
      </c>
      <c r="G4228" s="18">
        <v>25</v>
      </c>
      <c r="H4228" s="18">
        <v>422.30148000000003</v>
      </c>
    </row>
    <row r="4229" spans="1:8" s="15" customFormat="1" ht="21" hidden="1" customHeight="1" outlineLevel="1" x14ac:dyDescent="0.25">
      <c r="A4229" s="18">
        <v>565</v>
      </c>
      <c r="B4229" s="4" t="s">
        <v>237</v>
      </c>
      <c r="C4229" s="22" t="s">
        <v>263</v>
      </c>
      <c r="D4229" s="18">
        <v>2020</v>
      </c>
      <c r="E4229" s="18" t="s">
        <v>234</v>
      </c>
      <c r="F4229" s="18">
        <v>1</v>
      </c>
      <c r="G4229" s="18">
        <v>30</v>
      </c>
      <c r="H4229" s="18">
        <v>480.00819000000001</v>
      </c>
    </row>
    <row r="4230" spans="1:8" s="15" customFormat="1" ht="21" hidden="1" customHeight="1" outlineLevel="1" x14ac:dyDescent="0.25">
      <c r="A4230" s="18">
        <v>717</v>
      </c>
      <c r="B4230" s="4" t="s">
        <v>237</v>
      </c>
      <c r="C4230" s="22" t="s">
        <v>498</v>
      </c>
      <c r="D4230" s="18">
        <v>2020</v>
      </c>
      <c r="E4230" s="18" t="s">
        <v>234</v>
      </c>
      <c r="F4230" s="18">
        <v>1</v>
      </c>
      <c r="G4230" s="18">
        <v>50</v>
      </c>
      <c r="H4230" s="18">
        <v>410</v>
      </c>
    </row>
    <row r="4231" spans="1:8" s="15" customFormat="1" ht="21" hidden="1" customHeight="1" outlineLevel="1" x14ac:dyDescent="0.25">
      <c r="A4231" s="18">
        <v>1818</v>
      </c>
      <c r="B4231" s="4" t="s">
        <v>237</v>
      </c>
      <c r="C4231" s="22" t="s">
        <v>506</v>
      </c>
      <c r="D4231" s="18">
        <v>2020</v>
      </c>
      <c r="E4231" s="18" t="s">
        <v>234</v>
      </c>
      <c r="F4231" s="18">
        <v>1</v>
      </c>
      <c r="G4231" s="18">
        <v>50</v>
      </c>
      <c r="H4231" s="18">
        <v>853</v>
      </c>
    </row>
    <row r="4232" spans="1:8" s="15" customFormat="1" ht="21" hidden="1" customHeight="1" outlineLevel="1" x14ac:dyDescent="0.25">
      <c r="A4232" s="18">
        <v>1047</v>
      </c>
      <c r="B4232" s="4" t="s">
        <v>237</v>
      </c>
      <c r="C4232" s="22" t="s">
        <v>489</v>
      </c>
      <c r="D4232" s="18">
        <v>2020</v>
      </c>
      <c r="E4232" s="18" t="s">
        <v>234</v>
      </c>
      <c r="F4232" s="18">
        <v>1</v>
      </c>
      <c r="G4232" s="18">
        <v>40</v>
      </c>
      <c r="H4232" s="18">
        <v>278.25850000000003</v>
      </c>
    </row>
    <row r="4233" spans="1:8" s="15" customFormat="1" ht="21" hidden="1" customHeight="1" outlineLevel="1" x14ac:dyDescent="0.25">
      <c r="A4233" s="18">
        <v>123</v>
      </c>
      <c r="B4233" s="4" t="s">
        <v>237</v>
      </c>
      <c r="C4233" s="22" t="s">
        <v>556</v>
      </c>
      <c r="D4233" s="18">
        <v>2020</v>
      </c>
      <c r="E4233" s="18" t="s">
        <v>234</v>
      </c>
      <c r="F4233" s="18">
        <v>1</v>
      </c>
      <c r="G4233" s="18">
        <v>30</v>
      </c>
      <c r="H4233" s="18">
        <v>359.01900000000001</v>
      </c>
    </row>
    <row r="4234" spans="1:8" s="15" customFormat="1" ht="21" hidden="1" customHeight="1" outlineLevel="1" x14ac:dyDescent="0.25">
      <c r="A4234" s="18">
        <v>292</v>
      </c>
      <c r="B4234" s="4" t="s">
        <v>237</v>
      </c>
      <c r="C4234" s="22" t="s">
        <v>65</v>
      </c>
      <c r="D4234" s="18">
        <v>2020</v>
      </c>
      <c r="E4234" s="18" t="s">
        <v>234</v>
      </c>
      <c r="F4234" s="18">
        <v>1</v>
      </c>
      <c r="G4234" s="18">
        <v>45</v>
      </c>
      <c r="H4234" s="18">
        <v>480.63686999999999</v>
      </c>
    </row>
    <row r="4235" spans="1:8" s="15" customFormat="1" ht="21" hidden="1" customHeight="1" outlineLevel="1" x14ac:dyDescent="0.25">
      <c r="A4235" s="18">
        <v>1763</v>
      </c>
      <c r="B4235" s="4" t="s">
        <v>237</v>
      </c>
      <c r="C4235" s="22" t="s">
        <v>89</v>
      </c>
      <c r="D4235" s="18">
        <v>2020</v>
      </c>
      <c r="E4235" s="18" t="s">
        <v>234</v>
      </c>
      <c r="F4235" s="18">
        <v>1</v>
      </c>
      <c r="G4235" s="18">
        <v>45</v>
      </c>
      <c r="H4235" s="18">
        <v>416.32476000000003</v>
      </c>
    </row>
    <row r="4236" spans="1:8" s="15" customFormat="1" ht="21" hidden="1" customHeight="1" outlineLevel="1" x14ac:dyDescent="0.25">
      <c r="A4236" s="18">
        <v>1694</v>
      </c>
      <c r="B4236" s="4" t="s">
        <v>237</v>
      </c>
      <c r="C4236" s="22" t="s">
        <v>105</v>
      </c>
      <c r="D4236" s="18">
        <v>2020</v>
      </c>
      <c r="E4236" s="18" t="s">
        <v>234</v>
      </c>
      <c r="F4236" s="18">
        <v>1</v>
      </c>
      <c r="G4236" s="18">
        <v>30</v>
      </c>
      <c r="H4236" s="18">
        <v>257.00880999999998</v>
      </c>
    </row>
    <row r="4237" spans="1:8" s="15" customFormat="1" ht="21" hidden="1" customHeight="1" outlineLevel="1" x14ac:dyDescent="0.25">
      <c r="A4237" s="18">
        <v>1521</v>
      </c>
      <c r="B4237" s="4" t="s">
        <v>237</v>
      </c>
      <c r="C4237" s="22" t="s">
        <v>238</v>
      </c>
      <c r="D4237" s="18">
        <v>2020</v>
      </c>
      <c r="E4237" s="18" t="s">
        <v>234</v>
      </c>
      <c r="F4237" s="18">
        <v>1</v>
      </c>
      <c r="G4237" s="18">
        <v>15</v>
      </c>
      <c r="H4237" s="18">
        <v>258.52211999999997</v>
      </c>
    </row>
    <row r="4238" spans="1:8" s="15" customFormat="1" ht="21" hidden="1" customHeight="1" outlineLevel="1" x14ac:dyDescent="0.25">
      <c r="A4238" s="18">
        <v>786</v>
      </c>
      <c r="B4238" s="4" t="s">
        <v>237</v>
      </c>
      <c r="C4238" s="22" t="s">
        <v>155</v>
      </c>
      <c r="D4238" s="18">
        <v>2020</v>
      </c>
      <c r="E4238" s="18" t="s">
        <v>234</v>
      </c>
      <c r="F4238" s="18">
        <v>1</v>
      </c>
      <c r="G4238" s="18">
        <v>30</v>
      </c>
      <c r="H4238" s="18">
        <v>552.33399999999995</v>
      </c>
    </row>
    <row r="4239" spans="1:8" s="15" customFormat="1" ht="21" hidden="1" customHeight="1" outlineLevel="1" x14ac:dyDescent="0.25">
      <c r="A4239" s="18">
        <v>920</v>
      </c>
      <c r="B4239" s="4" t="s">
        <v>237</v>
      </c>
      <c r="C4239" s="22" t="s">
        <v>35</v>
      </c>
      <c r="D4239" s="18">
        <v>2020</v>
      </c>
      <c r="E4239" s="18" t="s">
        <v>234</v>
      </c>
      <c r="F4239" s="18">
        <v>1</v>
      </c>
      <c r="G4239" s="18">
        <v>15</v>
      </c>
      <c r="H4239" s="18">
        <v>407.41935000000001</v>
      </c>
    </row>
    <row r="4240" spans="1:8" s="15" customFormat="1" ht="32.25" hidden="1" customHeight="1" outlineLevel="1" x14ac:dyDescent="0.25">
      <c r="A4240" s="46">
        <v>9522</v>
      </c>
      <c r="B4240" s="4" t="s">
        <v>237</v>
      </c>
      <c r="C4240" s="22" t="s">
        <v>1150</v>
      </c>
      <c r="D4240" s="18">
        <v>2021</v>
      </c>
      <c r="E4240" s="18" t="s">
        <v>234</v>
      </c>
      <c r="F4240" s="18">
        <v>1</v>
      </c>
      <c r="G4240" s="18">
        <v>15</v>
      </c>
      <c r="H4240" s="18">
        <v>386.91</v>
      </c>
    </row>
    <row r="4241" spans="1:8" s="15" customFormat="1" ht="32.25" hidden="1" customHeight="1" outlineLevel="1" x14ac:dyDescent="0.25">
      <c r="A4241" s="46">
        <v>9733</v>
      </c>
      <c r="B4241" s="4" t="s">
        <v>237</v>
      </c>
      <c r="C4241" s="22" t="s">
        <v>1155</v>
      </c>
      <c r="D4241" s="18">
        <v>2021</v>
      </c>
      <c r="E4241" s="18" t="s">
        <v>234</v>
      </c>
      <c r="F4241" s="18">
        <v>1</v>
      </c>
      <c r="G4241" s="18">
        <v>15</v>
      </c>
      <c r="H4241" s="18">
        <v>343.74299999999999</v>
      </c>
    </row>
    <row r="4242" spans="1:8" s="15" customFormat="1" ht="32.25" hidden="1" customHeight="1" outlineLevel="1" x14ac:dyDescent="0.25">
      <c r="A4242" s="45">
        <v>1285</v>
      </c>
      <c r="B4242" s="4" t="s">
        <v>237</v>
      </c>
      <c r="C4242" s="22" t="s">
        <v>1312</v>
      </c>
      <c r="D4242" s="18">
        <v>2021</v>
      </c>
      <c r="E4242" s="18" t="s">
        <v>234</v>
      </c>
      <c r="F4242" s="18">
        <v>1</v>
      </c>
      <c r="G4242" s="18">
        <v>30</v>
      </c>
      <c r="H4242" s="18">
        <v>452.92338999999998</v>
      </c>
    </row>
    <row r="4243" spans="1:8" s="15" customFormat="1" ht="32.25" hidden="1" customHeight="1" outlineLevel="1" x14ac:dyDescent="0.25">
      <c r="A4243" s="46">
        <v>9650</v>
      </c>
      <c r="B4243" s="4" t="s">
        <v>237</v>
      </c>
      <c r="C4243" s="22" t="s">
        <v>1980</v>
      </c>
      <c r="D4243" s="18">
        <v>2021</v>
      </c>
      <c r="E4243" s="18" t="s">
        <v>234</v>
      </c>
      <c r="F4243" s="18">
        <v>1</v>
      </c>
      <c r="G4243" s="18">
        <v>70</v>
      </c>
      <c r="H4243" s="18">
        <v>827</v>
      </c>
    </row>
    <row r="4244" spans="1:8" s="15" customFormat="1" ht="32.25" hidden="1" customHeight="1" outlineLevel="1" x14ac:dyDescent="0.25">
      <c r="A4244" s="46">
        <v>9666</v>
      </c>
      <c r="B4244" s="4" t="s">
        <v>237</v>
      </c>
      <c r="C4244" s="22" t="s">
        <v>1842</v>
      </c>
      <c r="D4244" s="18">
        <v>2021</v>
      </c>
      <c r="E4244" s="18" t="s">
        <v>234</v>
      </c>
      <c r="F4244" s="18">
        <v>1</v>
      </c>
      <c r="G4244" s="18">
        <v>90</v>
      </c>
      <c r="H4244" s="18">
        <v>492</v>
      </c>
    </row>
    <row r="4245" spans="1:8" s="15" customFormat="1" ht="32.25" hidden="1" customHeight="1" outlineLevel="1" x14ac:dyDescent="0.25">
      <c r="A4245" s="45">
        <v>433</v>
      </c>
      <c r="B4245" s="4" t="s">
        <v>237</v>
      </c>
      <c r="C4245" s="22" t="s">
        <v>1228</v>
      </c>
      <c r="D4245" s="18">
        <v>2021</v>
      </c>
      <c r="E4245" s="18" t="s">
        <v>234</v>
      </c>
      <c r="F4245" s="18">
        <v>1</v>
      </c>
      <c r="G4245" s="18">
        <v>45</v>
      </c>
      <c r="H4245" s="18">
        <v>374.34100000000001</v>
      </c>
    </row>
    <row r="4246" spans="1:8" s="15" customFormat="1" ht="32.25" hidden="1" customHeight="1" outlineLevel="1" x14ac:dyDescent="0.25">
      <c r="A4246" s="46">
        <v>9369</v>
      </c>
      <c r="B4246" s="4" t="s">
        <v>237</v>
      </c>
      <c r="C4246" s="22" t="s">
        <v>1286</v>
      </c>
      <c r="D4246" s="18">
        <v>2021</v>
      </c>
      <c r="E4246" s="18" t="s">
        <v>234</v>
      </c>
      <c r="F4246" s="18">
        <v>1</v>
      </c>
      <c r="G4246" s="18">
        <v>75</v>
      </c>
      <c r="H4246" s="18">
        <v>387.637</v>
      </c>
    </row>
    <row r="4247" spans="1:8" s="15" customFormat="1" ht="32.25" hidden="1" customHeight="1" outlineLevel="1" x14ac:dyDescent="0.25">
      <c r="A4247" s="46">
        <v>9358</v>
      </c>
      <c r="B4247" s="4" t="s">
        <v>237</v>
      </c>
      <c r="C4247" s="38" t="s">
        <v>1287</v>
      </c>
      <c r="D4247" s="18">
        <v>2021</v>
      </c>
      <c r="E4247" s="18" t="s">
        <v>234</v>
      </c>
      <c r="F4247" s="18">
        <v>1</v>
      </c>
      <c r="G4247" s="18">
        <v>45</v>
      </c>
      <c r="H4247" s="18">
        <v>372.72399999999999</v>
      </c>
    </row>
    <row r="4248" spans="1:8" s="15" customFormat="1" ht="32.25" hidden="1" customHeight="1" outlineLevel="1" x14ac:dyDescent="0.25">
      <c r="A4248" s="46">
        <v>9373</v>
      </c>
      <c r="B4248" s="4" t="s">
        <v>237</v>
      </c>
      <c r="C4248" s="22" t="s">
        <v>1257</v>
      </c>
      <c r="D4248" s="18">
        <v>2021</v>
      </c>
      <c r="E4248" s="18" t="s">
        <v>234</v>
      </c>
      <c r="F4248" s="18">
        <v>1</v>
      </c>
      <c r="G4248" s="18">
        <v>25</v>
      </c>
      <c r="H4248" s="18">
        <v>456.21199999999999</v>
      </c>
    </row>
    <row r="4249" spans="1:8" s="15" customFormat="1" ht="32.25" hidden="1" customHeight="1" outlineLevel="1" x14ac:dyDescent="0.25">
      <c r="A4249" s="45">
        <v>3800</v>
      </c>
      <c r="B4249" s="4" t="s">
        <v>237</v>
      </c>
      <c r="C4249" s="22" t="s">
        <v>1292</v>
      </c>
      <c r="D4249" s="18">
        <v>2021</v>
      </c>
      <c r="E4249" s="18" t="s">
        <v>234</v>
      </c>
      <c r="F4249" s="18">
        <v>1</v>
      </c>
      <c r="G4249" s="18">
        <v>30</v>
      </c>
      <c r="H4249" s="18">
        <v>597.49199999999996</v>
      </c>
    </row>
    <row r="4250" spans="1:8" s="15" customFormat="1" ht="32.25" hidden="1" customHeight="1" outlineLevel="1" x14ac:dyDescent="0.25">
      <c r="A4250" s="46">
        <v>9359</v>
      </c>
      <c r="B4250" s="4" t="s">
        <v>237</v>
      </c>
      <c r="C4250" s="22" t="s">
        <v>1261</v>
      </c>
      <c r="D4250" s="18">
        <v>2021</v>
      </c>
      <c r="E4250" s="18" t="s">
        <v>234</v>
      </c>
      <c r="F4250" s="18">
        <v>1</v>
      </c>
      <c r="G4250" s="18">
        <v>60</v>
      </c>
      <c r="H4250" s="18">
        <v>546.12300000000005</v>
      </c>
    </row>
    <row r="4251" spans="1:8" s="15" customFormat="1" ht="32.25" hidden="1" customHeight="1" outlineLevel="1" x14ac:dyDescent="0.25">
      <c r="A4251" s="46">
        <v>9355</v>
      </c>
      <c r="B4251" s="4" t="s">
        <v>237</v>
      </c>
      <c r="C4251" s="22" t="s">
        <v>1262</v>
      </c>
      <c r="D4251" s="18">
        <v>2021</v>
      </c>
      <c r="E4251" s="18" t="s">
        <v>234</v>
      </c>
      <c r="F4251" s="18">
        <v>1</v>
      </c>
      <c r="G4251" s="18">
        <v>50</v>
      </c>
      <c r="H4251" s="18">
        <v>439.06200000000001</v>
      </c>
    </row>
    <row r="4252" spans="1:8" s="15" customFormat="1" ht="32.25" hidden="1" customHeight="1" outlineLevel="1" x14ac:dyDescent="0.25">
      <c r="A4252" s="46">
        <v>9572</v>
      </c>
      <c r="B4252" s="4" t="s">
        <v>237</v>
      </c>
      <c r="C4252" s="22" t="s">
        <v>1270</v>
      </c>
      <c r="D4252" s="18">
        <v>2021</v>
      </c>
      <c r="E4252" s="18" t="s">
        <v>234</v>
      </c>
      <c r="F4252" s="18">
        <v>2</v>
      </c>
      <c r="G4252" s="18">
        <v>60</v>
      </c>
      <c r="H4252" s="18">
        <v>969.37400000000002</v>
      </c>
    </row>
    <row r="4253" spans="1:8" s="15" customFormat="1" ht="32.25" hidden="1" customHeight="1" outlineLevel="1" x14ac:dyDescent="0.25">
      <c r="A4253" s="46">
        <v>9370</v>
      </c>
      <c r="B4253" s="4" t="s">
        <v>237</v>
      </c>
      <c r="C4253" s="22" t="s">
        <v>1364</v>
      </c>
      <c r="D4253" s="18">
        <v>2021</v>
      </c>
      <c r="E4253" s="18" t="s">
        <v>234</v>
      </c>
      <c r="F4253" s="18">
        <v>1</v>
      </c>
      <c r="G4253" s="18">
        <v>15</v>
      </c>
      <c r="H4253" s="18">
        <v>409.666</v>
      </c>
    </row>
    <row r="4254" spans="1:8" s="15" customFormat="1" ht="32.25" hidden="1" customHeight="1" outlineLevel="1" x14ac:dyDescent="0.25">
      <c r="A4254" s="46">
        <v>9371</v>
      </c>
      <c r="B4254" s="4" t="s">
        <v>237</v>
      </c>
      <c r="C4254" s="22" t="s">
        <v>1277</v>
      </c>
      <c r="D4254" s="18">
        <v>2021</v>
      </c>
      <c r="E4254" s="18" t="s">
        <v>234</v>
      </c>
      <c r="F4254" s="18">
        <v>1</v>
      </c>
      <c r="G4254" s="18">
        <v>30</v>
      </c>
      <c r="H4254" s="18">
        <v>434.77499999999998</v>
      </c>
    </row>
    <row r="4255" spans="1:8" s="15" customFormat="1" ht="32.25" hidden="1" customHeight="1" outlineLevel="1" x14ac:dyDescent="0.25">
      <c r="A4255" s="46">
        <v>9442</v>
      </c>
      <c r="B4255" s="4" t="s">
        <v>237</v>
      </c>
      <c r="C4255" s="22" t="s">
        <v>1293</v>
      </c>
      <c r="D4255" s="18">
        <v>2021</v>
      </c>
      <c r="E4255" s="18" t="s">
        <v>234</v>
      </c>
      <c r="F4255" s="18">
        <v>1</v>
      </c>
      <c r="G4255" s="18">
        <v>70</v>
      </c>
      <c r="H4255" s="18">
        <v>443.911</v>
      </c>
    </row>
    <row r="4256" spans="1:8" s="15" customFormat="1" ht="32.25" hidden="1" customHeight="1" outlineLevel="1" x14ac:dyDescent="0.25">
      <c r="A4256" s="45">
        <v>764</v>
      </c>
      <c r="B4256" s="4" t="s">
        <v>237</v>
      </c>
      <c r="C4256" s="22" t="s">
        <v>1852</v>
      </c>
      <c r="D4256" s="18">
        <v>2021</v>
      </c>
      <c r="E4256" s="18" t="s">
        <v>234</v>
      </c>
      <c r="F4256" s="18">
        <v>1</v>
      </c>
      <c r="G4256" s="18">
        <v>95</v>
      </c>
      <c r="H4256" s="18">
        <v>785.82695999999999</v>
      </c>
    </row>
    <row r="4257" spans="1:33" s="15" customFormat="1" ht="32.25" hidden="1" customHeight="1" outlineLevel="1" x14ac:dyDescent="0.25">
      <c r="A4257" s="46">
        <v>9487</v>
      </c>
      <c r="B4257" s="4" t="s">
        <v>237</v>
      </c>
      <c r="C4257" s="22" t="s">
        <v>1857</v>
      </c>
      <c r="D4257" s="18">
        <v>2021</v>
      </c>
      <c r="E4257" s="18" t="s">
        <v>234</v>
      </c>
      <c r="F4257" s="18">
        <v>1</v>
      </c>
      <c r="G4257" s="18">
        <v>45</v>
      </c>
      <c r="H4257" s="18">
        <v>803.11577999999997</v>
      </c>
    </row>
    <row r="4258" spans="1:33" s="15" customFormat="1" ht="32.25" hidden="1" customHeight="1" outlineLevel="1" x14ac:dyDescent="0.25">
      <c r="A4258" s="46">
        <v>9678</v>
      </c>
      <c r="B4258" s="4" t="s">
        <v>237</v>
      </c>
      <c r="C4258" s="22" t="s">
        <v>1858</v>
      </c>
      <c r="D4258" s="18">
        <v>2021</v>
      </c>
      <c r="E4258" s="18" t="s">
        <v>234</v>
      </c>
      <c r="F4258" s="18">
        <v>1</v>
      </c>
      <c r="G4258" s="18">
        <v>46</v>
      </c>
      <c r="H4258" s="18">
        <v>727.51543000000004</v>
      </c>
    </row>
    <row r="4259" spans="1:33" s="15" customFormat="1" ht="32.25" hidden="1" customHeight="1" outlineLevel="1" x14ac:dyDescent="0.25">
      <c r="A4259" s="46">
        <v>9641</v>
      </c>
      <c r="B4259" s="4" t="s">
        <v>239</v>
      </c>
      <c r="C4259" s="22" t="s">
        <v>1210</v>
      </c>
      <c r="D4259" s="18">
        <v>2021</v>
      </c>
      <c r="E4259" s="18" t="s">
        <v>234</v>
      </c>
      <c r="F4259" s="18">
        <v>1</v>
      </c>
      <c r="G4259" s="18">
        <v>30</v>
      </c>
      <c r="H4259" s="18">
        <v>427.71417000000002</v>
      </c>
    </row>
    <row r="4260" spans="1:33" s="15" customFormat="1" ht="32.25" hidden="1" customHeight="1" outlineLevel="1" x14ac:dyDescent="0.25">
      <c r="A4260" s="45">
        <v>969</v>
      </c>
      <c r="B4260" s="4" t="s">
        <v>237</v>
      </c>
      <c r="C4260" s="22" t="s">
        <v>1740</v>
      </c>
      <c r="D4260" s="18">
        <v>2021</v>
      </c>
      <c r="E4260" s="18" t="s">
        <v>234</v>
      </c>
      <c r="F4260" s="18">
        <v>1</v>
      </c>
      <c r="G4260" s="18">
        <v>15</v>
      </c>
      <c r="H4260" s="18">
        <v>643.87747999999999</v>
      </c>
    </row>
    <row r="4261" spans="1:33" s="15" customFormat="1" ht="32.25" hidden="1" customHeight="1" outlineLevel="1" x14ac:dyDescent="0.25">
      <c r="A4261" s="46">
        <v>9881</v>
      </c>
      <c r="B4261" s="4" t="s">
        <v>237</v>
      </c>
      <c r="C4261" s="22" t="s">
        <v>1967</v>
      </c>
      <c r="D4261" s="18">
        <v>2021</v>
      </c>
      <c r="E4261" s="18" t="s">
        <v>234</v>
      </c>
      <c r="F4261" s="18">
        <v>1</v>
      </c>
      <c r="G4261" s="18">
        <v>20</v>
      </c>
      <c r="H4261" s="18">
        <v>341.09696000000002</v>
      </c>
    </row>
    <row r="4262" spans="1:33" s="15" customFormat="1" ht="31.5" collapsed="1" x14ac:dyDescent="0.25">
      <c r="A4262" s="18"/>
      <c r="B4262" s="58" t="s">
        <v>237</v>
      </c>
      <c r="C4262" s="72" t="s">
        <v>3223</v>
      </c>
      <c r="D4262" s="65"/>
      <c r="E4262" s="58" t="s">
        <v>232</v>
      </c>
      <c r="F4262" s="65"/>
      <c r="G4262" s="65"/>
      <c r="H4262" s="65"/>
    </row>
    <row r="4263" spans="1:33" s="16" customFormat="1" ht="16.5" customHeight="1" x14ac:dyDescent="0.25">
      <c r="A4263" s="18"/>
      <c r="B4263" s="7" t="s">
        <v>237</v>
      </c>
      <c r="C4263" s="8" t="s">
        <v>1102</v>
      </c>
      <c r="D4263" s="19">
        <v>2020</v>
      </c>
      <c r="E4263" s="19" t="s">
        <v>232</v>
      </c>
      <c r="F4263" s="7">
        <f>SUMIF($D$4266:$D$4281,$D$4263,$F$4266:$F$4281)</f>
        <v>6</v>
      </c>
      <c r="G4263" s="7">
        <f>SUMIF($D$4266:$D$4281,$D$4263,$G$4266:$G$4281)</f>
        <v>430</v>
      </c>
      <c r="H4263" s="10">
        <f>SUMIF($D$4266:$D$4281,$D$4263,$H$4266:$H$4281)</f>
        <v>2982.0201999999999</v>
      </c>
      <c r="I4263" s="15"/>
      <c r="J4263" s="15"/>
      <c r="K4263" s="15"/>
      <c r="L4263" s="15"/>
      <c r="M4263" s="15"/>
      <c r="N4263" s="15"/>
      <c r="O4263" s="15"/>
      <c r="P4263" s="15"/>
      <c r="Q4263" s="15"/>
      <c r="R4263" s="15"/>
      <c r="S4263" s="15"/>
      <c r="T4263" s="15"/>
      <c r="U4263" s="15"/>
      <c r="V4263" s="15"/>
      <c r="W4263" s="15"/>
      <c r="X4263" s="15"/>
      <c r="Y4263" s="15"/>
      <c r="Z4263" s="15"/>
      <c r="AA4263" s="15"/>
      <c r="AB4263" s="15"/>
      <c r="AC4263" s="15"/>
      <c r="AD4263" s="15"/>
      <c r="AE4263" s="15"/>
      <c r="AF4263" s="15"/>
      <c r="AG4263" s="15"/>
    </row>
    <row r="4264" spans="1:33" s="26" customFormat="1" ht="16.5" customHeight="1" x14ac:dyDescent="0.25">
      <c r="A4264" s="18"/>
      <c r="B4264" s="7" t="s">
        <v>237</v>
      </c>
      <c r="C4264" s="8" t="s">
        <v>1102</v>
      </c>
      <c r="D4264" s="19">
        <v>2021</v>
      </c>
      <c r="E4264" s="19" t="s">
        <v>232</v>
      </c>
      <c r="F4264" s="7">
        <f>SUMIF($D$4266:$D$4281,$D$4264,$F$4266:$F$4281)</f>
        <v>2</v>
      </c>
      <c r="G4264" s="7">
        <f>SUMIF($D$4266:$D$4281,$D$4264,$G$4266:$G$4281)</f>
        <v>75</v>
      </c>
      <c r="H4264" s="10">
        <f>SUMIF($D$4266:$D$4281,$D$4264,$H$4266:$H$4281)</f>
        <v>964</v>
      </c>
      <c r="I4264" s="15"/>
      <c r="J4264" s="15"/>
      <c r="K4264" s="15"/>
      <c r="L4264" s="15"/>
      <c r="M4264" s="15"/>
      <c r="N4264" s="15"/>
      <c r="O4264" s="15"/>
      <c r="P4264" s="15"/>
      <c r="Q4264" s="15"/>
      <c r="R4264" s="15"/>
      <c r="S4264" s="15"/>
      <c r="T4264" s="15"/>
      <c r="U4264" s="15"/>
      <c r="V4264" s="15"/>
      <c r="W4264" s="15"/>
      <c r="X4264" s="15"/>
      <c r="Y4264" s="15"/>
      <c r="Z4264" s="15"/>
      <c r="AA4264" s="15"/>
      <c r="AB4264" s="15"/>
      <c r="AC4264" s="15"/>
      <c r="AD4264" s="15"/>
      <c r="AE4264" s="15"/>
      <c r="AF4264" s="15"/>
      <c r="AG4264" s="15"/>
    </row>
    <row r="4265" spans="1:33" s="26" customFormat="1" ht="15.75" x14ac:dyDescent="0.25">
      <c r="A4265" s="18"/>
      <c r="B4265" s="7" t="s">
        <v>237</v>
      </c>
      <c r="C4265" s="8" t="s">
        <v>1102</v>
      </c>
      <c r="D4265" s="19">
        <v>2022</v>
      </c>
      <c r="E4265" s="19" t="s">
        <v>232</v>
      </c>
      <c r="F4265" s="7">
        <f>SUMIF($D$4266:$D$4281,$D$4265,$F$4266:$F$4281)</f>
        <v>8</v>
      </c>
      <c r="G4265" s="7">
        <f>SUMIF($D$4266:$D$4281,$D$4265,$G$4266:$G$4281)</f>
        <v>220</v>
      </c>
      <c r="H4265" s="10">
        <f>SUMIF($D$4266:$D$4281,$D$4265,$H$4266:$H$4281)</f>
        <v>4375.4199499999995</v>
      </c>
      <c r="I4265" s="15"/>
      <c r="J4265" s="15"/>
      <c r="K4265" s="15"/>
      <c r="L4265" s="15"/>
      <c r="M4265" s="15"/>
      <c r="N4265" s="15"/>
      <c r="O4265" s="15"/>
      <c r="P4265" s="15"/>
      <c r="Q4265" s="15"/>
      <c r="R4265" s="15"/>
      <c r="S4265" s="15"/>
      <c r="T4265" s="15"/>
      <c r="U4265" s="15"/>
      <c r="V4265" s="15"/>
      <c r="W4265" s="15"/>
      <c r="X4265" s="15"/>
      <c r="Y4265" s="15"/>
      <c r="Z4265" s="15"/>
      <c r="AA4265" s="15"/>
      <c r="AB4265" s="15"/>
      <c r="AC4265" s="15"/>
      <c r="AD4265" s="15"/>
      <c r="AE4265" s="15"/>
      <c r="AF4265" s="15"/>
      <c r="AG4265" s="15"/>
    </row>
    <row r="4266" spans="1:33" s="15" customFormat="1" ht="141.75" hidden="1" outlineLevel="1" x14ac:dyDescent="0.25">
      <c r="A4266" s="18">
        <v>1520</v>
      </c>
      <c r="B4266" s="4" t="s">
        <v>237</v>
      </c>
      <c r="C4266" s="22" t="s">
        <v>3403</v>
      </c>
      <c r="D4266" s="18">
        <v>2022</v>
      </c>
      <c r="E4266" s="18" t="s">
        <v>232</v>
      </c>
      <c r="F4266" s="18">
        <v>1</v>
      </c>
      <c r="G4266" s="18">
        <v>50</v>
      </c>
      <c r="H4266" s="18">
        <v>689.59861000000001</v>
      </c>
    </row>
    <row r="4267" spans="1:33" s="15" customFormat="1" ht="94.5" hidden="1" outlineLevel="1" x14ac:dyDescent="0.25">
      <c r="A4267" s="18">
        <v>458</v>
      </c>
      <c r="B4267" s="4" t="s">
        <v>237</v>
      </c>
      <c r="C4267" s="22" t="s">
        <v>3552</v>
      </c>
      <c r="D4267" s="18">
        <v>2022</v>
      </c>
      <c r="E4267" s="18" t="s">
        <v>232</v>
      </c>
      <c r="F4267" s="18">
        <v>1</v>
      </c>
      <c r="G4267" s="18">
        <v>10</v>
      </c>
      <c r="H4267" s="18">
        <v>600.82133999999996</v>
      </c>
    </row>
    <row r="4268" spans="1:33" s="15" customFormat="1" ht="110.25" hidden="1" outlineLevel="1" x14ac:dyDescent="0.25">
      <c r="A4268" s="18">
        <v>4944</v>
      </c>
      <c r="B4268" s="4" t="s">
        <v>237</v>
      </c>
      <c r="C4268" s="22" t="s">
        <v>4101</v>
      </c>
      <c r="D4268" s="18">
        <v>2022</v>
      </c>
      <c r="E4268" s="18" t="s">
        <v>232</v>
      </c>
      <c r="F4268" s="18">
        <v>1</v>
      </c>
      <c r="G4268" s="18">
        <v>30</v>
      </c>
      <c r="H4268" s="18">
        <v>741</v>
      </c>
    </row>
    <row r="4269" spans="1:33" s="15" customFormat="1" ht="126" hidden="1" outlineLevel="1" x14ac:dyDescent="0.25">
      <c r="A4269" s="18">
        <v>5021</v>
      </c>
      <c r="B4269" s="4" t="s">
        <v>237</v>
      </c>
      <c r="C4269" s="22" t="s">
        <v>4105</v>
      </c>
      <c r="D4269" s="18">
        <v>2022</v>
      </c>
      <c r="E4269" s="18" t="s">
        <v>232</v>
      </c>
      <c r="F4269" s="18">
        <v>1</v>
      </c>
      <c r="G4269" s="18" t="s">
        <v>1482</v>
      </c>
      <c r="H4269" s="18">
        <v>804</v>
      </c>
    </row>
    <row r="4270" spans="1:33" s="15" customFormat="1" ht="47.25" hidden="1" outlineLevel="1" x14ac:dyDescent="0.25">
      <c r="A4270" s="18">
        <v>180</v>
      </c>
      <c r="B4270" s="4" t="s">
        <v>237</v>
      </c>
      <c r="C4270" s="22" t="s">
        <v>4038</v>
      </c>
      <c r="D4270" s="18">
        <v>2022</v>
      </c>
      <c r="E4270" s="18" t="s">
        <v>232</v>
      </c>
      <c r="F4270" s="18">
        <v>1</v>
      </c>
      <c r="G4270" s="18">
        <v>50</v>
      </c>
      <c r="H4270" s="18">
        <v>493</v>
      </c>
    </row>
    <row r="4271" spans="1:33" s="15" customFormat="1" ht="63" hidden="1" outlineLevel="1" x14ac:dyDescent="0.25">
      <c r="A4271" s="18">
        <v>283</v>
      </c>
      <c r="B4271" s="4" t="s">
        <v>237</v>
      </c>
      <c r="C4271" s="22" t="s">
        <v>3795</v>
      </c>
      <c r="D4271" s="18">
        <v>2022</v>
      </c>
      <c r="E4271" s="18" t="s">
        <v>232</v>
      </c>
      <c r="F4271" s="18">
        <v>1</v>
      </c>
      <c r="G4271" s="18">
        <v>15</v>
      </c>
      <c r="H4271" s="18">
        <v>277</v>
      </c>
    </row>
    <row r="4272" spans="1:33" s="15" customFormat="1" ht="47.25" hidden="1" outlineLevel="1" x14ac:dyDescent="0.25">
      <c r="A4272" s="18">
        <v>180</v>
      </c>
      <c r="B4272" s="4" t="s">
        <v>237</v>
      </c>
      <c r="C4272" s="22" t="s">
        <v>4038</v>
      </c>
      <c r="D4272" s="18">
        <v>2022</v>
      </c>
      <c r="E4272" s="18" t="s">
        <v>232</v>
      </c>
      <c r="F4272" s="18">
        <v>1</v>
      </c>
      <c r="G4272" s="18">
        <v>50</v>
      </c>
      <c r="H4272" s="18">
        <v>493</v>
      </c>
    </row>
    <row r="4273" spans="1:33" s="15" customFormat="1" ht="63" hidden="1" outlineLevel="1" x14ac:dyDescent="0.25">
      <c r="A4273" s="18">
        <v>283</v>
      </c>
      <c r="B4273" s="4" t="s">
        <v>237</v>
      </c>
      <c r="C4273" s="22" t="s">
        <v>3795</v>
      </c>
      <c r="D4273" s="18">
        <v>2022</v>
      </c>
      <c r="E4273" s="18" t="s">
        <v>232</v>
      </c>
      <c r="F4273" s="18">
        <v>1</v>
      </c>
      <c r="G4273" s="18">
        <v>15</v>
      </c>
      <c r="H4273" s="18">
        <v>277</v>
      </c>
    </row>
    <row r="4274" spans="1:33" s="15" customFormat="1" ht="31.5" hidden="1" customHeight="1" outlineLevel="1" x14ac:dyDescent="0.25">
      <c r="A4274" s="18">
        <v>470</v>
      </c>
      <c r="B4274" s="4" t="s">
        <v>237</v>
      </c>
      <c r="C4274" s="22" t="s">
        <v>687</v>
      </c>
      <c r="D4274" s="18">
        <v>2020</v>
      </c>
      <c r="E4274" s="18" t="s">
        <v>232</v>
      </c>
      <c r="F4274" s="18">
        <v>1</v>
      </c>
      <c r="G4274" s="18">
        <v>15</v>
      </c>
      <c r="H4274" s="18">
        <v>722</v>
      </c>
    </row>
    <row r="4275" spans="1:33" s="15" customFormat="1" ht="31.5" hidden="1" customHeight="1" outlineLevel="1" x14ac:dyDescent="0.25">
      <c r="A4275" s="18">
        <v>249</v>
      </c>
      <c r="B4275" s="4" t="s">
        <v>237</v>
      </c>
      <c r="C4275" s="22" t="s">
        <v>594</v>
      </c>
      <c r="D4275" s="18">
        <v>2020</v>
      </c>
      <c r="E4275" s="18" t="s">
        <v>232</v>
      </c>
      <c r="F4275" s="18">
        <v>1</v>
      </c>
      <c r="G4275" s="18">
        <v>285</v>
      </c>
      <c r="H4275" s="18">
        <v>455.18900000000002</v>
      </c>
    </row>
    <row r="4276" spans="1:33" s="15" customFormat="1" ht="31.5" hidden="1" customHeight="1" outlineLevel="1" x14ac:dyDescent="0.25">
      <c r="A4276" s="18">
        <v>1723</v>
      </c>
      <c r="B4276" s="4" t="s">
        <v>237</v>
      </c>
      <c r="C4276" s="22" t="s">
        <v>603</v>
      </c>
      <c r="D4276" s="18">
        <v>2020</v>
      </c>
      <c r="E4276" s="18" t="s">
        <v>232</v>
      </c>
      <c r="F4276" s="18">
        <v>1</v>
      </c>
      <c r="G4276" s="18">
        <v>15</v>
      </c>
      <c r="H4276" s="18">
        <v>469.755</v>
      </c>
    </row>
    <row r="4277" spans="1:33" s="15" customFormat="1" ht="31.5" hidden="1" customHeight="1" outlineLevel="1" x14ac:dyDescent="0.25">
      <c r="A4277" s="18">
        <v>1673</v>
      </c>
      <c r="B4277" s="4" t="s">
        <v>237</v>
      </c>
      <c r="C4277" s="22" t="s">
        <v>42</v>
      </c>
      <c r="D4277" s="18">
        <v>2020</v>
      </c>
      <c r="E4277" s="18" t="s">
        <v>232</v>
      </c>
      <c r="F4277" s="18">
        <v>1</v>
      </c>
      <c r="G4277" s="18">
        <v>40</v>
      </c>
      <c r="H4277" s="18">
        <v>402.7072</v>
      </c>
    </row>
    <row r="4278" spans="1:33" s="15" customFormat="1" ht="31.5" hidden="1" customHeight="1" outlineLevel="1" x14ac:dyDescent="0.25">
      <c r="A4278" s="18">
        <v>1721</v>
      </c>
      <c r="B4278" s="4" t="s">
        <v>237</v>
      </c>
      <c r="C4278" s="22" t="s">
        <v>150</v>
      </c>
      <c r="D4278" s="18">
        <v>2020</v>
      </c>
      <c r="E4278" s="18" t="s">
        <v>232</v>
      </c>
      <c r="F4278" s="18">
        <v>1</v>
      </c>
      <c r="G4278" s="18">
        <v>45</v>
      </c>
      <c r="H4278" s="18">
        <v>484.70100000000002</v>
      </c>
    </row>
    <row r="4279" spans="1:33" s="15" customFormat="1" ht="31.5" hidden="1" customHeight="1" outlineLevel="1" x14ac:dyDescent="0.25">
      <c r="A4279" s="18">
        <v>1759</v>
      </c>
      <c r="B4279" s="4" t="s">
        <v>237</v>
      </c>
      <c r="C4279" s="22" t="s">
        <v>151</v>
      </c>
      <c r="D4279" s="18">
        <v>2020</v>
      </c>
      <c r="E4279" s="18" t="s">
        <v>232</v>
      </c>
      <c r="F4279" s="18">
        <v>1</v>
      </c>
      <c r="G4279" s="18">
        <v>30</v>
      </c>
      <c r="H4279" s="18">
        <v>447.66800000000001</v>
      </c>
    </row>
    <row r="4280" spans="1:33" s="39" customFormat="1" ht="22.5" hidden="1" customHeight="1" outlineLevel="1" x14ac:dyDescent="0.25">
      <c r="A4280" s="46">
        <v>9609</v>
      </c>
      <c r="B4280" s="123" t="s">
        <v>237</v>
      </c>
      <c r="C4280" s="75" t="s">
        <v>1813</v>
      </c>
      <c r="D4280" s="18">
        <v>2021</v>
      </c>
      <c r="E4280" s="18" t="s">
        <v>232</v>
      </c>
      <c r="F4280" s="18">
        <v>1</v>
      </c>
      <c r="G4280" s="18">
        <v>25</v>
      </c>
      <c r="H4280" s="18">
        <v>469</v>
      </c>
    </row>
    <row r="4281" spans="1:33" s="39" customFormat="1" ht="22.5" hidden="1" customHeight="1" outlineLevel="1" x14ac:dyDescent="0.25">
      <c r="A4281" s="46">
        <v>9674</v>
      </c>
      <c r="B4281" s="123" t="s">
        <v>237</v>
      </c>
      <c r="C4281" s="75" t="s">
        <v>1589</v>
      </c>
      <c r="D4281" s="18">
        <v>2021</v>
      </c>
      <c r="E4281" s="18" t="s">
        <v>232</v>
      </c>
      <c r="F4281" s="18">
        <v>1</v>
      </c>
      <c r="G4281" s="18">
        <v>50</v>
      </c>
      <c r="H4281" s="18">
        <v>495</v>
      </c>
    </row>
    <row r="4282" spans="1:33" s="15" customFormat="1" ht="31.5" collapsed="1" x14ac:dyDescent="0.25">
      <c r="A4282" s="18"/>
      <c r="B4282" s="70" t="s">
        <v>239</v>
      </c>
      <c r="C4282" s="71" t="s">
        <v>3224</v>
      </c>
      <c r="D4282" s="69"/>
      <c r="E4282" s="74" t="s">
        <v>234</v>
      </c>
      <c r="F4282" s="69"/>
      <c r="G4282" s="69"/>
      <c r="H4282" s="69"/>
    </row>
    <row r="4283" spans="1:33" s="16" customFormat="1" ht="16.5" customHeight="1" x14ac:dyDescent="0.25">
      <c r="A4283" s="18"/>
      <c r="B4283" s="11" t="s">
        <v>239</v>
      </c>
      <c r="C4283" s="12" t="s">
        <v>1102</v>
      </c>
      <c r="D4283" s="20">
        <v>2020</v>
      </c>
      <c r="E4283" s="20" t="s">
        <v>234</v>
      </c>
      <c r="F4283" s="11">
        <f>SUMIF($D$4286:$D$4404,$D$4283,$F$4286:$F$4404)</f>
        <v>45</v>
      </c>
      <c r="G4283" s="14">
        <f>SUMIF($D$4286:$D$4404,$D$4283,$G$4286:$G$4404)</f>
        <v>1834.15</v>
      </c>
      <c r="H4283" s="14">
        <f>SUMIF($D$4286:$D$4404,$D$4283,$H$4286:$H$4404)</f>
        <v>26274.044739999998</v>
      </c>
      <c r="I4283" s="15"/>
      <c r="J4283" s="15"/>
      <c r="K4283" s="15"/>
      <c r="L4283" s="15"/>
      <c r="M4283" s="15"/>
      <c r="N4283" s="15"/>
      <c r="O4283" s="15"/>
      <c r="P4283" s="15"/>
      <c r="Q4283" s="15"/>
      <c r="R4283" s="15"/>
      <c r="S4283" s="15"/>
      <c r="T4283" s="15"/>
      <c r="U4283" s="15"/>
      <c r="V4283" s="15"/>
      <c r="W4283" s="15"/>
      <c r="X4283" s="15"/>
      <c r="Y4283" s="15"/>
      <c r="Z4283" s="15"/>
      <c r="AA4283" s="15"/>
      <c r="AB4283" s="15"/>
      <c r="AC4283" s="15"/>
      <c r="AD4283" s="15"/>
      <c r="AE4283" s="15"/>
      <c r="AF4283" s="15"/>
      <c r="AG4283" s="15"/>
    </row>
    <row r="4284" spans="1:33" s="26" customFormat="1" ht="16.5" customHeight="1" x14ac:dyDescent="0.25">
      <c r="A4284" s="18"/>
      <c r="B4284" s="11" t="s">
        <v>239</v>
      </c>
      <c r="C4284" s="12" t="s">
        <v>1102</v>
      </c>
      <c r="D4284" s="20">
        <v>2021</v>
      </c>
      <c r="E4284" s="20" t="s">
        <v>234</v>
      </c>
      <c r="F4284" s="11">
        <f>SUMIF($D$4286:$D$4404,$D$4284,$F$4286:$F$4404)</f>
        <v>43</v>
      </c>
      <c r="G4284" s="14">
        <f>SUMIF($D$4286:$D$4404,$D$4284,$G$4286:$G$4404)</f>
        <v>1547</v>
      </c>
      <c r="H4284" s="14">
        <f>SUMIF($D$4286:$D$4404,$D$4284,$H$4286:$H$4404)</f>
        <v>23685.177499999998</v>
      </c>
      <c r="I4284" s="15"/>
      <c r="J4284" s="15"/>
      <c r="K4284" s="15"/>
      <c r="L4284" s="15"/>
      <c r="M4284" s="15"/>
      <c r="N4284" s="15"/>
      <c r="O4284" s="15"/>
      <c r="P4284" s="15"/>
      <c r="Q4284" s="15"/>
      <c r="R4284" s="15"/>
      <c r="S4284" s="15"/>
      <c r="T4284" s="15"/>
      <c r="U4284" s="15"/>
      <c r="V4284" s="15"/>
      <c r="W4284" s="15"/>
      <c r="X4284" s="15"/>
      <c r="Y4284" s="15"/>
      <c r="Z4284" s="15"/>
      <c r="AA4284" s="15"/>
      <c r="AB4284" s="15"/>
      <c r="AC4284" s="15"/>
      <c r="AD4284" s="15"/>
      <c r="AE4284" s="15"/>
      <c r="AF4284" s="15"/>
      <c r="AG4284" s="15"/>
    </row>
    <row r="4285" spans="1:33" s="26" customFormat="1" ht="15.75" x14ac:dyDescent="0.25">
      <c r="A4285" s="18"/>
      <c r="B4285" s="11" t="s">
        <v>239</v>
      </c>
      <c r="C4285" s="12" t="s">
        <v>1102</v>
      </c>
      <c r="D4285" s="20">
        <v>2022</v>
      </c>
      <c r="E4285" s="20" t="s">
        <v>234</v>
      </c>
      <c r="F4285" s="11">
        <f>SUMIF($D$4286:$D$4404,$D$4285,$F$4286:$F$4404)</f>
        <v>31</v>
      </c>
      <c r="G4285" s="14">
        <f>SUMIF($D$4286:$D$4404,$D$4285,$G$4286:$G$4404)</f>
        <v>1100.5</v>
      </c>
      <c r="H4285" s="14">
        <f>SUMIF($D$4286:$D$4404,$D$4285,$H$4286:$H$4404)</f>
        <v>16902.488519999999</v>
      </c>
      <c r="I4285" s="15"/>
      <c r="J4285" s="15"/>
      <c r="K4285" s="15"/>
      <c r="L4285" s="15"/>
      <c r="M4285" s="15"/>
      <c r="N4285" s="15"/>
      <c r="O4285" s="15"/>
      <c r="P4285" s="15"/>
      <c r="Q4285" s="15"/>
      <c r="R4285" s="15"/>
      <c r="S4285" s="15"/>
      <c r="T4285" s="15"/>
      <c r="U4285" s="15"/>
      <c r="V4285" s="15"/>
      <c r="W4285" s="15"/>
      <c r="X4285" s="15"/>
      <c r="Y4285" s="15"/>
      <c r="Z4285" s="15"/>
      <c r="AA4285" s="15"/>
      <c r="AB4285" s="15"/>
      <c r="AC4285" s="15"/>
      <c r="AD4285" s="15"/>
      <c r="AE4285" s="15"/>
      <c r="AF4285" s="15"/>
      <c r="AG4285" s="15"/>
    </row>
    <row r="4286" spans="1:33" s="15" customFormat="1" ht="94.5" hidden="1" outlineLevel="1" x14ac:dyDescent="0.25">
      <c r="A4286" s="18">
        <v>2839</v>
      </c>
      <c r="B4286" s="4" t="s">
        <v>239</v>
      </c>
      <c r="C4286" s="22" t="s">
        <v>3931</v>
      </c>
      <c r="D4286" s="18">
        <v>2022</v>
      </c>
      <c r="E4286" s="18" t="s">
        <v>234</v>
      </c>
      <c r="F4286" s="18">
        <v>1</v>
      </c>
      <c r="G4286" s="18">
        <v>55</v>
      </c>
      <c r="H4286" s="18">
        <v>863.899</v>
      </c>
    </row>
    <row r="4287" spans="1:33" s="15" customFormat="1" ht="110.25" hidden="1" outlineLevel="1" x14ac:dyDescent="0.25">
      <c r="A4287" s="18">
        <v>2814</v>
      </c>
      <c r="B4287" s="4" t="s">
        <v>239</v>
      </c>
      <c r="C4287" s="22" t="s">
        <v>3266</v>
      </c>
      <c r="D4287" s="18">
        <v>2022</v>
      </c>
      <c r="E4287" s="18" t="s">
        <v>234</v>
      </c>
      <c r="F4287" s="18">
        <v>1</v>
      </c>
      <c r="G4287" s="18">
        <v>60</v>
      </c>
      <c r="H4287" s="18">
        <f>0.496573*(1000)</f>
        <v>496.57299999999998</v>
      </c>
    </row>
    <row r="4288" spans="1:33" s="15" customFormat="1" ht="110.25" hidden="1" outlineLevel="1" x14ac:dyDescent="0.25">
      <c r="A4288" s="18">
        <v>2842</v>
      </c>
      <c r="B4288" s="4" t="s">
        <v>239</v>
      </c>
      <c r="C4288" s="22" t="s">
        <v>3287</v>
      </c>
      <c r="D4288" s="18">
        <v>2022</v>
      </c>
      <c r="E4288" s="18" t="s">
        <v>234</v>
      </c>
      <c r="F4288" s="18">
        <v>1</v>
      </c>
      <c r="G4288" s="18">
        <v>30</v>
      </c>
      <c r="H4288" s="18">
        <f>0.228726*(1000)</f>
        <v>228.726</v>
      </c>
    </row>
    <row r="4289" spans="1:8" s="15" customFormat="1" ht="94.5" hidden="1" outlineLevel="1" x14ac:dyDescent="0.25">
      <c r="A4289" s="18">
        <v>2786</v>
      </c>
      <c r="B4289" s="4" t="s">
        <v>239</v>
      </c>
      <c r="C4289" s="22" t="s">
        <v>3295</v>
      </c>
      <c r="D4289" s="18">
        <v>2022</v>
      </c>
      <c r="E4289" s="18" t="s">
        <v>234</v>
      </c>
      <c r="F4289" s="18">
        <v>1</v>
      </c>
      <c r="G4289" s="18">
        <v>60</v>
      </c>
      <c r="H4289" s="18">
        <f>0.74448748*(1000)</f>
        <v>744.48748000000001</v>
      </c>
    </row>
    <row r="4290" spans="1:8" s="15" customFormat="1" ht="78.75" hidden="1" outlineLevel="1" x14ac:dyDescent="0.25">
      <c r="A4290" s="18">
        <v>2734</v>
      </c>
      <c r="B4290" s="4" t="s">
        <v>239</v>
      </c>
      <c r="C4290" s="22" t="s">
        <v>4254</v>
      </c>
      <c r="D4290" s="18">
        <v>2022</v>
      </c>
      <c r="E4290" s="18" t="s">
        <v>234</v>
      </c>
      <c r="F4290" s="18">
        <v>1</v>
      </c>
      <c r="G4290" s="18">
        <v>45</v>
      </c>
      <c r="H4290" s="18">
        <v>314.02499999999998</v>
      </c>
    </row>
    <row r="4291" spans="1:8" s="15" customFormat="1" ht="126" hidden="1" outlineLevel="1" x14ac:dyDescent="0.25">
      <c r="A4291" s="18">
        <v>1488</v>
      </c>
      <c r="B4291" s="4" t="s">
        <v>239</v>
      </c>
      <c r="C4291" s="22" t="s">
        <v>3362</v>
      </c>
      <c r="D4291" s="18">
        <v>2022</v>
      </c>
      <c r="E4291" s="18" t="s">
        <v>234</v>
      </c>
      <c r="F4291" s="18">
        <v>1</v>
      </c>
      <c r="G4291" s="18">
        <v>50</v>
      </c>
      <c r="H4291" s="18">
        <v>600.78963999999996</v>
      </c>
    </row>
    <row r="4292" spans="1:8" s="15" customFormat="1" ht="157.5" hidden="1" outlineLevel="1" x14ac:dyDescent="0.25">
      <c r="A4292" s="18">
        <v>1079</v>
      </c>
      <c r="B4292" s="4" t="s">
        <v>239</v>
      </c>
      <c r="C4292" s="22" t="s">
        <v>3364</v>
      </c>
      <c r="D4292" s="18">
        <v>2022</v>
      </c>
      <c r="E4292" s="18" t="s">
        <v>234</v>
      </c>
      <c r="F4292" s="18">
        <v>1</v>
      </c>
      <c r="G4292" s="18">
        <v>35</v>
      </c>
      <c r="H4292" s="18">
        <v>748.44397000000004</v>
      </c>
    </row>
    <row r="4293" spans="1:8" s="15" customFormat="1" ht="126" hidden="1" outlineLevel="1" x14ac:dyDescent="0.25">
      <c r="A4293" s="18">
        <v>1486</v>
      </c>
      <c r="B4293" s="4" t="s">
        <v>239</v>
      </c>
      <c r="C4293" s="22" t="s">
        <v>4016</v>
      </c>
      <c r="D4293" s="18">
        <v>2022</v>
      </c>
      <c r="E4293" s="18" t="s">
        <v>234</v>
      </c>
      <c r="F4293" s="18">
        <v>1</v>
      </c>
      <c r="G4293" s="18">
        <v>40</v>
      </c>
      <c r="H4293" s="18">
        <v>676.59974999999997</v>
      </c>
    </row>
    <row r="4294" spans="1:8" s="15" customFormat="1" ht="141.75" hidden="1" outlineLevel="1" x14ac:dyDescent="0.25">
      <c r="A4294" s="18">
        <v>1344</v>
      </c>
      <c r="B4294" s="4" t="s">
        <v>239</v>
      </c>
      <c r="C4294" s="22" t="s">
        <v>4255</v>
      </c>
      <c r="D4294" s="18">
        <v>2022</v>
      </c>
      <c r="E4294" s="18" t="s">
        <v>234</v>
      </c>
      <c r="F4294" s="18">
        <v>1</v>
      </c>
      <c r="G4294" s="18">
        <v>35</v>
      </c>
      <c r="H4294" s="18">
        <v>645.73755000000006</v>
      </c>
    </row>
    <row r="4295" spans="1:8" s="15" customFormat="1" ht="141.75" hidden="1" outlineLevel="1" x14ac:dyDescent="0.25">
      <c r="A4295" s="18">
        <v>1608</v>
      </c>
      <c r="B4295" s="4" t="s">
        <v>239</v>
      </c>
      <c r="C4295" s="22" t="s">
        <v>3491</v>
      </c>
      <c r="D4295" s="18">
        <v>2022</v>
      </c>
      <c r="E4295" s="18" t="s">
        <v>234</v>
      </c>
      <c r="F4295" s="18">
        <v>1</v>
      </c>
      <c r="G4295" s="18">
        <v>75</v>
      </c>
      <c r="H4295" s="18">
        <v>669.58029999999997</v>
      </c>
    </row>
    <row r="4296" spans="1:8" s="15" customFormat="1" ht="94.5" hidden="1" outlineLevel="1" x14ac:dyDescent="0.25">
      <c r="A4296" s="18">
        <v>453</v>
      </c>
      <c r="B4296" s="4" t="s">
        <v>239</v>
      </c>
      <c r="C4296" s="22" t="s">
        <v>3530</v>
      </c>
      <c r="D4296" s="18">
        <v>2022</v>
      </c>
      <c r="E4296" s="18" t="s">
        <v>234</v>
      </c>
      <c r="F4296" s="18">
        <v>1</v>
      </c>
      <c r="G4296" s="18">
        <v>15</v>
      </c>
      <c r="H4296" s="18">
        <v>414.85737999999998</v>
      </c>
    </row>
    <row r="4297" spans="1:8" s="15" customFormat="1" ht="78.75" hidden="1" outlineLevel="1" x14ac:dyDescent="0.25">
      <c r="A4297" s="18">
        <v>528</v>
      </c>
      <c r="B4297" s="4" t="s">
        <v>239</v>
      </c>
      <c r="C4297" s="22" t="s">
        <v>3504</v>
      </c>
      <c r="D4297" s="18">
        <v>2022</v>
      </c>
      <c r="E4297" s="18" t="s">
        <v>234</v>
      </c>
      <c r="F4297" s="18">
        <v>1</v>
      </c>
      <c r="G4297" s="18">
        <v>25</v>
      </c>
      <c r="H4297" s="18">
        <v>333.87943000000001</v>
      </c>
    </row>
    <row r="4298" spans="1:8" s="15" customFormat="1" ht="78.75" hidden="1" outlineLevel="1" x14ac:dyDescent="0.25">
      <c r="A4298" s="18">
        <v>538</v>
      </c>
      <c r="B4298" s="4" t="s">
        <v>239</v>
      </c>
      <c r="C4298" s="22" t="s">
        <v>3510</v>
      </c>
      <c r="D4298" s="18">
        <v>2022</v>
      </c>
      <c r="E4298" s="18" t="s">
        <v>234</v>
      </c>
      <c r="F4298" s="18">
        <v>1</v>
      </c>
      <c r="G4298" s="18">
        <v>15</v>
      </c>
      <c r="H4298" s="18">
        <v>363.53001999999998</v>
      </c>
    </row>
    <row r="4299" spans="1:8" s="15" customFormat="1" ht="126" hidden="1" outlineLevel="1" x14ac:dyDescent="0.25">
      <c r="A4299" s="18">
        <v>4674</v>
      </c>
      <c r="B4299" s="4" t="s">
        <v>239</v>
      </c>
      <c r="C4299" s="22" t="s">
        <v>4123</v>
      </c>
      <c r="D4299" s="18">
        <v>2022</v>
      </c>
      <c r="E4299" s="18" t="s">
        <v>234</v>
      </c>
      <c r="F4299" s="18">
        <v>1</v>
      </c>
      <c r="G4299" s="18">
        <v>45.5</v>
      </c>
      <c r="H4299" s="18">
        <v>511.86</v>
      </c>
    </row>
    <row r="4300" spans="1:8" s="15" customFormat="1" ht="94.5" hidden="1" outlineLevel="1" x14ac:dyDescent="0.25">
      <c r="A4300" s="18">
        <v>1944</v>
      </c>
      <c r="B4300" s="4" t="s">
        <v>239</v>
      </c>
      <c r="C4300" s="22" t="s">
        <v>4199</v>
      </c>
      <c r="D4300" s="18">
        <v>2022</v>
      </c>
      <c r="E4300" s="18" t="s">
        <v>234</v>
      </c>
      <c r="F4300" s="18">
        <v>1</v>
      </c>
      <c r="G4300" s="18">
        <v>40</v>
      </c>
      <c r="H4300" s="18">
        <v>523.89200000000005</v>
      </c>
    </row>
    <row r="4301" spans="1:8" s="15" customFormat="1" ht="126" hidden="1" outlineLevel="1" x14ac:dyDescent="0.25">
      <c r="A4301" s="18">
        <v>5422</v>
      </c>
      <c r="B4301" s="4" t="s">
        <v>239</v>
      </c>
      <c r="C4301" s="22" t="s">
        <v>3633</v>
      </c>
      <c r="D4301" s="18">
        <v>2022</v>
      </c>
      <c r="E4301" s="18" t="s">
        <v>234</v>
      </c>
      <c r="F4301" s="18">
        <v>1</v>
      </c>
      <c r="G4301" s="18">
        <v>25</v>
      </c>
      <c r="H4301" s="18">
        <v>622.16399999999999</v>
      </c>
    </row>
    <row r="4302" spans="1:8" s="15" customFormat="1" ht="126" hidden="1" outlineLevel="1" x14ac:dyDescent="0.25">
      <c r="A4302" s="18">
        <v>5420</v>
      </c>
      <c r="B4302" s="4" t="s">
        <v>239</v>
      </c>
      <c r="C4302" s="22" t="s">
        <v>3657</v>
      </c>
      <c r="D4302" s="18">
        <v>2022</v>
      </c>
      <c r="E4302" s="18" t="s">
        <v>234</v>
      </c>
      <c r="F4302" s="18">
        <v>1</v>
      </c>
      <c r="G4302" s="18">
        <v>30</v>
      </c>
      <c r="H4302" s="18">
        <v>485.44400000000002</v>
      </c>
    </row>
    <row r="4303" spans="1:8" s="15" customFormat="1" ht="63" hidden="1" outlineLevel="1" x14ac:dyDescent="0.25">
      <c r="A4303" s="18">
        <v>156</v>
      </c>
      <c r="B4303" s="4" t="s">
        <v>239</v>
      </c>
      <c r="C4303" s="22" t="s">
        <v>3703</v>
      </c>
      <c r="D4303" s="18">
        <v>2022</v>
      </c>
      <c r="E4303" s="18" t="s">
        <v>234</v>
      </c>
      <c r="F4303" s="18">
        <v>1</v>
      </c>
      <c r="G4303" s="18">
        <v>30</v>
      </c>
      <c r="H4303" s="18">
        <v>486</v>
      </c>
    </row>
    <row r="4304" spans="1:8" s="15" customFormat="1" ht="63" hidden="1" outlineLevel="1" x14ac:dyDescent="0.25">
      <c r="A4304" s="18">
        <v>251</v>
      </c>
      <c r="B4304" s="4" t="s">
        <v>239</v>
      </c>
      <c r="C4304" s="22" t="s">
        <v>3711</v>
      </c>
      <c r="D4304" s="18">
        <v>2022</v>
      </c>
      <c r="E4304" s="18" t="s">
        <v>234</v>
      </c>
      <c r="F4304" s="18">
        <v>1</v>
      </c>
      <c r="G4304" s="18">
        <v>45</v>
      </c>
      <c r="H4304" s="18">
        <v>950</v>
      </c>
    </row>
    <row r="4305" spans="1:8" s="15" customFormat="1" ht="47.25" hidden="1" outlineLevel="1" x14ac:dyDescent="0.25">
      <c r="A4305" s="18">
        <v>203</v>
      </c>
      <c r="B4305" s="4" t="s">
        <v>239</v>
      </c>
      <c r="C4305" s="22" t="s">
        <v>3712</v>
      </c>
      <c r="D4305" s="18">
        <v>2022</v>
      </c>
      <c r="E4305" s="18" t="s">
        <v>234</v>
      </c>
      <c r="F4305" s="18">
        <v>1</v>
      </c>
      <c r="G4305" s="18">
        <v>30</v>
      </c>
      <c r="H4305" s="18">
        <v>731</v>
      </c>
    </row>
    <row r="4306" spans="1:8" s="15" customFormat="1" ht="63" hidden="1" outlineLevel="1" x14ac:dyDescent="0.25">
      <c r="A4306" s="18">
        <v>154</v>
      </c>
      <c r="B4306" s="4" t="s">
        <v>239</v>
      </c>
      <c r="C4306" s="22" t="s">
        <v>3715</v>
      </c>
      <c r="D4306" s="18">
        <v>2022</v>
      </c>
      <c r="E4306" s="18" t="s">
        <v>234</v>
      </c>
      <c r="F4306" s="18">
        <v>1</v>
      </c>
      <c r="G4306" s="18">
        <v>10</v>
      </c>
      <c r="H4306" s="18">
        <v>485</v>
      </c>
    </row>
    <row r="4307" spans="1:8" s="15" customFormat="1" ht="63" hidden="1" outlineLevel="1" x14ac:dyDescent="0.25">
      <c r="A4307" s="18">
        <v>46</v>
      </c>
      <c r="B4307" s="4" t="s">
        <v>239</v>
      </c>
      <c r="C4307" s="22" t="s">
        <v>3768</v>
      </c>
      <c r="D4307" s="18">
        <v>2022</v>
      </c>
      <c r="E4307" s="18" t="s">
        <v>234</v>
      </c>
      <c r="F4307" s="18">
        <v>1</v>
      </c>
      <c r="G4307" s="18">
        <v>50</v>
      </c>
      <c r="H4307" s="18">
        <v>524</v>
      </c>
    </row>
    <row r="4308" spans="1:8" s="15" customFormat="1" ht="47.25" hidden="1" outlineLevel="1" x14ac:dyDescent="0.25">
      <c r="A4308" s="18">
        <v>44</v>
      </c>
      <c r="B4308" s="4" t="s">
        <v>239</v>
      </c>
      <c r="C4308" s="22" t="s">
        <v>3769</v>
      </c>
      <c r="D4308" s="18">
        <v>2022</v>
      </c>
      <c r="E4308" s="18" t="s">
        <v>234</v>
      </c>
      <c r="F4308" s="18">
        <v>1</v>
      </c>
      <c r="G4308" s="18">
        <v>30</v>
      </c>
      <c r="H4308" s="18">
        <v>434</v>
      </c>
    </row>
    <row r="4309" spans="1:8" s="15" customFormat="1" ht="63" hidden="1" outlineLevel="1" x14ac:dyDescent="0.25">
      <c r="A4309" s="18">
        <v>433</v>
      </c>
      <c r="B4309" s="4" t="s">
        <v>239</v>
      </c>
      <c r="C4309" s="22" t="s">
        <v>3888</v>
      </c>
      <c r="D4309" s="18">
        <v>2022</v>
      </c>
      <c r="E4309" s="18" t="s">
        <v>234</v>
      </c>
      <c r="F4309" s="18">
        <v>1</v>
      </c>
      <c r="G4309" s="18">
        <v>15</v>
      </c>
      <c r="H4309" s="18">
        <v>219</v>
      </c>
    </row>
    <row r="4310" spans="1:8" s="15" customFormat="1" ht="63" hidden="1" outlineLevel="1" x14ac:dyDescent="0.25">
      <c r="A4310" s="18">
        <v>156</v>
      </c>
      <c r="B4310" s="4" t="s">
        <v>239</v>
      </c>
      <c r="C4310" s="22" t="s">
        <v>3703</v>
      </c>
      <c r="D4310" s="18">
        <v>2022</v>
      </c>
      <c r="E4310" s="18" t="s">
        <v>234</v>
      </c>
      <c r="F4310" s="18">
        <v>1</v>
      </c>
      <c r="G4310" s="18">
        <v>30</v>
      </c>
      <c r="H4310" s="18">
        <v>486</v>
      </c>
    </row>
    <row r="4311" spans="1:8" s="15" customFormat="1" ht="63" hidden="1" outlineLevel="1" x14ac:dyDescent="0.25">
      <c r="A4311" s="18">
        <v>251</v>
      </c>
      <c r="B4311" s="4" t="s">
        <v>239</v>
      </c>
      <c r="C4311" s="22" t="s">
        <v>3711</v>
      </c>
      <c r="D4311" s="18">
        <v>2022</v>
      </c>
      <c r="E4311" s="18" t="s">
        <v>234</v>
      </c>
      <c r="F4311" s="18">
        <v>1</v>
      </c>
      <c r="G4311" s="18">
        <v>45</v>
      </c>
      <c r="H4311" s="18">
        <v>950</v>
      </c>
    </row>
    <row r="4312" spans="1:8" s="15" customFormat="1" ht="47.25" hidden="1" outlineLevel="1" x14ac:dyDescent="0.25">
      <c r="A4312" s="18">
        <v>203</v>
      </c>
      <c r="B4312" s="4" t="s">
        <v>239</v>
      </c>
      <c r="C4312" s="22" t="s">
        <v>3712</v>
      </c>
      <c r="D4312" s="18">
        <v>2022</v>
      </c>
      <c r="E4312" s="18" t="s">
        <v>234</v>
      </c>
      <c r="F4312" s="18">
        <v>1</v>
      </c>
      <c r="G4312" s="18">
        <v>30</v>
      </c>
      <c r="H4312" s="18">
        <v>731</v>
      </c>
    </row>
    <row r="4313" spans="1:8" s="15" customFormat="1" ht="63" hidden="1" outlineLevel="1" x14ac:dyDescent="0.25">
      <c r="A4313" s="18">
        <v>154</v>
      </c>
      <c r="B4313" s="4" t="s">
        <v>239</v>
      </c>
      <c r="C4313" s="22" t="s">
        <v>3715</v>
      </c>
      <c r="D4313" s="18">
        <v>2022</v>
      </c>
      <c r="E4313" s="18" t="s">
        <v>234</v>
      </c>
      <c r="F4313" s="18">
        <v>1</v>
      </c>
      <c r="G4313" s="18">
        <v>10</v>
      </c>
      <c r="H4313" s="18">
        <v>485</v>
      </c>
    </row>
    <row r="4314" spans="1:8" s="15" customFormat="1" ht="63" hidden="1" outlineLevel="1" x14ac:dyDescent="0.25">
      <c r="A4314" s="18">
        <v>46</v>
      </c>
      <c r="B4314" s="4" t="s">
        <v>239</v>
      </c>
      <c r="C4314" s="22" t="s">
        <v>3768</v>
      </c>
      <c r="D4314" s="18">
        <v>2022</v>
      </c>
      <c r="E4314" s="18" t="s">
        <v>234</v>
      </c>
      <c r="F4314" s="18">
        <v>1</v>
      </c>
      <c r="G4314" s="18">
        <v>50</v>
      </c>
      <c r="H4314" s="18">
        <v>524</v>
      </c>
    </row>
    <row r="4315" spans="1:8" s="15" customFormat="1" ht="47.25" hidden="1" outlineLevel="1" x14ac:dyDescent="0.25">
      <c r="A4315" s="18">
        <v>44</v>
      </c>
      <c r="B4315" s="4" t="s">
        <v>239</v>
      </c>
      <c r="C4315" s="22" t="s">
        <v>3769</v>
      </c>
      <c r="D4315" s="18">
        <v>2022</v>
      </c>
      <c r="E4315" s="18" t="s">
        <v>234</v>
      </c>
      <c r="F4315" s="18">
        <v>1</v>
      </c>
      <c r="G4315" s="18">
        <v>30</v>
      </c>
      <c r="H4315" s="18">
        <v>434</v>
      </c>
    </row>
    <row r="4316" spans="1:8" s="15" customFormat="1" ht="63" hidden="1" outlineLevel="1" x14ac:dyDescent="0.25">
      <c r="A4316" s="18">
        <v>433</v>
      </c>
      <c r="B4316" s="4" t="s">
        <v>239</v>
      </c>
      <c r="C4316" s="22" t="s">
        <v>3888</v>
      </c>
      <c r="D4316" s="18">
        <v>2022</v>
      </c>
      <c r="E4316" s="18" t="s">
        <v>234</v>
      </c>
      <c r="F4316" s="18">
        <v>1</v>
      </c>
      <c r="G4316" s="18">
        <v>15</v>
      </c>
      <c r="H4316" s="18">
        <v>219</v>
      </c>
    </row>
    <row r="4317" spans="1:8" s="15" customFormat="1" ht="37.5" hidden="1" customHeight="1" outlineLevel="1" x14ac:dyDescent="0.25">
      <c r="A4317" s="18">
        <v>1616</v>
      </c>
      <c r="B4317" s="4" t="s">
        <v>239</v>
      </c>
      <c r="C4317" s="22" t="s">
        <v>350</v>
      </c>
      <c r="D4317" s="18">
        <v>2020</v>
      </c>
      <c r="E4317" s="18" t="s">
        <v>234</v>
      </c>
      <c r="F4317" s="18">
        <v>1</v>
      </c>
      <c r="G4317" s="18">
        <v>18</v>
      </c>
      <c r="H4317" s="18">
        <v>518.10895000000005</v>
      </c>
    </row>
    <row r="4318" spans="1:8" s="15" customFormat="1" ht="37.5" hidden="1" customHeight="1" outlineLevel="1" x14ac:dyDescent="0.25">
      <c r="A4318" s="18">
        <v>1753</v>
      </c>
      <c r="B4318" s="4" t="s">
        <v>239</v>
      </c>
      <c r="C4318" s="22" t="s">
        <v>311</v>
      </c>
      <c r="D4318" s="18">
        <v>2020</v>
      </c>
      <c r="E4318" s="18" t="s">
        <v>234</v>
      </c>
      <c r="F4318" s="18">
        <v>1</v>
      </c>
      <c r="G4318" s="18">
        <v>15</v>
      </c>
      <c r="H4318" s="18">
        <v>233.96110999999999</v>
      </c>
    </row>
    <row r="4319" spans="1:8" s="15" customFormat="1" ht="37.5" hidden="1" customHeight="1" outlineLevel="1" x14ac:dyDescent="0.25">
      <c r="A4319" s="18">
        <v>214</v>
      </c>
      <c r="B4319" s="4" t="s">
        <v>239</v>
      </c>
      <c r="C4319" s="22" t="s">
        <v>369</v>
      </c>
      <c r="D4319" s="18">
        <v>2020</v>
      </c>
      <c r="E4319" s="18" t="s">
        <v>234</v>
      </c>
      <c r="F4319" s="18">
        <v>1</v>
      </c>
      <c r="G4319" s="18">
        <v>15</v>
      </c>
      <c r="H4319" s="18">
        <v>469.62148999999999</v>
      </c>
    </row>
    <row r="4320" spans="1:8" s="15" customFormat="1" ht="37.5" hidden="1" customHeight="1" outlineLevel="1" x14ac:dyDescent="0.25">
      <c r="A4320" s="18">
        <v>1733</v>
      </c>
      <c r="B4320" s="4" t="s">
        <v>239</v>
      </c>
      <c r="C4320" s="22" t="s">
        <v>487</v>
      </c>
      <c r="D4320" s="18">
        <v>2020</v>
      </c>
      <c r="E4320" s="18" t="s">
        <v>234</v>
      </c>
      <c r="F4320" s="18">
        <v>1</v>
      </c>
      <c r="G4320" s="18">
        <v>50</v>
      </c>
      <c r="H4320" s="18">
        <v>531.80703000000005</v>
      </c>
    </row>
    <row r="4321" spans="1:8" s="15" customFormat="1" ht="37.5" hidden="1" customHeight="1" outlineLevel="1" x14ac:dyDescent="0.25">
      <c r="A4321" s="18">
        <v>1529</v>
      </c>
      <c r="B4321" s="4" t="s">
        <v>239</v>
      </c>
      <c r="C4321" s="22" t="s">
        <v>470</v>
      </c>
      <c r="D4321" s="18">
        <v>2020</v>
      </c>
      <c r="E4321" s="18" t="s">
        <v>234</v>
      </c>
      <c r="F4321" s="18">
        <v>1</v>
      </c>
      <c r="G4321" s="18">
        <v>50</v>
      </c>
      <c r="H4321" s="18">
        <v>545.26550999999995</v>
      </c>
    </row>
    <row r="4322" spans="1:8" s="15" customFormat="1" ht="37.5" hidden="1" customHeight="1" outlineLevel="1" x14ac:dyDescent="0.25">
      <c r="A4322" s="18">
        <v>1820</v>
      </c>
      <c r="B4322" s="4" t="s">
        <v>239</v>
      </c>
      <c r="C4322" s="22" t="s">
        <v>496</v>
      </c>
      <c r="D4322" s="18">
        <v>2020</v>
      </c>
      <c r="E4322" s="18" t="s">
        <v>234</v>
      </c>
      <c r="F4322" s="18">
        <v>1</v>
      </c>
      <c r="G4322" s="18">
        <v>15</v>
      </c>
      <c r="H4322" s="18">
        <v>487</v>
      </c>
    </row>
    <row r="4323" spans="1:8" s="15" customFormat="1" ht="37.5" hidden="1" customHeight="1" outlineLevel="1" x14ac:dyDescent="0.25">
      <c r="A4323" s="18">
        <v>1819</v>
      </c>
      <c r="B4323" s="4" t="s">
        <v>239</v>
      </c>
      <c r="C4323" s="22" t="s">
        <v>587</v>
      </c>
      <c r="D4323" s="18">
        <v>2020</v>
      </c>
      <c r="E4323" s="18" t="s">
        <v>234</v>
      </c>
      <c r="F4323" s="18">
        <v>1</v>
      </c>
      <c r="G4323" s="18">
        <v>45</v>
      </c>
      <c r="H4323" s="18">
        <v>597</v>
      </c>
    </row>
    <row r="4324" spans="1:8" s="15" customFormat="1" ht="37.5" hidden="1" customHeight="1" outlineLevel="1" x14ac:dyDescent="0.25">
      <c r="A4324" s="18">
        <v>1817</v>
      </c>
      <c r="B4324" s="4" t="s">
        <v>239</v>
      </c>
      <c r="C4324" s="22" t="s">
        <v>1075</v>
      </c>
      <c r="D4324" s="18">
        <v>2020</v>
      </c>
      <c r="E4324" s="18" t="s">
        <v>234</v>
      </c>
      <c r="F4324" s="18">
        <v>1</v>
      </c>
      <c r="G4324" s="18">
        <v>15</v>
      </c>
      <c r="H4324" s="18">
        <v>515</v>
      </c>
    </row>
    <row r="4325" spans="1:8" s="15" customFormat="1" ht="37.5" hidden="1" customHeight="1" outlineLevel="1" x14ac:dyDescent="0.25">
      <c r="A4325" s="18">
        <v>763</v>
      </c>
      <c r="B4325" s="4" t="s">
        <v>239</v>
      </c>
      <c r="C4325" s="22" t="s">
        <v>702</v>
      </c>
      <c r="D4325" s="18">
        <v>2020</v>
      </c>
      <c r="E4325" s="18" t="s">
        <v>234</v>
      </c>
      <c r="F4325" s="18">
        <v>1</v>
      </c>
      <c r="G4325" s="18">
        <v>30</v>
      </c>
      <c r="H4325" s="18">
        <v>826</v>
      </c>
    </row>
    <row r="4326" spans="1:8" s="15" customFormat="1" ht="37.5" hidden="1" customHeight="1" outlineLevel="1" x14ac:dyDescent="0.25">
      <c r="A4326" s="18">
        <v>93</v>
      </c>
      <c r="B4326" s="4" t="s">
        <v>239</v>
      </c>
      <c r="C4326" s="22" t="s">
        <v>507</v>
      </c>
      <c r="D4326" s="18">
        <v>2020</v>
      </c>
      <c r="E4326" s="18" t="s">
        <v>234</v>
      </c>
      <c r="F4326" s="18">
        <v>1</v>
      </c>
      <c r="G4326" s="18">
        <v>30</v>
      </c>
      <c r="H4326" s="18">
        <v>586</v>
      </c>
    </row>
    <row r="4327" spans="1:8" s="15" customFormat="1" ht="37.5" hidden="1" customHeight="1" outlineLevel="1" x14ac:dyDescent="0.25">
      <c r="A4327" s="18">
        <v>291</v>
      </c>
      <c r="B4327" s="4" t="s">
        <v>239</v>
      </c>
      <c r="C4327" s="22" t="s">
        <v>509</v>
      </c>
      <c r="D4327" s="18">
        <v>2020</v>
      </c>
      <c r="E4327" s="18" t="s">
        <v>234</v>
      </c>
      <c r="F4327" s="18">
        <v>1</v>
      </c>
      <c r="G4327" s="18">
        <v>15</v>
      </c>
      <c r="H4327" s="18">
        <v>517</v>
      </c>
    </row>
    <row r="4328" spans="1:8" s="15" customFormat="1" ht="37.5" hidden="1" customHeight="1" outlineLevel="1" x14ac:dyDescent="0.25">
      <c r="A4328" s="18">
        <v>1815</v>
      </c>
      <c r="B4328" s="4" t="s">
        <v>239</v>
      </c>
      <c r="C4328" s="22" t="s">
        <v>511</v>
      </c>
      <c r="D4328" s="18">
        <v>2020</v>
      </c>
      <c r="E4328" s="18" t="s">
        <v>234</v>
      </c>
      <c r="F4328" s="18">
        <v>1</v>
      </c>
      <c r="G4328" s="18">
        <v>15</v>
      </c>
      <c r="H4328" s="18">
        <v>531</v>
      </c>
    </row>
    <row r="4329" spans="1:8" s="15" customFormat="1" ht="37.5" hidden="1" customHeight="1" outlineLevel="1" x14ac:dyDescent="0.25">
      <c r="A4329" s="18">
        <v>177</v>
      </c>
      <c r="B4329" s="4" t="s">
        <v>239</v>
      </c>
      <c r="C4329" s="22" t="s">
        <v>514</v>
      </c>
      <c r="D4329" s="18">
        <v>2020</v>
      </c>
      <c r="E4329" s="18" t="s">
        <v>234</v>
      </c>
      <c r="F4329" s="18">
        <v>1</v>
      </c>
      <c r="G4329" s="18">
        <v>75</v>
      </c>
      <c r="H4329" s="18">
        <v>663.16</v>
      </c>
    </row>
    <row r="4330" spans="1:8" s="15" customFormat="1" ht="37.5" hidden="1" customHeight="1" outlineLevel="1" x14ac:dyDescent="0.25">
      <c r="A4330" s="18">
        <v>1740</v>
      </c>
      <c r="B4330" s="4" t="s">
        <v>239</v>
      </c>
      <c r="C4330" s="22" t="s">
        <v>11</v>
      </c>
      <c r="D4330" s="18">
        <v>2020</v>
      </c>
      <c r="E4330" s="18" t="s">
        <v>234</v>
      </c>
      <c r="F4330" s="18">
        <v>1</v>
      </c>
      <c r="G4330" s="18">
        <v>50</v>
      </c>
      <c r="H4330" s="18">
        <v>457.78899999999999</v>
      </c>
    </row>
    <row r="4331" spans="1:8" s="15" customFormat="1" ht="37.5" hidden="1" customHeight="1" outlineLevel="1" x14ac:dyDescent="0.25">
      <c r="A4331" s="18">
        <v>1623</v>
      </c>
      <c r="B4331" s="4" t="s">
        <v>239</v>
      </c>
      <c r="C4331" s="22" t="s">
        <v>820</v>
      </c>
      <c r="D4331" s="18">
        <v>2020</v>
      </c>
      <c r="E4331" s="18" t="s">
        <v>234</v>
      </c>
      <c r="F4331" s="18">
        <v>1</v>
      </c>
      <c r="G4331" s="18">
        <v>50</v>
      </c>
      <c r="H4331" s="18">
        <v>705.97299999999996</v>
      </c>
    </row>
    <row r="4332" spans="1:8" s="15" customFormat="1" ht="37.5" hidden="1" customHeight="1" outlineLevel="1" x14ac:dyDescent="0.25">
      <c r="A4332" s="18">
        <v>241</v>
      </c>
      <c r="B4332" s="4" t="s">
        <v>239</v>
      </c>
      <c r="C4332" s="22" t="s">
        <v>821</v>
      </c>
      <c r="D4332" s="18">
        <v>2020</v>
      </c>
      <c r="E4332" s="18" t="s">
        <v>234</v>
      </c>
      <c r="F4332" s="18">
        <v>1</v>
      </c>
      <c r="G4332" s="18">
        <v>40</v>
      </c>
      <c r="H4332" s="18">
        <v>687.79300000000001</v>
      </c>
    </row>
    <row r="4333" spans="1:8" s="15" customFormat="1" ht="37.5" hidden="1" customHeight="1" outlineLevel="1" x14ac:dyDescent="0.25">
      <c r="A4333" s="18">
        <v>984</v>
      </c>
      <c r="B4333" s="4" t="s">
        <v>239</v>
      </c>
      <c r="C4333" s="22" t="s">
        <v>525</v>
      </c>
      <c r="D4333" s="18">
        <v>2020</v>
      </c>
      <c r="E4333" s="18" t="s">
        <v>234</v>
      </c>
      <c r="F4333" s="18">
        <v>1</v>
      </c>
      <c r="G4333" s="18">
        <v>40</v>
      </c>
      <c r="H4333" s="18">
        <v>724.26499999999999</v>
      </c>
    </row>
    <row r="4334" spans="1:8" s="15" customFormat="1" ht="37.5" hidden="1" customHeight="1" outlineLevel="1" x14ac:dyDescent="0.25">
      <c r="A4334" s="18">
        <v>517</v>
      </c>
      <c r="B4334" s="4" t="s">
        <v>239</v>
      </c>
      <c r="C4334" s="22" t="s">
        <v>554</v>
      </c>
      <c r="D4334" s="18">
        <v>2020</v>
      </c>
      <c r="E4334" s="18" t="s">
        <v>234</v>
      </c>
      <c r="F4334" s="18">
        <v>1</v>
      </c>
      <c r="G4334" s="18">
        <v>68</v>
      </c>
      <c r="H4334" s="18">
        <v>705.91899999999998</v>
      </c>
    </row>
    <row r="4335" spans="1:8" s="15" customFormat="1" ht="37.5" hidden="1" customHeight="1" outlineLevel="1" x14ac:dyDescent="0.25">
      <c r="A4335" s="18">
        <v>1657</v>
      </c>
      <c r="B4335" s="4" t="s">
        <v>239</v>
      </c>
      <c r="C4335" s="22" t="s">
        <v>558</v>
      </c>
      <c r="D4335" s="18">
        <v>2020</v>
      </c>
      <c r="E4335" s="18" t="s">
        <v>234</v>
      </c>
      <c r="F4335" s="18">
        <v>1</v>
      </c>
      <c r="G4335" s="18">
        <v>35</v>
      </c>
      <c r="H4335" s="18">
        <v>438.70800000000003</v>
      </c>
    </row>
    <row r="4336" spans="1:8" s="15" customFormat="1" ht="37.5" hidden="1" customHeight="1" outlineLevel="1" x14ac:dyDescent="0.25">
      <c r="A4336" s="18">
        <v>1669</v>
      </c>
      <c r="B4336" s="4" t="s">
        <v>239</v>
      </c>
      <c r="C4336" s="22" t="s">
        <v>564</v>
      </c>
      <c r="D4336" s="18">
        <v>2020</v>
      </c>
      <c r="E4336" s="18" t="s">
        <v>234</v>
      </c>
      <c r="F4336" s="18">
        <v>1</v>
      </c>
      <c r="G4336" s="18">
        <v>70</v>
      </c>
      <c r="H4336" s="18">
        <v>503.69900000000001</v>
      </c>
    </row>
    <row r="4337" spans="1:8" s="15" customFormat="1" ht="37.5" hidden="1" customHeight="1" outlineLevel="1" x14ac:dyDescent="0.25">
      <c r="A4337" s="18">
        <v>646</v>
      </c>
      <c r="B4337" s="4" t="s">
        <v>239</v>
      </c>
      <c r="C4337" s="22" t="s">
        <v>566</v>
      </c>
      <c r="D4337" s="18">
        <v>2020</v>
      </c>
      <c r="E4337" s="18" t="s">
        <v>234</v>
      </c>
      <c r="F4337" s="18">
        <v>1</v>
      </c>
      <c r="G4337" s="18">
        <v>70</v>
      </c>
      <c r="H4337" s="18">
        <v>649.45100000000002</v>
      </c>
    </row>
    <row r="4338" spans="1:8" s="15" customFormat="1" ht="37.5" hidden="1" customHeight="1" outlineLevel="1" x14ac:dyDescent="0.25">
      <c r="A4338" s="18">
        <v>1655</v>
      </c>
      <c r="B4338" s="4" t="s">
        <v>239</v>
      </c>
      <c r="C4338" s="22" t="s">
        <v>614</v>
      </c>
      <c r="D4338" s="18">
        <v>2020</v>
      </c>
      <c r="E4338" s="18" t="s">
        <v>234</v>
      </c>
      <c r="F4338" s="18">
        <v>1</v>
      </c>
      <c r="G4338" s="18">
        <v>60</v>
      </c>
      <c r="H4338" s="18">
        <v>511.81200000000001</v>
      </c>
    </row>
    <row r="4339" spans="1:8" s="15" customFormat="1" ht="37.5" hidden="1" customHeight="1" outlineLevel="1" x14ac:dyDescent="0.25">
      <c r="A4339" s="18">
        <v>854</v>
      </c>
      <c r="B4339" s="4" t="s">
        <v>239</v>
      </c>
      <c r="C4339" s="22" t="s">
        <v>576</v>
      </c>
      <c r="D4339" s="18">
        <v>2020</v>
      </c>
      <c r="E4339" s="18" t="s">
        <v>234</v>
      </c>
      <c r="F4339" s="18">
        <v>1</v>
      </c>
      <c r="G4339" s="18">
        <v>80</v>
      </c>
      <c r="H4339" s="18">
        <v>828.49599999999998</v>
      </c>
    </row>
    <row r="4340" spans="1:8" s="15" customFormat="1" ht="37.5" hidden="1" customHeight="1" outlineLevel="1" x14ac:dyDescent="0.25">
      <c r="A4340" s="18">
        <v>1031</v>
      </c>
      <c r="B4340" s="4" t="s">
        <v>239</v>
      </c>
      <c r="C4340" s="22" t="s">
        <v>1001</v>
      </c>
      <c r="D4340" s="18">
        <v>2020</v>
      </c>
      <c r="E4340" s="18" t="s">
        <v>234</v>
      </c>
      <c r="F4340" s="18">
        <v>1</v>
      </c>
      <c r="G4340" s="18">
        <v>15</v>
      </c>
      <c r="H4340" s="18">
        <v>434.05500000000001</v>
      </c>
    </row>
    <row r="4341" spans="1:8" s="15" customFormat="1" ht="37.5" hidden="1" customHeight="1" outlineLevel="1" x14ac:dyDescent="0.25">
      <c r="A4341" s="18">
        <v>168</v>
      </c>
      <c r="B4341" s="4" t="s">
        <v>239</v>
      </c>
      <c r="C4341" s="22" t="s">
        <v>582</v>
      </c>
      <c r="D4341" s="18">
        <v>2020</v>
      </c>
      <c r="E4341" s="18" t="s">
        <v>234</v>
      </c>
      <c r="F4341" s="18">
        <v>1</v>
      </c>
      <c r="G4341" s="18">
        <v>70</v>
      </c>
      <c r="H4341" s="18">
        <v>619.54200000000003</v>
      </c>
    </row>
    <row r="4342" spans="1:8" s="15" customFormat="1" ht="37.5" hidden="1" customHeight="1" outlineLevel="1" x14ac:dyDescent="0.25">
      <c r="A4342" s="18">
        <v>137</v>
      </c>
      <c r="B4342" s="4" t="s">
        <v>239</v>
      </c>
      <c r="C4342" s="22" t="s">
        <v>583</v>
      </c>
      <c r="D4342" s="18">
        <v>2020</v>
      </c>
      <c r="E4342" s="18" t="s">
        <v>234</v>
      </c>
      <c r="F4342" s="18">
        <v>1</v>
      </c>
      <c r="G4342" s="18">
        <v>71</v>
      </c>
      <c r="H4342" s="18">
        <v>621.79399999999998</v>
      </c>
    </row>
    <row r="4343" spans="1:8" s="15" customFormat="1" ht="37.5" hidden="1" customHeight="1" outlineLevel="1" x14ac:dyDescent="0.25">
      <c r="A4343" s="18">
        <v>1008</v>
      </c>
      <c r="B4343" s="4" t="s">
        <v>239</v>
      </c>
      <c r="C4343" s="22" t="s">
        <v>298</v>
      </c>
      <c r="D4343" s="18">
        <v>2020</v>
      </c>
      <c r="E4343" s="18" t="s">
        <v>234</v>
      </c>
      <c r="F4343" s="18">
        <v>1</v>
      </c>
      <c r="G4343" s="18">
        <v>75</v>
      </c>
      <c r="H4343" s="18">
        <v>479</v>
      </c>
    </row>
    <row r="4344" spans="1:8" s="15" customFormat="1" ht="37.5" hidden="1" customHeight="1" outlineLevel="1" x14ac:dyDescent="0.25">
      <c r="A4344" s="18">
        <v>1618</v>
      </c>
      <c r="B4344" s="4" t="s">
        <v>239</v>
      </c>
      <c r="C4344" s="22" t="s">
        <v>299</v>
      </c>
      <c r="D4344" s="18">
        <v>2020</v>
      </c>
      <c r="E4344" s="18" t="s">
        <v>234</v>
      </c>
      <c r="F4344" s="18">
        <v>1</v>
      </c>
      <c r="G4344" s="18">
        <v>134.15</v>
      </c>
      <c r="H4344" s="18">
        <v>421</v>
      </c>
    </row>
    <row r="4345" spans="1:8" s="15" customFormat="1" ht="37.5" hidden="1" customHeight="1" outlineLevel="1" x14ac:dyDescent="0.25">
      <c r="A4345" s="18">
        <v>798</v>
      </c>
      <c r="B4345" s="4" t="s">
        <v>239</v>
      </c>
      <c r="C4345" s="22" t="s">
        <v>284</v>
      </c>
      <c r="D4345" s="18">
        <v>2020</v>
      </c>
      <c r="E4345" s="18" t="s">
        <v>234</v>
      </c>
      <c r="F4345" s="18">
        <v>1</v>
      </c>
      <c r="G4345" s="18">
        <v>40</v>
      </c>
      <c r="H4345" s="18">
        <v>853</v>
      </c>
    </row>
    <row r="4346" spans="1:8" s="15" customFormat="1" ht="37.5" hidden="1" customHeight="1" outlineLevel="1" x14ac:dyDescent="0.25">
      <c r="A4346" s="18">
        <v>193</v>
      </c>
      <c r="B4346" s="4" t="s">
        <v>239</v>
      </c>
      <c r="C4346" s="22" t="s">
        <v>286</v>
      </c>
      <c r="D4346" s="18">
        <v>2020</v>
      </c>
      <c r="E4346" s="18" t="s">
        <v>234</v>
      </c>
      <c r="F4346" s="18">
        <v>1</v>
      </c>
      <c r="G4346" s="18">
        <v>15</v>
      </c>
      <c r="H4346" s="18">
        <v>737</v>
      </c>
    </row>
    <row r="4347" spans="1:8" s="15" customFormat="1" ht="37.5" hidden="1" customHeight="1" outlineLevel="1" x14ac:dyDescent="0.25">
      <c r="A4347" s="18">
        <v>357</v>
      </c>
      <c r="B4347" s="4" t="s">
        <v>239</v>
      </c>
      <c r="C4347" s="22" t="s">
        <v>294</v>
      </c>
      <c r="D4347" s="18">
        <v>2020</v>
      </c>
      <c r="E4347" s="18" t="s">
        <v>234</v>
      </c>
      <c r="F4347" s="18">
        <v>1</v>
      </c>
      <c r="G4347" s="18">
        <v>15</v>
      </c>
      <c r="H4347" s="18">
        <v>741</v>
      </c>
    </row>
    <row r="4348" spans="1:8" s="15" customFormat="1" ht="37.5" hidden="1" customHeight="1" outlineLevel="1" x14ac:dyDescent="0.25">
      <c r="A4348" s="18">
        <v>160</v>
      </c>
      <c r="B4348" s="4" t="s">
        <v>239</v>
      </c>
      <c r="C4348" s="22" t="s">
        <v>295</v>
      </c>
      <c r="D4348" s="18">
        <v>2020</v>
      </c>
      <c r="E4348" s="18" t="s">
        <v>234</v>
      </c>
      <c r="F4348" s="18">
        <v>1</v>
      </c>
      <c r="G4348" s="18">
        <v>15</v>
      </c>
      <c r="H4348" s="18">
        <v>663</v>
      </c>
    </row>
    <row r="4349" spans="1:8" s="15" customFormat="1" ht="37.5" hidden="1" customHeight="1" outlineLevel="1" x14ac:dyDescent="0.25">
      <c r="A4349" s="18">
        <v>1523</v>
      </c>
      <c r="B4349" s="4" t="s">
        <v>239</v>
      </c>
      <c r="C4349" s="22" t="s">
        <v>443</v>
      </c>
      <c r="D4349" s="18">
        <v>2020</v>
      </c>
      <c r="E4349" s="18" t="s">
        <v>234</v>
      </c>
      <c r="F4349" s="18">
        <v>1</v>
      </c>
      <c r="G4349" s="18">
        <v>25</v>
      </c>
      <c r="H4349" s="18">
        <v>816.47186999999997</v>
      </c>
    </row>
    <row r="4350" spans="1:8" s="15" customFormat="1" ht="37.5" hidden="1" customHeight="1" outlineLevel="1" x14ac:dyDescent="0.25">
      <c r="A4350" s="18">
        <v>1666</v>
      </c>
      <c r="B4350" s="4" t="s">
        <v>239</v>
      </c>
      <c r="C4350" s="22" t="s">
        <v>557</v>
      </c>
      <c r="D4350" s="18">
        <v>2020</v>
      </c>
      <c r="E4350" s="18" t="s">
        <v>234</v>
      </c>
      <c r="F4350" s="18">
        <v>1</v>
      </c>
      <c r="G4350" s="18">
        <v>10</v>
      </c>
      <c r="H4350" s="18">
        <v>372.39499999999998</v>
      </c>
    </row>
    <row r="4351" spans="1:8" s="15" customFormat="1" ht="37.5" hidden="1" customHeight="1" outlineLevel="1" x14ac:dyDescent="0.25">
      <c r="A4351" s="18">
        <v>391</v>
      </c>
      <c r="B4351" s="4" t="s">
        <v>239</v>
      </c>
      <c r="C4351" s="22" t="s">
        <v>297</v>
      </c>
      <c r="D4351" s="18">
        <v>2020</v>
      </c>
      <c r="E4351" s="18" t="s">
        <v>234</v>
      </c>
      <c r="F4351" s="18">
        <v>1</v>
      </c>
      <c r="G4351" s="18">
        <v>15</v>
      </c>
      <c r="H4351" s="18">
        <v>504</v>
      </c>
    </row>
    <row r="4352" spans="1:8" s="15" customFormat="1" ht="37.5" hidden="1" customHeight="1" outlineLevel="1" x14ac:dyDescent="0.25">
      <c r="A4352" s="18">
        <v>330</v>
      </c>
      <c r="B4352" s="4" t="s">
        <v>239</v>
      </c>
      <c r="C4352" s="22" t="s">
        <v>66</v>
      </c>
      <c r="D4352" s="18">
        <v>2020</v>
      </c>
      <c r="E4352" s="18" t="s">
        <v>234</v>
      </c>
      <c r="F4352" s="18">
        <v>1</v>
      </c>
      <c r="G4352" s="18">
        <v>25</v>
      </c>
      <c r="H4352" s="18">
        <v>336.84661</v>
      </c>
    </row>
    <row r="4353" spans="1:8" s="15" customFormat="1" ht="37.5" hidden="1" customHeight="1" outlineLevel="1" x14ac:dyDescent="0.25">
      <c r="A4353" s="18">
        <v>1814</v>
      </c>
      <c r="B4353" s="4" t="s">
        <v>239</v>
      </c>
      <c r="C4353" s="22" t="s">
        <v>67</v>
      </c>
      <c r="D4353" s="18">
        <v>2020</v>
      </c>
      <c r="E4353" s="18" t="s">
        <v>234</v>
      </c>
      <c r="F4353" s="18">
        <v>1</v>
      </c>
      <c r="G4353" s="18">
        <v>65</v>
      </c>
      <c r="H4353" s="18">
        <v>426.74117000000001</v>
      </c>
    </row>
    <row r="4354" spans="1:8" s="15" customFormat="1" ht="37.5" hidden="1" customHeight="1" outlineLevel="1" x14ac:dyDescent="0.25">
      <c r="A4354" s="18">
        <v>629</v>
      </c>
      <c r="B4354" s="4" t="s">
        <v>239</v>
      </c>
      <c r="C4354" s="22" t="s">
        <v>182</v>
      </c>
      <c r="D4354" s="18">
        <v>2020</v>
      </c>
      <c r="E4354" s="18" t="s">
        <v>234</v>
      </c>
      <c r="F4354" s="18">
        <v>1</v>
      </c>
      <c r="G4354" s="18">
        <v>30</v>
      </c>
      <c r="H4354" s="18">
        <v>621.39599999999996</v>
      </c>
    </row>
    <row r="4355" spans="1:8" s="15" customFormat="1" ht="37.5" hidden="1" customHeight="1" outlineLevel="1" x14ac:dyDescent="0.25">
      <c r="A4355" s="18">
        <v>261</v>
      </c>
      <c r="B4355" s="4" t="s">
        <v>239</v>
      </c>
      <c r="C4355" s="22" t="s">
        <v>196</v>
      </c>
      <c r="D4355" s="18">
        <v>2020</v>
      </c>
      <c r="E4355" s="18" t="s">
        <v>234</v>
      </c>
      <c r="F4355" s="18">
        <v>1</v>
      </c>
      <c r="G4355" s="18">
        <v>25</v>
      </c>
      <c r="H4355" s="18">
        <v>508</v>
      </c>
    </row>
    <row r="4356" spans="1:8" s="15" customFormat="1" ht="37.5" hidden="1" customHeight="1" outlineLevel="1" x14ac:dyDescent="0.25">
      <c r="A4356" s="18">
        <v>488</v>
      </c>
      <c r="B4356" s="4" t="s">
        <v>239</v>
      </c>
      <c r="C4356" s="22" t="s">
        <v>197</v>
      </c>
      <c r="D4356" s="18">
        <v>2020</v>
      </c>
      <c r="E4356" s="18" t="s">
        <v>234</v>
      </c>
      <c r="F4356" s="18">
        <v>1</v>
      </c>
      <c r="G4356" s="18">
        <v>45</v>
      </c>
      <c r="H4356" s="18">
        <v>257</v>
      </c>
    </row>
    <row r="4357" spans="1:8" s="15" customFormat="1" ht="37.5" hidden="1" customHeight="1" outlineLevel="1" x14ac:dyDescent="0.25">
      <c r="A4357" s="18">
        <v>348</v>
      </c>
      <c r="B4357" s="4" t="s">
        <v>239</v>
      </c>
      <c r="C4357" s="22" t="s">
        <v>171</v>
      </c>
      <c r="D4357" s="18">
        <v>2020</v>
      </c>
      <c r="E4357" s="18" t="s">
        <v>234</v>
      </c>
      <c r="F4357" s="18">
        <v>1</v>
      </c>
      <c r="G4357" s="18">
        <v>30</v>
      </c>
      <c r="H4357" s="18">
        <v>453</v>
      </c>
    </row>
    <row r="4358" spans="1:8" s="15" customFormat="1" ht="37.5" hidden="1" customHeight="1" outlineLevel="1" x14ac:dyDescent="0.25">
      <c r="A4358" s="18">
        <v>866</v>
      </c>
      <c r="B4358" s="4" t="s">
        <v>239</v>
      </c>
      <c r="C4358" s="22" t="s">
        <v>201</v>
      </c>
      <c r="D4358" s="18">
        <v>2020</v>
      </c>
      <c r="E4358" s="18" t="s">
        <v>234</v>
      </c>
      <c r="F4358" s="18">
        <v>1</v>
      </c>
      <c r="G4358" s="18">
        <v>40</v>
      </c>
      <c r="H4358" s="18">
        <v>808</v>
      </c>
    </row>
    <row r="4359" spans="1:8" s="15" customFormat="1" ht="37.5" hidden="1" customHeight="1" outlineLevel="1" x14ac:dyDescent="0.25">
      <c r="A4359" s="18">
        <v>318</v>
      </c>
      <c r="B4359" s="4" t="s">
        <v>239</v>
      </c>
      <c r="C4359" s="22" t="s">
        <v>162</v>
      </c>
      <c r="D4359" s="18">
        <v>2020</v>
      </c>
      <c r="E4359" s="18" t="s">
        <v>234</v>
      </c>
      <c r="F4359" s="18">
        <v>1</v>
      </c>
      <c r="G4359" s="18">
        <v>15</v>
      </c>
      <c r="H4359" s="18">
        <v>635</v>
      </c>
    </row>
    <row r="4360" spans="1:8" s="15" customFormat="1" ht="37.5" hidden="1" customHeight="1" outlineLevel="1" x14ac:dyDescent="0.25">
      <c r="A4360" s="18">
        <v>1798</v>
      </c>
      <c r="B4360" s="4" t="s">
        <v>239</v>
      </c>
      <c r="C4360" s="22" t="s">
        <v>240</v>
      </c>
      <c r="D4360" s="18">
        <v>2020</v>
      </c>
      <c r="E4360" s="18" t="s">
        <v>234</v>
      </c>
      <c r="F4360" s="18">
        <v>1</v>
      </c>
      <c r="G4360" s="18">
        <v>63</v>
      </c>
      <c r="H4360" s="18">
        <v>896</v>
      </c>
    </row>
    <row r="4361" spans="1:8" s="15" customFormat="1" ht="37.5" hidden="1" customHeight="1" outlineLevel="1" x14ac:dyDescent="0.25">
      <c r="A4361" s="18">
        <v>675</v>
      </c>
      <c r="B4361" s="4" t="s">
        <v>239</v>
      </c>
      <c r="C4361" s="22" t="s">
        <v>183</v>
      </c>
      <c r="D4361" s="18">
        <v>2020</v>
      </c>
      <c r="E4361" s="18" t="s">
        <v>234</v>
      </c>
      <c r="F4361" s="18">
        <v>1</v>
      </c>
      <c r="G4361" s="18">
        <v>45</v>
      </c>
      <c r="H4361" s="18">
        <v>834.97400000000005</v>
      </c>
    </row>
    <row r="4362" spans="1:8" s="15" customFormat="1" ht="24" hidden="1" customHeight="1" outlineLevel="1" x14ac:dyDescent="0.25">
      <c r="A4362" s="46">
        <v>9743</v>
      </c>
      <c r="B4362" s="4" t="s">
        <v>239</v>
      </c>
      <c r="C4362" s="22" t="s">
        <v>1806</v>
      </c>
      <c r="D4362" s="18">
        <v>2021</v>
      </c>
      <c r="E4362" s="18" t="s">
        <v>234</v>
      </c>
      <c r="F4362" s="18">
        <v>1</v>
      </c>
      <c r="G4362" s="18">
        <v>15</v>
      </c>
      <c r="H4362" s="18">
        <v>826</v>
      </c>
    </row>
    <row r="4363" spans="1:8" s="15" customFormat="1" ht="24" hidden="1" customHeight="1" outlineLevel="1" x14ac:dyDescent="0.25">
      <c r="A4363" s="46">
        <v>9741</v>
      </c>
      <c r="B4363" s="4" t="s">
        <v>239</v>
      </c>
      <c r="C4363" s="22" t="s">
        <v>1805</v>
      </c>
      <c r="D4363" s="18">
        <v>2021</v>
      </c>
      <c r="E4363" s="18" t="s">
        <v>234</v>
      </c>
      <c r="F4363" s="18">
        <v>1</v>
      </c>
      <c r="G4363" s="18">
        <v>50</v>
      </c>
      <c r="H4363" s="18">
        <v>975</v>
      </c>
    </row>
    <row r="4364" spans="1:8" s="15" customFormat="1" ht="24" hidden="1" customHeight="1" outlineLevel="1" x14ac:dyDescent="0.25">
      <c r="A4364" s="46">
        <v>9731</v>
      </c>
      <c r="B4364" s="4" t="s">
        <v>239</v>
      </c>
      <c r="C4364" s="22" t="s">
        <v>1878</v>
      </c>
      <c r="D4364" s="18">
        <v>2021</v>
      </c>
      <c r="E4364" s="18" t="s">
        <v>234</v>
      </c>
      <c r="F4364" s="18">
        <v>1</v>
      </c>
      <c r="G4364" s="18">
        <v>40</v>
      </c>
      <c r="H4364" s="18">
        <v>569</v>
      </c>
    </row>
    <row r="4365" spans="1:8" s="15" customFormat="1" ht="24" hidden="1" customHeight="1" outlineLevel="1" x14ac:dyDescent="0.25">
      <c r="A4365" s="45">
        <v>1273</v>
      </c>
      <c r="B4365" s="4" t="s">
        <v>239</v>
      </c>
      <c r="C4365" s="22" t="s">
        <v>1411</v>
      </c>
      <c r="D4365" s="18">
        <v>2021</v>
      </c>
      <c r="E4365" s="18" t="s">
        <v>234</v>
      </c>
      <c r="F4365" s="18">
        <v>1</v>
      </c>
      <c r="G4365" s="18">
        <v>40</v>
      </c>
      <c r="H4365" s="18">
        <v>581</v>
      </c>
    </row>
    <row r="4366" spans="1:8" s="15" customFormat="1" ht="24" hidden="1" customHeight="1" outlineLevel="1" x14ac:dyDescent="0.25">
      <c r="A4366" s="46">
        <v>9745</v>
      </c>
      <c r="B4366" s="4" t="s">
        <v>239</v>
      </c>
      <c r="C4366" s="22" t="s">
        <v>1810</v>
      </c>
      <c r="D4366" s="18">
        <v>2021</v>
      </c>
      <c r="E4366" s="18" t="s">
        <v>234</v>
      </c>
      <c r="F4366" s="18">
        <v>1</v>
      </c>
      <c r="G4366" s="18">
        <v>15</v>
      </c>
      <c r="H4366" s="18">
        <v>812</v>
      </c>
    </row>
    <row r="4367" spans="1:8" s="15" customFormat="1" ht="24" hidden="1" customHeight="1" outlineLevel="1" x14ac:dyDescent="0.25">
      <c r="A4367" s="46">
        <v>10384</v>
      </c>
      <c r="B4367" s="4" t="s">
        <v>239</v>
      </c>
      <c r="C4367" s="22" t="s">
        <v>1442</v>
      </c>
      <c r="D4367" s="18">
        <v>2021</v>
      </c>
      <c r="E4367" s="18" t="s">
        <v>234</v>
      </c>
      <c r="F4367" s="18">
        <v>1</v>
      </c>
      <c r="G4367" s="18">
        <v>40</v>
      </c>
      <c r="H4367" s="18">
        <v>607</v>
      </c>
    </row>
    <row r="4368" spans="1:8" s="15" customFormat="1" ht="24" hidden="1" customHeight="1" outlineLevel="1" x14ac:dyDescent="0.25">
      <c r="A4368" s="46">
        <v>9683</v>
      </c>
      <c r="B4368" s="4" t="s">
        <v>239</v>
      </c>
      <c r="C4368" s="22" t="s">
        <v>1308</v>
      </c>
      <c r="D4368" s="18">
        <v>2021</v>
      </c>
      <c r="E4368" s="18" t="s">
        <v>234</v>
      </c>
      <c r="F4368" s="18">
        <v>1</v>
      </c>
      <c r="G4368" s="18">
        <v>50</v>
      </c>
      <c r="H4368" s="18">
        <v>448.44479999999999</v>
      </c>
    </row>
    <row r="4369" spans="1:8" s="15" customFormat="1" ht="24" hidden="1" customHeight="1" outlineLevel="1" x14ac:dyDescent="0.25">
      <c r="A4369" s="46">
        <v>9680</v>
      </c>
      <c r="B4369" s="4" t="s">
        <v>239</v>
      </c>
      <c r="C4369" s="22" t="s">
        <v>2009</v>
      </c>
      <c r="D4369" s="18">
        <v>2021</v>
      </c>
      <c r="E4369" s="18" t="s">
        <v>234</v>
      </c>
      <c r="F4369" s="18">
        <v>1</v>
      </c>
      <c r="G4369" s="18">
        <v>15</v>
      </c>
      <c r="H4369" s="18">
        <v>378.11124000000001</v>
      </c>
    </row>
    <row r="4370" spans="1:8" s="15" customFormat="1" ht="24" hidden="1" customHeight="1" outlineLevel="1" x14ac:dyDescent="0.25">
      <c r="A4370" s="46">
        <v>9682</v>
      </c>
      <c r="B4370" s="4" t="s">
        <v>239</v>
      </c>
      <c r="C4370" s="22" t="s">
        <v>1175</v>
      </c>
      <c r="D4370" s="18">
        <v>2021</v>
      </c>
      <c r="E4370" s="18" t="s">
        <v>234</v>
      </c>
      <c r="F4370" s="18">
        <v>1</v>
      </c>
      <c r="G4370" s="18">
        <v>15</v>
      </c>
      <c r="H4370" s="18">
        <v>386.03800000000001</v>
      </c>
    </row>
    <row r="4371" spans="1:8" s="15" customFormat="1" ht="24" hidden="1" customHeight="1" outlineLevel="1" x14ac:dyDescent="0.25">
      <c r="A4371" s="45">
        <v>1257</v>
      </c>
      <c r="B4371" s="4" t="s">
        <v>239</v>
      </c>
      <c r="C4371" s="22" t="s">
        <v>1449</v>
      </c>
      <c r="D4371" s="18">
        <v>2021</v>
      </c>
      <c r="E4371" s="18" t="s">
        <v>234</v>
      </c>
      <c r="F4371" s="18">
        <v>1</v>
      </c>
      <c r="G4371" s="18" t="s">
        <v>1196</v>
      </c>
      <c r="H4371" s="18">
        <v>759</v>
      </c>
    </row>
    <row r="4372" spans="1:8" s="15" customFormat="1" ht="24" hidden="1" customHeight="1" outlineLevel="1" x14ac:dyDescent="0.25">
      <c r="A4372" s="46">
        <v>9727</v>
      </c>
      <c r="B4372" s="4" t="s">
        <v>239</v>
      </c>
      <c r="C4372" s="22" t="s">
        <v>1184</v>
      </c>
      <c r="D4372" s="18">
        <v>2021</v>
      </c>
      <c r="E4372" s="18" t="s">
        <v>234</v>
      </c>
      <c r="F4372" s="18">
        <v>1</v>
      </c>
      <c r="G4372" s="18">
        <v>45</v>
      </c>
      <c r="H4372" s="18">
        <v>637</v>
      </c>
    </row>
    <row r="4373" spans="1:8" s="15" customFormat="1" ht="24" hidden="1" customHeight="1" outlineLevel="1" x14ac:dyDescent="0.25">
      <c r="A4373" s="45">
        <v>1281</v>
      </c>
      <c r="B4373" s="4" t="s">
        <v>239</v>
      </c>
      <c r="C4373" s="22" t="s">
        <v>1185</v>
      </c>
      <c r="D4373" s="18">
        <v>2021</v>
      </c>
      <c r="E4373" s="18" t="s">
        <v>234</v>
      </c>
      <c r="F4373" s="18">
        <v>1</v>
      </c>
      <c r="G4373" s="18" t="s">
        <v>1473</v>
      </c>
      <c r="H4373" s="18">
        <v>595</v>
      </c>
    </row>
    <row r="4374" spans="1:8" s="15" customFormat="1" ht="24" hidden="1" customHeight="1" outlineLevel="1" x14ac:dyDescent="0.25">
      <c r="A4374" s="45">
        <v>1259</v>
      </c>
      <c r="B4374" s="4" t="s">
        <v>239</v>
      </c>
      <c r="C4374" s="22" t="s">
        <v>1478</v>
      </c>
      <c r="D4374" s="18">
        <v>2021</v>
      </c>
      <c r="E4374" s="18" t="s">
        <v>234</v>
      </c>
      <c r="F4374" s="18">
        <v>1</v>
      </c>
      <c r="G4374" s="18">
        <v>30</v>
      </c>
      <c r="H4374" s="18">
        <v>424</v>
      </c>
    </row>
    <row r="4375" spans="1:8" s="15" customFormat="1" ht="24" hidden="1" customHeight="1" outlineLevel="1" x14ac:dyDescent="0.25">
      <c r="A4375" s="45">
        <v>1262</v>
      </c>
      <c r="B4375" s="4" t="s">
        <v>239</v>
      </c>
      <c r="C4375" s="22" t="s">
        <v>1480</v>
      </c>
      <c r="D4375" s="18">
        <v>2021</v>
      </c>
      <c r="E4375" s="18" t="s">
        <v>234</v>
      </c>
      <c r="F4375" s="18">
        <v>1</v>
      </c>
      <c r="G4375" s="18">
        <v>30</v>
      </c>
      <c r="H4375" s="18">
        <v>436</v>
      </c>
    </row>
    <row r="4376" spans="1:8" s="15" customFormat="1" ht="24" hidden="1" customHeight="1" outlineLevel="1" x14ac:dyDescent="0.25">
      <c r="A4376" s="45">
        <v>3825</v>
      </c>
      <c r="B4376" s="4" t="s">
        <v>239</v>
      </c>
      <c r="C4376" s="22" t="s">
        <v>1187</v>
      </c>
      <c r="D4376" s="18">
        <v>2021</v>
      </c>
      <c r="E4376" s="18" t="s">
        <v>234</v>
      </c>
      <c r="F4376" s="18">
        <v>1</v>
      </c>
      <c r="G4376" s="18" t="s">
        <v>1482</v>
      </c>
      <c r="H4376" s="18">
        <v>652</v>
      </c>
    </row>
    <row r="4377" spans="1:8" s="15" customFormat="1" ht="24" hidden="1" customHeight="1" outlineLevel="1" x14ac:dyDescent="0.25">
      <c r="A4377" s="45">
        <v>3888</v>
      </c>
      <c r="B4377" s="4" t="s">
        <v>239</v>
      </c>
      <c r="C4377" s="22" t="s">
        <v>1906</v>
      </c>
      <c r="D4377" s="18">
        <v>2021</v>
      </c>
      <c r="E4377" s="18" t="s">
        <v>234</v>
      </c>
      <c r="F4377" s="18">
        <v>1</v>
      </c>
      <c r="G4377" s="18" t="s">
        <v>1447</v>
      </c>
      <c r="H4377" s="18">
        <v>565</v>
      </c>
    </row>
    <row r="4378" spans="1:8" s="15" customFormat="1" ht="24" hidden="1" customHeight="1" outlineLevel="1" x14ac:dyDescent="0.25">
      <c r="A4378" s="45">
        <v>3829</v>
      </c>
      <c r="B4378" s="4" t="s">
        <v>239</v>
      </c>
      <c r="C4378" s="22" t="s">
        <v>1191</v>
      </c>
      <c r="D4378" s="18">
        <v>2021</v>
      </c>
      <c r="E4378" s="18" t="s">
        <v>234</v>
      </c>
      <c r="F4378" s="18">
        <v>1</v>
      </c>
      <c r="G4378" s="18">
        <v>40</v>
      </c>
      <c r="H4378" s="18">
        <v>484</v>
      </c>
    </row>
    <row r="4379" spans="1:8" s="15" customFormat="1" ht="24" hidden="1" customHeight="1" outlineLevel="1" x14ac:dyDescent="0.25">
      <c r="A4379" s="46">
        <v>9722</v>
      </c>
      <c r="B4379" s="4" t="s">
        <v>239</v>
      </c>
      <c r="C4379" s="22" t="s">
        <v>1195</v>
      </c>
      <c r="D4379" s="18">
        <v>2021</v>
      </c>
      <c r="E4379" s="18" t="s">
        <v>234</v>
      </c>
      <c r="F4379" s="18">
        <v>1</v>
      </c>
      <c r="G4379" s="18" t="s">
        <v>1196</v>
      </c>
      <c r="H4379" s="18">
        <v>451</v>
      </c>
    </row>
    <row r="4380" spans="1:8" s="15" customFormat="1" ht="24" hidden="1" customHeight="1" outlineLevel="1" x14ac:dyDescent="0.25">
      <c r="A4380" s="46">
        <v>9094</v>
      </c>
      <c r="B4380" s="4" t="s">
        <v>239</v>
      </c>
      <c r="C4380" s="22" t="s">
        <v>1197</v>
      </c>
      <c r="D4380" s="18">
        <v>2021</v>
      </c>
      <c r="E4380" s="18" t="s">
        <v>234</v>
      </c>
      <c r="F4380" s="18">
        <v>1</v>
      </c>
      <c r="G4380" s="18" t="s">
        <v>1198</v>
      </c>
      <c r="H4380" s="18">
        <v>458</v>
      </c>
    </row>
    <row r="4381" spans="1:8" s="15" customFormat="1" ht="24" hidden="1" customHeight="1" outlineLevel="1" x14ac:dyDescent="0.25">
      <c r="A4381" s="46">
        <v>9726</v>
      </c>
      <c r="B4381" s="4" t="s">
        <v>239</v>
      </c>
      <c r="C4381" s="22" t="s">
        <v>1506</v>
      </c>
      <c r="D4381" s="18">
        <v>2021</v>
      </c>
      <c r="E4381" s="18" t="s">
        <v>234</v>
      </c>
      <c r="F4381" s="18">
        <v>1</v>
      </c>
      <c r="G4381" s="18" t="s">
        <v>1482</v>
      </c>
      <c r="H4381" s="18">
        <v>353</v>
      </c>
    </row>
    <row r="4382" spans="1:8" s="15" customFormat="1" ht="24" hidden="1" customHeight="1" outlineLevel="1" x14ac:dyDescent="0.25">
      <c r="A4382" s="45">
        <v>760</v>
      </c>
      <c r="B4382" s="4" t="s">
        <v>239</v>
      </c>
      <c r="C4382" s="22" t="s">
        <v>1509</v>
      </c>
      <c r="D4382" s="18">
        <v>2021</v>
      </c>
      <c r="E4382" s="18" t="s">
        <v>234</v>
      </c>
      <c r="F4382" s="18">
        <v>1</v>
      </c>
      <c r="G4382" s="18">
        <v>25</v>
      </c>
      <c r="H4382" s="18">
        <v>527.30999999999995</v>
      </c>
    </row>
    <row r="4383" spans="1:8" s="15" customFormat="1" ht="24" hidden="1" customHeight="1" outlineLevel="1" x14ac:dyDescent="0.25">
      <c r="A4383" s="45">
        <v>736</v>
      </c>
      <c r="B4383" s="4" t="s">
        <v>239</v>
      </c>
      <c r="C4383" s="22" t="s">
        <v>1510</v>
      </c>
      <c r="D4383" s="18">
        <v>2021</v>
      </c>
      <c r="E4383" s="18" t="s">
        <v>234</v>
      </c>
      <c r="F4383" s="18">
        <v>1</v>
      </c>
      <c r="G4383" s="18">
        <v>15</v>
      </c>
      <c r="H4383" s="18">
        <v>594.99099999999999</v>
      </c>
    </row>
    <row r="4384" spans="1:8" s="15" customFormat="1" ht="24" hidden="1" customHeight="1" outlineLevel="1" x14ac:dyDescent="0.25">
      <c r="A4384" s="46">
        <v>9520</v>
      </c>
      <c r="B4384" s="4" t="s">
        <v>239</v>
      </c>
      <c r="C4384" s="22" t="s">
        <v>1514</v>
      </c>
      <c r="D4384" s="18">
        <v>2021</v>
      </c>
      <c r="E4384" s="18" t="s">
        <v>234</v>
      </c>
      <c r="F4384" s="18">
        <v>1</v>
      </c>
      <c r="G4384" s="18">
        <v>50</v>
      </c>
      <c r="H4384" s="18">
        <v>550.89</v>
      </c>
    </row>
    <row r="4385" spans="1:8" s="15" customFormat="1" ht="24" hidden="1" customHeight="1" outlineLevel="1" x14ac:dyDescent="0.25">
      <c r="A4385" s="46">
        <v>9497</v>
      </c>
      <c r="B4385" s="4" t="s">
        <v>239</v>
      </c>
      <c r="C4385" s="22" t="s">
        <v>1535</v>
      </c>
      <c r="D4385" s="18">
        <v>2021</v>
      </c>
      <c r="E4385" s="18" t="s">
        <v>234</v>
      </c>
      <c r="F4385" s="18">
        <v>1</v>
      </c>
      <c r="G4385" s="18">
        <v>45</v>
      </c>
      <c r="H4385" s="18">
        <v>463.87900000000002</v>
      </c>
    </row>
    <row r="4386" spans="1:8" s="15" customFormat="1" ht="24" hidden="1" customHeight="1" outlineLevel="1" x14ac:dyDescent="0.25">
      <c r="A4386" s="46">
        <v>9296</v>
      </c>
      <c r="B4386" s="4" t="s">
        <v>239</v>
      </c>
      <c r="C4386" s="22" t="s">
        <v>2010</v>
      </c>
      <c r="D4386" s="18">
        <v>2021</v>
      </c>
      <c r="E4386" s="18" t="s">
        <v>234</v>
      </c>
      <c r="F4386" s="18">
        <v>1</v>
      </c>
      <c r="G4386" s="18">
        <v>15</v>
      </c>
      <c r="H4386" s="18">
        <v>162</v>
      </c>
    </row>
    <row r="4387" spans="1:8" s="15" customFormat="1" ht="24" hidden="1" customHeight="1" outlineLevel="1" x14ac:dyDescent="0.25">
      <c r="A4387" s="46">
        <v>9605</v>
      </c>
      <c r="B4387" s="4" t="s">
        <v>239</v>
      </c>
      <c r="C4387" s="22" t="s">
        <v>1826</v>
      </c>
      <c r="D4387" s="18">
        <v>2021</v>
      </c>
      <c r="E4387" s="18" t="s">
        <v>234</v>
      </c>
      <c r="F4387" s="18">
        <v>1</v>
      </c>
      <c r="G4387" s="18">
        <v>72</v>
      </c>
      <c r="H4387" s="18">
        <v>612</v>
      </c>
    </row>
    <row r="4388" spans="1:8" s="15" customFormat="1" ht="24" hidden="1" customHeight="1" outlineLevel="1" x14ac:dyDescent="0.25">
      <c r="A4388" s="46">
        <v>9644</v>
      </c>
      <c r="B4388" s="4" t="s">
        <v>239</v>
      </c>
      <c r="C4388" s="22" t="s">
        <v>1615</v>
      </c>
      <c r="D4388" s="18">
        <v>2021</v>
      </c>
      <c r="E4388" s="18" t="s">
        <v>234</v>
      </c>
      <c r="F4388" s="18">
        <v>1</v>
      </c>
      <c r="G4388" s="18">
        <v>100</v>
      </c>
      <c r="H4388" s="18">
        <v>621</v>
      </c>
    </row>
    <row r="4389" spans="1:8" s="15" customFormat="1" ht="24" hidden="1" customHeight="1" outlineLevel="1" x14ac:dyDescent="0.25">
      <c r="A4389" s="46">
        <v>9596</v>
      </c>
      <c r="B4389" s="4" t="s">
        <v>239</v>
      </c>
      <c r="C4389" s="22" t="s">
        <v>1617</v>
      </c>
      <c r="D4389" s="18">
        <v>2021</v>
      </c>
      <c r="E4389" s="18" t="s">
        <v>234</v>
      </c>
      <c r="F4389" s="18">
        <v>1</v>
      </c>
      <c r="G4389" s="18">
        <v>60</v>
      </c>
      <c r="H4389" s="18">
        <v>518</v>
      </c>
    </row>
    <row r="4390" spans="1:8" s="15" customFormat="1" ht="24" hidden="1" customHeight="1" outlineLevel="1" x14ac:dyDescent="0.25">
      <c r="A4390" s="46">
        <v>9586</v>
      </c>
      <c r="B4390" s="4" t="s">
        <v>239</v>
      </c>
      <c r="C4390" s="22" t="s">
        <v>1648</v>
      </c>
      <c r="D4390" s="18">
        <v>2021</v>
      </c>
      <c r="E4390" s="18" t="s">
        <v>234</v>
      </c>
      <c r="F4390" s="18">
        <v>1</v>
      </c>
      <c r="G4390" s="18">
        <v>45</v>
      </c>
      <c r="H4390" s="18">
        <v>664</v>
      </c>
    </row>
    <row r="4391" spans="1:8" s="15" customFormat="1" ht="24" hidden="1" customHeight="1" outlineLevel="1" x14ac:dyDescent="0.25">
      <c r="A4391" s="46">
        <v>9667</v>
      </c>
      <c r="B4391" s="4" t="s">
        <v>239</v>
      </c>
      <c r="C4391" s="22" t="s">
        <v>1649</v>
      </c>
      <c r="D4391" s="18">
        <v>2021</v>
      </c>
      <c r="E4391" s="18" t="s">
        <v>234</v>
      </c>
      <c r="F4391" s="18">
        <v>1</v>
      </c>
      <c r="G4391" s="18">
        <v>70</v>
      </c>
      <c r="H4391" s="18">
        <v>486</v>
      </c>
    </row>
    <row r="4392" spans="1:8" s="15" customFormat="1" ht="24" hidden="1" customHeight="1" outlineLevel="1" x14ac:dyDescent="0.25">
      <c r="A4392" s="46">
        <v>9654</v>
      </c>
      <c r="B4392" s="4" t="s">
        <v>239</v>
      </c>
      <c r="C4392" s="22" t="s">
        <v>1993</v>
      </c>
      <c r="D4392" s="18">
        <v>2021</v>
      </c>
      <c r="E4392" s="18" t="s">
        <v>234</v>
      </c>
      <c r="F4392" s="18">
        <v>1</v>
      </c>
      <c r="G4392" s="18">
        <v>15</v>
      </c>
      <c r="H4392" s="18">
        <v>417</v>
      </c>
    </row>
    <row r="4393" spans="1:8" s="15" customFormat="1" ht="24" hidden="1" customHeight="1" outlineLevel="1" x14ac:dyDescent="0.25">
      <c r="A4393" s="45">
        <v>9449</v>
      </c>
      <c r="B4393" s="4" t="s">
        <v>239</v>
      </c>
      <c r="C4393" s="22" t="s">
        <v>2011</v>
      </c>
      <c r="D4393" s="18">
        <v>2021</v>
      </c>
      <c r="E4393" s="18" t="s">
        <v>234</v>
      </c>
      <c r="F4393" s="18">
        <v>1</v>
      </c>
      <c r="G4393" s="18">
        <v>40</v>
      </c>
      <c r="H4393" s="18">
        <v>462</v>
      </c>
    </row>
    <row r="4394" spans="1:8" s="15" customFormat="1" ht="24" hidden="1" customHeight="1" outlineLevel="1" x14ac:dyDescent="0.25">
      <c r="A4394" s="45">
        <v>673</v>
      </c>
      <c r="B4394" s="4" t="s">
        <v>239</v>
      </c>
      <c r="C4394" s="22" t="s">
        <v>1223</v>
      </c>
      <c r="D4394" s="18">
        <v>2021</v>
      </c>
      <c r="E4394" s="18" t="s">
        <v>234</v>
      </c>
      <c r="F4394" s="18">
        <v>1</v>
      </c>
      <c r="G4394" s="18">
        <v>30</v>
      </c>
      <c r="H4394" s="18">
        <v>386</v>
      </c>
    </row>
    <row r="4395" spans="1:8" s="15" customFormat="1" ht="24" hidden="1" customHeight="1" outlineLevel="1" x14ac:dyDescent="0.25">
      <c r="A4395" s="45">
        <v>444</v>
      </c>
      <c r="B4395" s="4" t="s">
        <v>239</v>
      </c>
      <c r="C4395" s="22" t="s">
        <v>1241</v>
      </c>
      <c r="D4395" s="18">
        <v>2021</v>
      </c>
      <c r="E4395" s="18" t="s">
        <v>234</v>
      </c>
      <c r="F4395" s="18">
        <v>1</v>
      </c>
      <c r="G4395" s="18">
        <v>70</v>
      </c>
      <c r="H4395" s="18">
        <v>765.94899999999996</v>
      </c>
    </row>
    <row r="4396" spans="1:8" s="15" customFormat="1" ht="24" hidden="1" customHeight="1" outlineLevel="1" x14ac:dyDescent="0.25">
      <c r="A4396" s="45">
        <v>3712</v>
      </c>
      <c r="B4396" s="4" t="s">
        <v>239</v>
      </c>
      <c r="C4396" s="22" t="s">
        <v>1290</v>
      </c>
      <c r="D4396" s="18">
        <v>2021</v>
      </c>
      <c r="E4396" s="18" t="s">
        <v>234</v>
      </c>
      <c r="F4396" s="18">
        <v>1</v>
      </c>
      <c r="G4396" s="18">
        <v>80</v>
      </c>
      <c r="H4396" s="18">
        <v>588.37199999999996</v>
      </c>
    </row>
    <row r="4397" spans="1:8" s="15" customFormat="1" ht="24" hidden="1" customHeight="1" outlineLevel="1" x14ac:dyDescent="0.25">
      <c r="A4397" s="46">
        <v>9639</v>
      </c>
      <c r="B4397" s="4" t="s">
        <v>239</v>
      </c>
      <c r="C4397" s="22" t="s">
        <v>2012</v>
      </c>
      <c r="D4397" s="18">
        <v>2021</v>
      </c>
      <c r="E4397" s="18" t="s">
        <v>234</v>
      </c>
      <c r="F4397" s="18">
        <v>1</v>
      </c>
      <c r="G4397" s="18">
        <v>50</v>
      </c>
      <c r="H4397" s="18">
        <v>219.625</v>
      </c>
    </row>
    <row r="4398" spans="1:8" s="15" customFormat="1" ht="24" hidden="1" customHeight="1" outlineLevel="1" x14ac:dyDescent="0.25">
      <c r="A4398" s="46">
        <v>9422</v>
      </c>
      <c r="B4398" s="4" t="s">
        <v>239</v>
      </c>
      <c r="C4398" s="22" t="s">
        <v>1276</v>
      </c>
      <c r="D4398" s="18">
        <v>2021</v>
      </c>
      <c r="E4398" s="18" t="s">
        <v>234</v>
      </c>
      <c r="F4398" s="18">
        <v>1</v>
      </c>
      <c r="G4398" s="18">
        <v>75</v>
      </c>
      <c r="H4398" s="18">
        <v>571.303</v>
      </c>
    </row>
    <row r="4399" spans="1:8" s="15" customFormat="1" ht="24" hidden="1" customHeight="1" outlineLevel="1" x14ac:dyDescent="0.25">
      <c r="A4399" s="45">
        <v>3877</v>
      </c>
      <c r="B4399" s="4" t="s">
        <v>239</v>
      </c>
      <c r="C4399" s="22" t="s">
        <v>1851</v>
      </c>
      <c r="D4399" s="18">
        <v>2021</v>
      </c>
      <c r="E4399" s="18" t="s">
        <v>234</v>
      </c>
      <c r="F4399" s="18">
        <v>1</v>
      </c>
      <c r="G4399" s="18">
        <v>50</v>
      </c>
      <c r="H4399" s="18">
        <v>787.28345000000002</v>
      </c>
    </row>
    <row r="4400" spans="1:8" s="15" customFormat="1" ht="24" hidden="1" customHeight="1" outlineLevel="1" x14ac:dyDescent="0.25">
      <c r="A4400" s="45">
        <v>3879</v>
      </c>
      <c r="B4400" s="4" t="s">
        <v>239</v>
      </c>
      <c r="C4400" s="22" t="s">
        <v>2013</v>
      </c>
      <c r="D4400" s="18">
        <v>2021</v>
      </c>
      <c r="E4400" s="18" t="s">
        <v>234</v>
      </c>
      <c r="F4400" s="18">
        <v>1</v>
      </c>
      <c r="G4400" s="18">
        <v>40</v>
      </c>
      <c r="H4400" s="18">
        <v>619.79349000000002</v>
      </c>
    </row>
    <row r="4401" spans="1:33" s="15" customFormat="1" ht="24" hidden="1" customHeight="1" outlineLevel="1" x14ac:dyDescent="0.25">
      <c r="A4401" s="45">
        <v>1121</v>
      </c>
      <c r="B4401" s="4" t="s">
        <v>239</v>
      </c>
      <c r="C4401" s="22" t="s">
        <v>1696</v>
      </c>
      <c r="D4401" s="18">
        <v>2021</v>
      </c>
      <c r="E4401" s="18" t="s">
        <v>234</v>
      </c>
      <c r="F4401" s="18">
        <v>1</v>
      </c>
      <c r="G4401" s="18">
        <v>25</v>
      </c>
      <c r="H4401" s="18">
        <v>459.22266999999999</v>
      </c>
    </row>
    <row r="4402" spans="1:33" s="15" customFormat="1" ht="24" hidden="1" customHeight="1" outlineLevel="1" x14ac:dyDescent="0.25">
      <c r="A4402" s="46">
        <v>9492</v>
      </c>
      <c r="B4402" s="4" t="s">
        <v>239</v>
      </c>
      <c r="C4402" s="22" t="s">
        <v>1865</v>
      </c>
      <c r="D4402" s="18">
        <v>2021</v>
      </c>
      <c r="E4402" s="18" t="s">
        <v>234</v>
      </c>
      <c r="F4402" s="18">
        <v>1</v>
      </c>
      <c r="G4402" s="18">
        <v>60</v>
      </c>
      <c r="H4402" s="18">
        <v>411.75</v>
      </c>
    </row>
    <row r="4403" spans="1:33" s="15" customFormat="1" ht="24" hidden="1" customHeight="1" outlineLevel="1" x14ac:dyDescent="0.25">
      <c r="A4403" s="45">
        <v>3882</v>
      </c>
      <c r="B4403" s="4" t="s">
        <v>239</v>
      </c>
      <c r="C4403" s="22" t="s">
        <v>1869</v>
      </c>
      <c r="D4403" s="18">
        <v>2021</v>
      </c>
      <c r="E4403" s="18" t="s">
        <v>234</v>
      </c>
      <c r="F4403" s="18">
        <v>1</v>
      </c>
      <c r="G4403" s="18">
        <v>45</v>
      </c>
      <c r="H4403" s="18">
        <v>759.70527000000004</v>
      </c>
    </row>
    <row r="4404" spans="1:33" s="15" customFormat="1" ht="24" hidden="1" customHeight="1" outlineLevel="1" x14ac:dyDescent="0.25">
      <c r="A4404" s="45">
        <v>963</v>
      </c>
      <c r="B4404" s="4" t="s">
        <v>239</v>
      </c>
      <c r="C4404" s="22" t="s">
        <v>1877</v>
      </c>
      <c r="D4404" s="18">
        <v>2021</v>
      </c>
      <c r="E4404" s="18" t="s">
        <v>234</v>
      </c>
      <c r="F4404" s="18">
        <v>1</v>
      </c>
      <c r="G4404" s="18">
        <v>45</v>
      </c>
      <c r="H4404" s="18">
        <v>640.50958000000003</v>
      </c>
    </row>
    <row r="4405" spans="1:33" s="16" customFormat="1" ht="31.5" collapsed="1" x14ac:dyDescent="0.25">
      <c r="A4405" s="18"/>
      <c r="B4405" s="70" t="s">
        <v>239</v>
      </c>
      <c r="C4405" s="71" t="s">
        <v>3224</v>
      </c>
      <c r="D4405" s="69"/>
      <c r="E4405" s="70" t="s">
        <v>232</v>
      </c>
      <c r="F4405" s="69"/>
      <c r="G4405" s="69"/>
      <c r="H4405" s="69"/>
      <c r="I4405" s="15"/>
      <c r="J4405" s="15"/>
      <c r="K4405" s="15"/>
      <c r="L4405" s="15"/>
      <c r="M4405" s="15"/>
      <c r="N4405" s="15"/>
      <c r="O4405" s="15"/>
      <c r="P4405" s="15"/>
      <c r="Q4405" s="15"/>
      <c r="R4405" s="15"/>
      <c r="S4405" s="15"/>
      <c r="T4405" s="15"/>
      <c r="U4405" s="15"/>
      <c r="V4405" s="15"/>
      <c r="W4405" s="15"/>
      <c r="X4405" s="15"/>
      <c r="Y4405" s="15"/>
      <c r="Z4405" s="15"/>
      <c r="AA4405" s="15"/>
      <c r="AB4405" s="15"/>
      <c r="AC4405" s="15"/>
      <c r="AD4405" s="15"/>
      <c r="AE4405" s="15"/>
      <c r="AF4405" s="15"/>
      <c r="AG4405" s="15"/>
    </row>
    <row r="4406" spans="1:33" s="16" customFormat="1" ht="16.5" customHeight="1" x14ac:dyDescent="0.25">
      <c r="A4406" s="18"/>
      <c r="B4406" s="11" t="s">
        <v>239</v>
      </c>
      <c r="C4406" s="12" t="s">
        <v>1102</v>
      </c>
      <c r="D4406" s="20">
        <v>2020</v>
      </c>
      <c r="E4406" s="20" t="s">
        <v>232</v>
      </c>
      <c r="F4406" s="11">
        <f>SUMIF($D$4409:$D$4429,$D$4406,$F$4409:$F$4429)</f>
        <v>10</v>
      </c>
      <c r="G4406" s="11">
        <f>SUMIF($D$4409:$D$4429,$D$4406,$G$4409:$G$4429)</f>
        <v>348.02000000000004</v>
      </c>
      <c r="H4406" s="14">
        <f>SUMIF($D$4409:$D$4429,$D$4406,$H$4409:$H$4429)</f>
        <v>6373.4735799999999</v>
      </c>
      <c r="I4406" s="15"/>
      <c r="J4406" s="15"/>
      <c r="K4406" s="15"/>
      <c r="L4406" s="15"/>
      <c r="M4406" s="15"/>
      <c r="N4406" s="15"/>
      <c r="O4406" s="15"/>
      <c r="P4406" s="15"/>
      <c r="Q4406" s="15"/>
      <c r="R4406" s="15"/>
      <c r="S4406" s="15"/>
      <c r="T4406" s="15"/>
      <c r="U4406" s="15"/>
      <c r="V4406" s="15"/>
      <c r="W4406" s="15"/>
      <c r="X4406" s="15"/>
      <c r="Y4406" s="15"/>
      <c r="Z4406" s="15"/>
      <c r="AA4406" s="15"/>
      <c r="AB4406" s="15"/>
      <c r="AC4406" s="15"/>
      <c r="AD4406" s="15"/>
      <c r="AE4406" s="15"/>
      <c r="AF4406" s="15"/>
      <c r="AG4406" s="15"/>
    </row>
    <row r="4407" spans="1:33" s="26" customFormat="1" ht="16.5" customHeight="1" x14ac:dyDescent="0.25">
      <c r="A4407" s="18"/>
      <c r="B4407" s="11" t="s">
        <v>239</v>
      </c>
      <c r="C4407" s="12" t="s">
        <v>1102</v>
      </c>
      <c r="D4407" s="20">
        <v>2021</v>
      </c>
      <c r="E4407" s="20" t="s">
        <v>232</v>
      </c>
      <c r="F4407" s="11">
        <f>SUMIF($D$4409:$D$4429,$D$4407,$F$4409:$F$4429)</f>
        <v>2</v>
      </c>
      <c r="G4407" s="14">
        <f>SUMIF($D$4409:$D$4429,$D$4407,$G$4409:$G$4429)</f>
        <v>70</v>
      </c>
      <c r="H4407" s="14">
        <f>SUMIF($D$4409:$D$4429,$D$4407,$H$4409:$H$4429)</f>
        <v>1187</v>
      </c>
      <c r="I4407" s="15"/>
      <c r="J4407" s="15"/>
      <c r="K4407" s="15"/>
      <c r="L4407" s="15"/>
      <c r="M4407" s="15"/>
      <c r="N4407" s="15"/>
      <c r="O4407" s="15"/>
      <c r="P4407" s="15"/>
      <c r="Q4407" s="15"/>
      <c r="R4407" s="15"/>
      <c r="S4407" s="15"/>
      <c r="T4407" s="15"/>
      <c r="U4407" s="15"/>
      <c r="V4407" s="15"/>
      <c r="W4407" s="15"/>
      <c r="X4407" s="15"/>
      <c r="Y4407" s="15"/>
      <c r="Z4407" s="15"/>
      <c r="AA4407" s="15"/>
      <c r="AB4407" s="15"/>
      <c r="AC4407" s="15"/>
      <c r="AD4407" s="15"/>
      <c r="AE4407" s="15"/>
      <c r="AF4407" s="15"/>
      <c r="AG4407" s="15"/>
    </row>
    <row r="4408" spans="1:33" s="26" customFormat="1" ht="15.75" x14ac:dyDescent="0.25">
      <c r="A4408" s="18"/>
      <c r="B4408" s="11" t="s">
        <v>239</v>
      </c>
      <c r="C4408" s="12" t="s">
        <v>1102</v>
      </c>
      <c r="D4408" s="20">
        <v>2022</v>
      </c>
      <c r="E4408" s="20" t="s">
        <v>232</v>
      </c>
      <c r="F4408" s="11">
        <f>SUMIF($D$4409:$D$4429,$D$4408,$F$4409:$F$4429)</f>
        <v>9</v>
      </c>
      <c r="G4408" s="14">
        <f>SUMIF($D$4409:$D$4429,$D$4408,$G$4409:$G$4429)</f>
        <v>555</v>
      </c>
      <c r="H4408" s="14">
        <f>SUMIF($D$4409:$D$4429,$D$4408,$H$4409:$H$4429)</f>
        <v>5730.5687799999996</v>
      </c>
      <c r="I4408" s="15"/>
      <c r="J4408" s="15"/>
      <c r="K4408" s="15"/>
      <c r="L4408" s="15"/>
      <c r="M4408" s="15"/>
      <c r="N4408" s="15"/>
      <c r="O4408" s="15"/>
      <c r="P4408" s="15"/>
      <c r="Q4408" s="15"/>
      <c r="R4408" s="15"/>
      <c r="S4408" s="15"/>
      <c r="T4408" s="15"/>
      <c r="U4408" s="15"/>
      <c r="V4408" s="15"/>
      <c r="W4408" s="15"/>
      <c r="X4408" s="15"/>
      <c r="Y4408" s="15"/>
      <c r="Z4408" s="15"/>
      <c r="AA4408" s="15"/>
      <c r="AB4408" s="15"/>
      <c r="AC4408" s="15"/>
      <c r="AD4408" s="15"/>
      <c r="AE4408" s="15"/>
      <c r="AF4408" s="15"/>
      <c r="AG4408" s="15"/>
    </row>
    <row r="4409" spans="1:33" s="15" customFormat="1" ht="110.25" hidden="1" outlineLevel="1" x14ac:dyDescent="0.25">
      <c r="A4409" s="18">
        <v>1254</v>
      </c>
      <c r="B4409" s="4" t="s">
        <v>239</v>
      </c>
      <c r="C4409" s="22" t="s">
        <v>3405</v>
      </c>
      <c r="D4409" s="18">
        <v>2022</v>
      </c>
      <c r="E4409" s="18" t="s">
        <v>232</v>
      </c>
      <c r="F4409" s="4">
        <v>1</v>
      </c>
      <c r="G4409" s="4">
        <v>70</v>
      </c>
      <c r="H4409" s="173">
        <v>673.78341</v>
      </c>
    </row>
    <row r="4410" spans="1:33" s="15" customFormat="1" ht="94.5" hidden="1" outlineLevel="1" x14ac:dyDescent="0.25">
      <c r="A4410" s="18">
        <v>455</v>
      </c>
      <c r="B4410" s="4" t="s">
        <v>239</v>
      </c>
      <c r="C4410" s="22" t="s">
        <v>4026</v>
      </c>
      <c r="D4410" s="18">
        <v>2022</v>
      </c>
      <c r="E4410" s="18" t="s">
        <v>232</v>
      </c>
      <c r="F4410" s="4">
        <v>1</v>
      </c>
      <c r="G4410" s="4">
        <v>100</v>
      </c>
      <c r="H4410" s="173">
        <v>599.70875999999998</v>
      </c>
    </row>
    <row r="4411" spans="1:33" s="15" customFormat="1" ht="94.5" hidden="1" outlineLevel="1" x14ac:dyDescent="0.25">
      <c r="A4411" s="18">
        <v>459</v>
      </c>
      <c r="B4411" s="4" t="s">
        <v>239</v>
      </c>
      <c r="C4411" s="22" t="s">
        <v>3553</v>
      </c>
      <c r="D4411" s="18">
        <v>2022</v>
      </c>
      <c r="E4411" s="18" t="s">
        <v>232</v>
      </c>
      <c r="F4411" s="4">
        <v>1</v>
      </c>
      <c r="G4411" s="4">
        <v>150</v>
      </c>
      <c r="H4411" s="173">
        <v>1191.0766100000001</v>
      </c>
    </row>
    <row r="4412" spans="1:33" s="15" customFormat="1" ht="57.75" hidden="1" customHeight="1" outlineLevel="1" x14ac:dyDescent="0.25">
      <c r="A4412" s="18">
        <v>47</v>
      </c>
      <c r="B4412" s="4" t="s">
        <v>239</v>
      </c>
      <c r="C4412" s="22" t="s">
        <v>3752</v>
      </c>
      <c r="D4412" s="18">
        <v>2022</v>
      </c>
      <c r="E4412" s="18" t="s">
        <v>232</v>
      </c>
      <c r="F4412" s="4">
        <v>1</v>
      </c>
      <c r="G4412" s="4">
        <v>40</v>
      </c>
      <c r="H4412" s="173">
        <v>505</v>
      </c>
    </row>
    <row r="4413" spans="1:33" s="15" customFormat="1" ht="61.5" hidden="1" customHeight="1" outlineLevel="1" x14ac:dyDescent="0.25">
      <c r="A4413" s="18">
        <v>250</v>
      </c>
      <c r="B4413" s="4" t="s">
        <v>239</v>
      </c>
      <c r="C4413" s="22" t="s">
        <v>4238</v>
      </c>
      <c r="D4413" s="18">
        <v>2022</v>
      </c>
      <c r="E4413" s="18" t="s">
        <v>232</v>
      </c>
      <c r="F4413" s="4">
        <v>1</v>
      </c>
      <c r="G4413" s="4">
        <v>50</v>
      </c>
      <c r="H4413" s="173">
        <v>449</v>
      </c>
    </row>
    <row r="4414" spans="1:33" s="15" customFormat="1" ht="61.5" hidden="1" customHeight="1" outlineLevel="1" x14ac:dyDescent="0.25">
      <c r="A4414" s="18">
        <v>47</v>
      </c>
      <c r="B4414" s="4" t="s">
        <v>239</v>
      </c>
      <c r="C4414" s="22" t="s">
        <v>3752</v>
      </c>
      <c r="D4414" s="18">
        <v>2022</v>
      </c>
      <c r="E4414" s="18" t="s">
        <v>232</v>
      </c>
      <c r="F4414" s="4">
        <v>1</v>
      </c>
      <c r="G4414" s="4">
        <v>40</v>
      </c>
      <c r="H4414" s="173">
        <v>505</v>
      </c>
    </row>
    <row r="4415" spans="1:33" s="15" customFormat="1" ht="61.5" hidden="1" customHeight="1" outlineLevel="1" x14ac:dyDescent="0.25">
      <c r="A4415" s="18">
        <v>250</v>
      </c>
      <c r="B4415" s="4" t="s">
        <v>239</v>
      </c>
      <c r="C4415" s="22" t="s">
        <v>4238</v>
      </c>
      <c r="D4415" s="18">
        <v>2022</v>
      </c>
      <c r="E4415" s="18" t="s">
        <v>232</v>
      </c>
      <c r="F4415" s="4">
        <v>1</v>
      </c>
      <c r="G4415" s="4">
        <v>50</v>
      </c>
      <c r="H4415" s="173">
        <v>449</v>
      </c>
    </row>
    <row r="4416" spans="1:33" s="15" customFormat="1" ht="82.5" hidden="1" customHeight="1" outlineLevel="1" x14ac:dyDescent="0.25">
      <c r="A4416" s="18">
        <v>5059</v>
      </c>
      <c r="B4416" s="4" t="s">
        <v>239</v>
      </c>
      <c r="C4416" s="22" t="s">
        <v>3910</v>
      </c>
      <c r="D4416" s="18">
        <v>2022</v>
      </c>
      <c r="E4416" s="18" t="s">
        <v>232</v>
      </c>
      <c r="F4416" s="4">
        <v>1</v>
      </c>
      <c r="G4416" s="4">
        <v>30</v>
      </c>
      <c r="H4416" s="173">
        <v>424</v>
      </c>
    </row>
    <row r="4417" spans="1:33" s="15" customFormat="1" ht="84.75" hidden="1" customHeight="1" outlineLevel="1" x14ac:dyDescent="0.25">
      <c r="A4417" s="18">
        <v>5302</v>
      </c>
      <c r="B4417" s="4" t="s">
        <v>239</v>
      </c>
      <c r="C4417" s="22" t="s">
        <v>3916</v>
      </c>
      <c r="D4417" s="18">
        <v>2022</v>
      </c>
      <c r="E4417" s="18" t="s">
        <v>232</v>
      </c>
      <c r="F4417" s="4">
        <v>1</v>
      </c>
      <c r="G4417" s="4">
        <v>25</v>
      </c>
      <c r="H4417" s="173">
        <v>934</v>
      </c>
    </row>
    <row r="4418" spans="1:33" s="15" customFormat="1" ht="39.75" hidden="1" customHeight="1" outlineLevel="1" x14ac:dyDescent="0.25">
      <c r="A4418" s="18">
        <v>1813</v>
      </c>
      <c r="B4418" s="4" t="s">
        <v>239</v>
      </c>
      <c r="C4418" s="22" t="s">
        <v>24</v>
      </c>
      <c r="D4418" s="18">
        <v>2020</v>
      </c>
      <c r="E4418" s="18"/>
      <c r="F4418" s="4">
        <v>1</v>
      </c>
      <c r="G4418" s="4">
        <v>15</v>
      </c>
      <c r="H4418" s="173">
        <v>707.95232999999996</v>
      </c>
    </row>
    <row r="4419" spans="1:33" s="15" customFormat="1" ht="39" hidden="1" customHeight="1" outlineLevel="1" x14ac:dyDescent="0.25">
      <c r="A4419" s="18">
        <v>161</v>
      </c>
      <c r="B4419" s="4" t="s">
        <v>239</v>
      </c>
      <c r="C4419" s="22" t="s">
        <v>495</v>
      </c>
      <c r="D4419" s="18">
        <v>2020</v>
      </c>
      <c r="E4419" s="18"/>
      <c r="F4419" s="4">
        <v>1</v>
      </c>
      <c r="G4419" s="4">
        <v>45</v>
      </c>
      <c r="H4419" s="173">
        <v>643</v>
      </c>
    </row>
    <row r="4420" spans="1:33" s="15" customFormat="1" ht="39" hidden="1" customHeight="1" outlineLevel="1" x14ac:dyDescent="0.25">
      <c r="A4420" s="18">
        <v>84</v>
      </c>
      <c r="B4420" s="4" t="s">
        <v>239</v>
      </c>
      <c r="C4420" s="22" t="s">
        <v>585</v>
      </c>
      <c r="D4420" s="18">
        <v>2020</v>
      </c>
      <c r="E4420" s="18"/>
      <c r="F4420" s="4">
        <v>1</v>
      </c>
      <c r="G4420" s="4">
        <v>15</v>
      </c>
      <c r="H4420" s="173">
        <v>760</v>
      </c>
    </row>
    <row r="4421" spans="1:33" s="15" customFormat="1" ht="39" hidden="1" customHeight="1" outlineLevel="1" x14ac:dyDescent="0.25">
      <c r="A4421" s="18">
        <v>1822</v>
      </c>
      <c r="B4421" s="4" t="s">
        <v>239</v>
      </c>
      <c r="C4421" s="22" t="s">
        <v>497</v>
      </c>
      <c r="D4421" s="18">
        <v>2020</v>
      </c>
      <c r="E4421" s="18"/>
      <c r="F4421" s="4">
        <v>1</v>
      </c>
      <c r="G4421" s="4">
        <v>42</v>
      </c>
      <c r="H4421" s="173">
        <v>637</v>
      </c>
    </row>
    <row r="4422" spans="1:33" s="15" customFormat="1" ht="39" hidden="1" customHeight="1" outlineLevel="1" x14ac:dyDescent="0.25">
      <c r="A4422" s="18">
        <v>101</v>
      </c>
      <c r="B4422" s="4" t="s">
        <v>239</v>
      </c>
      <c r="C4422" s="22" t="s">
        <v>1088</v>
      </c>
      <c r="D4422" s="18">
        <v>2020</v>
      </c>
      <c r="E4422" s="18"/>
      <c r="F4422" s="4">
        <v>1</v>
      </c>
      <c r="G4422" s="4">
        <v>50</v>
      </c>
      <c r="H4422" s="173">
        <v>573</v>
      </c>
    </row>
    <row r="4423" spans="1:33" s="15" customFormat="1" ht="39" hidden="1" customHeight="1" outlineLevel="1" x14ac:dyDescent="0.25">
      <c r="A4423" s="18">
        <v>365</v>
      </c>
      <c r="B4423" s="4" t="s">
        <v>239</v>
      </c>
      <c r="C4423" s="22" t="s">
        <v>499</v>
      </c>
      <c r="D4423" s="18">
        <v>2020</v>
      </c>
      <c r="E4423" s="18"/>
      <c r="F4423" s="4">
        <v>1</v>
      </c>
      <c r="G4423" s="4">
        <v>15</v>
      </c>
      <c r="H4423" s="173">
        <v>609</v>
      </c>
    </row>
    <row r="4424" spans="1:33" s="15" customFormat="1" ht="39" hidden="1" customHeight="1" outlineLevel="1" x14ac:dyDescent="0.25">
      <c r="A4424" s="18">
        <v>1821</v>
      </c>
      <c r="B4424" s="4" t="s">
        <v>239</v>
      </c>
      <c r="C4424" s="22" t="s">
        <v>590</v>
      </c>
      <c r="D4424" s="18">
        <v>2020</v>
      </c>
      <c r="E4424" s="18"/>
      <c r="F4424" s="4">
        <v>1</v>
      </c>
      <c r="G4424" s="4">
        <v>38.72</v>
      </c>
      <c r="H4424" s="173">
        <v>489</v>
      </c>
    </row>
    <row r="4425" spans="1:33" s="15" customFormat="1" ht="39" hidden="1" customHeight="1" outlineLevel="1" x14ac:dyDescent="0.25">
      <c r="A4425" s="18">
        <v>236</v>
      </c>
      <c r="B4425" s="4" t="s">
        <v>239</v>
      </c>
      <c r="C4425" s="22" t="s">
        <v>505</v>
      </c>
      <c r="D4425" s="18">
        <v>2020</v>
      </c>
      <c r="E4425" s="18"/>
      <c r="F4425" s="4">
        <v>1</v>
      </c>
      <c r="G4425" s="4">
        <v>20</v>
      </c>
      <c r="H4425" s="173">
        <v>598</v>
      </c>
    </row>
    <row r="4426" spans="1:33" s="15" customFormat="1" ht="39.75" hidden="1" customHeight="1" outlineLevel="1" x14ac:dyDescent="0.25">
      <c r="A4426" s="18">
        <v>250</v>
      </c>
      <c r="B4426" s="4" t="s">
        <v>239</v>
      </c>
      <c r="C4426" s="22" t="s">
        <v>73</v>
      </c>
      <c r="D4426" s="18">
        <v>2020</v>
      </c>
      <c r="E4426" s="18"/>
      <c r="F4426" s="4">
        <v>1</v>
      </c>
      <c r="G4426" s="4">
        <v>50</v>
      </c>
      <c r="H4426" s="173">
        <v>665.52125000000001</v>
      </c>
    </row>
    <row r="4427" spans="1:33" s="15" customFormat="1" ht="39.75" hidden="1" customHeight="1" outlineLevel="1" x14ac:dyDescent="0.25">
      <c r="A4427" s="18">
        <v>1810</v>
      </c>
      <c r="B4427" s="4" t="s">
        <v>239</v>
      </c>
      <c r="C4427" s="22" t="s">
        <v>202</v>
      </c>
      <c r="D4427" s="18">
        <v>2020</v>
      </c>
      <c r="E4427" s="18"/>
      <c r="F4427" s="4">
        <v>1</v>
      </c>
      <c r="G4427" s="4">
        <v>57.3</v>
      </c>
      <c r="H4427" s="173">
        <v>691</v>
      </c>
    </row>
    <row r="4428" spans="1:33" s="15" customFormat="1" ht="26.25" hidden="1" customHeight="1" outlineLevel="1" x14ac:dyDescent="0.25">
      <c r="A4428" s="46">
        <v>9613</v>
      </c>
      <c r="B4428" s="4" t="s">
        <v>239</v>
      </c>
      <c r="C4428" s="22" t="s">
        <v>1825</v>
      </c>
      <c r="D4428" s="18">
        <v>2021</v>
      </c>
      <c r="E4428" s="18"/>
      <c r="F4428" s="4">
        <v>1</v>
      </c>
      <c r="G4428" s="4">
        <v>20</v>
      </c>
      <c r="H4428" s="173">
        <v>737</v>
      </c>
    </row>
    <row r="4429" spans="1:33" s="15" customFormat="1" ht="26.25" hidden="1" customHeight="1" outlineLevel="1" x14ac:dyDescent="0.25">
      <c r="A4429" s="46">
        <v>9673</v>
      </c>
      <c r="B4429" s="4" t="s">
        <v>239</v>
      </c>
      <c r="C4429" s="22" t="s">
        <v>1622</v>
      </c>
      <c r="D4429" s="18">
        <v>2021</v>
      </c>
      <c r="E4429" s="18"/>
      <c r="F4429" s="4">
        <v>1</v>
      </c>
      <c r="G4429" s="4">
        <v>50</v>
      </c>
      <c r="H4429" s="173">
        <v>450</v>
      </c>
    </row>
    <row r="4430" spans="1:33" s="15" customFormat="1" ht="31.5" collapsed="1" x14ac:dyDescent="0.25">
      <c r="A4430" s="18"/>
      <c r="B4430" s="58" t="s">
        <v>241</v>
      </c>
      <c r="C4430" s="72" t="s">
        <v>3225</v>
      </c>
      <c r="D4430" s="65"/>
      <c r="E4430" s="66" t="s">
        <v>234</v>
      </c>
      <c r="F4430" s="58"/>
      <c r="G4430" s="58"/>
      <c r="H4430" s="58"/>
    </row>
    <row r="4431" spans="1:33" s="15" customFormat="1" ht="16.5" customHeight="1" x14ac:dyDescent="0.25">
      <c r="A4431" s="18"/>
      <c r="B4431" s="7" t="s">
        <v>241</v>
      </c>
      <c r="C4431" s="8" t="s">
        <v>1102</v>
      </c>
      <c r="D4431" s="19">
        <v>2020</v>
      </c>
      <c r="E4431" s="19" t="s">
        <v>234</v>
      </c>
      <c r="F4431" s="7">
        <f>SUMIF($D$4434:$D$4526,$D$4431,$F$4434:$F$4526)</f>
        <v>32</v>
      </c>
      <c r="G4431" s="10">
        <f>SUMIF($D$4434:$D$4526,$D$4431,$G$4434:$G$4526)</f>
        <v>3393.9</v>
      </c>
      <c r="H4431" s="10">
        <f>SUMIF($D$4434:$D$4526,$D$4431,$H$4434:$H$4526)</f>
        <v>19034.569729999999</v>
      </c>
    </row>
    <row r="4432" spans="1:33" s="26" customFormat="1" ht="16.5" customHeight="1" x14ac:dyDescent="0.25">
      <c r="A4432" s="18"/>
      <c r="B4432" s="7" t="s">
        <v>241</v>
      </c>
      <c r="C4432" s="8" t="s">
        <v>1102</v>
      </c>
      <c r="D4432" s="19">
        <v>2021</v>
      </c>
      <c r="E4432" s="19" t="s">
        <v>234</v>
      </c>
      <c r="F4432" s="7">
        <f>SUMIF($D$4434:$D$4526,$D$4432,$F$4434:$F$4526)</f>
        <v>31</v>
      </c>
      <c r="G4432" s="10">
        <f>SUMIF($D$4434:$D$4526,$D$4432,$G$4434:$G$4526)</f>
        <v>3567.3</v>
      </c>
      <c r="H4432" s="10">
        <f>SUMIF($D$4434:$D$4526,$D$4432,$H$4434:$H$4526)</f>
        <v>19344.50447</v>
      </c>
      <c r="I4432" s="15"/>
      <c r="J4432" s="15"/>
      <c r="K4432" s="15"/>
      <c r="L4432" s="15"/>
      <c r="M4432" s="15"/>
      <c r="N4432" s="15"/>
      <c r="O4432" s="15"/>
      <c r="P4432" s="15"/>
      <c r="Q4432" s="15"/>
      <c r="R4432" s="15"/>
      <c r="S4432" s="15"/>
      <c r="T4432" s="15"/>
      <c r="U4432" s="15"/>
      <c r="V4432" s="15"/>
      <c r="W4432" s="15"/>
      <c r="X4432" s="15"/>
      <c r="Y4432" s="15"/>
      <c r="Z4432" s="15"/>
      <c r="AA4432" s="15"/>
      <c r="AB4432" s="15"/>
      <c r="AC4432" s="15"/>
      <c r="AD4432" s="15"/>
      <c r="AE4432" s="15"/>
      <c r="AF4432" s="15"/>
      <c r="AG4432" s="15"/>
    </row>
    <row r="4433" spans="1:33" s="26" customFormat="1" ht="15.75" x14ac:dyDescent="0.25">
      <c r="A4433" s="18"/>
      <c r="B4433" s="7" t="s">
        <v>241</v>
      </c>
      <c r="C4433" s="8" t="s">
        <v>3929</v>
      </c>
      <c r="D4433" s="19">
        <v>2022</v>
      </c>
      <c r="E4433" s="19" t="s">
        <v>234</v>
      </c>
      <c r="F4433" s="7">
        <f>SUMIF($D$4434:$D$4526,$D$4433,$F$4434:$F$4526)</f>
        <v>31</v>
      </c>
      <c r="G4433" s="10">
        <f>SUMIF($D$4434:$D$4526,$D$4433,$G$4434:$G$4526)</f>
        <v>3669.4</v>
      </c>
      <c r="H4433" s="10">
        <f>SUMIF($D$4434:$D$4526,$D$4433,$H$4434:$H$4526)</f>
        <v>20542.203949999999</v>
      </c>
      <c r="I4433" s="15"/>
      <c r="J4433" s="15"/>
      <c r="K4433" s="15"/>
      <c r="L4433" s="15"/>
      <c r="M4433" s="15"/>
      <c r="N4433" s="15"/>
      <c r="O4433" s="15"/>
      <c r="P4433" s="15"/>
      <c r="Q4433" s="15"/>
      <c r="R4433" s="15"/>
      <c r="S4433" s="15"/>
      <c r="T4433" s="15"/>
      <c r="U4433" s="15"/>
      <c r="V4433" s="15"/>
      <c r="W4433" s="15"/>
      <c r="X4433" s="15"/>
      <c r="Y4433" s="15"/>
      <c r="Z4433" s="15"/>
      <c r="AA4433" s="15"/>
      <c r="AB4433" s="15"/>
      <c r="AC4433" s="15"/>
      <c r="AD4433" s="15"/>
      <c r="AE4433" s="15"/>
      <c r="AF4433" s="15"/>
      <c r="AG4433" s="15"/>
    </row>
    <row r="4434" spans="1:33" s="15" customFormat="1" ht="110.25" hidden="1" outlineLevel="1" x14ac:dyDescent="0.25">
      <c r="A4434" s="18">
        <v>2985</v>
      </c>
      <c r="B4434" s="4" t="s">
        <v>241</v>
      </c>
      <c r="C4434" s="22" t="s">
        <v>3930</v>
      </c>
      <c r="D4434" s="18">
        <v>2022</v>
      </c>
      <c r="E4434" s="18" t="s">
        <v>234</v>
      </c>
      <c r="F4434" s="4">
        <v>1</v>
      </c>
      <c r="G4434" s="18">
        <v>150</v>
      </c>
      <c r="H4434" s="4">
        <v>431.584</v>
      </c>
    </row>
    <row r="4435" spans="1:33" s="15" customFormat="1" ht="94.5" hidden="1" outlineLevel="1" x14ac:dyDescent="0.25">
      <c r="A4435" s="18">
        <v>2770</v>
      </c>
      <c r="B4435" s="4" t="s">
        <v>241</v>
      </c>
      <c r="C4435" s="22" t="s">
        <v>3251</v>
      </c>
      <c r="D4435" s="18">
        <v>2022</v>
      </c>
      <c r="E4435" s="18" t="s">
        <v>234</v>
      </c>
      <c r="F4435" s="4">
        <v>1</v>
      </c>
      <c r="G4435" s="18">
        <v>100</v>
      </c>
      <c r="H4435" s="4">
        <v>316.20500000000004</v>
      </c>
    </row>
    <row r="4436" spans="1:33" s="15" customFormat="1" ht="94.5" hidden="1" outlineLevel="1" x14ac:dyDescent="0.25">
      <c r="A4436" s="18">
        <v>2796</v>
      </c>
      <c r="B4436" s="4" t="s">
        <v>241</v>
      </c>
      <c r="C4436" s="22" t="s">
        <v>3261</v>
      </c>
      <c r="D4436" s="18">
        <v>2022</v>
      </c>
      <c r="E4436" s="18" t="s">
        <v>234</v>
      </c>
      <c r="F4436" s="4">
        <v>1</v>
      </c>
      <c r="G4436" s="18">
        <v>100</v>
      </c>
      <c r="H4436" s="4">
        <v>484.20099999999996</v>
      </c>
    </row>
    <row r="4437" spans="1:33" s="15" customFormat="1" ht="94.5" hidden="1" outlineLevel="1" x14ac:dyDescent="0.25">
      <c r="A4437" s="18">
        <v>2840</v>
      </c>
      <c r="B4437" s="4" t="s">
        <v>241</v>
      </c>
      <c r="C4437" s="22" t="s">
        <v>3935</v>
      </c>
      <c r="D4437" s="18">
        <v>2022</v>
      </c>
      <c r="E4437" s="18" t="s">
        <v>234</v>
      </c>
      <c r="F4437" s="4">
        <v>1</v>
      </c>
      <c r="G4437" s="18">
        <v>150</v>
      </c>
      <c r="H4437" s="4">
        <v>342.35900000000004</v>
      </c>
    </row>
    <row r="4438" spans="1:33" s="15" customFormat="1" ht="110.25" hidden="1" outlineLevel="1" x14ac:dyDescent="0.25">
      <c r="A4438" s="18">
        <v>2886</v>
      </c>
      <c r="B4438" s="4" t="s">
        <v>241</v>
      </c>
      <c r="C4438" s="22" t="s">
        <v>3936</v>
      </c>
      <c r="D4438" s="18">
        <v>2022</v>
      </c>
      <c r="E4438" s="18" t="s">
        <v>234</v>
      </c>
      <c r="F4438" s="4">
        <v>1</v>
      </c>
      <c r="G4438" s="18">
        <v>150</v>
      </c>
      <c r="H4438" s="4">
        <v>348.166</v>
      </c>
    </row>
    <row r="4439" spans="1:33" s="15" customFormat="1" ht="78.75" hidden="1" outlineLevel="1" x14ac:dyDescent="0.25">
      <c r="A4439" s="18">
        <v>2993</v>
      </c>
      <c r="B4439" s="4" t="s">
        <v>241</v>
      </c>
      <c r="C4439" s="22" t="s">
        <v>4000</v>
      </c>
      <c r="D4439" s="18">
        <v>2022</v>
      </c>
      <c r="E4439" s="18" t="s">
        <v>234</v>
      </c>
      <c r="F4439" s="4">
        <v>1</v>
      </c>
      <c r="G4439" s="18">
        <v>15</v>
      </c>
      <c r="H4439" s="4">
        <v>780.154</v>
      </c>
    </row>
    <row r="4440" spans="1:33" s="15" customFormat="1" ht="110.25" hidden="1" outlineLevel="1" x14ac:dyDescent="0.25">
      <c r="A4440" s="18">
        <v>2731</v>
      </c>
      <c r="B4440" s="4" t="s">
        <v>241</v>
      </c>
      <c r="C4440" s="22" t="s">
        <v>3941</v>
      </c>
      <c r="D4440" s="18">
        <v>2022</v>
      </c>
      <c r="E4440" s="18" t="s">
        <v>234</v>
      </c>
      <c r="F4440" s="4">
        <v>1</v>
      </c>
      <c r="G4440" s="18">
        <v>215</v>
      </c>
      <c r="H4440" s="4">
        <v>935.37126000000001</v>
      </c>
    </row>
    <row r="4441" spans="1:33" s="15" customFormat="1" ht="94.5" hidden="1" outlineLevel="1" x14ac:dyDescent="0.25">
      <c r="A4441" s="18">
        <v>2859</v>
      </c>
      <c r="B4441" s="4" t="s">
        <v>241</v>
      </c>
      <c r="C4441" s="22" t="s">
        <v>3297</v>
      </c>
      <c r="D4441" s="18">
        <v>2022</v>
      </c>
      <c r="E4441" s="18" t="s">
        <v>234</v>
      </c>
      <c r="F4441" s="4">
        <v>1</v>
      </c>
      <c r="G4441" s="18">
        <v>100</v>
      </c>
      <c r="H4441" s="4">
        <v>327.46180000000004</v>
      </c>
    </row>
    <row r="4442" spans="1:33" s="15" customFormat="1" ht="94.5" hidden="1" outlineLevel="1" x14ac:dyDescent="0.25">
      <c r="A4442" s="18">
        <v>2867</v>
      </c>
      <c r="B4442" s="4" t="s">
        <v>241</v>
      </c>
      <c r="C4442" s="22" t="s">
        <v>3300</v>
      </c>
      <c r="D4442" s="18">
        <v>2022</v>
      </c>
      <c r="E4442" s="18" t="s">
        <v>234</v>
      </c>
      <c r="F4442" s="4">
        <v>1</v>
      </c>
      <c r="G4442" s="18">
        <v>100</v>
      </c>
      <c r="H4442" s="4">
        <v>326.44151999999997</v>
      </c>
    </row>
    <row r="4443" spans="1:33" s="15" customFormat="1" ht="94.5" hidden="1" outlineLevel="1" x14ac:dyDescent="0.25">
      <c r="A4443" s="18">
        <v>2910</v>
      </c>
      <c r="B4443" s="4" t="s">
        <v>241</v>
      </c>
      <c r="C4443" s="22" t="s">
        <v>3301</v>
      </c>
      <c r="D4443" s="18">
        <v>2022</v>
      </c>
      <c r="E4443" s="18" t="s">
        <v>234</v>
      </c>
      <c r="F4443" s="4">
        <v>1</v>
      </c>
      <c r="G4443" s="18">
        <v>100</v>
      </c>
      <c r="H4443" s="4">
        <v>321.31013000000002</v>
      </c>
    </row>
    <row r="4444" spans="1:33" s="15" customFormat="1" ht="94.5" hidden="1" outlineLevel="1" x14ac:dyDescent="0.25">
      <c r="A4444" s="18">
        <v>2881</v>
      </c>
      <c r="B4444" s="4" t="s">
        <v>241</v>
      </c>
      <c r="C4444" s="22" t="s">
        <v>4015</v>
      </c>
      <c r="D4444" s="18">
        <v>2022</v>
      </c>
      <c r="E4444" s="18" t="s">
        <v>234</v>
      </c>
      <c r="F4444" s="4">
        <v>1</v>
      </c>
      <c r="G4444" s="18">
        <v>130</v>
      </c>
      <c r="H4444" s="4">
        <v>335.303</v>
      </c>
    </row>
    <row r="4445" spans="1:33" s="15" customFormat="1" ht="94.5" hidden="1" outlineLevel="1" x14ac:dyDescent="0.25">
      <c r="A4445" s="18">
        <v>2868</v>
      </c>
      <c r="B4445" s="4" t="s">
        <v>241</v>
      </c>
      <c r="C4445" s="22" t="s">
        <v>3358</v>
      </c>
      <c r="D4445" s="18">
        <v>2022</v>
      </c>
      <c r="E4445" s="18" t="s">
        <v>234</v>
      </c>
      <c r="F4445" s="4">
        <v>1</v>
      </c>
      <c r="G4445" s="18">
        <v>150</v>
      </c>
      <c r="H4445" s="4">
        <v>344.66899999999998</v>
      </c>
    </row>
    <row r="4446" spans="1:33" s="15" customFormat="1" ht="126" hidden="1" outlineLevel="1" x14ac:dyDescent="0.25">
      <c r="A4446" s="18">
        <v>1589</v>
      </c>
      <c r="B4446" s="4" t="s">
        <v>241</v>
      </c>
      <c r="C4446" s="22" t="s">
        <v>3388</v>
      </c>
      <c r="D4446" s="18">
        <v>2022</v>
      </c>
      <c r="E4446" s="18" t="s">
        <v>234</v>
      </c>
      <c r="F4446" s="4">
        <v>1</v>
      </c>
      <c r="G4446" s="18">
        <v>100.6</v>
      </c>
      <c r="H4446" s="4">
        <v>722.04355999999996</v>
      </c>
    </row>
    <row r="4447" spans="1:33" s="15" customFormat="1" ht="94.5" hidden="1" outlineLevel="1" x14ac:dyDescent="0.25">
      <c r="A4447" s="18">
        <v>464</v>
      </c>
      <c r="B4447" s="4" t="s">
        <v>241</v>
      </c>
      <c r="C4447" s="22" t="s">
        <v>4032</v>
      </c>
      <c r="D4447" s="18">
        <v>2022</v>
      </c>
      <c r="E4447" s="18" t="s">
        <v>234</v>
      </c>
      <c r="F4447" s="4">
        <v>1</v>
      </c>
      <c r="G4447" s="18">
        <v>150</v>
      </c>
      <c r="H4447" s="4">
        <v>844.12368000000004</v>
      </c>
    </row>
    <row r="4448" spans="1:33" s="15" customFormat="1" ht="110.25" hidden="1" outlineLevel="1" x14ac:dyDescent="0.25">
      <c r="A4448" s="18">
        <v>5048</v>
      </c>
      <c r="B4448" s="4" t="s">
        <v>241</v>
      </c>
      <c r="C4448" s="22" t="s">
        <v>3976</v>
      </c>
      <c r="D4448" s="18">
        <v>2022</v>
      </c>
      <c r="E4448" s="18" t="s">
        <v>234</v>
      </c>
      <c r="F4448" s="4">
        <v>1</v>
      </c>
      <c r="G4448" s="18">
        <v>150</v>
      </c>
      <c r="H4448" s="4">
        <v>889</v>
      </c>
    </row>
    <row r="4449" spans="1:8" s="15" customFormat="1" ht="94.5" hidden="1" outlineLevel="1" x14ac:dyDescent="0.25">
      <c r="A4449" s="18">
        <v>2543</v>
      </c>
      <c r="B4449" s="4" t="s">
        <v>241</v>
      </c>
      <c r="C4449" s="22" t="s">
        <v>4211</v>
      </c>
      <c r="D4449" s="18">
        <v>2022</v>
      </c>
      <c r="E4449" s="18" t="s">
        <v>234</v>
      </c>
      <c r="F4449" s="4">
        <v>1</v>
      </c>
      <c r="G4449" s="18">
        <v>150</v>
      </c>
      <c r="H4449" s="4">
        <v>1076.31</v>
      </c>
    </row>
    <row r="4450" spans="1:8" s="15" customFormat="1" ht="94.5" hidden="1" outlineLevel="1" x14ac:dyDescent="0.25">
      <c r="A4450" s="18">
        <v>2068</v>
      </c>
      <c r="B4450" s="4" t="s">
        <v>241</v>
      </c>
      <c r="C4450" s="22" t="s">
        <v>4212</v>
      </c>
      <c r="D4450" s="18">
        <v>2022</v>
      </c>
      <c r="E4450" s="18" t="s">
        <v>234</v>
      </c>
      <c r="F4450" s="4">
        <v>1</v>
      </c>
      <c r="G4450" s="18">
        <v>150</v>
      </c>
      <c r="H4450" s="4">
        <v>885.50099999999998</v>
      </c>
    </row>
    <row r="4451" spans="1:8" s="15" customFormat="1" ht="47.25" hidden="1" outlineLevel="1" x14ac:dyDescent="0.25">
      <c r="A4451" s="18">
        <v>118</v>
      </c>
      <c r="B4451" s="4" t="s">
        <v>241</v>
      </c>
      <c r="C4451" s="22" t="s">
        <v>3687</v>
      </c>
      <c r="D4451" s="18">
        <v>2022</v>
      </c>
      <c r="E4451" s="18" t="s">
        <v>234</v>
      </c>
      <c r="F4451" s="4">
        <v>1</v>
      </c>
      <c r="G4451" s="18">
        <v>100</v>
      </c>
      <c r="H4451" s="4">
        <v>670</v>
      </c>
    </row>
    <row r="4452" spans="1:8" s="15" customFormat="1" ht="63" hidden="1" outlineLevel="1" x14ac:dyDescent="0.25">
      <c r="A4452" s="18">
        <v>179</v>
      </c>
      <c r="B4452" s="4" t="s">
        <v>241</v>
      </c>
      <c r="C4452" s="22" t="s">
        <v>4256</v>
      </c>
      <c r="D4452" s="18">
        <v>2022</v>
      </c>
      <c r="E4452" s="18" t="s">
        <v>234</v>
      </c>
      <c r="F4452" s="4">
        <v>1</v>
      </c>
      <c r="G4452" s="18">
        <v>100</v>
      </c>
      <c r="H4452" s="4">
        <v>648</v>
      </c>
    </row>
    <row r="4453" spans="1:8" s="15" customFormat="1" ht="47.25" hidden="1" outlineLevel="1" x14ac:dyDescent="0.25">
      <c r="A4453" s="18">
        <v>130</v>
      </c>
      <c r="B4453" s="4" t="s">
        <v>241</v>
      </c>
      <c r="C4453" s="22" t="s">
        <v>3979</v>
      </c>
      <c r="D4453" s="18">
        <v>2022</v>
      </c>
      <c r="E4453" s="18" t="s">
        <v>234</v>
      </c>
      <c r="F4453" s="4">
        <v>1</v>
      </c>
      <c r="G4453" s="18">
        <v>30</v>
      </c>
      <c r="H4453" s="4">
        <v>836</v>
      </c>
    </row>
    <row r="4454" spans="1:8" s="15" customFormat="1" ht="47.25" hidden="1" outlineLevel="1" x14ac:dyDescent="0.25">
      <c r="A4454" s="18">
        <v>284</v>
      </c>
      <c r="B4454" s="4" t="s">
        <v>241</v>
      </c>
      <c r="C4454" s="22" t="s">
        <v>4041</v>
      </c>
      <c r="D4454" s="18">
        <v>2022</v>
      </c>
      <c r="E4454" s="18" t="s">
        <v>234</v>
      </c>
      <c r="F4454" s="4">
        <v>1</v>
      </c>
      <c r="G4454" s="18">
        <v>150</v>
      </c>
      <c r="H4454" s="4">
        <v>845</v>
      </c>
    </row>
    <row r="4455" spans="1:8" s="15" customFormat="1" ht="94.5" hidden="1" outlineLevel="1" x14ac:dyDescent="0.25">
      <c r="A4455" s="18">
        <v>399</v>
      </c>
      <c r="B4455" s="4" t="s">
        <v>241</v>
      </c>
      <c r="C4455" s="22" t="s">
        <v>4043</v>
      </c>
      <c r="D4455" s="18">
        <v>2022</v>
      </c>
      <c r="E4455" s="18" t="s">
        <v>234</v>
      </c>
      <c r="F4455" s="4">
        <v>1</v>
      </c>
      <c r="G4455" s="18">
        <v>150</v>
      </c>
      <c r="H4455" s="4">
        <v>765</v>
      </c>
    </row>
    <row r="4456" spans="1:8" s="15" customFormat="1" ht="63" hidden="1" outlineLevel="1" x14ac:dyDescent="0.25">
      <c r="A4456" s="18">
        <v>425</v>
      </c>
      <c r="B4456" s="4" t="s">
        <v>241</v>
      </c>
      <c r="C4456" s="22" t="s">
        <v>3837</v>
      </c>
      <c r="D4456" s="18">
        <v>2022</v>
      </c>
      <c r="E4456" s="18" t="s">
        <v>234</v>
      </c>
      <c r="F4456" s="4">
        <v>1</v>
      </c>
      <c r="G4456" s="18">
        <v>120</v>
      </c>
      <c r="H4456" s="4">
        <v>838</v>
      </c>
    </row>
    <row r="4457" spans="1:8" s="15" customFormat="1" ht="78.75" hidden="1" outlineLevel="1" x14ac:dyDescent="0.25">
      <c r="A4457" s="18">
        <v>426</v>
      </c>
      <c r="B4457" s="4" t="s">
        <v>241</v>
      </c>
      <c r="C4457" s="22" t="s">
        <v>3868</v>
      </c>
      <c r="D4457" s="18">
        <v>2022</v>
      </c>
      <c r="E4457" s="18" t="s">
        <v>234</v>
      </c>
      <c r="F4457" s="4">
        <v>1</v>
      </c>
      <c r="G4457" s="18">
        <v>104.4</v>
      </c>
      <c r="H4457" s="4">
        <v>814</v>
      </c>
    </row>
    <row r="4458" spans="1:8" s="15" customFormat="1" ht="47.25" hidden="1" outlineLevel="1" x14ac:dyDescent="0.25">
      <c r="A4458" s="18">
        <v>118</v>
      </c>
      <c r="B4458" s="4" t="s">
        <v>241</v>
      </c>
      <c r="C4458" s="22" t="s">
        <v>3687</v>
      </c>
      <c r="D4458" s="18">
        <v>2022</v>
      </c>
      <c r="E4458" s="18" t="s">
        <v>234</v>
      </c>
      <c r="F4458" s="4">
        <v>1</v>
      </c>
      <c r="G4458" s="18">
        <v>100</v>
      </c>
      <c r="H4458" s="4">
        <v>670</v>
      </c>
    </row>
    <row r="4459" spans="1:8" s="15" customFormat="1" ht="63" hidden="1" outlineLevel="1" x14ac:dyDescent="0.25">
      <c r="A4459" s="18">
        <v>179</v>
      </c>
      <c r="B4459" s="4" t="s">
        <v>241</v>
      </c>
      <c r="C4459" s="22" t="s">
        <v>4256</v>
      </c>
      <c r="D4459" s="18">
        <v>2022</v>
      </c>
      <c r="E4459" s="18" t="s">
        <v>234</v>
      </c>
      <c r="F4459" s="4">
        <v>1</v>
      </c>
      <c r="G4459" s="18">
        <v>100</v>
      </c>
      <c r="H4459" s="4">
        <v>648</v>
      </c>
    </row>
    <row r="4460" spans="1:8" s="15" customFormat="1" ht="47.25" hidden="1" outlineLevel="1" x14ac:dyDescent="0.25">
      <c r="A4460" s="18">
        <v>130</v>
      </c>
      <c r="B4460" s="4" t="s">
        <v>241</v>
      </c>
      <c r="C4460" s="22" t="s">
        <v>3979</v>
      </c>
      <c r="D4460" s="18">
        <v>2022</v>
      </c>
      <c r="E4460" s="18" t="s">
        <v>234</v>
      </c>
      <c r="F4460" s="4">
        <v>1</v>
      </c>
      <c r="G4460" s="18">
        <v>30</v>
      </c>
      <c r="H4460" s="4">
        <v>836</v>
      </c>
    </row>
    <row r="4461" spans="1:8" s="15" customFormat="1" ht="47.25" hidden="1" outlineLevel="1" x14ac:dyDescent="0.25">
      <c r="A4461" s="18">
        <v>284</v>
      </c>
      <c r="B4461" s="4" t="s">
        <v>241</v>
      </c>
      <c r="C4461" s="22" t="s">
        <v>4041</v>
      </c>
      <c r="D4461" s="18">
        <v>2022</v>
      </c>
      <c r="E4461" s="18" t="s">
        <v>234</v>
      </c>
      <c r="F4461" s="4">
        <v>1</v>
      </c>
      <c r="G4461" s="18">
        <v>150</v>
      </c>
      <c r="H4461" s="4">
        <v>845</v>
      </c>
    </row>
    <row r="4462" spans="1:8" s="15" customFormat="1" ht="94.5" hidden="1" outlineLevel="1" x14ac:dyDescent="0.25">
      <c r="A4462" s="18">
        <v>399</v>
      </c>
      <c r="B4462" s="4" t="s">
        <v>241</v>
      </c>
      <c r="C4462" s="22" t="s">
        <v>4043</v>
      </c>
      <c r="D4462" s="18">
        <v>2022</v>
      </c>
      <c r="E4462" s="18" t="s">
        <v>234</v>
      </c>
      <c r="F4462" s="4">
        <v>1</v>
      </c>
      <c r="G4462" s="18">
        <v>150</v>
      </c>
      <c r="H4462" s="4">
        <v>765</v>
      </c>
    </row>
    <row r="4463" spans="1:8" s="15" customFormat="1" ht="63" hidden="1" outlineLevel="1" x14ac:dyDescent="0.25">
      <c r="A4463" s="18">
        <v>425</v>
      </c>
      <c r="B4463" s="4" t="s">
        <v>241</v>
      </c>
      <c r="C4463" s="22" t="s">
        <v>3837</v>
      </c>
      <c r="D4463" s="18">
        <v>2022</v>
      </c>
      <c r="E4463" s="18" t="s">
        <v>234</v>
      </c>
      <c r="F4463" s="4">
        <v>1</v>
      </c>
      <c r="G4463" s="18">
        <v>120</v>
      </c>
      <c r="H4463" s="4">
        <v>838</v>
      </c>
    </row>
    <row r="4464" spans="1:8" s="15" customFormat="1" ht="78.75" hidden="1" outlineLevel="1" x14ac:dyDescent="0.25">
      <c r="A4464" s="18">
        <v>426</v>
      </c>
      <c r="B4464" s="4" t="s">
        <v>241</v>
      </c>
      <c r="C4464" s="22" t="s">
        <v>3868</v>
      </c>
      <c r="D4464" s="18">
        <v>2022</v>
      </c>
      <c r="E4464" s="18" t="s">
        <v>234</v>
      </c>
      <c r="F4464" s="4">
        <v>1</v>
      </c>
      <c r="G4464" s="18">
        <v>104.4</v>
      </c>
      <c r="H4464" s="4">
        <v>814</v>
      </c>
    </row>
    <row r="4465" spans="1:8" s="15" customFormat="1" ht="26.25" hidden="1" customHeight="1" outlineLevel="1" x14ac:dyDescent="0.25">
      <c r="A4465" s="18">
        <v>106</v>
      </c>
      <c r="B4465" s="4" t="s">
        <v>241</v>
      </c>
      <c r="C4465" s="22" t="s">
        <v>328</v>
      </c>
      <c r="D4465" s="18">
        <v>2020</v>
      </c>
      <c r="E4465" s="18" t="s">
        <v>234</v>
      </c>
      <c r="F4465" s="4">
        <v>1</v>
      </c>
      <c r="G4465" s="4">
        <v>80</v>
      </c>
      <c r="H4465" s="4">
        <v>560.35608000000002</v>
      </c>
    </row>
    <row r="4466" spans="1:8" s="15" customFormat="1" ht="26.25" hidden="1" customHeight="1" outlineLevel="1" x14ac:dyDescent="0.25">
      <c r="A4466" s="18">
        <v>100</v>
      </c>
      <c r="B4466" s="4" t="s">
        <v>241</v>
      </c>
      <c r="C4466" s="22" t="s">
        <v>481</v>
      </c>
      <c r="D4466" s="18">
        <v>2020</v>
      </c>
      <c r="E4466" s="18" t="s">
        <v>234</v>
      </c>
      <c r="F4466" s="4">
        <v>1</v>
      </c>
      <c r="G4466" s="4">
        <v>150</v>
      </c>
      <c r="H4466" s="4">
        <v>1510.8664699999999</v>
      </c>
    </row>
    <row r="4467" spans="1:8" s="15" customFormat="1" ht="26.25" hidden="1" customHeight="1" outlineLevel="1" x14ac:dyDescent="0.25">
      <c r="A4467" s="18">
        <v>1561</v>
      </c>
      <c r="B4467" s="4" t="s">
        <v>241</v>
      </c>
      <c r="C4467" s="22" t="s">
        <v>377</v>
      </c>
      <c r="D4467" s="18">
        <v>2020</v>
      </c>
      <c r="E4467" s="18" t="s">
        <v>234</v>
      </c>
      <c r="F4467" s="4">
        <v>1</v>
      </c>
      <c r="G4467" s="4">
        <v>140</v>
      </c>
      <c r="H4467" s="4">
        <v>543.59343000000001</v>
      </c>
    </row>
    <row r="4468" spans="1:8" s="15" customFormat="1" ht="26.25" hidden="1" customHeight="1" outlineLevel="1" x14ac:dyDescent="0.25">
      <c r="A4468" s="18">
        <v>334</v>
      </c>
      <c r="B4468" s="4" t="s">
        <v>241</v>
      </c>
      <c r="C4468" s="22" t="s">
        <v>53</v>
      </c>
      <c r="D4468" s="18">
        <v>2020</v>
      </c>
      <c r="E4468" s="18" t="s">
        <v>234</v>
      </c>
      <c r="F4468" s="4">
        <v>1</v>
      </c>
      <c r="G4468" s="4">
        <v>60</v>
      </c>
      <c r="H4468" s="4">
        <v>448.63567999999998</v>
      </c>
    </row>
    <row r="4469" spans="1:8" s="15" customFormat="1" ht="26.25" hidden="1" customHeight="1" outlineLevel="1" x14ac:dyDescent="0.25">
      <c r="A4469" s="18">
        <v>368</v>
      </c>
      <c r="B4469" s="4" t="s">
        <v>241</v>
      </c>
      <c r="C4469" s="22" t="s">
        <v>384</v>
      </c>
      <c r="D4469" s="18">
        <v>2020</v>
      </c>
      <c r="E4469" s="18" t="s">
        <v>234</v>
      </c>
      <c r="F4469" s="4">
        <v>1</v>
      </c>
      <c r="G4469" s="4">
        <v>100</v>
      </c>
      <c r="H4469" s="4">
        <v>441.19324999999998</v>
      </c>
    </row>
    <row r="4470" spans="1:8" s="15" customFormat="1" ht="26.25" hidden="1" customHeight="1" outlineLevel="1" x14ac:dyDescent="0.25">
      <c r="A4470" s="18">
        <v>442</v>
      </c>
      <c r="B4470" s="4" t="s">
        <v>241</v>
      </c>
      <c r="C4470" s="22" t="s">
        <v>391</v>
      </c>
      <c r="D4470" s="18">
        <v>2020</v>
      </c>
      <c r="E4470" s="18" t="s">
        <v>234</v>
      </c>
      <c r="F4470" s="4">
        <v>1</v>
      </c>
      <c r="G4470" s="4">
        <v>150</v>
      </c>
      <c r="H4470" s="4">
        <v>690.55891999999994</v>
      </c>
    </row>
    <row r="4471" spans="1:8" s="15" customFormat="1" ht="26.25" hidden="1" customHeight="1" outlineLevel="1" x14ac:dyDescent="0.25">
      <c r="A4471" s="18">
        <v>497</v>
      </c>
      <c r="B4471" s="4" t="s">
        <v>241</v>
      </c>
      <c r="C4471" s="22" t="s">
        <v>396</v>
      </c>
      <c r="D4471" s="18">
        <v>2020</v>
      </c>
      <c r="E4471" s="18" t="s">
        <v>234</v>
      </c>
      <c r="F4471" s="4">
        <v>1</v>
      </c>
      <c r="G4471" s="4">
        <v>100</v>
      </c>
      <c r="H4471" s="4">
        <v>615.28788999999995</v>
      </c>
    </row>
    <row r="4472" spans="1:8" s="15" customFormat="1" ht="26.25" hidden="1" customHeight="1" outlineLevel="1" x14ac:dyDescent="0.25">
      <c r="A4472" s="18">
        <v>539</v>
      </c>
      <c r="B4472" s="4" t="s">
        <v>241</v>
      </c>
      <c r="C4472" s="22" t="s">
        <v>404</v>
      </c>
      <c r="D4472" s="18">
        <v>2020</v>
      </c>
      <c r="E4472" s="18" t="s">
        <v>234</v>
      </c>
      <c r="F4472" s="4">
        <v>1</v>
      </c>
      <c r="G4472" s="4">
        <v>100</v>
      </c>
      <c r="H4472" s="4">
        <v>662.71641999999997</v>
      </c>
    </row>
    <row r="4473" spans="1:8" s="15" customFormat="1" ht="26.25" hidden="1" customHeight="1" outlineLevel="1" x14ac:dyDescent="0.25">
      <c r="A4473" s="18">
        <v>748</v>
      </c>
      <c r="B4473" s="4" t="s">
        <v>241</v>
      </c>
      <c r="C4473" s="22" t="s">
        <v>410</v>
      </c>
      <c r="D4473" s="18">
        <v>2020</v>
      </c>
      <c r="E4473" s="18" t="s">
        <v>234</v>
      </c>
      <c r="F4473" s="4">
        <v>1</v>
      </c>
      <c r="G4473" s="4">
        <v>65</v>
      </c>
      <c r="H4473" s="4">
        <v>451.32546000000002</v>
      </c>
    </row>
    <row r="4474" spans="1:8" s="15" customFormat="1" ht="26.25" hidden="1" customHeight="1" outlineLevel="1" x14ac:dyDescent="0.25">
      <c r="A4474" s="18">
        <v>864</v>
      </c>
      <c r="B4474" s="4" t="s">
        <v>241</v>
      </c>
      <c r="C4474" s="22" t="s">
        <v>425</v>
      </c>
      <c r="D4474" s="18">
        <v>2020</v>
      </c>
      <c r="E4474" s="18" t="s">
        <v>234</v>
      </c>
      <c r="F4474" s="4">
        <v>1</v>
      </c>
      <c r="G4474" s="4">
        <v>60</v>
      </c>
      <c r="H4474" s="4">
        <v>378.83990999999997</v>
      </c>
    </row>
    <row r="4475" spans="1:8" s="15" customFormat="1" ht="26.25" hidden="1" customHeight="1" outlineLevel="1" x14ac:dyDescent="0.25">
      <c r="A4475" s="18">
        <v>1012</v>
      </c>
      <c r="B4475" s="4" t="s">
        <v>241</v>
      </c>
      <c r="C4475" s="22" t="s">
        <v>446</v>
      </c>
      <c r="D4475" s="18">
        <v>2020</v>
      </c>
      <c r="E4475" s="18" t="s">
        <v>234</v>
      </c>
      <c r="F4475" s="4">
        <v>1</v>
      </c>
      <c r="G4475" s="4">
        <v>14</v>
      </c>
      <c r="H4475" s="4">
        <v>372.71269000000001</v>
      </c>
    </row>
    <row r="4476" spans="1:8" s="15" customFormat="1" ht="26.25" hidden="1" customHeight="1" outlineLevel="1" x14ac:dyDescent="0.25">
      <c r="A4476" s="18">
        <v>1532</v>
      </c>
      <c r="B4476" s="4" t="s">
        <v>241</v>
      </c>
      <c r="C4476" s="22" t="s">
        <v>476</v>
      </c>
      <c r="D4476" s="18">
        <v>2020</v>
      </c>
      <c r="E4476" s="18" t="s">
        <v>234</v>
      </c>
      <c r="F4476" s="4">
        <v>1</v>
      </c>
      <c r="G4476" s="4">
        <v>100</v>
      </c>
      <c r="H4476" s="4">
        <v>324.64737000000002</v>
      </c>
    </row>
    <row r="4477" spans="1:8" s="15" customFormat="1" ht="26.25" hidden="1" customHeight="1" outlineLevel="1" x14ac:dyDescent="0.25">
      <c r="A4477" s="18">
        <v>136</v>
      </c>
      <c r="B4477" s="4" t="s">
        <v>241</v>
      </c>
      <c r="C4477" s="22" t="s">
        <v>482</v>
      </c>
      <c r="D4477" s="18">
        <v>2020</v>
      </c>
      <c r="E4477" s="18" t="s">
        <v>234</v>
      </c>
      <c r="F4477" s="4">
        <v>1</v>
      </c>
      <c r="G4477" s="4">
        <v>50</v>
      </c>
      <c r="H4477" s="4">
        <v>200.81488999999999</v>
      </c>
    </row>
    <row r="4478" spans="1:8" s="15" customFormat="1" ht="26.25" hidden="1" customHeight="1" outlineLevel="1" x14ac:dyDescent="0.25">
      <c r="A4478" s="18">
        <v>1746</v>
      </c>
      <c r="B4478" s="4" t="s">
        <v>241</v>
      </c>
      <c r="C4478" s="22" t="s">
        <v>785</v>
      </c>
      <c r="D4478" s="18">
        <v>2020</v>
      </c>
      <c r="E4478" s="18" t="s">
        <v>234</v>
      </c>
      <c r="F4478" s="4">
        <v>1</v>
      </c>
      <c r="G4478" s="4">
        <v>100</v>
      </c>
      <c r="H4478" s="4">
        <v>508.86399999999998</v>
      </c>
    </row>
    <row r="4479" spans="1:8" s="15" customFormat="1" ht="26.25" hidden="1" customHeight="1" outlineLevel="1" x14ac:dyDescent="0.25">
      <c r="A4479" s="18">
        <v>1751</v>
      </c>
      <c r="B4479" s="4" t="s">
        <v>241</v>
      </c>
      <c r="C4479" s="22" t="s">
        <v>517</v>
      </c>
      <c r="D4479" s="18">
        <v>2020</v>
      </c>
      <c r="E4479" s="18" t="s">
        <v>234</v>
      </c>
      <c r="F4479" s="4">
        <v>1</v>
      </c>
      <c r="G4479" s="4">
        <v>90</v>
      </c>
      <c r="H4479" s="4">
        <v>528.26900000000001</v>
      </c>
    </row>
    <row r="4480" spans="1:8" s="15" customFormat="1" ht="26.25" hidden="1" customHeight="1" outlineLevel="1" x14ac:dyDescent="0.25">
      <c r="A4480" s="18">
        <v>1715</v>
      </c>
      <c r="B4480" s="4" t="s">
        <v>241</v>
      </c>
      <c r="C4480" s="22" t="s">
        <v>519</v>
      </c>
      <c r="D4480" s="18">
        <v>2020</v>
      </c>
      <c r="E4480" s="18" t="s">
        <v>234</v>
      </c>
      <c r="F4480" s="4">
        <v>1</v>
      </c>
      <c r="G4480" s="4">
        <v>90</v>
      </c>
      <c r="H4480" s="4">
        <v>484.18200000000002</v>
      </c>
    </row>
    <row r="4481" spans="1:8" s="15" customFormat="1" ht="26.25" hidden="1" customHeight="1" outlineLevel="1" x14ac:dyDescent="0.25">
      <c r="A4481" s="18">
        <v>370</v>
      </c>
      <c r="B4481" s="4" t="s">
        <v>241</v>
      </c>
      <c r="C4481" s="22" t="s">
        <v>531</v>
      </c>
      <c r="D4481" s="18">
        <v>2020</v>
      </c>
      <c r="E4481" s="18" t="s">
        <v>234</v>
      </c>
      <c r="F4481" s="4">
        <v>1</v>
      </c>
      <c r="G4481" s="4">
        <v>150</v>
      </c>
      <c r="H4481" s="4">
        <v>737.42</v>
      </c>
    </row>
    <row r="4482" spans="1:8" s="15" customFormat="1" ht="26.25" hidden="1" customHeight="1" outlineLevel="1" x14ac:dyDescent="0.25">
      <c r="A4482" s="18">
        <v>577</v>
      </c>
      <c r="B4482" s="4" t="s">
        <v>241</v>
      </c>
      <c r="C4482" s="22" t="s">
        <v>529</v>
      </c>
      <c r="D4482" s="18">
        <v>2020</v>
      </c>
      <c r="E4482" s="18" t="s">
        <v>234</v>
      </c>
      <c r="F4482" s="4">
        <v>1</v>
      </c>
      <c r="G4482" s="4">
        <v>150</v>
      </c>
      <c r="H4482" s="4">
        <v>705.54100000000005</v>
      </c>
    </row>
    <row r="4483" spans="1:8" s="15" customFormat="1" ht="26.25" hidden="1" customHeight="1" outlineLevel="1" x14ac:dyDescent="0.25">
      <c r="A4483" s="18">
        <v>1741</v>
      </c>
      <c r="B4483" s="4" t="s">
        <v>241</v>
      </c>
      <c r="C4483" s="22" t="s">
        <v>534</v>
      </c>
      <c r="D4483" s="18">
        <v>2020</v>
      </c>
      <c r="E4483" s="18" t="s">
        <v>234</v>
      </c>
      <c r="F4483" s="4">
        <v>1</v>
      </c>
      <c r="G4483" s="4">
        <v>150</v>
      </c>
      <c r="H4483" s="4">
        <v>803.76900000000001</v>
      </c>
    </row>
    <row r="4484" spans="1:8" s="15" customFormat="1" ht="26.25" hidden="1" customHeight="1" outlineLevel="1" x14ac:dyDescent="0.25">
      <c r="A4484" s="18">
        <v>1754</v>
      </c>
      <c r="B4484" s="4" t="s">
        <v>241</v>
      </c>
      <c r="C4484" s="22" t="s">
        <v>605</v>
      </c>
      <c r="D4484" s="18">
        <v>2020</v>
      </c>
      <c r="E4484" s="18" t="s">
        <v>234</v>
      </c>
      <c r="F4484" s="4">
        <v>1</v>
      </c>
      <c r="G4484" s="4">
        <v>150</v>
      </c>
      <c r="H4484" s="4">
        <v>819.75699999999995</v>
      </c>
    </row>
    <row r="4485" spans="1:8" s="15" customFormat="1" ht="26.25" hidden="1" customHeight="1" outlineLevel="1" x14ac:dyDescent="0.25">
      <c r="A4485" s="18">
        <v>1747</v>
      </c>
      <c r="B4485" s="4" t="s">
        <v>241</v>
      </c>
      <c r="C4485" s="22" t="s">
        <v>544</v>
      </c>
      <c r="D4485" s="18">
        <v>2020</v>
      </c>
      <c r="E4485" s="18" t="s">
        <v>234</v>
      </c>
      <c r="F4485" s="4">
        <v>1</v>
      </c>
      <c r="G4485" s="4">
        <v>150</v>
      </c>
      <c r="H4485" s="4">
        <v>853.66499999999996</v>
      </c>
    </row>
    <row r="4486" spans="1:8" s="15" customFormat="1" ht="26.25" hidden="1" customHeight="1" outlineLevel="1" x14ac:dyDescent="0.25">
      <c r="A4486" s="18">
        <v>256</v>
      </c>
      <c r="B4486" s="4" t="s">
        <v>241</v>
      </c>
      <c r="C4486" s="22" t="s">
        <v>551</v>
      </c>
      <c r="D4486" s="18">
        <v>2020</v>
      </c>
      <c r="E4486" s="18" t="s">
        <v>234</v>
      </c>
      <c r="F4486" s="4">
        <v>1</v>
      </c>
      <c r="G4486" s="4">
        <v>90</v>
      </c>
      <c r="H4486" s="4">
        <v>520.60299999999995</v>
      </c>
    </row>
    <row r="4487" spans="1:8" s="15" customFormat="1" ht="26.25" hidden="1" customHeight="1" outlineLevel="1" x14ac:dyDescent="0.25">
      <c r="A4487" s="18">
        <v>1656</v>
      </c>
      <c r="B4487" s="4" t="s">
        <v>241</v>
      </c>
      <c r="C4487" s="22" t="s">
        <v>559</v>
      </c>
      <c r="D4487" s="18">
        <v>2020</v>
      </c>
      <c r="E4487" s="18" t="s">
        <v>234</v>
      </c>
      <c r="F4487" s="4">
        <v>1</v>
      </c>
      <c r="G4487" s="4">
        <v>150</v>
      </c>
      <c r="H4487" s="4">
        <v>535.19799999999998</v>
      </c>
    </row>
    <row r="4488" spans="1:8" s="15" customFormat="1" ht="26.25" hidden="1" customHeight="1" outlineLevel="1" x14ac:dyDescent="0.25">
      <c r="A4488" s="18">
        <v>542</v>
      </c>
      <c r="B4488" s="4" t="s">
        <v>241</v>
      </c>
      <c r="C4488" s="22" t="s">
        <v>560</v>
      </c>
      <c r="D4488" s="18">
        <v>2020</v>
      </c>
      <c r="E4488" s="18" t="s">
        <v>234</v>
      </c>
      <c r="F4488" s="4">
        <v>1</v>
      </c>
      <c r="G4488" s="4">
        <v>130</v>
      </c>
      <c r="H4488" s="4">
        <v>615.53</v>
      </c>
    </row>
    <row r="4489" spans="1:8" s="15" customFormat="1" ht="26.25" hidden="1" customHeight="1" outlineLevel="1" x14ac:dyDescent="0.25">
      <c r="A4489" s="18">
        <v>1767</v>
      </c>
      <c r="B4489" s="4" t="s">
        <v>241</v>
      </c>
      <c r="C4489" s="22" t="s">
        <v>568</v>
      </c>
      <c r="D4489" s="18">
        <v>2020</v>
      </c>
      <c r="E4489" s="18" t="s">
        <v>234</v>
      </c>
      <c r="F4489" s="4">
        <v>1</v>
      </c>
      <c r="G4489" s="4">
        <v>110</v>
      </c>
      <c r="H4489" s="4">
        <v>757.09699999999998</v>
      </c>
    </row>
    <row r="4490" spans="1:8" s="15" customFormat="1" ht="26.25" hidden="1" customHeight="1" outlineLevel="1" x14ac:dyDescent="0.25">
      <c r="A4490" s="18">
        <v>1772</v>
      </c>
      <c r="B4490" s="4" t="s">
        <v>241</v>
      </c>
      <c r="C4490" s="22" t="s">
        <v>615</v>
      </c>
      <c r="D4490" s="18">
        <v>2020</v>
      </c>
      <c r="E4490" s="18" t="s">
        <v>234</v>
      </c>
      <c r="F4490" s="4">
        <v>1</v>
      </c>
      <c r="G4490" s="4">
        <v>150</v>
      </c>
      <c r="H4490" s="4">
        <v>669.25900000000001</v>
      </c>
    </row>
    <row r="4491" spans="1:8" s="15" customFormat="1" ht="26.25" hidden="1" customHeight="1" outlineLevel="1" x14ac:dyDescent="0.25">
      <c r="A4491" s="18">
        <v>1647</v>
      </c>
      <c r="B4491" s="4" t="s">
        <v>241</v>
      </c>
      <c r="C4491" s="22" t="s">
        <v>530</v>
      </c>
      <c r="D4491" s="18">
        <v>2020</v>
      </c>
      <c r="E4491" s="18" t="s">
        <v>234</v>
      </c>
      <c r="F4491" s="4">
        <v>1</v>
      </c>
      <c r="G4491" s="4">
        <v>145</v>
      </c>
      <c r="H4491" s="4">
        <v>766.95699999999999</v>
      </c>
    </row>
    <row r="4492" spans="1:8" s="15" customFormat="1" ht="26.25" hidden="1" customHeight="1" outlineLevel="1" x14ac:dyDescent="0.25">
      <c r="A4492" s="18">
        <v>1659</v>
      </c>
      <c r="B4492" s="4" t="s">
        <v>241</v>
      </c>
      <c r="C4492" s="22" t="s">
        <v>616</v>
      </c>
      <c r="D4492" s="18">
        <v>2020</v>
      </c>
      <c r="E4492" s="18" t="s">
        <v>234</v>
      </c>
      <c r="F4492" s="4">
        <v>1</v>
      </c>
      <c r="G4492" s="4">
        <v>80</v>
      </c>
      <c r="H4492" s="4">
        <v>529.423</v>
      </c>
    </row>
    <row r="4493" spans="1:8" s="15" customFormat="1" ht="26.25" hidden="1" customHeight="1" outlineLevel="1" x14ac:dyDescent="0.25">
      <c r="A4493" s="18">
        <v>1524</v>
      </c>
      <c r="B4493" s="4" t="s">
        <v>241</v>
      </c>
      <c r="C4493" s="22" t="s">
        <v>442</v>
      </c>
      <c r="D4493" s="18">
        <v>2020</v>
      </c>
      <c r="E4493" s="18" t="s">
        <v>234</v>
      </c>
      <c r="F4493" s="4">
        <v>1</v>
      </c>
      <c r="G4493" s="4">
        <v>120</v>
      </c>
      <c r="H4493" s="4">
        <v>323.40823999999998</v>
      </c>
    </row>
    <row r="4494" spans="1:8" s="15" customFormat="1" ht="26.25" hidden="1" customHeight="1" outlineLevel="1" x14ac:dyDescent="0.25">
      <c r="A4494" s="18">
        <v>1766</v>
      </c>
      <c r="B4494" s="4" t="s">
        <v>241</v>
      </c>
      <c r="C4494" s="22" t="s">
        <v>617</v>
      </c>
      <c r="D4494" s="18">
        <v>2020</v>
      </c>
      <c r="E4494" s="18" t="s">
        <v>234</v>
      </c>
      <c r="F4494" s="4">
        <v>1</v>
      </c>
      <c r="G4494" s="4">
        <v>45</v>
      </c>
      <c r="H4494" s="4">
        <v>509.91800000000001</v>
      </c>
    </row>
    <row r="4495" spans="1:8" s="15" customFormat="1" ht="42.75" hidden="1" customHeight="1" outlineLevel="1" x14ac:dyDescent="0.25">
      <c r="A4495" s="18">
        <v>400</v>
      </c>
      <c r="B4495" s="4" t="s">
        <v>241</v>
      </c>
      <c r="C4495" s="22" t="s">
        <v>72</v>
      </c>
      <c r="D4495" s="18">
        <v>2020</v>
      </c>
      <c r="E4495" s="18" t="s">
        <v>234</v>
      </c>
      <c r="F4495" s="4">
        <v>1</v>
      </c>
      <c r="G4495" s="4">
        <v>75</v>
      </c>
      <c r="H4495" s="4">
        <v>665.05447000000004</v>
      </c>
    </row>
    <row r="4496" spans="1:8" s="15" customFormat="1" ht="42.75" hidden="1" customHeight="1" outlineLevel="1" x14ac:dyDescent="0.25">
      <c r="A4496" s="18">
        <v>1764</v>
      </c>
      <c r="B4496" s="4" t="s">
        <v>241</v>
      </c>
      <c r="C4496" s="22" t="s">
        <v>106</v>
      </c>
      <c r="D4496" s="18">
        <v>2020</v>
      </c>
      <c r="E4496" s="18" t="s">
        <v>234</v>
      </c>
      <c r="F4496" s="4">
        <v>1</v>
      </c>
      <c r="G4496" s="4">
        <v>99.9</v>
      </c>
      <c r="H4496" s="4">
        <v>499.10656</v>
      </c>
    </row>
    <row r="4497" spans="1:8" s="15" customFormat="1" ht="25.5" hidden="1" customHeight="1" outlineLevel="1" x14ac:dyDescent="0.25">
      <c r="A4497" s="46">
        <v>9730</v>
      </c>
      <c r="B4497" s="4" t="s">
        <v>241</v>
      </c>
      <c r="C4497" s="22" t="s">
        <v>1886</v>
      </c>
      <c r="D4497" s="18">
        <v>2021</v>
      </c>
      <c r="E4497" s="18" t="s">
        <v>234</v>
      </c>
      <c r="F4497" s="4">
        <v>1</v>
      </c>
      <c r="G4497" s="4">
        <v>140</v>
      </c>
      <c r="H4497" s="4">
        <v>865</v>
      </c>
    </row>
    <row r="4498" spans="1:8" s="15" customFormat="1" ht="25.5" hidden="1" customHeight="1" outlineLevel="1" x14ac:dyDescent="0.25">
      <c r="A4498" s="46">
        <v>9685</v>
      </c>
      <c r="B4498" s="4" t="s">
        <v>241</v>
      </c>
      <c r="C4498" s="22" t="s">
        <v>1309</v>
      </c>
      <c r="D4498" s="18">
        <v>2021</v>
      </c>
      <c r="E4498" s="18" t="s">
        <v>234</v>
      </c>
      <c r="F4498" s="4">
        <v>1</v>
      </c>
      <c r="G4498" s="4">
        <v>15</v>
      </c>
      <c r="H4498" s="4">
        <v>521.61278000000004</v>
      </c>
    </row>
    <row r="4499" spans="1:8" s="15" customFormat="1" ht="25.5" hidden="1" customHeight="1" outlineLevel="1" x14ac:dyDescent="0.25">
      <c r="A4499" s="46">
        <v>9738</v>
      </c>
      <c r="B4499" s="4" t="s">
        <v>241</v>
      </c>
      <c r="C4499" s="22" t="s">
        <v>1317</v>
      </c>
      <c r="D4499" s="18">
        <v>2021</v>
      </c>
      <c r="E4499" s="18" t="s">
        <v>234</v>
      </c>
      <c r="F4499" s="4">
        <v>1</v>
      </c>
      <c r="G4499" s="4">
        <v>15</v>
      </c>
      <c r="H4499" s="4">
        <v>384.51625999999999</v>
      </c>
    </row>
    <row r="4500" spans="1:8" s="15" customFormat="1" ht="25.5" hidden="1" customHeight="1" outlineLevel="1" x14ac:dyDescent="0.25">
      <c r="A4500" s="45">
        <v>1291</v>
      </c>
      <c r="B4500" s="4" t="s">
        <v>241</v>
      </c>
      <c r="C4500" s="22" t="s">
        <v>1320</v>
      </c>
      <c r="D4500" s="18">
        <v>2021</v>
      </c>
      <c r="E4500" s="18" t="s">
        <v>234</v>
      </c>
      <c r="F4500" s="4">
        <v>1</v>
      </c>
      <c r="G4500" s="4">
        <v>15</v>
      </c>
      <c r="H4500" s="4">
        <v>352.91798</v>
      </c>
    </row>
    <row r="4501" spans="1:8" s="15" customFormat="1" ht="25.5" hidden="1" customHeight="1" outlineLevel="1" x14ac:dyDescent="0.25">
      <c r="A4501" s="45">
        <v>1299</v>
      </c>
      <c r="B4501" s="4" t="s">
        <v>241</v>
      </c>
      <c r="C4501" s="38" t="s">
        <v>1325</v>
      </c>
      <c r="D4501" s="18">
        <v>2021</v>
      </c>
      <c r="E4501" s="18" t="s">
        <v>234</v>
      </c>
      <c r="F4501" s="4">
        <v>1</v>
      </c>
      <c r="G4501" s="4">
        <v>30</v>
      </c>
      <c r="H4501" s="4">
        <v>693.322</v>
      </c>
    </row>
    <row r="4502" spans="1:8" s="15" customFormat="1" ht="25.5" hidden="1" customHeight="1" outlineLevel="1" x14ac:dyDescent="0.25">
      <c r="A4502" s="46">
        <v>9668</v>
      </c>
      <c r="B4502" s="4" t="s">
        <v>241</v>
      </c>
      <c r="C4502" s="22" t="s">
        <v>1814</v>
      </c>
      <c r="D4502" s="18">
        <v>2021</v>
      </c>
      <c r="E4502" s="18" t="s">
        <v>234</v>
      </c>
      <c r="F4502" s="4">
        <v>1</v>
      </c>
      <c r="G4502" s="4">
        <v>100</v>
      </c>
      <c r="H4502" s="4">
        <v>662</v>
      </c>
    </row>
    <row r="4503" spans="1:8" s="15" customFormat="1" ht="25.5" hidden="1" customHeight="1" outlineLevel="1" x14ac:dyDescent="0.25">
      <c r="A4503" s="46">
        <v>9600</v>
      </c>
      <c r="B4503" s="4" t="s">
        <v>241</v>
      </c>
      <c r="C4503" s="22" t="s">
        <v>1914</v>
      </c>
      <c r="D4503" s="18">
        <v>2021</v>
      </c>
      <c r="E4503" s="18" t="s">
        <v>234</v>
      </c>
      <c r="F4503" s="4">
        <v>1</v>
      </c>
      <c r="G4503" s="4">
        <v>240</v>
      </c>
      <c r="H4503" s="4">
        <v>736</v>
      </c>
    </row>
    <row r="4504" spans="1:8" s="15" customFormat="1" ht="25.5" hidden="1" customHeight="1" outlineLevel="1" x14ac:dyDescent="0.25">
      <c r="A4504" s="46">
        <v>9658</v>
      </c>
      <c r="B4504" s="4" t="s">
        <v>241</v>
      </c>
      <c r="C4504" s="22" t="s">
        <v>1915</v>
      </c>
      <c r="D4504" s="18">
        <v>2021</v>
      </c>
      <c r="E4504" s="18" t="s">
        <v>234</v>
      </c>
      <c r="F4504" s="4">
        <v>1</v>
      </c>
      <c r="G4504" s="4">
        <v>150</v>
      </c>
      <c r="H4504" s="4">
        <v>752</v>
      </c>
    </row>
    <row r="4505" spans="1:8" s="15" customFormat="1" ht="25.5" hidden="1" customHeight="1" outlineLevel="1" x14ac:dyDescent="0.25">
      <c r="A4505" s="45">
        <v>1142</v>
      </c>
      <c r="B4505" s="4" t="s">
        <v>241</v>
      </c>
      <c r="C4505" s="22" t="s">
        <v>1815</v>
      </c>
      <c r="D4505" s="18">
        <v>2021</v>
      </c>
      <c r="E4505" s="18" t="s">
        <v>234</v>
      </c>
      <c r="F4505" s="4">
        <v>1</v>
      </c>
      <c r="G4505" s="4">
        <v>150</v>
      </c>
      <c r="H4505" s="4">
        <v>777</v>
      </c>
    </row>
    <row r="4506" spans="1:8" s="15" customFormat="1" ht="25.5" hidden="1" customHeight="1" outlineLevel="1" x14ac:dyDescent="0.25">
      <c r="A4506" s="46">
        <v>9665</v>
      </c>
      <c r="B4506" s="4" t="s">
        <v>241</v>
      </c>
      <c r="C4506" s="22" t="s">
        <v>1579</v>
      </c>
      <c r="D4506" s="18">
        <v>2021</v>
      </c>
      <c r="E4506" s="18" t="s">
        <v>234</v>
      </c>
      <c r="F4506" s="4">
        <v>1</v>
      </c>
      <c r="G4506" s="4">
        <v>100</v>
      </c>
      <c r="H4506" s="4">
        <v>655</v>
      </c>
    </row>
    <row r="4507" spans="1:8" s="15" customFormat="1" ht="25.5" hidden="1" customHeight="1" outlineLevel="1" x14ac:dyDescent="0.25">
      <c r="A4507" s="45">
        <v>913</v>
      </c>
      <c r="B4507" s="4" t="s">
        <v>241</v>
      </c>
      <c r="C4507" s="22" t="s">
        <v>1816</v>
      </c>
      <c r="D4507" s="18">
        <v>2021</v>
      </c>
      <c r="E4507" s="18" t="s">
        <v>234</v>
      </c>
      <c r="F4507" s="4">
        <v>1</v>
      </c>
      <c r="G4507" s="4">
        <v>50</v>
      </c>
      <c r="H4507" s="4">
        <v>619</v>
      </c>
    </row>
    <row r="4508" spans="1:8" s="15" customFormat="1" ht="25.5" hidden="1" customHeight="1" outlineLevel="1" x14ac:dyDescent="0.25">
      <c r="A4508" s="46">
        <v>9659</v>
      </c>
      <c r="B4508" s="4" t="s">
        <v>241</v>
      </c>
      <c r="C4508" s="22" t="s">
        <v>1918</v>
      </c>
      <c r="D4508" s="18">
        <v>2021</v>
      </c>
      <c r="E4508" s="18" t="s">
        <v>234</v>
      </c>
      <c r="F4508" s="4">
        <v>1</v>
      </c>
      <c r="G4508" s="4">
        <v>118.3</v>
      </c>
      <c r="H4508" s="4">
        <v>587</v>
      </c>
    </row>
    <row r="4509" spans="1:8" s="15" customFormat="1" ht="25.5" hidden="1" customHeight="1" outlineLevel="1" x14ac:dyDescent="0.25">
      <c r="A4509" s="45">
        <v>3796</v>
      </c>
      <c r="B4509" s="4" t="s">
        <v>241</v>
      </c>
      <c r="C4509" s="22" t="s">
        <v>1817</v>
      </c>
      <c r="D4509" s="18">
        <v>2021</v>
      </c>
      <c r="E4509" s="18" t="s">
        <v>234</v>
      </c>
      <c r="F4509" s="4">
        <v>1</v>
      </c>
      <c r="G4509" s="4">
        <v>150</v>
      </c>
      <c r="H4509" s="4">
        <v>763</v>
      </c>
    </row>
    <row r="4510" spans="1:8" s="15" customFormat="1" ht="25.5" hidden="1" customHeight="1" outlineLevel="1" x14ac:dyDescent="0.25">
      <c r="A4510" s="45">
        <v>1148</v>
      </c>
      <c r="B4510" s="4" t="s">
        <v>241</v>
      </c>
      <c r="C4510" s="22" t="s">
        <v>1820</v>
      </c>
      <c r="D4510" s="18">
        <v>2021</v>
      </c>
      <c r="E4510" s="18" t="s">
        <v>234</v>
      </c>
      <c r="F4510" s="4">
        <v>1</v>
      </c>
      <c r="G4510" s="4">
        <v>150</v>
      </c>
      <c r="H4510" s="4">
        <v>839</v>
      </c>
    </row>
    <row r="4511" spans="1:8" s="15" customFormat="1" ht="25.5" hidden="1" customHeight="1" outlineLevel="1" x14ac:dyDescent="0.25">
      <c r="A4511" s="46">
        <v>9664</v>
      </c>
      <c r="B4511" s="4" t="s">
        <v>241</v>
      </c>
      <c r="C4511" s="22" t="s">
        <v>1821</v>
      </c>
      <c r="D4511" s="18">
        <v>2021</v>
      </c>
      <c r="E4511" s="18" t="s">
        <v>234</v>
      </c>
      <c r="F4511" s="4">
        <v>1</v>
      </c>
      <c r="G4511" s="4">
        <v>150</v>
      </c>
      <c r="H4511" s="4">
        <v>840</v>
      </c>
    </row>
    <row r="4512" spans="1:8" s="15" customFormat="1" ht="25.5" hidden="1" customHeight="1" outlineLevel="1" x14ac:dyDescent="0.25">
      <c r="A4512" s="46">
        <v>9577</v>
      </c>
      <c r="B4512" s="4" t="s">
        <v>241</v>
      </c>
      <c r="C4512" s="22" t="s">
        <v>1930</v>
      </c>
      <c r="D4512" s="18">
        <v>2021</v>
      </c>
      <c r="E4512" s="18" t="s">
        <v>234</v>
      </c>
      <c r="F4512" s="4">
        <v>2</v>
      </c>
      <c r="G4512" s="4">
        <v>195</v>
      </c>
      <c r="H4512" s="4">
        <v>1084</v>
      </c>
    </row>
    <row r="4513" spans="1:33" s="15" customFormat="1" ht="25.5" hidden="1" customHeight="1" outlineLevel="1" x14ac:dyDescent="0.25">
      <c r="A4513" s="45">
        <v>1132</v>
      </c>
      <c r="B4513" s="4" t="s">
        <v>241</v>
      </c>
      <c r="C4513" s="22" t="s">
        <v>1619</v>
      </c>
      <c r="D4513" s="18">
        <v>2021</v>
      </c>
      <c r="E4513" s="18" t="s">
        <v>234</v>
      </c>
      <c r="F4513" s="4">
        <v>1</v>
      </c>
      <c r="G4513" s="4">
        <v>145</v>
      </c>
      <c r="H4513" s="4">
        <v>707</v>
      </c>
    </row>
    <row r="4514" spans="1:33" s="15" customFormat="1" ht="25.5" hidden="1" customHeight="1" outlineLevel="1" x14ac:dyDescent="0.25">
      <c r="A4514" s="46">
        <v>9655</v>
      </c>
      <c r="B4514" s="4" t="s">
        <v>241</v>
      </c>
      <c r="C4514" s="22" t="s">
        <v>1644</v>
      </c>
      <c r="D4514" s="18">
        <v>2021</v>
      </c>
      <c r="E4514" s="18" t="s">
        <v>234</v>
      </c>
      <c r="F4514" s="4">
        <v>1</v>
      </c>
      <c r="G4514" s="4">
        <v>100</v>
      </c>
      <c r="H4514" s="4">
        <v>272</v>
      </c>
    </row>
    <row r="4515" spans="1:33" s="15" customFormat="1" ht="25.5" hidden="1" customHeight="1" outlineLevel="1" x14ac:dyDescent="0.25">
      <c r="A4515" s="46">
        <v>9652</v>
      </c>
      <c r="B4515" s="4" t="s">
        <v>241</v>
      </c>
      <c r="C4515" s="22" t="s">
        <v>1835</v>
      </c>
      <c r="D4515" s="18">
        <v>2021</v>
      </c>
      <c r="E4515" s="18" t="s">
        <v>234</v>
      </c>
      <c r="F4515" s="4">
        <v>1</v>
      </c>
      <c r="G4515" s="4">
        <v>145</v>
      </c>
      <c r="H4515" s="4">
        <v>265</v>
      </c>
    </row>
    <row r="4516" spans="1:33" s="15" customFormat="1" ht="25.5" hidden="1" customHeight="1" outlineLevel="1" x14ac:dyDescent="0.25">
      <c r="A4516" s="46">
        <v>9595</v>
      </c>
      <c r="B4516" s="4" t="s">
        <v>241</v>
      </c>
      <c r="C4516" s="22" t="s">
        <v>1837</v>
      </c>
      <c r="D4516" s="18">
        <v>2021</v>
      </c>
      <c r="E4516" s="18" t="s">
        <v>234</v>
      </c>
      <c r="F4516" s="4">
        <v>1</v>
      </c>
      <c r="G4516" s="4">
        <v>285</v>
      </c>
      <c r="H4516" s="4">
        <v>716</v>
      </c>
    </row>
    <row r="4517" spans="1:33" s="15" customFormat="1" ht="25.5" hidden="1" customHeight="1" outlineLevel="1" x14ac:dyDescent="0.25">
      <c r="A4517" s="46">
        <v>9585</v>
      </c>
      <c r="B4517" s="4" t="s">
        <v>241</v>
      </c>
      <c r="C4517" s="22" t="s">
        <v>1994</v>
      </c>
      <c r="D4517" s="18">
        <v>2021</v>
      </c>
      <c r="E4517" s="18" t="s">
        <v>234</v>
      </c>
      <c r="F4517" s="4">
        <v>1</v>
      </c>
      <c r="G4517" s="4">
        <v>100</v>
      </c>
      <c r="H4517" s="4">
        <v>631</v>
      </c>
    </row>
    <row r="4518" spans="1:33" s="15" customFormat="1" ht="25.5" hidden="1" customHeight="1" outlineLevel="1" x14ac:dyDescent="0.25">
      <c r="A4518" s="46">
        <v>9361</v>
      </c>
      <c r="B4518" s="4" t="s">
        <v>241</v>
      </c>
      <c r="C4518" s="38" t="s">
        <v>1347</v>
      </c>
      <c r="D4518" s="18">
        <v>2021</v>
      </c>
      <c r="E4518" s="18" t="s">
        <v>234</v>
      </c>
      <c r="F4518" s="4">
        <v>1</v>
      </c>
      <c r="G4518" s="4">
        <v>75</v>
      </c>
      <c r="H4518" s="4">
        <v>923.05399999999997</v>
      </c>
    </row>
    <row r="4519" spans="1:33" s="15" customFormat="1" ht="25.5" hidden="1" customHeight="1" outlineLevel="1" x14ac:dyDescent="0.25">
      <c r="A4519" s="46">
        <v>9363</v>
      </c>
      <c r="B4519" s="4" t="s">
        <v>241</v>
      </c>
      <c r="C4519" s="22" t="s">
        <v>1283</v>
      </c>
      <c r="D4519" s="18">
        <v>2021</v>
      </c>
      <c r="E4519" s="18" t="s">
        <v>234</v>
      </c>
      <c r="F4519" s="4">
        <v>1</v>
      </c>
      <c r="G4519" s="4">
        <v>65</v>
      </c>
      <c r="H4519" s="4">
        <v>375.95800000000003</v>
      </c>
    </row>
    <row r="4520" spans="1:33" s="15" customFormat="1" ht="25.5" hidden="1" customHeight="1" outlineLevel="1" x14ac:dyDescent="0.25">
      <c r="A4520" s="45">
        <v>422</v>
      </c>
      <c r="B4520" s="4" t="s">
        <v>241</v>
      </c>
      <c r="C4520" s="22" t="s">
        <v>1285</v>
      </c>
      <c r="D4520" s="18">
        <v>2021</v>
      </c>
      <c r="E4520" s="18" t="s">
        <v>234</v>
      </c>
      <c r="F4520" s="4">
        <v>1</v>
      </c>
      <c r="G4520" s="4">
        <v>150</v>
      </c>
      <c r="H4520" s="4">
        <v>423.74700000000001</v>
      </c>
    </row>
    <row r="4521" spans="1:33" s="15" customFormat="1" ht="25.5" hidden="1" customHeight="1" outlineLevel="1" x14ac:dyDescent="0.25">
      <c r="A4521" s="46">
        <v>9364</v>
      </c>
      <c r="B4521" s="4" t="s">
        <v>241</v>
      </c>
      <c r="C4521" s="22" t="s">
        <v>1289</v>
      </c>
      <c r="D4521" s="18">
        <v>2021</v>
      </c>
      <c r="E4521" s="18" t="s">
        <v>234</v>
      </c>
      <c r="F4521" s="4">
        <v>1</v>
      </c>
      <c r="G4521" s="4">
        <v>150</v>
      </c>
      <c r="H4521" s="4">
        <v>562.60400000000004</v>
      </c>
    </row>
    <row r="4522" spans="1:33" s="15" customFormat="1" ht="25.5" hidden="1" customHeight="1" outlineLevel="1" x14ac:dyDescent="0.25">
      <c r="A4522" s="46">
        <v>9889</v>
      </c>
      <c r="B4522" s="4" t="s">
        <v>241</v>
      </c>
      <c r="C4522" s="22" t="s">
        <v>2014</v>
      </c>
      <c r="D4522" s="18">
        <v>2021</v>
      </c>
      <c r="E4522" s="18" t="s">
        <v>234</v>
      </c>
      <c r="F4522" s="4">
        <v>1</v>
      </c>
      <c r="G4522" s="4">
        <v>15</v>
      </c>
      <c r="H4522" s="4">
        <v>267.90800000000002</v>
      </c>
    </row>
    <row r="4523" spans="1:33" s="15" customFormat="1" ht="25.5" hidden="1" customHeight="1" outlineLevel="1" x14ac:dyDescent="0.25">
      <c r="A4523" s="46">
        <v>9368</v>
      </c>
      <c r="B4523" s="4" t="s">
        <v>241</v>
      </c>
      <c r="C4523" s="22" t="s">
        <v>1352</v>
      </c>
      <c r="D4523" s="18">
        <v>2021</v>
      </c>
      <c r="E4523" s="18" t="s">
        <v>234</v>
      </c>
      <c r="F4523" s="4">
        <v>1</v>
      </c>
      <c r="G4523" s="4">
        <v>150</v>
      </c>
      <c r="H4523" s="4">
        <v>632.69200000000001</v>
      </c>
    </row>
    <row r="4524" spans="1:33" s="15" customFormat="1" ht="25.5" hidden="1" customHeight="1" outlineLevel="1" x14ac:dyDescent="0.25">
      <c r="A4524" s="45">
        <v>421</v>
      </c>
      <c r="B4524" s="4" t="s">
        <v>241</v>
      </c>
      <c r="C4524" s="22" t="s">
        <v>1353</v>
      </c>
      <c r="D4524" s="18">
        <v>2021</v>
      </c>
      <c r="E4524" s="18" t="s">
        <v>234</v>
      </c>
      <c r="F4524" s="4">
        <v>1</v>
      </c>
      <c r="G4524" s="4">
        <v>149</v>
      </c>
      <c r="H4524" s="4">
        <v>569.07600000000002</v>
      </c>
    </row>
    <row r="4525" spans="1:33" s="15" customFormat="1" ht="25.5" hidden="1" customHeight="1" outlineLevel="1" x14ac:dyDescent="0.25">
      <c r="A4525" s="45">
        <v>3714</v>
      </c>
      <c r="B4525" s="4" t="s">
        <v>241</v>
      </c>
      <c r="C4525" s="22" t="s">
        <v>1357</v>
      </c>
      <c r="D4525" s="18">
        <v>2021</v>
      </c>
      <c r="E4525" s="18" t="s">
        <v>234</v>
      </c>
      <c r="F4525" s="4">
        <v>1</v>
      </c>
      <c r="G4525" s="4">
        <v>120</v>
      </c>
      <c r="H4525" s="4">
        <v>718.23500000000001</v>
      </c>
    </row>
    <row r="4526" spans="1:33" s="15" customFormat="1" ht="25.5" hidden="1" customHeight="1" outlineLevel="1" x14ac:dyDescent="0.25">
      <c r="A4526" s="46">
        <v>9489</v>
      </c>
      <c r="B4526" s="4" t="s">
        <v>241</v>
      </c>
      <c r="C4526" s="22" t="s">
        <v>2015</v>
      </c>
      <c r="D4526" s="18">
        <v>2021</v>
      </c>
      <c r="E4526" s="18" t="s">
        <v>234</v>
      </c>
      <c r="F4526" s="4">
        <v>1</v>
      </c>
      <c r="G4526" s="4">
        <v>150</v>
      </c>
      <c r="H4526" s="4">
        <v>1148.8614500000001</v>
      </c>
    </row>
    <row r="4527" spans="1:33" s="16" customFormat="1" ht="31.5" collapsed="1" x14ac:dyDescent="0.25">
      <c r="A4527" s="18"/>
      <c r="B4527" s="58" t="s">
        <v>241</v>
      </c>
      <c r="C4527" s="72" t="s">
        <v>3225</v>
      </c>
      <c r="D4527" s="65"/>
      <c r="E4527" s="66" t="s">
        <v>232</v>
      </c>
      <c r="F4527" s="65"/>
      <c r="G4527" s="65"/>
      <c r="H4527" s="65"/>
      <c r="I4527" s="15"/>
      <c r="J4527" s="15"/>
      <c r="K4527" s="15"/>
      <c r="L4527" s="15"/>
      <c r="M4527" s="15"/>
      <c r="N4527" s="15"/>
      <c r="O4527" s="15"/>
      <c r="P4527" s="15"/>
      <c r="Q4527" s="15"/>
      <c r="R4527" s="15"/>
      <c r="S4527" s="15"/>
      <c r="T4527" s="15"/>
      <c r="U4527" s="15"/>
      <c r="V4527" s="15"/>
      <c r="W4527" s="15"/>
      <c r="X4527" s="15"/>
      <c r="Y4527" s="15"/>
      <c r="Z4527" s="15"/>
      <c r="AA4527" s="15"/>
      <c r="AB4527" s="15"/>
      <c r="AC4527" s="15"/>
      <c r="AD4527" s="15"/>
      <c r="AE4527" s="15"/>
      <c r="AF4527" s="15"/>
      <c r="AG4527" s="15"/>
    </row>
    <row r="4528" spans="1:33" s="16" customFormat="1" ht="16.5" customHeight="1" x14ac:dyDescent="0.25">
      <c r="A4528" s="18"/>
      <c r="B4528" s="7" t="s">
        <v>241</v>
      </c>
      <c r="C4528" s="8" t="s">
        <v>1102</v>
      </c>
      <c r="D4528" s="19">
        <v>2020</v>
      </c>
      <c r="E4528" s="19" t="s">
        <v>232</v>
      </c>
      <c r="F4528" s="7">
        <f>SUMIF($D$4531:$D$4555,$D$4528,$F$4531:$F$4555)</f>
        <v>10</v>
      </c>
      <c r="G4528" s="7">
        <f>SUMIF($D$4531:$D$4555,$D$4528,$G$4531:$G$4555)</f>
        <v>1804</v>
      </c>
      <c r="H4528" s="10">
        <f>SUMIF($D$4531:$D$4555,$D$4528,$H$4531:$H$4555)</f>
        <v>6796.3</v>
      </c>
      <c r="I4528" s="15"/>
      <c r="J4528" s="15"/>
      <c r="K4528" s="15"/>
      <c r="L4528" s="15"/>
      <c r="M4528" s="15"/>
      <c r="N4528" s="15"/>
      <c r="O4528" s="15"/>
      <c r="P4528" s="15"/>
      <c r="Q4528" s="15"/>
      <c r="R4528" s="15"/>
      <c r="S4528" s="15"/>
      <c r="T4528" s="15"/>
      <c r="U4528" s="15"/>
      <c r="V4528" s="15"/>
      <c r="W4528" s="15"/>
      <c r="X4528" s="15"/>
      <c r="Y4528" s="15"/>
      <c r="Z4528" s="15"/>
      <c r="AA4528" s="15"/>
      <c r="AB4528" s="15"/>
      <c r="AC4528" s="15"/>
      <c r="AD4528" s="15"/>
      <c r="AE4528" s="15"/>
      <c r="AF4528" s="15"/>
      <c r="AG4528" s="15"/>
    </row>
    <row r="4529" spans="1:33" s="26" customFormat="1" ht="16.5" customHeight="1" x14ac:dyDescent="0.25">
      <c r="A4529" s="18"/>
      <c r="B4529" s="7" t="s">
        <v>241</v>
      </c>
      <c r="C4529" s="8" t="s">
        <v>1102</v>
      </c>
      <c r="D4529" s="19">
        <v>2021</v>
      </c>
      <c r="E4529" s="19" t="s">
        <v>232</v>
      </c>
      <c r="F4529" s="7">
        <f>SUMIF($D$4531:$D$4555,$D$4529,$F$4531:$F$4555)</f>
        <v>7</v>
      </c>
      <c r="G4529" s="7">
        <f>SUMIF($D$4531:$D$4555,$D$4529,$G$4531:$G$4555)</f>
        <v>946</v>
      </c>
      <c r="H4529" s="10">
        <f>SUMIF($D$4531:$D$4555,$D$4529,$H$4531:$H$4555)</f>
        <v>4238.6990000000005</v>
      </c>
      <c r="I4529" s="15"/>
      <c r="J4529" s="15"/>
      <c r="K4529" s="15"/>
      <c r="L4529" s="15"/>
      <c r="M4529" s="15"/>
      <c r="N4529" s="15"/>
      <c r="O4529" s="15"/>
      <c r="P4529" s="15"/>
      <c r="Q4529" s="15"/>
      <c r="R4529" s="15"/>
      <c r="S4529" s="15"/>
      <c r="T4529" s="15"/>
      <c r="U4529" s="15"/>
      <c r="V4529" s="15"/>
      <c r="W4529" s="15"/>
      <c r="X4529" s="15"/>
      <c r="Y4529" s="15"/>
      <c r="Z4529" s="15"/>
      <c r="AA4529" s="15"/>
      <c r="AB4529" s="15"/>
      <c r="AC4529" s="15"/>
      <c r="AD4529" s="15"/>
      <c r="AE4529" s="15"/>
      <c r="AF4529" s="15"/>
      <c r="AG4529" s="15"/>
    </row>
    <row r="4530" spans="1:33" s="26" customFormat="1" ht="15.75" x14ac:dyDescent="0.25">
      <c r="A4530" s="18"/>
      <c r="B4530" s="7" t="s">
        <v>241</v>
      </c>
      <c r="C4530" s="8" t="s">
        <v>1102</v>
      </c>
      <c r="D4530" s="19">
        <v>2022</v>
      </c>
      <c r="E4530" s="19" t="s">
        <v>232</v>
      </c>
      <c r="F4530" s="7">
        <f>SUMIF($D$4531:$D$4555,$D$4530,$F$4531:$F$4555)</f>
        <v>9</v>
      </c>
      <c r="G4530" s="7">
        <f>SUMIF($D$4531:$D$4555,$D$4530,$G$4531:$G$4555)</f>
        <v>1130</v>
      </c>
      <c r="H4530" s="10">
        <f>SUMIF($D$4531:$D$4555,$D$4530,$H$4531:$H$4555)</f>
        <v>6602.8592900000003</v>
      </c>
      <c r="I4530" s="15"/>
      <c r="J4530" s="15"/>
      <c r="K4530" s="15"/>
      <c r="L4530" s="15"/>
      <c r="M4530" s="15"/>
      <c r="N4530" s="15"/>
      <c r="O4530" s="15"/>
      <c r="P4530" s="15"/>
      <c r="Q4530" s="15"/>
      <c r="R4530" s="15"/>
      <c r="S4530" s="15"/>
      <c r="T4530" s="15"/>
      <c r="U4530" s="15"/>
      <c r="V4530" s="15"/>
      <c r="W4530" s="15"/>
      <c r="X4530" s="15"/>
      <c r="Y4530" s="15"/>
      <c r="Z4530" s="15"/>
      <c r="AA4530" s="15"/>
      <c r="AB4530" s="15"/>
      <c r="AC4530" s="15"/>
      <c r="AD4530" s="15"/>
      <c r="AE4530" s="15"/>
      <c r="AF4530" s="15"/>
      <c r="AG4530" s="15"/>
    </row>
    <row r="4531" spans="1:33" s="15" customFormat="1" ht="141.75" hidden="1" outlineLevel="1" x14ac:dyDescent="0.25">
      <c r="A4531" s="18">
        <v>1487</v>
      </c>
      <c r="B4531" s="4" t="s">
        <v>241</v>
      </c>
      <c r="C4531" s="22" t="s">
        <v>3950</v>
      </c>
      <c r="D4531" s="18">
        <v>2022</v>
      </c>
      <c r="E4531" s="18" t="s">
        <v>232</v>
      </c>
      <c r="F4531" s="4">
        <v>1</v>
      </c>
      <c r="G4531" s="4">
        <v>150</v>
      </c>
      <c r="H4531" s="42">
        <v>699.94914000000006</v>
      </c>
    </row>
    <row r="4532" spans="1:33" s="15" customFormat="1" ht="141.75" hidden="1" outlineLevel="1" x14ac:dyDescent="0.25">
      <c r="A4532" s="18">
        <v>1206</v>
      </c>
      <c r="B4532" s="4" t="s">
        <v>241</v>
      </c>
      <c r="C4532" s="22" t="s">
        <v>3951</v>
      </c>
      <c r="D4532" s="18">
        <v>2022</v>
      </c>
      <c r="E4532" s="18" t="s">
        <v>232</v>
      </c>
      <c r="F4532" s="4">
        <v>1</v>
      </c>
      <c r="G4532" s="4">
        <v>150</v>
      </c>
      <c r="H4532" s="42">
        <v>874.56577000000004</v>
      </c>
    </row>
    <row r="4533" spans="1:33" s="15" customFormat="1" ht="126" hidden="1" outlineLevel="1" x14ac:dyDescent="0.25">
      <c r="A4533" s="18">
        <v>1545</v>
      </c>
      <c r="B4533" s="4" t="s">
        <v>241</v>
      </c>
      <c r="C4533" s="22" t="s">
        <v>3435</v>
      </c>
      <c r="D4533" s="18">
        <v>2022</v>
      </c>
      <c r="E4533" s="18" t="s">
        <v>232</v>
      </c>
      <c r="F4533" s="4">
        <v>1</v>
      </c>
      <c r="G4533" s="4">
        <v>13</v>
      </c>
      <c r="H4533" s="42">
        <v>980.47626000000002</v>
      </c>
    </row>
    <row r="4534" spans="1:33" s="15" customFormat="1" ht="110.25" hidden="1" outlineLevel="1" x14ac:dyDescent="0.25">
      <c r="A4534" s="18">
        <v>1037</v>
      </c>
      <c r="B4534" s="4" t="s">
        <v>241</v>
      </c>
      <c r="C4534" s="22" t="s">
        <v>3467</v>
      </c>
      <c r="D4534" s="18">
        <v>2022</v>
      </c>
      <c r="E4534" s="18" t="s">
        <v>232</v>
      </c>
      <c r="F4534" s="4">
        <v>1</v>
      </c>
      <c r="G4534" s="4">
        <v>130</v>
      </c>
      <c r="H4534" s="42">
        <v>952.88031000000001</v>
      </c>
    </row>
    <row r="4535" spans="1:33" s="15" customFormat="1" ht="110.25" hidden="1" outlineLevel="1" x14ac:dyDescent="0.25">
      <c r="A4535" s="18">
        <v>461</v>
      </c>
      <c r="B4535" s="4" t="s">
        <v>241</v>
      </c>
      <c r="C4535" s="22" t="s">
        <v>3957</v>
      </c>
      <c r="D4535" s="18">
        <v>2022</v>
      </c>
      <c r="E4535" s="18" t="s">
        <v>232</v>
      </c>
      <c r="F4535" s="4">
        <v>1</v>
      </c>
      <c r="G4535" s="4">
        <v>87</v>
      </c>
      <c r="H4535" s="42">
        <v>695.43078000000003</v>
      </c>
    </row>
    <row r="4536" spans="1:33" s="15" customFormat="1" ht="78.75" hidden="1" outlineLevel="1" x14ac:dyDescent="0.25">
      <c r="A4536" s="18">
        <v>460</v>
      </c>
      <c r="B4536" s="4" t="s">
        <v>241</v>
      </c>
      <c r="C4536" s="22" t="s">
        <v>4257</v>
      </c>
      <c r="D4536" s="18">
        <v>2022</v>
      </c>
      <c r="E4536" s="18" t="s">
        <v>232</v>
      </c>
      <c r="F4536" s="4">
        <v>1</v>
      </c>
      <c r="G4536" s="4">
        <v>150</v>
      </c>
      <c r="H4536" s="42">
        <v>753.06703000000005</v>
      </c>
    </row>
    <row r="4537" spans="1:33" s="15" customFormat="1" ht="94.5" hidden="1" outlineLevel="1" x14ac:dyDescent="0.25">
      <c r="A4537" s="18">
        <v>2070</v>
      </c>
      <c r="B4537" s="4" t="s">
        <v>241</v>
      </c>
      <c r="C4537" s="22" t="s">
        <v>4206</v>
      </c>
      <c r="D4537" s="18">
        <v>2022</v>
      </c>
      <c r="E4537" s="18" t="s">
        <v>232</v>
      </c>
      <c r="F4537" s="4">
        <v>1</v>
      </c>
      <c r="G4537" s="4">
        <v>150</v>
      </c>
      <c r="H4537" s="42">
        <v>792.49</v>
      </c>
    </row>
    <row r="4538" spans="1:33" s="15" customFormat="1" ht="63" hidden="1" outlineLevel="1" x14ac:dyDescent="0.25">
      <c r="A4538" s="18">
        <v>302</v>
      </c>
      <c r="B4538" s="4" t="s">
        <v>241</v>
      </c>
      <c r="C4538" s="22" t="s">
        <v>3984</v>
      </c>
      <c r="D4538" s="18">
        <v>2022</v>
      </c>
      <c r="E4538" s="18" t="s">
        <v>232</v>
      </c>
      <c r="F4538" s="4">
        <v>1</v>
      </c>
      <c r="G4538" s="4">
        <v>150</v>
      </c>
      <c r="H4538" s="42">
        <v>559</v>
      </c>
    </row>
    <row r="4539" spans="1:33" s="15" customFormat="1" ht="63" hidden="1" outlineLevel="1" x14ac:dyDescent="0.25">
      <c r="A4539" s="18">
        <v>289</v>
      </c>
      <c r="B4539" s="4" t="s">
        <v>241</v>
      </c>
      <c r="C4539" s="22" t="s">
        <v>4258</v>
      </c>
      <c r="D4539" s="18">
        <v>2022</v>
      </c>
      <c r="E4539" s="18" t="s">
        <v>232</v>
      </c>
      <c r="F4539" s="4">
        <v>1</v>
      </c>
      <c r="G4539" s="4">
        <v>150</v>
      </c>
      <c r="H4539" s="42">
        <v>295</v>
      </c>
    </row>
    <row r="4540" spans="1:33" s="15" customFormat="1" ht="42" hidden="1" customHeight="1" outlineLevel="1" x14ac:dyDescent="0.25">
      <c r="A4540" s="18">
        <v>684</v>
      </c>
      <c r="B4540" s="4" t="s">
        <v>241</v>
      </c>
      <c r="C4540" s="22" t="s">
        <v>521</v>
      </c>
      <c r="D4540" s="18">
        <v>2020</v>
      </c>
      <c r="E4540" s="18" t="s">
        <v>232</v>
      </c>
      <c r="F4540" s="4">
        <v>1</v>
      </c>
      <c r="G4540" s="4">
        <v>150</v>
      </c>
      <c r="H4540" s="42">
        <v>767.56100000000004</v>
      </c>
    </row>
    <row r="4541" spans="1:33" s="15" customFormat="1" ht="42" hidden="1" customHeight="1" outlineLevel="1" x14ac:dyDescent="0.25">
      <c r="A4541" s="18">
        <v>1722</v>
      </c>
      <c r="B4541" s="4" t="s">
        <v>241</v>
      </c>
      <c r="C4541" s="22" t="s">
        <v>528</v>
      </c>
      <c r="D4541" s="18">
        <v>2020</v>
      </c>
      <c r="E4541" s="18" t="s">
        <v>232</v>
      </c>
      <c r="F4541" s="4">
        <v>1</v>
      </c>
      <c r="G4541" s="4">
        <v>180</v>
      </c>
      <c r="H4541" s="42">
        <v>695.17700000000002</v>
      </c>
    </row>
    <row r="4542" spans="1:33" s="15" customFormat="1" ht="42" hidden="1" customHeight="1" outlineLevel="1" x14ac:dyDescent="0.25">
      <c r="A4542" s="18">
        <v>397</v>
      </c>
      <c r="B4542" s="4" t="s">
        <v>241</v>
      </c>
      <c r="C4542" s="22" t="s">
        <v>533</v>
      </c>
      <c r="D4542" s="18">
        <v>2020</v>
      </c>
      <c r="E4542" s="18" t="s">
        <v>232</v>
      </c>
      <c r="F4542" s="4">
        <v>1</v>
      </c>
      <c r="G4542" s="4">
        <v>150</v>
      </c>
      <c r="H4542" s="42">
        <v>748.24599999999998</v>
      </c>
    </row>
    <row r="4543" spans="1:33" s="15" customFormat="1" ht="42" hidden="1" customHeight="1" outlineLevel="1" x14ac:dyDescent="0.25">
      <c r="A4543" s="18">
        <v>1756</v>
      </c>
      <c r="B4543" s="4" t="s">
        <v>241</v>
      </c>
      <c r="C4543" s="22" t="s">
        <v>547</v>
      </c>
      <c r="D4543" s="18">
        <v>2020</v>
      </c>
      <c r="E4543" s="18" t="s">
        <v>232</v>
      </c>
      <c r="F4543" s="4">
        <v>1</v>
      </c>
      <c r="G4543" s="4">
        <v>145</v>
      </c>
      <c r="H4543" s="42">
        <v>542.57100000000003</v>
      </c>
    </row>
    <row r="4544" spans="1:33" s="15" customFormat="1" ht="42" hidden="1" customHeight="1" outlineLevel="1" x14ac:dyDescent="0.25">
      <c r="A4544" s="18">
        <v>398</v>
      </c>
      <c r="B4544" s="4" t="s">
        <v>241</v>
      </c>
      <c r="C4544" s="22" t="s">
        <v>562</v>
      </c>
      <c r="D4544" s="18">
        <v>2020</v>
      </c>
      <c r="E4544" s="18" t="s">
        <v>232</v>
      </c>
      <c r="F4544" s="4">
        <v>1</v>
      </c>
      <c r="G4544" s="4">
        <v>310</v>
      </c>
      <c r="H4544" s="42">
        <v>707.49800000000005</v>
      </c>
    </row>
    <row r="4545" spans="1:33" s="15" customFormat="1" ht="42" hidden="1" customHeight="1" outlineLevel="1" x14ac:dyDescent="0.25">
      <c r="A4545" s="18">
        <v>396</v>
      </c>
      <c r="B4545" s="4" t="s">
        <v>241</v>
      </c>
      <c r="C4545" s="22" t="s">
        <v>10</v>
      </c>
      <c r="D4545" s="18">
        <v>2020</v>
      </c>
      <c r="E4545" s="18" t="s">
        <v>232</v>
      </c>
      <c r="F4545" s="4">
        <v>1</v>
      </c>
      <c r="G4545" s="4">
        <v>115</v>
      </c>
      <c r="H4545" s="42">
        <v>569.46600000000001</v>
      </c>
    </row>
    <row r="4546" spans="1:33" s="15" customFormat="1" ht="60" hidden="1" customHeight="1" outlineLevel="1" x14ac:dyDescent="0.25">
      <c r="A4546" s="18">
        <v>1705</v>
      </c>
      <c r="B4546" s="4" t="s">
        <v>241</v>
      </c>
      <c r="C4546" s="22" t="s">
        <v>581</v>
      </c>
      <c r="D4546" s="18">
        <v>2020</v>
      </c>
      <c r="E4546" s="18" t="s">
        <v>232</v>
      </c>
      <c r="F4546" s="4">
        <v>2</v>
      </c>
      <c r="G4546" s="4">
        <v>454</v>
      </c>
      <c r="H4546" s="42">
        <v>1217.4770000000001</v>
      </c>
    </row>
    <row r="4547" spans="1:33" s="15" customFormat="1" ht="48.75" hidden="1" customHeight="1" outlineLevel="1" x14ac:dyDescent="0.25">
      <c r="A4547" s="18">
        <v>1757</v>
      </c>
      <c r="B4547" s="4" t="s">
        <v>241</v>
      </c>
      <c r="C4547" s="22" t="s">
        <v>166</v>
      </c>
      <c r="D4547" s="18">
        <v>2020</v>
      </c>
      <c r="E4547" s="18" t="s">
        <v>232</v>
      </c>
      <c r="F4547" s="4">
        <v>1</v>
      </c>
      <c r="G4547" s="4">
        <v>150</v>
      </c>
      <c r="H4547" s="42">
        <v>750.14</v>
      </c>
    </row>
    <row r="4548" spans="1:33" s="15" customFormat="1" ht="48.75" hidden="1" customHeight="1" outlineLevel="1" x14ac:dyDescent="0.25">
      <c r="A4548" s="18">
        <v>1758</v>
      </c>
      <c r="B4548" s="4" t="s">
        <v>241</v>
      </c>
      <c r="C4548" s="22" t="s">
        <v>167</v>
      </c>
      <c r="D4548" s="18">
        <v>2020</v>
      </c>
      <c r="E4548" s="18" t="s">
        <v>232</v>
      </c>
      <c r="F4548" s="4">
        <v>1</v>
      </c>
      <c r="G4548" s="4">
        <v>150</v>
      </c>
      <c r="H4548" s="42">
        <v>798.16399999999999</v>
      </c>
    </row>
    <row r="4549" spans="1:33" s="15" customFormat="1" ht="17.25" hidden="1" customHeight="1" outlineLevel="1" x14ac:dyDescent="0.25">
      <c r="A4549" s="46">
        <v>9736</v>
      </c>
      <c r="B4549" s="4" t="s">
        <v>241</v>
      </c>
      <c r="C4549" s="22" t="s">
        <v>1343</v>
      </c>
      <c r="D4549" s="18">
        <v>2021</v>
      </c>
      <c r="E4549" s="18" t="s">
        <v>232</v>
      </c>
      <c r="F4549" s="4">
        <v>1</v>
      </c>
      <c r="G4549" s="4">
        <v>107</v>
      </c>
      <c r="H4549" s="42">
        <v>465.137</v>
      </c>
    </row>
    <row r="4550" spans="1:33" s="15" customFormat="1" ht="94.5" hidden="1" outlineLevel="1" x14ac:dyDescent="0.25">
      <c r="A4550" s="46">
        <v>9681</v>
      </c>
      <c r="B4550" s="4" t="s">
        <v>241</v>
      </c>
      <c r="C4550" s="22" t="s">
        <v>1339</v>
      </c>
      <c r="D4550" s="18">
        <v>2021</v>
      </c>
      <c r="E4550" s="18" t="s">
        <v>232</v>
      </c>
      <c r="F4550" s="4">
        <v>1</v>
      </c>
      <c r="G4550" s="4">
        <v>105</v>
      </c>
      <c r="H4550" s="42">
        <v>583.36500000000001</v>
      </c>
    </row>
    <row r="4551" spans="1:33" s="15" customFormat="1" ht="78.75" hidden="1" outlineLevel="1" x14ac:dyDescent="0.25">
      <c r="A4551" s="45">
        <v>1170</v>
      </c>
      <c r="B4551" s="4" t="s">
        <v>241</v>
      </c>
      <c r="C4551" s="22" t="s">
        <v>1340</v>
      </c>
      <c r="D4551" s="18">
        <v>2021</v>
      </c>
      <c r="E4551" s="18" t="s">
        <v>232</v>
      </c>
      <c r="F4551" s="4">
        <v>1</v>
      </c>
      <c r="G4551" s="4">
        <v>60</v>
      </c>
      <c r="H4551" s="42">
        <v>419.197</v>
      </c>
    </row>
    <row r="4552" spans="1:33" s="15" customFormat="1" ht="63" hidden="1" outlineLevel="1" x14ac:dyDescent="0.25">
      <c r="A4552" s="46">
        <v>9675</v>
      </c>
      <c r="B4552" s="4" t="s">
        <v>241</v>
      </c>
      <c r="C4552" s="22" t="s">
        <v>1975</v>
      </c>
      <c r="D4552" s="18">
        <v>2021</v>
      </c>
      <c r="E4552" s="18" t="s">
        <v>232</v>
      </c>
      <c r="F4552" s="4">
        <v>1</v>
      </c>
      <c r="G4552" s="4">
        <v>150</v>
      </c>
      <c r="H4552" s="42">
        <v>829</v>
      </c>
    </row>
    <row r="4553" spans="1:33" s="15" customFormat="1" ht="63" hidden="1" outlineLevel="1" x14ac:dyDescent="0.25">
      <c r="A4553" s="42">
        <v>9677</v>
      </c>
      <c r="B4553" s="4" t="s">
        <v>241</v>
      </c>
      <c r="C4553" s="22" t="s">
        <v>2016</v>
      </c>
      <c r="D4553" s="18">
        <v>2021</v>
      </c>
      <c r="E4553" s="18" t="s">
        <v>232</v>
      </c>
      <c r="F4553" s="4">
        <v>1</v>
      </c>
      <c r="G4553" s="4">
        <v>150</v>
      </c>
      <c r="H4553" s="42">
        <v>688</v>
      </c>
    </row>
    <row r="4554" spans="1:33" s="15" customFormat="1" ht="47.25" hidden="1" outlineLevel="1" x14ac:dyDescent="0.25">
      <c r="A4554" s="18">
        <v>9612</v>
      </c>
      <c r="B4554" s="4" t="s">
        <v>241</v>
      </c>
      <c r="C4554" s="22" t="s">
        <v>2017</v>
      </c>
      <c r="D4554" s="18">
        <v>2021</v>
      </c>
      <c r="E4554" s="18" t="s">
        <v>232</v>
      </c>
      <c r="F4554" s="4">
        <v>1</v>
      </c>
      <c r="G4554" s="4">
        <v>224</v>
      </c>
      <c r="H4554" s="42">
        <v>493</v>
      </c>
    </row>
    <row r="4555" spans="1:33" s="15" customFormat="1" ht="78.75" hidden="1" outlineLevel="1" x14ac:dyDescent="0.25">
      <c r="A4555" s="18">
        <v>9676</v>
      </c>
      <c r="B4555" s="4" t="s">
        <v>241</v>
      </c>
      <c r="C4555" s="22" t="s">
        <v>2018</v>
      </c>
      <c r="D4555" s="18">
        <v>2021</v>
      </c>
      <c r="E4555" s="18" t="s">
        <v>232</v>
      </c>
      <c r="F4555" s="4">
        <v>1</v>
      </c>
      <c r="G4555" s="4">
        <v>150</v>
      </c>
      <c r="H4555" s="42">
        <v>761</v>
      </c>
    </row>
    <row r="4556" spans="1:33" s="16" customFormat="1" ht="31.5" collapsed="1" x14ac:dyDescent="0.25">
      <c r="A4556" s="18"/>
      <c r="B4556" s="70" t="s">
        <v>242</v>
      </c>
      <c r="C4556" s="71" t="s">
        <v>3226</v>
      </c>
      <c r="D4556" s="69"/>
      <c r="E4556" s="74" t="s">
        <v>234</v>
      </c>
      <c r="F4556" s="69"/>
      <c r="G4556" s="69"/>
      <c r="H4556" s="69"/>
      <c r="I4556" s="15"/>
      <c r="J4556" s="15"/>
      <c r="K4556" s="15"/>
      <c r="L4556" s="15"/>
      <c r="M4556" s="15"/>
      <c r="N4556" s="15"/>
      <c r="O4556" s="15"/>
      <c r="P4556" s="15"/>
      <c r="Q4556" s="15"/>
      <c r="R4556" s="15"/>
      <c r="S4556" s="15"/>
      <c r="T4556" s="15"/>
      <c r="U4556" s="15"/>
      <c r="V4556" s="15"/>
      <c r="W4556" s="15"/>
      <c r="X4556" s="15"/>
      <c r="Y4556" s="15"/>
      <c r="Z4556" s="15"/>
      <c r="AA4556" s="15"/>
      <c r="AB4556" s="15"/>
      <c r="AC4556" s="15"/>
      <c r="AD4556" s="15"/>
      <c r="AE4556" s="15"/>
      <c r="AF4556" s="15"/>
      <c r="AG4556" s="15"/>
    </row>
    <row r="4557" spans="1:33" s="16" customFormat="1" ht="16.5" customHeight="1" x14ac:dyDescent="0.25">
      <c r="A4557" s="18"/>
      <c r="B4557" s="11" t="s">
        <v>242</v>
      </c>
      <c r="C4557" s="12" t="s">
        <v>1102</v>
      </c>
      <c r="D4557" s="20">
        <v>2020</v>
      </c>
      <c r="E4557" s="20" t="s">
        <v>234</v>
      </c>
      <c r="F4557" s="11">
        <f>SUMIF($D$4560:$D$4712,$D$4557,$F$4560:$F$4712)</f>
        <v>56</v>
      </c>
      <c r="G4557" s="14">
        <f>SUMIF($D$4560:$D$4712,$D$4557,$G$4560:$G$4712)</f>
        <v>6860.3499999999995</v>
      </c>
      <c r="H4557" s="14">
        <f>SUMIF($D$4560:$D$4712,$D$4557,$H$4560:$H$4712)</f>
        <v>41982.534749999999</v>
      </c>
      <c r="I4557" s="15"/>
      <c r="J4557" s="15"/>
      <c r="K4557" s="15"/>
      <c r="L4557" s="15"/>
      <c r="M4557" s="15"/>
      <c r="N4557" s="15"/>
      <c r="O4557" s="15"/>
      <c r="P4557" s="15"/>
      <c r="Q4557" s="15"/>
      <c r="R4557" s="15"/>
      <c r="S4557" s="15"/>
      <c r="T4557" s="15"/>
      <c r="U4557" s="15"/>
      <c r="V4557" s="15"/>
      <c r="W4557" s="15"/>
      <c r="X4557" s="15"/>
      <c r="Y4557" s="15"/>
      <c r="Z4557" s="15"/>
      <c r="AA4557" s="15"/>
      <c r="AB4557" s="15"/>
      <c r="AC4557" s="15"/>
      <c r="AD4557" s="15"/>
      <c r="AE4557" s="15"/>
      <c r="AF4557" s="15"/>
      <c r="AG4557" s="15"/>
    </row>
    <row r="4558" spans="1:33" s="26" customFormat="1" ht="16.5" customHeight="1" x14ac:dyDescent="0.25">
      <c r="A4558" s="18"/>
      <c r="B4558" s="11" t="s">
        <v>242</v>
      </c>
      <c r="C4558" s="12" t="s">
        <v>1102</v>
      </c>
      <c r="D4558" s="20">
        <v>2021</v>
      </c>
      <c r="E4558" s="20" t="s">
        <v>234</v>
      </c>
      <c r="F4558" s="11">
        <f>SUMIF($D$4560:$D$4712,$D$4558,$F$4560:$F$4712)</f>
        <v>42</v>
      </c>
      <c r="G4558" s="14">
        <f>SUMIF($D$4560:$D$4712,$D$4558,$G$4560:$G$4712)</f>
        <v>4880.5</v>
      </c>
      <c r="H4558" s="14">
        <f>SUMIF($D$4560:$D$4712,$D$4558,$H$4560:$H$4712)</f>
        <v>27558.715350000002</v>
      </c>
      <c r="I4558" s="15"/>
      <c r="J4558" s="15"/>
      <c r="K4558" s="15"/>
      <c r="L4558" s="15"/>
      <c r="M4558" s="15"/>
      <c r="N4558" s="15"/>
      <c r="O4558" s="15"/>
      <c r="P4558" s="15"/>
      <c r="Q4558" s="15"/>
      <c r="R4558" s="15"/>
      <c r="S4558" s="15"/>
      <c r="T4558" s="15"/>
      <c r="U4558" s="15"/>
      <c r="V4558" s="15"/>
      <c r="W4558" s="15"/>
      <c r="X4558" s="15"/>
      <c r="Y4558" s="15"/>
      <c r="Z4558" s="15"/>
      <c r="AA4558" s="15"/>
      <c r="AB4558" s="15"/>
      <c r="AC4558" s="15"/>
      <c r="AD4558" s="15"/>
      <c r="AE4558" s="15"/>
      <c r="AF4558" s="15"/>
      <c r="AG4558" s="15"/>
    </row>
    <row r="4559" spans="1:33" s="26" customFormat="1" ht="15.75" x14ac:dyDescent="0.25">
      <c r="A4559" s="18"/>
      <c r="B4559" s="11" t="s">
        <v>242</v>
      </c>
      <c r="C4559" s="12" t="s">
        <v>1102</v>
      </c>
      <c r="D4559" s="20">
        <v>2022</v>
      </c>
      <c r="E4559" s="20" t="s">
        <v>234</v>
      </c>
      <c r="F4559" s="11">
        <f>SUMIF($D$4560:$D$4712,$D$4559,$F$4560:$F$4712)</f>
        <v>58</v>
      </c>
      <c r="G4559" s="14">
        <f>SUMIF($D$4560:$D$4712,$D$4559,$G$4560:$G$4712)</f>
        <v>7413.8400000000011</v>
      </c>
      <c r="H4559" s="14">
        <f>SUMIF($D$4560:$D$4712,$D$4559,$H$4560:$H$4712)</f>
        <v>46444.961360000001</v>
      </c>
      <c r="I4559" s="15"/>
      <c r="J4559" s="15"/>
      <c r="K4559" s="15"/>
      <c r="L4559" s="15"/>
      <c r="M4559" s="15"/>
      <c r="N4559" s="15"/>
      <c r="O4559" s="15"/>
      <c r="P4559" s="15"/>
      <c r="Q4559" s="15"/>
      <c r="R4559" s="15"/>
      <c r="S4559" s="15"/>
      <c r="T4559" s="15"/>
      <c r="U4559" s="15"/>
      <c r="V4559" s="15"/>
      <c r="W4559" s="15"/>
      <c r="X4559" s="15"/>
      <c r="Y4559" s="15"/>
      <c r="Z4559" s="15"/>
      <c r="AA4559" s="15"/>
      <c r="AB4559" s="15"/>
      <c r="AC4559" s="15"/>
      <c r="AD4559" s="15"/>
      <c r="AE4559" s="15"/>
      <c r="AF4559" s="15"/>
      <c r="AG4559" s="15"/>
    </row>
    <row r="4560" spans="1:33" s="15" customFormat="1" ht="16.5" hidden="1" customHeight="1" outlineLevel="1" x14ac:dyDescent="0.25">
      <c r="A4560" s="18">
        <v>2710</v>
      </c>
      <c r="B4560" s="4" t="s">
        <v>242</v>
      </c>
      <c r="C4560" s="22" t="s">
        <v>3932</v>
      </c>
      <c r="D4560" s="18">
        <v>2022</v>
      </c>
      <c r="E4560" s="18" t="s">
        <v>234</v>
      </c>
      <c r="F4560" s="18">
        <v>1</v>
      </c>
      <c r="G4560" s="18">
        <v>208.3</v>
      </c>
      <c r="H4560" s="18">
        <v>662.95099999999991</v>
      </c>
    </row>
    <row r="4561" spans="1:8" s="15" customFormat="1" ht="16.5" hidden="1" customHeight="1" outlineLevel="1" x14ac:dyDescent="0.25">
      <c r="A4561" s="18">
        <v>2779</v>
      </c>
      <c r="B4561" s="4" t="s">
        <v>242</v>
      </c>
      <c r="C4561" s="22" t="s">
        <v>3256</v>
      </c>
      <c r="D4561" s="18">
        <v>2022</v>
      </c>
      <c r="E4561" s="18" t="s">
        <v>234</v>
      </c>
      <c r="F4561" s="18">
        <v>1</v>
      </c>
      <c r="G4561" s="18">
        <v>150</v>
      </c>
      <c r="H4561" s="18">
        <f>0.700287*(1000)</f>
        <v>700.28700000000003</v>
      </c>
    </row>
    <row r="4562" spans="1:8" s="15" customFormat="1" ht="16.5" hidden="1" customHeight="1" outlineLevel="1" x14ac:dyDescent="0.25">
      <c r="A4562" s="18">
        <v>2733</v>
      </c>
      <c r="B4562" s="4" t="s">
        <v>242</v>
      </c>
      <c r="C4562" s="22" t="s">
        <v>3937</v>
      </c>
      <c r="D4562" s="18">
        <v>2022</v>
      </c>
      <c r="E4562" s="18" t="s">
        <v>234</v>
      </c>
      <c r="F4562" s="18">
        <v>1</v>
      </c>
      <c r="G4562" s="18">
        <v>150</v>
      </c>
      <c r="H4562" s="18">
        <f>0.601501*(1000)</f>
        <v>601.50099999999998</v>
      </c>
    </row>
    <row r="4563" spans="1:8" s="15" customFormat="1" ht="16.5" hidden="1" customHeight="1" outlineLevel="1" x14ac:dyDescent="0.25">
      <c r="A4563" s="18">
        <v>2914</v>
      </c>
      <c r="B4563" s="4" t="s">
        <v>242</v>
      </c>
      <c r="C4563" s="22" t="s">
        <v>3284</v>
      </c>
      <c r="D4563" s="18">
        <v>2022</v>
      </c>
      <c r="E4563" s="18" t="s">
        <v>234</v>
      </c>
      <c r="F4563" s="18">
        <v>1</v>
      </c>
      <c r="G4563" s="18">
        <v>120</v>
      </c>
      <c r="H4563" s="18">
        <f>0.70551*(1000)</f>
        <v>705.51</v>
      </c>
    </row>
    <row r="4564" spans="1:8" s="15" customFormat="1" ht="16.5" hidden="1" customHeight="1" outlineLevel="1" x14ac:dyDescent="0.25">
      <c r="A4564" s="18">
        <v>2916</v>
      </c>
      <c r="B4564" s="4" t="s">
        <v>242</v>
      </c>
      <c r="C4564" s="22" t="s">
        <v>3285</v>
      </c>
      <c r="D4564" s="18">
        <v>2022</v>
      </c>
      <c r="E4564" s="18" t="s">
        <v>234</v>
      </c>
      <c r="F4564" s="18">
        <v>1</v>
      </c>
      <c r="G4564" s="18">
        <v>100</v>
      </c>
      <c r="H4564" s="18">
        <f>0.701526*(1000)</f>
        <v>701.52599999999995</v>
      </c>
    </row>
    <row r="4565" spans="1:8" s="15" customFormat="1" ht="16.5" hidden="1" customHeight="1" outlineLevel="1" x14ac:dyDescent="0.25">
      <c r="A4565" s="18">
        <v>2858</v>
      </c>
      <c r="B4565" s="4" t="s">
        <v>242</v>
      </c>
      <c r="C4565" s="22" t="s">
        <v>3286</v>
      </c>
      <c r="D4565" s="18">
        <v>2022</v>
      </c>
      <c r="E4565" s="18" t="s">
        <v>234</v>
      </c>
      <c r="F4565" s="18">
        <v>1</v>
      </c>
      <c r="G4565" s="18">
        <v>150</v>
      </c>
      <c r="H4565" s="18">
        <f>0.596226*(1000)</f>
        <v>596.226</v>
      </c>
    </row>
    <row r="4566" spans="1:8" s="15" customFormat="1" ht="16.5" hidden="1" customHeight="1" outlineLevel="1" x14ac:dyDescent="0.25">
      <c r="A4566" s="18">
        <v>2919</v>
      </c>
      <c r="B4566" s="4" t="s">
        <v>242</v>
      </c>
      <c r="C4566" s="22" t="s">
        <v>3939</v>
      </c>
      <c r="D4566" s="18">
        <v>2022</v>
      </c>
      <c r="E4566" s="18" t="s">
        <v>234</v>
      </c>
      <c r="F4566" s="18">
        <v>1</v>
      </c>
      <c r="G4566" s="18">
        <v>30</v>
      </c>
      <c r="H4566" s="18">
        <f>0.677636*(1000)</f>
        <v>677.63599999999997</v>
      </c>
    </row>
    <row r="4567" spans="1:8" s="15" customFormat="1" ht="16.5" hidden="1" customHeight="1" outlineLevel="1" x14ac:dyDescent="0.25">
      <c r="A4567" s="18">
        <v>2861</v>
      </c>
      <c r="B4567" s="4" t="s">
        <v>242</v>
      </c>
      <c r="C4567" s="22" t="s">
        <v>3298</v>
      </c>
      <c r="D4567" s="18">
        <v>2022</v>
      </c>
      <c r="E4567" s="18" t="s">
        <v>234</v>
      </c>
      <c r="F4567" s="18">
        <v>1</v>
      </c>
      <c r="G4567" s="18">
        <v>100</v>
      </c>
      <c r="H4567" s="18">
        <f>0.74994895*(1000)</f>
        <v>749.94894999999997</v>
      </c>
    </row>
    <row r="4568" spans="1:8" s="15" customFormat="1" ht="16.5" hidden="1" customHeight="1" outlineLevel="1" x14ac:dyDescent="0.25">
      <c r="A4568" s="18">
        <v>4124</v>
      </c>
      <c r="B4568" s="4" t="s">
        <v>242</v>
      </c>
      <c r="C4568" s="22" t="s">
        <v>3309</v>
      </c>
      <c r="D4568" s="18">
        <v>2022</v>
      </c>
      <c r="E4568" s="18" t="s">
        <v>234</v>
      </c>
      <c r="F4568" s="18">
        <v>1</v>
      </c>
      <c r="G4568" s="18">
        <v>108.67</v>
      </c>
      <c r="H4568" s="18">
        <f>1.278373*(1000)</f>
        <v>1278.373</v>
      </c>
    </row>
    <row r="4569" spans="1:8" s="15" customFormat="1" ht="16.5" hidden="1" customHeight="1" outlineLevel="1" x14ac:dyDescent="0.25">
      <c r="A4569" s="18">
        <v>4224</v>
      </c>
      <c r="B4569" s="4" t="s">
        <v>242</v>
      </c>
      <c r="C4569" s="22" t="s">
        <v>4012</v>
      </c>
      <c r="D4569" s="18">
        <v>2022</v>
      </c>
      <c r="E4569" s="18" t="s">
        <v>234</v>
      </c>
      <c r="F4569" s="18">
        <v>1</v>
      </c>
      <c r="G4569" s="18">
        <v>104</v>
      </c>
      <c r="H4569" s="18">
        <f>1.02267551*(1000)</f>
        <v>1022.67551</v>
      </c>
    </row>
    <row r="4570" spans="1:8" s="15" customFormat="1" ht="16.5" hidden="1" customHeight="1" outlineLevel="1" x14ac:dyDescent="0.25">
      <c r="A4570" s="18">
        <v>4228</v>
      </c>
      <c r="B4570" s="4" t="s">
        <v>242</v>
      </c>
      <c r="C4570" s="22" t="s">
        <v>3945</v>
      </c>
      <c r="D4570" s="18">
        <v>2022</v>
      </c>
      <c r="E4570" s="18" t="s">
        <v>234</v>
      </c>
      <c r="F4570" s="18">
        <v>1</v>
      </c>
      <c r="G4570" s="18">
        <v>175</v>
      </c>
      <c r="H4570" s="18">
        <f>0.75683542*(1000)</f>
        <v>756.83542</v>
      </c>
    </row>
    <row r="4571" spans="1:8" s="15" customFormat="1" ht="16.5" hidden="1" customHeight="1" outlineLevel="1" x14ac:dyDescent="0.25">
      <c r="A4571" s="18">
        <v>2887</v>
      </c>
      <c r="B4571" s="4" t="s">
        <v>242</v>
      </c>
      <c r="C4571" s="22" t="s">
        <v>3357</v>
      </c>
      <c r="D4571" s="18">
        <v>2022</v>
      </c>
      <c r="E4571" s="18" t="s">
        <v>234</v>
      </c>
      <c r="F4571" s="18">
        <v>1</v>
      </c>
      <c r="G4571" s="18">
        <v>100</v>
      </c>
      <c r="H4571" s="18">
        <f>0.761579*(1000)</f>
        <v>761.57899999999995</v>
      </c>
    </row>
    <row r="4572" spans="1:8" s="15" customFormat="1" ht="16.5" hidden="1" customHeight="1" outlineLevel="1" x14ac:dyDescent="0.25">
      <c r="A4572" s="18">
        <v>3003</v>
      </c>
      <c r="B4572" s="4" t="s">
        <v>242</v>
      </c>
      <c r="C4572" s="22" t="s">
        <v>3947</v>
      </c>
      <c r="D4572" s="18">
        <v>2022</v>
      </c>
      <c r="E4572" s="18" t="s">
        <v>234</v>
      </c>
      <c r="F4572" s="18">
        <v>1</v>
      </c>
      <c r="G4572" s="18">
        <v>185</v>
      </c>
      <c r="H4572" s="18">
        <f>0.922466*(1000)</f>
        <v>922.46600000000001</v>
      </c>
    </row>
    <row r="4573" spans="1:8" s="15" customFormat="1" ht="16.5" hidden="1" customHeight="1" outlineLevel="1" x14ac:dyDescent="0.25">
      <c r="A4573" s="18">
        <v>1578</v>
      </c>
      <c r="B4573" s="4" t="s">
        <v>242</v>
      </c>
      <c r="C4573" s="22" t="s">
        <v>4259</v>
      </c>
      <c r="D4573" s="18">
        <v>2022</v>
      </c>
      <c r="E4573" s="18" t="s">
        <v>234</v>
      </c>
      <c r="F4573" s="18">
        <v>1</v>
      </c>
      <c r="G4573" s="18">
        <v>70</v>
      </c>
      <c r="H4573" s="18">
        <v>344.33596999999997</v>
      </c>
    </row>
    <row r="4574" spans="1:8" s="15" customFormat="1" ht="16.5" hidden="1" customHeight="1" outlineLevel="1" x14ac:dyDescent="0.25">
      <c r="A4574" s="18">
        <v>449</v>
      </c>
      <c r="B4574" s="4" t="s">
        <v>242</v>
      </c>
      <c r="C4574" s="22" t="s">
        <v>3953</v>
      </c>
      <c r="D4574" s="18">
        <v>2022</v>
      </c>
      <c r="E4574" s="18" t="s">
        <v>234</v>
      </c>
      <c r="F4574" s="18">
        <v>1</v>
      </c>
      <c r="G4574" s="18">
        <v>149</v>
      </c>
      <c r="H4574" s="18">
        <v>777.35879</v>
      </c>
    </row>
    <row r="4575" spans="1:8" s="15" customFormat="1" ht="16.5" hidden="1" customHeight="1" outlineLevel="1" x14ac:dyDescent="0.25">
      <c r="A4575" s="18">
        <v>451</v>
      </c>
      <c r="B4575" s="4" t="s">
        <v>242</v>
      </c>
      <c r="C4575" s="22" t="s">
        <v>3954</v>
      </c>
      <c r="D4575" s="18">
        <v>2022</v>
      </c>
      <c r="E4575" s="18" t="s">
        <v>234</v>
      </c>
      <c r="F4575" s="18">
        <v>1</v>
      </c>
      <c r="G4575" s="18">
        <v>150</v>
      </c>
      <c r="H4575" s="18">
        <v>784.04244000000006</v>
      </c>
    </row>
    <row r="4576" spans="1:8" s="15" customFormat="1" ht="16.5" hidden="1" customHeight="1" outlineLevel="1" x14ac:dyDescent="0.25">
      <c r="A4576" s="18">
        <v>450</v>
      </c>
      <c r="B4576" s="4" t="s">
        <v>242</v>
      </c>
      <c r="C4576" s="22" t="s">
        <v>4025</v>
      </c>
      <c r="D4576" s="18">
        <v>2022</v>
      </c>
      <c r="E4576" s="18" t="s">
        <v>234</v>
      </c>
      <c r="F4576" s="18">
        <v>1</v>
      </c>
      <c r="G4576" s="18">
        <v>150</v>
      </c>
      <c r="H4576" s="18">
        <v>756.99225000000001</v>
      </c>
    </row>
    <row r="4577" spans="1:8" s="15" customFormat="1" ht="16.5" hidden="1" customHeight="1" outlineLevel="1" x14ac:dyDescent="0.25">
      <c r="A4577" s="18">
        <v>471</v>
      </c>
      <c r="B4577" s="4" t="s">
        <v>242</v>
      </c>
      <c r="C4577" s="22" t="s">
        <v>4033</v>
      </c>
      <c r="D4577" s="18">
        <v>2022</v>
      </c>
      <c r="E4577" s="18" t="s">
        <v>234</v>
      </c>
      <c r="F4577" s="18">
        <v>1</v>
      </c>
      <c r="G4577" s="18">
        <v>150</v>
      </c>
      <c r="H4577" s="18">
        <v>848.55839000000003</v>
      </c>
    </row>
    <row r="4578" spans="1:8" s="15" customFormat="1" ht="16.5" hidden="1" customHeight="1" outlineLevel="1" x14ac:dyDescent="0.25">
      <c r="A4578" s="18">
        <v>472</v>
      </c>
      <c r="B4578" s="4" t="s">
        <v>242</v>
      </c>
      <c r="C4578" s="22" t="s">
        <v>4034</v>
      </c>
      <c r="D4578" s="18">
        <v>2022</v>
      </c>
      <c r="E4578" s="18" t="s">
        <v>234</v>
      </c>
      <c r="F4578" s="18">
        <v>1</v>
      </c>
      <c r="G4578" s="18">
        <v>100</v>
      </c>
      <c r="H4578" s="18">
        <v>905.37117000000001</v>
      </c>
    </row>
    <row r="4579" spans="1:8" s="15" customFormat="1" ht="16.5" hidden="1" customHeight="1" outlineLevel="1" x14ac:dyDescent="0.25">
      <c r="A4579" s="18">
        <v>475</v>
      </c>
      <c r="B4579" s="4" t="s">
        <v>242</v>
      </c>
      <c r="C4579" s="22" t="s">
        <v>3959</v>
      </c>
      <c r="D4579" s="18">
        <v>2022</v>
      </c>
      <c r="E4579" s="18" t="s">
        <v>234</v>
      </c>
      <c r="F4579" s="18">
        <v>1</v>
      </c>
      <c r="G4579" s="18">
        <v>150</v>
      </c>
      <c r="H4579" s="18">
        <v>664.29898000000003</v>
      </c>
    </row>
    <row r="4580" spans="1:8" s="15" customFormat="1" ht="16.5" hidden="1" customHeight="1" outlineLevel="1" x14ac:dyDescent="0.25">
      <c r="A4580" s="18">
        <v>4570</v>
      </c>
      <c r="B4580" s="4" t="s">
        <v>242</v>
      </c>
      <c r="C4580" s="22" t="s">
        <v>4071</v>
      </c>
      <c r="D4580" s="18">
        <v>2022</v>
      </c>
      <c r="E4580" s="18" t="s">
        <v>234</v>
      </c>
      <c r="F4580" s="18">
        <v>1</v>
      </c>
      <c r="G4580" s="18">
        <v>139.4</v>
      </c>
      <c r="H4580" s="18">
        <v>887</v>
      </c>
    </row>
    <row r="4581" spans="1:8" s="15" customFormat="1" ht="16.5" hidden="1" customHeight="1" outlineLevel="1" x14ac:dyDescent="0.25">
      <c r="A4581" s="18">
        <v>4580</v>
      </c>
      <c r="B4581" s="4" t="s">
        <v>242</v>
      </c>
      <c r="C4581" s="22" t="s">
        <v>4072</v>
      </c>
      <c r="D4581" s="18">
        <v>2022</v>
      </c>
      <c r="E4581" s="18" t="s">
        <v>234</v>
      </c>
      <c r="F4581" s="18">
        <v>1</v>
      </c>
      <c r="G4581" s="18">
        <v>134.5</v>
      </c>
      <c r="H4581" s="18">
        <v>847</v>
      </c>
    </row>
    <row r="4582" spans="1:8" s="15" customFormat="1" ht="16.5" hidden="1" customHeight="1" outlineLevel="1" x14ac:dyDescent="0.25">
      <c r="A4582" s="18">
        <v>4745</v>
      </c>
      <c r="B4582" s="4" t="s">
        <v>242</v>
      </c>
      <c r="C4582" s="22" t="s">
        <v>3972</v>
      </c>
      <c r="D4582" s="18">
        <v>2022</v>
      </c>
      <c r="E4582" s="18" t="s">
        <v>234</v>
      </c>
      <c r="F4582" s="18">
        <v>1</v>
      </c>
      <c r="G4582" s="18">
        <v>150</v>
      </c>
      <c r="H4582" s="18">
        <v>1146</v>
      </c>
    </row>
    <row r="4583" spans="1:8" s="15" customFormat="1" ht="16.5" hidden="1" customHeight="1" outlineLevel="1" x14ac:dyDescent="0.25">
      <c r="A4583" s="18">
        <v>4616</v>
      </c>
      <c r="B4583" s="4" t="s">
        <v>242</v>
      </c>
      <c r="C4583" s="22" t="s">
        <v>3974</v>
      </c>
      <c r="D4583" s="18">
        <v>2022</v>
      </c>
      <c r="E4583" s="18" t="s">
        <v>234</v>
      </c>
      <c r="F4583" s="18">
        <v>1</v>
      </c>
      <c r="G4583" s="18">
        <v>100</v>
      </c>
      <c r="H4583" s="18">
        <v>522</v>
      </c>
    </row>
    <row r="4584" spans="1:8" s="15" customFormat="1" ht="16.5" hidden="1" customHeight="1" outlineLevel="1" x14ac:dyDescent="0.25">
      <c r="A4584" s="18">
        <v>4702</v>
      </c>
      <c r="B4584" s="4" t="s">
        <v>242</v>
      </c>
      <c r="C4584" s="22" t="s">
        <v>4128</v>
      </c>
      <c r="D4584" s="18">
        <v>2022</v>
      </c>
      <c r="E4584" s="18" t="s">
        <v>234</v>
      </c>
      <c r="F4584" s="18">
        <v>1</v>
      </c>
      <c r="G4584" s="18">
        <v>100</v>
      </c>
      <c r="H4584" s="18">
        <v>658</v>
      </c>
    </row>
    <row r="4585" spans="1:8" s="15" customFormat="1" ht="16.5" hidden="1" customHeight="1" outlineLevel="1" x14ac:dyDescent="0.25">
      <c r="A4585" s="18">
        <v>4853</v>
      </c>
      <c r="B4585" s="4" t="s">
        <v>242</v>
      </c>
      <c r="C4585" s="22" t="s">
        <v>4223</v>
      </c>
      <c r="D4585" s="18">
        <v>2022</v>
      </c>
      <c r="E4585" s="18" t="s">
        <v>234</v>
      </c>
      <c r="F4585" s="18">
        <v>1</v>
      </c>
      <c r="G4585" s="18">
        <v>150</v>
      </c>
      <c r="H4585" s="18">
        <v>905</v>
      </c>
    </row>
    <row r="4586" spans="1:8" s="15" customFormat="1" ht="16.5" hidden="1" customHeight="1" outlineLevel="1" x14ac:dyDescent="0.25">
      <c r="A4586" s="18">
        <v>1891</v>
      </c>
      <c r="B4586" s="4" t="s">
        <v>242</v>
      </c>
      <c r="C4586" s="22" t="s">
        <v>4200</v>
      </c>
      <c r="D4586" s="18">
        <v>2022</v>
      </c>
      <c r="E4586" s="18" t="s">
        <v>234</v>
      </c>
      <c r="F4586" s="18">
        <v>1</v>
      </c>
      <c r="G4586" s="18">
        <v>150</v>
      </c>
      <c r="H4586" s="18">
        <v>557.20100000000002</v>
      </c>
    </row>
    <row r="4587" spans="1:8" s="15" customFormat="1" ht="16.5" hidden="1" customHeight="1" outlineLevel="1" x14ac:dyDescent="0.25">
      <c r="A4587" s="18">
        <v>2009</v>
      </c>
      <c r="B4587" s="4" t="s">
        <v>242</v>
      </c>
      <c r="C4587" s="22" t="s">
        <v>4201</v>
      </c>
      <c r="D4587" s="18">
        <v>2022</v>
      </c>
      <c r="E4587" s="18" t="s">
        <v>234</v>
      </c>
      <c r="F4587" s="18">
        <v>1</v>
      </c>
      <c r="G4587" s="18">
        <v>150</v>
      </c>
      <c r="H4587" s="18">
        <v>738.95500000000004</v>
      </c>
    </row>
    <row r="4588" spans="1:8" s="15" customFormat="1" ht="16.5" hidden="1" customHeight="1" outlineLevel="1" x14ac:dyDescent="0.25">
      <c r="A4588" s="18">
        <v>2067</v>
      </c>
      <c r="B4588" s="4" t="s">
        <v>242</v>
      </c>
      <c r="C4588" s="22" t="s">
        <v>4202</v>
      </c>
      <c r="D4588" s="18">
        <v>2022</v>
      </c>
      <c r="E4588" s="18" t="s">
        <v>234</v>
      </c>
      <c r="F4588" s="18">
        <v>1</v>
      </c>
      <c r="G4588" s="18">
        <v>145</v>
      </c>
      <c r="H4588" s="18">
        <v>883.32</v>
      </c>
    </row>
    <row r="4589" spans="1:8" s="15" customFormat="1" ht="16.5" hidden="1" customHeight="1" outlineLevel="1" x14ac:dyDescent="0.25">
      <c r="A4589" s="18">
        <v>2243</v>
      </c>
      <c r="B4589" s="4" t="s">
        <v>242</v>
      </c>
      <c r="C4589" s="22" t="s">
        <v>4208</v>
      </c>
      <c r="D4589" s="18">
        <v>2022</v>
      </c>
      <c r="E4589" s="18" t="s">
        <v>234</v>
      </c>
      <c r="F4589" s="18">
        <v>1</v>
      </c>
      <c r="G4589" s="18">
        <v>100</v>
      </c>
      <c r="H4589" s="18">
        <v>760.82078999999999</v>
      </c>
    </row>
    <row r="4590" spans="1:8" s="15" customFormat="1" ht="16.5" hidden="1" customHeight="1" outlineLevel="1" x14ac:dyDescent="0.25">
      <c r="A4590" s="18">
        <v>2416</v>
      </c>
      <c r="B4590" s="4" t="s">
        <v>242</v>
      </c>
      <c r="C4590" s="22" t="s">
        <v>4210</v>
      </c>
      <c r="D4590" s="18">
        <v>2022</v>
      </c>
      <c r="E4590" s="18" t="s">
        <v>234</v>
      </c>
      <c r="F4590" s="18">
        <v>1</v>
      </c>
      <c r="G4590" s="18">
        <v>150</v>
      </c>
      <c r="H4590" s="18">
        <v>808.41399999999999</v>
      </c>
    </row>
    <row r="4591" spans="1:8" s="15" customFormat="1" ht="16.5" hidden="1" customHeight="1" outlineLevel="1" x14ac:dyDescent="0.25">
      <c r="A4591" s="18">
        <v>2542</v>
      </c>
      <c r="B4591" s="4" t="s">
        <v>242</v>
      </c>
      <c r="C4591" s="22" t="s">
        <v>4226</v>
      </c>
      <c r="D4591" s="18">
        <v>2022</v>
      </c>
      <c r="E4591" s="18" t="s">
        <v>234</v>
      </c>
      <c r="F4591" s="18">
        <v>1</v>
      </c>
      <c r="G4591" s="18">
        <v>150</v>
      </c>
      <c r="H4591" s="18">
        <v>1344.873</v>
      </c>
    </row>
    <row r="4592" spans="1:8" s="15" customFormat="1" ht="16.5" hidden="1" customHeight="1" outlineLevel="1" x14ac:dyDescent="0.25">
      <c r="A4592" s="18">
        <v>2169</v>
      </c>
      <c r="B4592" s="4" t="s">
        <v>242</v>
      </c>
      <c r="C4592" s="22" t="s">
        <v>4178</v>
      </c>
      <c r="D4592" s="18">
        <v>2022</v>
      </c>
      <c r="E4592" s="18" t="s">
        <v>234</v>
      </c>
      <c r="F4592" s="18">
        <v>1</v>
      </c>
      <c r="G4592" s="18">
        <v>60</v>
      </c>
      <c r="H4592" s="18">
        <v>3979.1840000000002</v>
      </c>
    </row>
    <row r="4593" spans="1:8" s="15" customFormat="1" ht="16.5" hidden="1" customHeight="1" outlineLevel="1" x14ac:dyDescent="0.25">
      <c r="A4593" s="18">
        <v>2431</v>
      </c>
      <c r="B4593" s="4" t="s">
        <v>242</v>
      </c>
      <c r="C4593" s="22" t="s">
        <v>4214</v>
      </c>
      <c r="D4593" s="18">
        <v>2022</v>
      </c>
      <c r="E4593" s="18" t="s">
        <v>234</v>
      </c>
      <c r="F4593" s="18">
        <v>1</v>
      </c>
      <c r="G4593" s="18">
        <v>150</v>
      </c>
      <c r="H4593" s="18">
        <v>700.55500000000006</v>
      </c>
    </row>
    <row r="4594" spans="1:8" s="15" customFormat="1" ht="16.5" hidden="1" customHeight="1" outlineLevel="1" x14ac:dyDescent="0.25">
      <c r="A4594" s="18">
        <v>2510</v>
      </c>
      <c r="B4594" s="4" t="s">
        <v>242</v>
      </c>
      <c r="C4594" s="22" t="s">
        <v>4215</v>
      </c>
      <c r="D4594" s="18">
        <v>2022</v>
      </c>
      <c r="E4594" s="18" t="s">
        <v>234</v>
      </c>
      <c r="F4594" s="18">
        <v>1</v>
      </c>
      <c r="G4594" s="18">
        <v>200</v>
      </c>
      <c r="H4594" s="18">
        <v>814.98269999999991</v>
      </c>
    </row>
    <row r="4595" spans="1:8" s="15" customFormat="1" ht="16.5" hidden="1" customHeight="1" outlineLevel="1" x14ac:dyDescent="0.25">
      <c r="A4595" s="18">
        <v>2567</v>
      </c>
      <c r="B4595" s="4" t="s">
        <v>242</v>
      </c>
      <c r="C4595" s="22" t="s">
        <v>4216</v>
      </c>
      <c r="D4595" s="18">
        <v>2022</v>
      </c>
      <c r="E4595" s="18" t="s">
        <v>234</v>
      </c>
      <c r="F4595" s="18">
        <v>1</v>
      </c>
      <c r="G4595" s="18">
        <v>150</v>
      </c>
      <c r="H4595" s="18">
        <v>1295.7929999999999</v>
      </c>
    </row>
    <row r="4596" spans="1:8" s="15" customFormat="1" ht="16.5" hidden="1" customHeight="1" outlineLevel="1" x14ac:dyDescent="0.25">
      <c r="A4596" s="18">
        <v>5579</v>
      </c>
      <c r="B4596" s="4" t="s">
        <v>242</v>
      </c>
      <c r="C4596" s="22" t="s">
        <v>3613</v>
      </c>
      <c r="D4596" s="18">
        <v>2022</v>
      </c>
      <c r="E4596" s="18" t="s">
        <v>234</v>
      </c>
      <c r="F4596" s="18">
        <v>1</v>
      </c>
      <c r="G4596" s="18">
        <v>50</v>
      </c>
      <c r="H4596" s="18">
        <v>615.29899999999998</v>
      </c>
    </row>
    <row r="4597" spans="1:8" s="15" customFormat="1" ht="16.5" hidden="1" customHeight="1" outlineLevel="1" x14ac:dyDescent="0.25">
      <c r="A4597" s="18">
        <v>5421</v>
      </c>
      <c r="B4597" s="4" t="s">
        <v>242</v>
      </c>
      <c r="C4597" s="22" t="s">
        <v>4036</v>
      </c>
      <c r="D4597" s="18">
        <v>2022</v>
      </c>
      <c r="E4597" s="18" t="s">
        <v>234</v>
      </c>
      <c r="F4597" s="18">
        <v>1</v>
      </c>
      <c r="G4597" s="18">
        <v>130</v>
      </c>
      <c r="H4597" s="18">
        <v>742.68</v>
      </c>
    </row>
    <row r="4598" spans="1:8" s="15" customFormat="1" ht="16.5" hidden="1" customHeight="1" outlineLevel="1" x14ac:dyDescent="0.25">
      <c r="A4598" s="18">
        <v>5834</v>
      </c>
      <c r="B4598" s="4" t="s">
        <v>242</v>
      </c>
      <c r="C4598" s="22" t="s">
        <v>3656</v>
      </c>
      <c r="D4598" s="18">
        <v>2022</v>
      </c>
      <c r="E4598" s="18" t="s">
        <v>234</v>
      </c>
      <c r="F4598" s="18">
        <v>1</v>
      </c>
      <c r="G4598" s="18">
        <v>100</v>
      </c>
      <c r="H4598" s="18">
        <v>619.23900000000003</v>
      </c>
    </row>
    <row r="4599" spans="1:8" s="15" customFormat="1" ht="16.5" hidden="1" customHeight="1" outlineLevel="1" x14ac:dyDescent="0.25">
      <c r="A4599" s="18">
        <v>5861</v>
      </c>
      <c r="B4599" s="4" t="s">
        <v>242</v>
      </c>
      <c r="C4599" s="22" t="s">
        <v>3978</v>
      </c>
      <c r="D4599" s="18">
        <v>2022</v>
      </c>
      <c r="E4599" s="18" t="s">
        <v>234</v>
      </c>
      <c r="F4599" s="18">
        <v>1</v>
      </c>
      <c r="G4599" s="18">
        <v>150</v>
      </c>
      <c r="H4599" s="18">
        <v>879.17200000000003</v>
      </c>
    </row>
    <row r="4600" spans="1:8" s="15" customFormat="1" ht="16.5" hidden="1" customHeight="1" outlineLevel="1" x14ac:dyDescent="0.25">
      <c r="A4600" s="18">
        <v>116</v>
      </c>
      <c r="B4600" s="4" t="s">
        <v>242</v>
      </c>
      <c r="C4600" s="22" t="s">
        <v>3695</v>
      </c>
      <c r="D4600" s="18">
        <v>2022</v>
      </c>
      <c r="E4600" s="18" t="s">
        <v>234</v>
      </c>
      <c r="F4600" s="18">
        <v>1</v>
      </c>
      <c r="G4600" s="18">
        <v>150</v>
      </c>
      <c r="H4600" s="18">
        <v>807</v>
      </c>
    </row>
    <row r="4601" spans="1:8" s="15" customFormat="1" ht="16.5" hidden="1" customHeight="1" outlineLevel="1" x14ac:dyDescent="0.25">
      <c r="A4601" s="18">
        <v>152</v>
      </c>
      <c r="B4601" s="4" t="s">
        <v>242</v>
      </c>
      <c r="C4601" s="22" t="s">
        <v>3700</v>
      </c>
      <c r="D4601" s="18">
        <v>2022</v>
      </c>
      <c r="E4601" s="18" t="s">
        <v>234</v>
      </c>
      <c r="F4601" s="18">
        <v>1</v>
      </c>
      <c r="G4601" s="18">
        <v>150</v>
      </c>
      <c r="H4601" s="18">
        <v>818</v>
      </c>
    </row>
    <row r="4602" spans="1:8" s="15" customFormat="1" ht="16.5" hidden="1" customHeight="1" outlineLevel="1" x14ac:dyDescent="0.25">
      <c r="A4602" s="18">
        <v>128</v>
      </c>
      <c r="B4602" s="4" t="s">
        <v>242</v>
      </c>
      <c r="C4602" s="22" t="s">
        <v>3714</v>
      </c>
      <c r="D4602" s="18">
        <v>2022</v>
      </c>
      <c r="E4602" s="18" t="s">
        <v>234</v>
      </c>
      <c r="F4602" s="18">
        <v>1</v>
      </c>
      <c r="G4602" s="18">
        <v>45</v>
      </c>
      <c r="H4602" s="18">
        <v>463</v>
      </c>
    </row>
    <row r="4603" spans="1:8" s="15" customFormat="1" ht="16.5" hidden="1" customHeight="1" outlineLevel="1" x14ac:dyDescent="0.25">
      <c r="A4603" s="18">
        <v>165</v>
      </c>
      <c r="B4603" s="4" t="s">
        <v>242</v>
      </c>
      <c r="C4603" s="22" t="s">
        <v>3721</v>
      </c>
      <c r="D4603" s="18">
        <v>2022</v>
      </c>
      <c r="E4603" s="18" t="s">
        <v>234</v>
      </c>
      <c r="F4603" s="18">
        <v>1</v>
      </c>
      <c r="G4603" s="18">
        <v>15</v>
      </c>
      <c r="H4603" s="18">
        <v>323</v>
      </c>
    </row>
    <row r="4604" spans="1:8" s="15" customFormat="1" ht="16.5" hidden="1" customHeight="1" outlineLevel="1" x14ac:dyDescent="0.25">
      <c r="A4604" s="18">
        <v>106</v>
      </c>
      <c r="B4604" s="4" t="s">
        <v>242</v>
      </c>
      <c r="C4604" s="22" t="s">
        <v>3739</v>
      </c>
      <c r="D4604" s="18">
        <v>2022</v>
      </c>
      <c r="E4604" s="18" t="s">
        <v>234</v>
      </c>
      <c r="F4604" s="18">
        <v>1</v>
      </c>
      <c r="G4604" s="18">
        <v>45</v>
      </c>
      <c r="H4604" s="18">
        <v>380</v>
      </c>
    </row>
    <row r="4605" spans="1:8" s="15" customFormat="1" ht="16.5" hidden="1" customHeight="1" outlineLevel="1" x14ac:dyDescent="0.25">
      <c r="A4605" s="18">
        <v>18</v>
      </c>
      <c r="B4605" s="4" t="s">
        <v>242</v>
      </c>
      <c r="C4605" s="22" t="s">
        <v>3743</v>
      </c>
      <c r="D4605" s="18">
        <v>2022</v>
      </c>
      <c r="E4605" s="18" t="s">
        <v>234</v>
      </c>
      <c r="F4605" s="18">
        <v>1</v>
      </c>
      <c r="G4605" s="18">
        <v>150</v>
      </c>
      <c r="H4605" s="18">
        <v>712</v>
      </c>
    </row>
    <row r="4606" spans="1:8" s="15" customFormat="1" ht="16.5" hidden="1" customHeight="1" outlineLevel="1" x14ac:dyDescent="0.25">
      <c r="A4606" s="18">
        <v>45</v>
      </c>
      <c r="B4606" s="4" t="s">
        <v>242</v>
      </c>
      <c r="C4606" s="22" t="s">
        <v>3753</v>
      </c>
      <c r="D4606" s="18">
        <v>2022</v>
      </c>
      <c r="E4606" s="18" t="s">
        <v>234</v>
      </c>
      <c r="F4606" s="18">
        <v>1</v>
      </c>
      <c r="G4606" s="18">
        <v>100</v>
      </c>
      <c r="H4606" s="18">
        <v>597</v>
      </c>
    </row>
    <row r="4607" spans="1:8" s="15" customFormat="1" ht="16.5" hidden="1" customHeight="1" outlineLevel="1" x14ac:dyDescent="0.25">
      <c r="A4607" s="18">
        <v>120</v>
      </c>
      <c r="B4607" s="4" t="s">
        <v>242</v>
      </c>
      <c r="C4607" s="22" t="s">
        <v>3775</v>
      </c>
      <c r="D4607" s="18">
        <v>2022</v>
      </c>
      <c r="E4607" s="18" t="s">
        <v>234</v>
      </c>
      <c r="F4607" s="18">
        <v>1</v>
      </c>
      <c r="G4607" s="18">
        <v>150</v>
      </c>
      <c r="H4607" s="18">
        <v>702</v>
      </c>
    </row>
    <row r="4608" spans="1:8" s="15" customFormat="1" ht="16.5" hidden="1" customHeight="1" outlineLevel="1" x14ac:dyDescent="0.25">
      <c r="A4608" s="18">
        <v>100</v>
      </c>
      <c r="B4608" s="4" t="s">
        <v>242</v>
      </c>
      <c r="C4608" s="22" t="s">
        <v>4039</v>
      </c>
      <c r="D4608" s="18">
        <v>2022</v>
      </c>
      <c r="E4608" s="18" t="s">
        <v>234</v>
      </c>
      <c r="F4608" s="18">
        <v>1</v>
      </c>
      <c r="G4608" s="18">
        <v>150</v>
      </c>
      <c r="H4608" s="18">
        <v>861</v>
      </c>
    </row>
    <row r="4609" spans="1:8" s="15" customFormat="1" ht="16.5" hidden="1" customHeight="1" outlineLevel="1" x14ac:dyDescent="0.25">
      <c r="A4609" s="18">
        <v>282</v>
      </c>
      <c r="B4609" s="4" t="s">
        <v>242</v>
      </c>
      <c r="C4609" s="22" t="s">
        <v>3981</v>
      </c>
      <c r="D4609" s="18">
        <v>2022</v>
      </c>
      <c r="E4609" s="18" t="s">
        <v>234</v>
      </c>
      <c r="F4609" s="18">
        <v>1</v>
      </c>
      <c r="G4609" s="18">
        <v>160</v>
      </c>
      <c r="H4609" s="18">
        <v>1171</v>
      </c>
    </row>
    <row r="4610" spans="1:8" s="15" customFormat="1" ht="16.5" hidden="1" customHeight="1" outlineLevel="1" x14ac:dyDescent="0.25">
      <c r="A4610" s="18">
        <v>353</v>
      </c>
      <c r="B4610" s="4" t="s">
        <v>242</v>
      </c>
      <c r="C4610" s="22" t="s">
        <v>3797</v>
      </c>
      <c r="D4610" s="18">
        <v>2022</v>
      </c>
      <c r="E4610" s="18" t="s">
        <v>234</v>
      </c>
      <c r="F4610" s="18">
        <v>1</v>
      </c>
      <c r="G4610" s="18">
        <v>135</v>
      </c>
      <c r="H4610" s="18">
        <v>1164</v>
      </c>
    </row>
    <row r="4611" spans="1:8" s="15" customFormat="1" ht="16.5" hidden="1" customHeight="1" outlineLevel="1" x14ac:dyDescent="0.25">
      <c r="A4611" s="18">
        <v>185</v>
      </c>
      <c r="B4611" s="4" t="s">
        <v>242</v>
      </c>
      <c r="C4611" s="22" t="s">
        <v>3800</v>
      </c>
      <c r="D4611" s="18">
        <v>2022</v>
      </c>
      <c r="E4611" s="18" t="s">
        <v>234</v>
      </c>
      <c r="F4611" s="18">
        <v>1</v>
      </c>
      <c r="G4611" s="18">
        <v>150</v>
      </c>
      <c r="H4611" s="18">
        <v>611</v>
      </c>
    </row>
    <row r="4612" spans="1:8" s="15" customFormat="1" ht="16.5" hidden="1" customHeight="1" outlineLevel="1" x14ac:dyDescent="0.25">
      <c r="A4612" s="18">
        <v>186</v>
      </c>
      <c r="B4612" s="4" t="s">
        <v>242</v>
      </c>
      <c r="C4612" s="22" t="s">
        <v>4260</v>
      </c>
      <c r="D4612" s="18">
        <v>2022</v>
      </c>
      <c r="E4612" s="18" t="s">
        <v>234</v>
      </c>
      <c r="F4612" s="18">
        <v>1</v>
      </c>
      <c r="G4612" s="18">
        <v>150</v>
      </c>
      <c r="H4612" s="18">
        <v>776</v>
      </c>
    </row>
    <row r="4613" spans="1:8" s="15" customFormat="1" ht="16.5" hidden="1" customHeight="1" outlineLevel="1" x14ac:dyDescent="0.25">
      <c r="A4613" s="18">
        <v>350</v>
      </c>
      <c r="B4613" s="4" t="s">
        <v>242</v>
      </c>
      <c r="C4613" s="22" t="s">
        <v>3832</v>
      </c>
      <c r="D4613" s="18">
        <v>2022</v>
      </c>
      <c r="E4613" s="18" t="s">
        <v>234</v>
      </c>
      <c r="F4613" s="18">
        <v>1</v>
      </c>
      <c r="G4613" s="18">
        <v>150</v>
      </c>
      <c r="H4613" s="18">
        <v>886</v>
      </c>
    </row>
    <row r="4614" spans="1:8" s="15" customFormat="1" ht="16.5" hidden="1" customHeight="1" outlineLevel="1" x14ac:dyDescent="0.25">
      <c r="A4614" s="18">
        <v>288</v>
      </c>
      <c r="B4614" s="4" t="s">
        <v>242</v>
      </c>
      <c r="C4614" s="22" t="s">
        <v>3839</v>
      </c>
      <c r="D4614" s="18">
        <v>2022</v>
      </c>
      <c r="E4614" s="18" t="s">
        <v>234</v>
      </c>
      <c r="F4614" s="18">
        <v>1</v>
      </c>
      <c r="G4614" s="18">
        <v>179.97</v>
      </c>
      <c r="H4614" s="18">
        <v>277</v>
      </c>
    </row>
    <row r="4615" spans="1:8" s="15" customFormat="1" ht="16.5" hidden="1" customHeight="1" outlineLevel="1" x14ac:dyDescent="0.25">
      <c r="A4615" s="18">
        <v>375</v>
      </c>
      <c r="B4615" s="4" t="s">
        <v>242</v>
      </c>
      <c r="C4615" s="22" t="s">
        <v>3842</v>
      </c>
      <c r="D4615" s="18">
        <v>2022</v>
      </c>
      <c r="E4615" s="18" t="s">
        <v>234</v>
      </c>
      <c r="F4615" s="18">
        <v>1</v>
      </c>
      <c r="G4615" s="18">
        <v>15</v>
      </c>
      <c r="H4615" s="18">
        <v>207</v>
      </c>
    </row>
    <row r="4616" spans="1:8" s="15" customFormat="1" ht="16.5" hidden="1" customHeight="1" outlineLevel="1" x14ac:dyDescent="0.25">
      <c r="A4616" s="18">
        <v>5398</v>
      </c>
      <c r="B4616" s="4" t="s">
        <v>242</v>
      </c>
      <c r="C4616" s="22" t="s">
        <v>4261</v>
      </c>
      <c r="D4616" s="18">
        <v>2022</v>
      </c>
      <c r="E4616" s="18" t="s">
        <v>234</v>
      </c>
      <c r="F4616" s="18">
        <v>1</v>
      </c>
      <c r="G4616" s="18">
        <v>160</v>
      </c>
      <c r="H4616" s="18">
        <v>419</v>
      </c>
    </row>
    <row r="4617" spans="1:8" s="15" customFormat="1" ht="16.5" hidden="1" customHeight="1" outlineLevel="1" x14ac:dyDescent="0.25">
      <c r="A4617" s="18">
        <v>5098</v>
      </c>
      <c r="B4617" s="4" t="s">
        <v>242</v>
      </c>
      <c r="C4617" s="22" t="s">
        <v>3921</v>
      </c>
      <c r="D4617" s="18">
        <v>2022</v>
      </c>
      <c r="E4617" s="18" t="s">
        <v>234</v>
      </c>
      <c r="F4617" s="18">
        <v>1</v>
      </c>
      <c r="G4617" s="18">
        <v>150</v>
      </c>
      <c r="H4617" s="18">
        <v>347</v>
      </c>
    </row>
    <row r="4618" spans="1:8" s="15" customFormat="1" ht="29.25" hidden="1" customHeight="1" outlineLevel="1" x14ac:dyDescent="0.25">
      <c r="A4618" s="18">
        <v>76</v>
      </c>
      <c r="B4618" s="4" t="s">
        <v>242</v>
      </c>
      <c r="C4618" s="22" t="s">
        <v>586</v>
      </c>
      <c r="D4618" s="18">
        <v>2020</v>
      </c>
      <c r="E4618" s="18" t="s">
        <v>234</v>
      </c>
      <c r="F4618" s="18">
        <v>1</v>
      </c>
      <c r="G4618" s="18">
        <v>136</v>
      </c>
      <c r="H4618" s="18">
        <v>589</v>
      </c>
    </row>
    <row r="4619" spans="1:8" s="15" customFormat="1" ht="29.25" hidden="1" customHeight="1" outlineLevel="1" x14ac:dyDescent="0.25">
      <c r="A4619" s="18">
        <v>600</v>
      </c>
      <c r="B4619" s="4" t="s">
        <v>242</v>
      </c>
      <c r="C4619" s="22" t="s">
        <v>641</v>
      </c>
      <c r="D4619" s="18">
        <v>2020</v>
      </c>
      <c r="E4619" s="18" t="s">
        <v>234</v>
      </c>
      <c r="F4619" s="18">
        <v>1</v>
      </c>
      <c r="G4619" s="18">
        <v>65</v>
      </c>
      <c r="H4619" s="18">
        <v>735</v>
      </c>
    </row>
    <row r="4620" spans="1:8" s="15" customFormat="1" ht="29.25" hidden="1" customHeight="1" outlineLevel="1" x14ac:dyDescent="0.25">
      <c r="A4620" s="18">
        <v>1805</v>
      </c>
      <c r="B4620" s="4" t="s">
        <v>242</v>
      </c>
      <c r="C4620" s="22" t="s">
        <v>501</v>
      </c>
      <c r="D4620" s="18">
        <v>2020</v>
      </c>
      <c r="E4620" s="18" t="s">
        <v>234</v>
      </c>
      <c r="F4620" s="18">
        <v>1</v>
      </c>
      <c r="G4620" s="18">
        <v>100</v>
      </c>
      <c r="H4620" s="18">
        <v>767</v>
      </c>
    </row>
    <row r="4621" spans="1:8" s="15" customFormat="1" ht="29.25" hidden="1" customHeight="1" outlineLevel="1" x14ac:dyDescent="0.25">
      <c r="A4621" s="18">
        <v>1816</v>
      </c>
      <c r="B4621" s="4" t="s">
        <v>242</v>
      </c>
      <c r="C4621" s="22" t="s">
        <v>504</v>
      </c>
      <c r="D4621" s="18">
        <v>2020</v>
      </c>
      <c r="E4621" s="18" t="s">
        <v>234</v>
      </c>
      <c r="F4621" s="18">
        <v>1</v>
      </c>
      <c r="G4621" s="18">
        <v>125.9</v>
      </c>
      <c r="H4621" s="18">
        <v>1115</v>
      </c>
    </row>
    <row r="4622" spans="1:8" s="15" customFormat="1" ht="29.25" hidden="1" customHeight="1" outlineLevel="1" x14ac:dyDescent="0.25">
      <c r="A4622" s="18">
        <v>693</v>
      </c>
      <c r="B4622" s="4" t="s">
        <v>242</v>
      </c>
      <c r="C4622" s="22" t="s">
        <v>689</v>
      </c>
      <c r="D4622" s="18">
        <v>2020</v>
      </c>
      <c r="E4622" s="18" t="s">
        <v>234</v>
      </c>
      <c r="F4622" s="18">
        <v>1</v>
      </c>
      <c r="G4622" s="18">
        <v>115</v>
      </c>
      <c r="H4622" s="18">
        <v>996</v>
      </c>
    </row>
    <row r="4623" spans="1:8" s="15" customFormat="1" ht="29.25" hidden="1" customHeight="1" outlineLevel="1" x14ac:dyDescent="0.25">
      <c r="A4623" s="18">
        <v>356</v>
      </c>
      <c r="B4623" s="4" t="s">
        <v>242</v>
      </c>
      <c r="C4623" s="22" t="s">
        <v>1030</v>
      </c>
      <c r="D4623" s="18">
        <v>2020</v>
      </c>
      <c r="E4623" s="18" t="s">
        <v>234</v>
      </c>
      <c r="F4623" s="18">
        <v>1</v>
      </c>
      <c r="G4623" s="18">
        <v>100</v>
      </c>
      <c r="H4623" s="18">
        <v>789</v>
      </c>
    </row>
    <row r="4624" spans="1:8" s="15" customFormat="1" ht="29.25" hidden="1" customHeight="1" outlineLevel="1" x14ac:dyDescent="0.25">
      <c r="A4624" s="18">
        <v>1664</v>
      </c>
      <c r="B4624" s="4" t="s">
        <v>242</v>
      </c>
      <c r="C4624" s="22" t="s">
        <v>1035</v>
      </c>
      <c r="D4624" s="18">
        <v>2020</v>
      </c>
      <c r="E4624" s="18" t="s">
        <v>234</v>
      </c>
      <c r="F4624" s="18">
        <v>1</v>
      </c>
      <c r="G4624" s="18">
        <v>145</v>
      </c>
      <c r="H4624" s="18">
        <v>658.98</v>
      </c>
    </row>
    <row r="4625" spans="1:8" s="15" customFormat="1" ht="29.25" hidden="1" customHeight="1" outlineLevel="1" x14ac:dyDescent="0.25">
      <c r="A4625" s="18">
        <v>529</v>
      </c>
      <c r="B4625" s="4" t="s">
        <v>242</v>
      </c>
      <c r="C4625" s="22" t="s">
        <v>1040</v>
      </c>
      <c r="D4625" s="18">
        <v>2020</v>
      </c>
      <c r="E4625" s="18" t="s">
        <v>234</v>
      </c>
      <c r="F4625" s="18">
        <v>1</v>
      </c>
      <c r="G4625" s="18">
        <v>145</v>
      </c>
      <c r="H4625" s="18">
        <v>1037.922</v>
      </c>
    </row>
    <row r="4626" spans="1:8" s="15" customFormat="1" ht="29.25" hidden="1" customHeight="1" outlineLevel="1" x14ac:dyDescent="0.25">
      <c r="A4626" s="18">
        <v>1520</v>
      </c>
      <c r="B4626" s="4" t="s">
        <v>242</v>
      </c>
      <c r="C4626" s="22" t="s">
        <v>385</v>
      </c>
      <c r="D4626" s="18">
        <v>2020</v>
      </c>
      <c r="E4626" s="18" t="s">
        <v>234</v>
      </c>
      <c r="F4626" s="18">
        <v>1</v>
      </c>
      <c r="G4626" s="18">
        <v>150</v>
      </c>
      <c r="H4626" s="18">
        <v>687.69662000000005</v>
      </c>
    </row>
    <row r="4627" spans="1:8" s="15" customFormat="1" ht="29.25" hidden="1" customHeight="1" outlineLevel="1" x14ac:dyDescent="0.25">
      <c r="A4627" s="18">
        <v>625</v>
      </c>
      <c r="B4627" s="4" t="s">
        <v>242</v>
      </c>
      <c r="C4627" s="22" t="s">
        <v>486</v>
      </c>
      <c r="D4627" s="18">
        <v>2020</v>
      </c>
      <c r="E4627" s="18" t="s">
        <v>234</v>
      </c>
      <c r="F4627" s="18">
        <v>1</v>
      </c>
      <c r="G4627" s="18">
        <v>70</v>
      </c>
      <c r="H4627" s="18">
        <v>582.89949999999999</v>
      </c>
    </row>
    <row r="4628" spans="1:8" s="15" customFormat="1" ht="29.25" hidden="1" customHeight="1" outlineLevel="1" x14ac:dyDescent="0.25">
      <c r="A4628" s="18">
        <v>789</v>
      </c>
      <c r="B4628" s="4" t="s">
        <v>242</v>
      </c>
      <c r="C4628" s="22" t="s">
        <v>419</v>
      </c>
      <c r="D4628" s="18">
        <v>2020</v>
      </c>
      <c r="E4628" s="18" t="s">
        <v>234</v>
      </c>
      <c r="F4628" s="18">
        <v>1</v>
      </c>
      <c r="G4628" s="18">
        <v>150</v>
      </c>
      <c r="H4628" s="18">
        <v>685.85369000000003</v>
      </c>
    </row>
    <row r="4629" spans="1:8" s="15" customFormat="1" ht="29.25" hidden="1" customHeight="1" outlineLevel="1" x14ac:dyDescent="0.25">
      <c r="A4629" s="18">
        <v>967</v>
      </c>
      <c r="B4629" s="4" t="s">
        <v>242</v>
      </c>
      <c r="C4629" s="22" t="s">
        <v>439</v>
      </c>
      <c r="D4629" s="18">
        <v>2020</v>
      </c>
      <c r="E4629" s="18" t="s">
        <v>234</v>
      </c>
      <c r="F4629" s="18">
        <v>1</v>
      </c>
      <c r="G4629" s="18">
        <v>80</v>
      </c>
      <c r="H4629" s="18">
        <v>624.93199000000004</v>
      </c>
    </row>
    <row r="4630" spans="1:8" s="15" customFormat="1" ht="29.25" hidden="1" customHeight="1" outlineLevel="1" x14ac:dyDescent="0.25">
      <c r="A4630" s="18">
        <v>961</v>
      </c>
      <c r="B4630" s="4" t="s">
        <v>242</v>
      </c>
      <c r="C4630" s="22" t="s">
        <v>440</v>
      </c>
      <c r="D4630" s="18">
        <v>2020</v>
      </c>
      <c r="E4630" s="18" t="s">
        <v>234</v>
      </c>
      <c r="F4630" s="18">
        <v>1</v>
      </c>
      <c r="G4630" s="18">
        <v>150</v>
      </c>
      <c r="H4630" s="18">
        <v>626.60275000000001</v>
      </c>
    </row>
    <row r="4631" spans="1:8" s="15" customFormat="1" ht="29.25" hidden="1" customHeight="1" outlineLevel="1" x14ac:dyDescent="0.25">
      <c r="A4631" s="18">
        <v>1519</v>
      </c>
      <c r="B4631" s="4" t="s">
        <v>242</v>
      </c>
      <c r="C4631" s="22" t="s">
        <v>441</v>
      </c>
      <c r="D4631" s="18">
        <v>2020</v>
      </c>
      <c r="E4631" s="18" t="s">
        <v>234</v>
      </c>
      <c r="F4631" s="18">
        <v>1</v>
      </c>
      <c r="G4631" s="18">
        <v>150</v>
      </c>
      <c r="H4631" s="18">
        <v>891.35413000000005</v>
      </c>
    </row>
    <row r="4632" spans="1:8" s="15" customFormat="1" ht="29.25" hidden="1" customHeight="1" outlineLevel="1" x14ac:dyDescent="0.25">
      <c r="A4632" s="18">
        <v>1752</v>
      </c>
      <c r="B4632" s="4" t="s">
        <v>242</v>
      </c>
      <c r="C4632" s="22" t="s">
        <v>490</v>
      </c>
      <c r="D4632" s="18">
        <v>2020</v>
      </c>
      <c r="E4632" s="18" t="s">
        <v>234</v>
      </c>
      <c r="F4632" s="18">
        <v>1</v>
      </c>
      <c r="G4632" s="18">
        <v>150</v>
      </c>
      <c r="H4632" s="18">
        <v>747.45691999999997</v>
      </c>
    </row>
    <row r="4633" spans="1:8" s="15" customFormat="1" ht="29.25" hidden="1" customHeight="1" outlineLevel="1" x14ac:dyDescent="0.25">
      <c r="A4633" s="18">
        <v>1533</v>
      </c>
      <c r="B4633" s="4" t="s">
        <v>242</v>
      </c>
      <c r="C4633" s="22" t="s">
        <v>462</v>
      </c>
      <c r="D4633" s="18">
        <v>2020</v>
      </c>
      <c r="E4633" s="18" t="s">
        <v>234</v>
      </c>
      <c r="F4633" s="18">
        <v>1</v>
      </c>
      <c r="G4633" s="18">
        <v>150</v>
      </c>
      <c r="H4633" s="18">
        <v>430.78546999999998</v>
      </c>
    </row>
    <row r="4634" spans="1:8" s="15" customFormat="1" ht="29.25" hidden="1" customHeight="1" outlineLevel="1" x14ac:dyDescent="0.25">
      <c r="A4634" s="18">
        <v>1531</v>
      </c>
      <c r="B4634" s="4" t="s">
        <v>242</v>
      </c>
      <c r="C4634" s="22" t="s">
        <v>465</v>
      </c>
      <c r="D4634" s="18">
        <v>2020</v>
      </c>
      <c r="E4634" s="18" t="s">
        <v>234</v>
      </c>
      <c r="F4634" s="18">
        <v>1</v>
      </c>
      <c r="G4634" s="18">
        <v>100</v>
      </c>
      <c r="H4634" s="18">
        <v>604.25550999999996</v>
      </c>
    </row>
    <row r="4635" spans="1:8" s="15" customFormat="1" ht="29.25" hidden="1" customHeight="1" outlineLevel="1" x14ac:dyDescent="0.25">
      <c r="A4635" s="18">
        <v>1572</v>
      </c>
      <c r="B4635" s="4" t="s">
        <v>242</v>
      </c>
      <c r="C4635" s="22" t="s">
        <v>479</v>
      </c>
      <c r="D4635" s="18">
        <v>2020</v>
      </c>
      <c r="E4635" s="18" t="s">
        <v>234</v>
      </c>
      <c r="F4635" s="18">
        <v>1</v>
      </c>
      <c r="G4635" s="18">
        <v>150</v>
      </c>
      <c r="H4635" s="18">
        <v>587.93607999999995</v>
      </c>
    </row>
    <row r="4636" spans="1:8" s="15" customFormat="1" ht="29.25" hidden="1" customHeight="1" outlineLevel="1" x14ac:dyDescent="0.25">
      <c r="A4636" s="18">
        <v>1573</v>
      </c>
      <c r="B4636" s="4" t="s">
        <v>242</v>
      </c>
      <c r="C4636" s="22" t="s">
        <v>480</v>
      </c>
      <c r="D4636" s="18">
        <v>2020</v>
      </c>
      <c r="E4636" s="18" t="s">
        <v>234</v>
      </c>
      <c r="F4636" s="18">
        <v>1</v>
      </c>
      <c r="G4636" s="18">
        <v>150</v>
      </c>
      <c r="H4636" s="18">
        <v>583.39822000000004</v>
      </c>
    </row>
    <row r="4637" spans="1:8" s="15" customFormat="1" ht="29.25" hidden="1" customHeight="1" outlineLevel="1" x14ac:dyDescent="0.25">
      <c r="A4637" s="18">
        <v>1742</v>
      </c>
      <c r="B4637" s="4" t="s">
        <v>242</v>
      </c>
      <c r="C4637" s="22" t="s">
        <v>538</v>
      </c>
      <c r="D4637" s="18">
        <v>2020</v>
      </c>
      <c r="E4637" s="18" t="s">
        <v>234</v>
      </c>
      <c r="F4637" s="18">
        <v>1</v>
      </c>
      <c r="G4637" s="18">
        <v>150</v>
      </c>
      <c r="H4637" s="18">
        <v>907.20100000000002</v>
      </c>
    </row>
    <row r="4638" spans="1:8" s="15" customFormat="1" ht="29.25" hidden="1" customHeight="1" outlineLevel="1" x14ac:dyDescent="0.25">
      <c r="A4638" s="18">
        <v>1736</v>
      </c>
      <c r="B4638" s="4" t="s">
        <v>242</v>
      </c>
      <c r="C4638" s="22" t="s">
        <v>542</v>
      </c>
      <c r="D4638" s="18">
        <v>2020</v>
      </c>
      <c r="E4638" s="18" t="s">
        <v>234</v>
      </c>
      <c r="F4638" s="18">
        <v>1</v>
      </c>
      <c r="G4638" s="18">
        <v>100</v>
      </c>
      <c r="H4638" s="18">
        <v>901.16200000000003</v>
      </c>
    </row>
    <row r="4639" spans="1:8" s="15" customFormat="1" ht="29.25" hidden="1" customHeight="1" outlineLevel="1" x14ac:dyDescent="0.25">
      <c r="A4639" s="18">
        <v>1592</v>
      </c>
      <c r="B4639" s="4" t="s">
        <v>242</v>
      </c>
      <c r="C4639" s="22" t="s">
        <v>890</v>
      </c>
      <c r="D4639" s="18">
        <v>2020</v>
      </c>
      <c r="E4639" s="18" t="s">
        <v>234</v>
      </c>
      <c r="F4639" s="18">
        <v>1</v>
      </c>
      <c r="G4639" s="18">
        <v>15</v>
      </c>
      <c r="H4639" s="18">
        <v>255.86199999999999</v>
      </c>
    </row>
    <row r="4640" spans="1:8" s="15" customFormat="1" ht="29.25" hidden="1" customHeight="1" outlineLevel="1" x14ac:dyDescent="0.25">
      <c r="A4640" s="18">
        <v>1701</v>
      </c>
      <c r="B4640" s="4" t="s">
        <v>242</v>
      </c>
      <c r="C4640" s="22" t="s">
        <v>1089</v>
      </c>
      <c r="D4640" s="18">
        <v>2020</v>
      </c>
      <c r="E4640" s="18" t="s">
        <v>234</v>
      </c>
      <c r="F4640" s="18">
        <v>2</v>
      </c>
      <c r="G4640" s="18">
        <v>150</v>
      </c>
      <c r="H4640" s="18">
        <v>1103.24</v>
      </c>
    </row>
    <row r="4641" spans="1:8" s="15" customFormat="1" ht="29.25" hidden="1" customHeight="1" outlineLevel="1" x14ac:dyDescent="0.25">
      <c r="A4641" s="18">
        <v>1665</v>
      </c>
      <c r="B4641" s="4" t="s">
        <v>242</v>
      </c>
      <c r="C4641" s="22" t="s">
        <v>553</v>
      </c>
      <c r="D4641" s="18">
        <v>2020</v>
      </c>
      <c r="E4641" s="18" t="s">
        <v>234</v>
      </c>
      <c r="F4641" s="18">
        <v>1</v>
      </c>
      <c r="G4641" s="18">
        <v>150</v>
      </c>
      <c r="H4641" s="18">
        <v>596.22900000000004</v>
      </c>
    </row>
    <row r="4642" spans="1:8" s="15" customFormat="1" ht="29.25" hidden="1" customHeight="1" outlineLevel="1" x14ac:dyDescent="0.25">
      <c r="A4642" s="18">
        <v>813</v>
      </c>
      <c r="B4642" s="4" t="s">
        <v>242</v>
      </c>
      <c r="C4642" s="22" t="s">
        <v>1090</v>
      </c>
      <c r="D4642" s="18">
        <v>2020</v>
      </c>
      <c r="E4642" s="18" t="s">
        <v>234</v>
      </c>
      <c r="F4642" s="18">
        <v>1</v>
      </c>
      <c r="G4642" s="18">
        <v>150</v>
      </c>
      <c r="H4642" s="18">
        <v>910.83969999999999</v>
      </c>
    </row>
    <row r="4643" spans="1:8" s="15" customFormat="1" ht="29.25" hidden="1" customHeight="1" outlineLevel="1" x14ac:dyDescent="0.25">
      <c r="A4643" s="18">
        <v>1650</v>
      </c>
      <c r="B4643" s="4" t="s">
        <v>242</v>
      </c>
      <c r="C4643" s="22" t="s">
        <v>1091</v>
      </c>
      <c r="D4643" s="18">
        <v>2020</v>
      </c>
      <c r="E4643" s="18" t="s">
        <v>234</v>
      </c>
      <c r="F4643" s="18">
        <v>1</v>
      </c>
      <c r="G4643" s="18">
        <v>149</v>
      </c>
      <c r="H4643" s="18">
        <v>891.41</v>
      </c>
    </row>
    <row r="4644" spans="1:8" s="15" customFormat="1" ht="29.25" hidden="1" customHeight="1" outlineLevel="1" x14ac:dyDescent="0.25">
      <c r="A4644" s="18">
        <v>440</v>
      </c>
      <c r="B4644" s="4" t="s">
        <v>242</v>
      </c>
      <c r="C4644" s="22" t="s">
        <v>608</v>
      </c>
      <c r="D4644" s="18">
        <v>2020</v>
      </c>
      <c r="E4644" s="18" t="s">
        <v>234</v>
      </c>
      <c r="F4644" s="18">
        <v>1</v>
      </c>
      <c r="G4644" s="18">
        <v>100</v>
      </c>
      <c r="H4644" s="18">
        <v>936.2</v>
      </c>
    </row>
    <row r="4645" spans="1:8" s="15" customFormat="1" ht="29.25" hidden="1" customHeight="1" outlineLevel="1" x14ac:dyDescent="0.25">
      <c r="A4645" s="18">
        <v>1654</v>
      </c>
      <c r="B4645" s="4" t="s">
        <v>242</v>
      </c>
      <c r="C4645" s="22" t="s">
        <v>611</v>
      </c>
      <c r="D4645" s="18">
        <v>2020</v>
      </c>
      <c r="E4645" s="18" t="s">
        <v>234</v>
      </c>
      <c r="F4645" s="18">
        <v>1</v>
      </c>
      <c r="G4645" s="18">
        <v>150</v>
      </c>
      <c r="H4645" s="18">
        <v>842.88199999999995</v>
      </c>
    </row>
    <row r="4646" spans="1:8" s="15" customFormat="1" ht="29.25" hidden="1" customHeight="1" outlineLevel="1" x14ac:dyDescent="0.25">
      <c r="A4646" s="18">
        <v>1046</v>
      </c>
      <c r="B4646" s="4" t="s">
        <v>242</v>
      </c>
      <c r="C4646" s="22" t="s">
        <v>561</v>
      </c>
      <c r="D4646" s="18">
        <v>2020</v>
      </c>
      <c r="E4646" s="18" t="s">
        <v>234</v>
      </c>
      <c r="F4646" s="18">
        <v>1</v>
      </c>
      <c r="G4646" s="18">
        <v>150</v>
      </c>
      <c r="H4646" s="18">
        <v>731.779</v>
      </c>
    </row>
    <row r="4647" spans="1:8" s="15" customFormat="1" ht="29.25" hidden="1" customHeight="1" outlineLevel="1" x14ac:dyDescent="0.25">
      <c r="A4647" s="18">
        <v>1026</v>
      </c>
      <c r="B4647" s="4" t="s">
        <v>242</v>
      </c>
      <c r="C4647" s="22" t="s">
        <v>563</v>
      </c>
      <c r="D4647" s="18">
        <v>2020</v>
      </c>
      <c r="E4647" s="18" t="s">
        <v>234</v>
      </c>
      <c r="F4647" s="18">
        <v>1</v>
      </c>
      <c r="G4647" s="18">
        <v>150</v>
      </c>
      <c r="H4647" s="18">
        <v>862.95699999999999</v>
      </c>
    </row>
    <row r="4648" spans="1:8" s="15" customFormat="1" ht="29.25" hidden="1" customHeight="1" outlineLevel="1" x14ac:dyDescent="0.25">
      <c r="A4648" s="18">
        <v>742</v>
      </c>
      <c r="B4648" s="4" t="s">
        <v>242</v>
      </c>
      <c r="C4648" s="22" t="s">
        <v>565</v>
      </c>
      <c r="D4648" s="18">
        <v>2020</v>
      </c>
      <c r="E4648" s="18" t="s">
        <v>234</v>
      </c>
      <c r="F4648" s="18">
        <v>1</v>
      </c>
      <c r="G4648" s="18">
        <v>150</v>
      </c>
      <c r="H4648" s="18">
        <v>852.95799999999997</v>
      </c>
    </row>
    <row r="4649" spans="1:8" s="15" customFormat="1" ht="29.25" hidden="1" customHeight="1" outlineLevel="1" x14ac:dyDescent="0.25">
      <c r="A4649" s="18">
        <v>1728</v>
      </c>
      <c r="B4649" s="4" t="s">
        <v>242</v>
      </c>
      <c r="C4649" s="22" t="s">
        <v>569</v>
      </c>
      <c r="D4649" s="18">
        <v>2020</v>
      </c>
      <c r="E4649" s="18" t="s">
        <v>234</v>
      </c>
      <c r="F4649" s="18">
        <v>1</v>
      </c>
      <c r="G4649" s="18">
        <v>150</v>
      </c>
      <c r="H4649" s="18">
        <v>888.39400000000001</v>
      </c>
    </row>
    <row r="4650" spans="1:8" s="15" customFormat="1" ht="29.25" hidden="1" customHeight="1" outlineLevel="1" x14ac:dyDescent="0.25">
      <c r="A4650" s="18">
        <v>1653</v>
      </c>
      <c r="B4650" s="4" t="s">
        <v>242</v>
      </c>
      <c r="C4650" s="22" t="s">
        <v>571</v>
      </c>
      <c r="D4650" s="18">
        <v>2020</v>
      </c>
      <c r="E4650" s="18" t="s">
        <v>234</v>
      </c>
      <c r="F4650" s="18">
        <v>1</v>
      </c>
      <c r="G4650" s="18">
        <v>149</v>
      </c>
      <c r="H4650" s="18">
        <v>618.74950000000001</v>
      </c>
    </row>
    <row r="4651" spans="1:8" s="15" customFormat="1" ht="29.25" hidden="1" customHeight="1" outlineLevel="1" x14ac:dyDescent="0.25">
      <c r="A4651" s="18">
        <v>1729</v>
      </c>
      <c r="B4651" s="4" t="s">
        <v>242</v>
      </c>
      <c r="C4651" s="22" t="s">
        <v>573</v>
      </c>
      <c r="D4651" s="18">
        <v>2020</v>
      </c>
      <c r="E4651" s="18" t="s">
        <v>234</v>
      </c>
      <c r="F4651" s="18">
        <v>1</v>
      </c>
      <c r="G4651" s="18">
        <v>150</v>
      </c>
      <c r="H4651" s="18">
        <v>906.846</v>
      </c>
    </row>
    <row r="4652" spans="1:8" s="15" customFormat="1" ht="29.25" hidden="1" customHeight="1" outlineLevel="1" x14ac:dyDescent="0.25">
      <c r="A4652" s="18">
        <v>172</v>
      </c>
      <c r="B4652" s="4" t="s">
        <v>242</v>
      </c>
      <c r="C4652" s="22" t="s">
        <v>574</v>
      </c>
      <c r="D4652" s="18">
        <v>2020</v>
      </c>
      <c r="E4652" s="18" t="s">
        <v>234</v>
      </c>
      <c r="F4652" s="18">
        <v>1</v>
      </c>
      <c r="G4652" s="18">
        <v>100</v>
      </c>
      <c r="H4652" s="18">
        <v>916.66200000000003</v>
      </c>
    </row>
    <row r="4653" spans="1:8" s="15" customFormat="1" ht="29.25" hidden="1" customHeight="1" outlineLevel="1" x14ac:dyDescent="0.25">
      <c r="A4653" s="18">
        <v>973</v>
      </c>
      <c r="B4653" s="4" t="s">
        <v>242</v>
      </c>
      <c r="C4653" s="22" t="s">
        <v>300</v>
      </c>
      <c r="D4653" s="18">
        <v>2020</v>
      </c>
      <c r="E4653" s="18" t="s">
        <v>234</v>
      </c>
      <c r="F4653" s="18">
        <v>1</v>
      </c>
      <c r="G4653" s="18">
        <v>165</v>
      </c>
      <c r="H4653" s="18">
        <v>784</v>
      </c>
    </row>
    <row r="4654" spans="1:8" s="15" customFormat="1" ht="29.25" hidden="1" customHeight="1" outlineLevel="1" x14ac:dyDescent="0.25">
      <c r="A4654" s="18">
        <v>1528</v>
      </c>
      <c r="B4654" s="4" t="s">
        <v>242</v>
      </c>
      <c r="C4654" s="22" t="s">
        <v>445</v>
      </c>
      <c r="D4654" s="18">
        <v>2020</v>
      </c>
      <c r="E4654" s="18" t="s">
        <v>234</v>
      </c>
      <c r="F4654" s="18">
        <v>1</v>
      </c>
      <c r="G4654" s="18">
        <v>140</v>
      </c>
      <c r="H4654" s="18">
        <v>913.82582000000002</v>
      </c>
    </row>
    <row r="4655" spans="1:8" s="15" customFormat="1" ht="29.25" hidden="1" customHeight="1" outlineLevel="1" x14ac:dyDescent="0.25">
      <c r="A4655" s="18">
        <v>1648</v>
      </c>
      <c r="B4655" s="4" t="s">
        <v>242</v>
      </c>
      <c r="C4655" s="22" t="s">
        <v>1092</v>
      </c>
      <c r="D4655" s="18">
        <v>2020</v>
      </c>
      <c r="E4655" s="18" t="s">
        <v>234</v>
      </c>
      <c r="F4655" s="18">
        <v>1</v>
      </c>
      <c r="G4655" s="18">
        <v>100</v>
      </c>
      <c r="H4655" s="18">
        <v>529.39300000000003</v>
      </c>
    </row>
    <row r="4656" spans="1:8" s="15" customFormat="1" ht="29.25" hidden="1" customHeight="1" outlineLevel="1" x14ac:dyDescent="0.25">
      <c r="A4656" s="18">
        <v>1667</v>
      </c>
      <c r="B4656" s="4" t="s">
        <v>242</v>
      </c>
      <c r="C4656" s="22" t="s">
        <v>584</v>
      </c>
      <c r="D4656" s="18">
        <v>2020</v>
      </c>
      <c r="E4656" s="18" t="s">
        <v>234</v>
      </c>
      <c r="F4656" s="18">
        <v>1</v>
      </c>
      <c r="G4656" s="18">
        <v>120</v>
      </c>
      <c r="H4656" s="18">
        <v>944.93299999999999</v>
      </c>
    </row>
    <row r="4657" spans="1:8" s="15" customFormat="1" ht="29.25" hidden="1" customHeight="1" outlineLevel="1" x14ac:dyDescent="0.25">
      <c r="A4657" s="18">
        <v>1769</v>
      </c>
      <c r="B4657" s="4" t="s">
        <v>242</v>
      </c>
      <c r="C4657" s="22" t="s">
        <v>70</v>
      </c>
      <c r="D4657" s="18">
        <v>2020</v>
      </c>
      <c r="E4657" s="18" t="s">
        <v>234</v>
      </c>
      <c r="F4657" s="18">
        <v>1</v>
      </c>
      <c r="G4657" s="18">
        <v>150</v>
      </c>
      <c r="H4657" s="18">
        <v>561.79641000000004</v>
      </c>
    </row>
    <row r="4658" spans="1:8" s="15" customFormat="1" ht="29.25" hidden="1" customHeight="1" outlineLevel="1" x14ac:dyDescent="0.25">
      <c r="A4658" s="18">
        <v>1765</v>
      </c>
      <c r="B4658" s="4" t="s">
        <v>242</v>
      </c>
      <c r="C4658" s="22" t="s">
        <v>103</v>
      </c>
      <c r="D4658" s="18">
        <v>2020</v>
      </c>
      <c r="E4658" s="18" t="s">
        <v>234</v>
      </c>
      <c r="F4658" s="18">
        <v>1</v>
      </c>
      <c r="G4658" s="18">
        <v>150</v>
      </c>
      <c r="H4658" s="18">
        <v>615.37544000000003</v>
      </c>
    </row>
    <row r="4659" spans="1:8" s="15" customFormat="1" ht="29.25" hidden="1" customHeight="1" outlineLevel="1" x14ac:dyDescent="0.25">
      <c r="A4659" s="18">
        <v>1743</v>
      </c>
      <c r="B4659" s="4" t="s">
        <v>242</v>
      </c>
      <c r="C4659" s="22" t="s">
        <v>145</v>
      </c>
      <c r="D4659" s="18">
        <v>2020</v>
      </c>
      <c r="E4659" s="18" t="s">
        <v>234</v>
      </c>
      <c r="F4659" s="18">
        <v>1</v>
      </c>
      <c r="G4659" s="18">
        <v>150</v>
      </c>
      <c r="H4659" s="18">
        <v>656.99199999999996</v>
      </c>
    </row>
    <row r="4660" spans="1:8" s="15" customFormat="1" ht="29.25" hidden="1" customHeight="1" outlineLevel="1" x14ac:dyDescent="0.25">
      <c r="A4660" s="18">
        <v>711</v>
      </c>
      <c r="B4660" s="4" t="s">
        <v>242</v>
      </c>
      <c r="C4660" s="22" t="s">
        <v>193</v>
      </c>
      <c r="D4660" s="18">
        <v>2020</v>
      </c>
      <c r="E4660" s="18" t="s">
        <v>234</v>
      </c>
      <c r="F4660" s="18">
        <v>1</v>
      </c>
      <c r="G4660" s="18">
        <v>150</v>
      </c>
      <c r="H4660" s="18">
        <v>540</v>
      </c>
    </row>
    <row r="4661" spans="1:8" s="15" customFormat="1" ht="29.25" hidden="1" customHeight="1" outlineLevel="1" x14ac:dyDescent="0.25">
      <c r="A4661" s="18">
        <v>262</v>
      </c>
      <c r="B4661" s="4" t="s">
        <v>242</v>
      </c>
      <c r="C4661" s="22" t="s">
        <v>169</v>
      </c>
      <c r="D4661" s="18">
        <v>2020</v>
      </c>
      <c r="E4661" s="18" t="s">
        <v>234</v>
      </c>
      <c r="F4661" s="18">
        <v>1</v>
      </c>
      <c r="G4661" s="18">
        <v>80</v>
      </c>
      <c r="H4661" s="18">
        <v>839</v>
      </c>
    </row>
    <row r="4662" spans="1:8" s="15" customFormat="1" ht="29.25" hidden="1" customHeight="1" outlineLevel="1" x14ac:dyDescent="0.25">
      <c r="A4662" s="18">
        <v>534</v>
      </c>
      <c r="B4662" s="4" t="s">
        <v>242</v>
      </c>
      <c r="C4662" s="22" t="s">
        <v>200</v>
      </c>
      <c r="D4662" s="18">
        <v>2020</v>
      </c>
      <c r="E4662" s="18" t="s">
        <v>234</v>
      </c>
      <c r="F4662" s="18">
        <v>1</v>
      </c>
      <c r="G4662" s="18">
        <v>150</v>
      </c>
      <c r="H4662" s="18">
        <v>525</v>
      </c>
    </row>
    <row r="4663" spans="1:8" s="15" customFormat="1" ht="29.25" hidden="1" customHeight="1" outlineLevel="1" x14ac:dyDescent="0.25">
      <c r="A4663" s="18">
        <v>1804</v>
      </c>
      <c r="B4663" s="4" t="s">
        <v>242</v>
      </c>
      <c r="C4663" s="22" t="s">
        <v>163</v>
      </c>
      <c r="D4663" s="18">
        <v>2020</v>
      </c>
      <c r="E4663" s="18" t="s">
        <v>234</v>
      </c>
      <c r="F4663" s="18">
        <v>1</v>
      </c>
      <c r="G4663" s="18">
        <v>60</v>
      </c>
      <c r="H4663" s="18">
        <v>770</v>
      </c>
    </row>
    <row r="4664" spans="1:8" s="15" customFormat="1" ht="29.25" hidden="1" customHeight="1" outlineLevel="1" x14ac:dyDescent="0.25">
      <c r="A4664" s="18">
        <v>1703</v>
      </c>
      <c r="B4664" s="4" t="s">
        <v>242</v>
      </c>
      <c r="C4664" s="22" t="s">
        <v>203</v>
      </c>
      <c r="D4664" s="18">
        <v>2020</v>
      </c>
      <c r="E4664" s="18" t="s">
        <v>234</v>
      </c>
      <c r="F4664" s="18">
        <v>2</v>
      </c>
      <c r="G4664" s="18">
        <v>240.45</v>
      </c>
      <c r="H4664" s="18">
        <v>2117</v>
      </c>
    </row>
    <row r="4665" spans="1:8" s="15" customFormat="1" ht="29.25" hidden="1" customHeight="1" outlineLevel="1" x14ac:dyDescent="0.25">
      <c r="A4665" s="18">
        <v>151</v>
      </c>
      <c r="B4665" s="4" t="s">
        <v>242</v>
      </c>
      <c r="C4665" s="22" t="s">
        <v>164</v>
      </c>
      <c r="D4665" s="18">
        <v>2020</v>
      </c>
      <c r="E4665" s="18" t="s">
        <v>234</v>
      </c>
      <c r="F4665" s="18">
        <v>1</v>
      </c>
      <c r="G4665" s="18">
        <v>100</v>
      </c>
      <c r="H4665" s="18">
        <v>807</v>
      </c>
    </row>
    <row r="4666" spans="1:8" s="15" customFormat="1" ht="29.25" hidden="1" customHeight="1" outlineLevel="1" x14ac:dyDescent="0.25">
      <c r="A4666" s="18">
        <v>1803</v>
      </c>
      <c r="B4666" s="4" t="s">
        <v>242</v>
      </c>
      <c r="C4666" s="22" t="s">
        <v>204</v>
      </c>
      <c r="D4666" s="18">
        <v>2020</v>
      </c>
      <c r="E4666" s="18" t="s">
        <v>234</v>
      </c>
      <c r="F4666" s="18">
        <v>1</v>
      </c>
      <c r="G4666" s="18">
        <v>140</v>
      </c>
      <c r="H4666" s="18">
        <v>801</v>
      </c>
    </row>
    <row r="4667" spans="1:8" s="15" customFormat="1" ht="29.25" hidden="1" customHeight="1" outlineLevel="1" x14ac:dyDescent="0.25">
      <c r="A4667" s="18">
        <v>1116</v>
      </c>
      <c r="B4667" s="4" t="s">
        <v>242</v>
      </c>
      <c r="C4667" s="22" t="s">
        <v>205</v>
      </c>
      <c r="D4667" s="18">
        <v>2020</v>
      </c>
      <c r="E4667" s="18" t="s">
        <v>234</v>
      </c>
      <c r="F4667" s="18">
        <v>1</v>
      </c>
      <c r="G4667" s="18">
        <v>100</v>
      </c>
      <c r="H4667" s="18">
        <v>798</v>
      </c>
    </row>
    <row r="4668" spans="1:8" s="15" customFormat="1" ht="29.25" hidden="1" customHeight="1" outlineLevel="1" x14ac:dyDescent="0.25">
      <c r="A4668" s="18">
        <v>255</v>
      </c>
      <c r="B4668" s="4" t="s">
        <v>242</v>
      </c>
      <c r="C4668" s="22" t="s">
        <v>165</v>
      </c>
      <c r="D4668" s="18">
        <v>2020</v>
      </c>
      <c r="E4668" s="18" t="s">
        <v>234</v>
      </c>
      <c r="F4668" s="18">
        <v>1</v>
      </c>
      <c r="G4668" s="18">
        <v>75</v>
      </c>
      <c r="H4668" s="18">
        <v>652</v>
      </c>
    </row>
    <row r="4669" spans="1:8" s="15" customFormat="1" ht="29.25" hidden="1" customHeight="1" outlineLevel="1" x14ac:dyDescent="0.25">
      <c r="A4669" s="18">
        <v>515</v>
      </c>
      <c r="B4669" s="4" t="s">
        <v>242</v>
      </c>
      <c r="C4669" s="22" t="s">
        <v>174</v>
      </c>
      <c r="D4669" s="18">
        <v>2020</v>
      </c>
      <c r="E4669" s="18" t="s">
        <v>234</v>
      </c>
      <c r="F4669" s="18">
        <v>1</v>
      </c>
      <c r="G4669" s="18">
        <v>145</v>
      </c>
      <c r="H4669" s="18">
        <v>781</v>
      </c>
    </row>
    <row r="4670" spans="1:8" s="15" customFormat="1" ht="29.25" hidden="1" customHeight="1" outlineLevel="1" x14ac:dyDescent="0.25">
      <c r="A4670" s="18">
        <v>1434</v>
      </c>
      <c r="B4670" s="4" t="s">
        <v>242</v>
      </c>
      <c r="C4670" s="22" t="s">
        <v>217</v>
      </c>
      <c r="D4670" s="18">
        <v>2020</v>
      </c>
      <c r="E4670" s="18" t="s">
        <v>234</v>
      </c>
      <c r="F4670" s="18">
        <v>2</v>
      </c>
      <c r="G4670" s="18">
        <v>150</v>
      </c>
      <c r="H4670" s="18">
        <v>1481.7750000000001</v>
      </c>
    </row>
    <row r="4671" spans="1:8" s="15" customFormat="1" ht="29.25" hidden="1" customHeight="1" outlineLevel="1" x14ac:dyDescent="0.25">
      <c r="A4671" s="45">
        <v>1272</v>
      </c>
      <c r="B4671" s="4" t="s">
        <v>242</v>
      </c>
      <c r="C4671" s="22" t="s">
        <v>1396</v>
      </c>
      <c r="D4671" s="18">
        <v>2021</v>
      </c>
      <c r="E4671" s="18" t="s">
        <v>234</v>
      </c>
      <c r="F4671" s="18">
        <v>1</v>
      </c>
      <c r="G4671" s="18">
        <v>100</v>
      </c>
      <c r="H4671" s="18">
        <v>815</v>
      </c>
    </row>
    <row r="4672" spans="1:8" s="15" customFormat="1" ht="29.25" hidden="1" customHeight="1" outlineLevel="1" x14ac:dyDescent="0.25">
      <c r="A4672" s="46">
        <v>9742</v>
      </c>
      <c r="B4672" s="4" t="s">
        <v>242</v>
      </c>
      <c r="C4672" s="22" t="s">
        <v>1811</v>
      </c>
      <c r="D4672" s="18">
        <v>2021</v>
      </c>
      <c r="E4672" s="18" t="s">
        <v>234</v>
      </c>
      <c r="F4672" s="18">
        <v>1</v>
      </c>
      <c r="G4672" s="18">
        <v>20</v>
      </c>
      <c r="H4672" s="18">
        <v>555</v>
      </c>
    </row>
    <row r="4673" spans="1:8" s="15" customFormat="1" ht="29.25" hidden="1" customHeight="1" outlineLevel="1" x14ac:dyDescent="0.25">
      <c r="A4673" s="46">
        <v>9506</v>
      </c>
      <c r="B4673" s="4" t="s">
        <v>242</v>
      </c>
      <c r="C4673" s="22" t="s">
        <v>1984</v>
      </c>
      <c r="D4673" s="18">
        <v>2021</v>
      </c>
      <c r="E4673" s="18" t="s">
        <v>234</v>
      </c>
      <c r="F4673" s="18">
        <v>1</v>
      </c>
      <c r="G4673" s="18">
        <v>200</v>
      </c>
      <c r="H4673" s="18">
        <v>778.48400000000004</v>
      </c>
    </row>
    <row r="4674" spans="1:8" s="15" customFormat="1" ht="29.25" hidden="1" customHeight="1" outlineLevel="1" x14ac:dyDescent="0.25">
      <c r="A4674" s="46">
        <v>9516</v>
      </c>
      <c r="B4674" s="4" t="s">
        <v>242</v>
      </c>
      <c r="C4674" s="22" t="s">
        <v>1522</v>
      </c>
      <c r="D4674" s="18">
        <v>2021</v>
      </c>
      <c r="E4674" s="18" t="s">
        <v>234</v>
      </c>
      <c r="F4674" s="18">
        <v>1</v>
      </c>
      <c r="G4674" s="18">
        <v>120</v>
      </c>
      <c r="H4674" s="18">
        <v>480.32799999999997</v>
      </c>
    </row>
    <row r="4675" spans="1:8" s="15" customFormat="1" ht="29.25" hidden="1" customHeight="1" outlineLevel="1" x14ac:dyDescent="0.25">
      <c r="A4675" s="45">
        <v>735</v>
      </c>
      <c r="B4675" s="4" t="s">
        <v>242</v>
      </c>
      <c r="C4675" s="22" t="s">
        <v>1536</v>
      </c>
      <c r="D4675" s="18">
        <v>2021</v>
      </c>
      <c r="E4675" s="18" t="s">
        <v>234</v>
      </c>
      <c r="F4675" s="18">
        <v>1</v>
      </c>
      <c r="G4675" s="18">
        <v>100</v>
      </c>
      <c r="H4675" s="18">
        <v>438.97800000000001</v>
      </c>
    </row>
    <row r="4676" spans="1:8" s="15" customFormat="1" ht="29.25" hidden="1" customHeight="1" outlineLevel="1" x14ac:dyDescent="0.25">
      <c r="A4676" s="46">
        <v>9501</v>
      </c>
      <c r="B4676" s="4" t="s">
        <v>242</v>
      </c>
      <c r="C4676" s="22" t="s">
        <v>1991</v>
      </c>
      <c r="D4676" s="18">
        <v>2021</v>
      </c>
      <c r="E4676" s="18" t="s">
        <v>234</v>
      </c>
      <c r="F4676" s="18">
        <v>1</v>
      </c>
      <c r="G4676" s="18">
        <v>115</v>
      </c>
      <c r="H4676" s="18">
        <v>641.90800000000002</v>
      </c>
    </row>
    <row r="4677" spans="1:8" s="15" customFormat="1" ht="29.25" hidden="1" customHeight="1" outlineLevel="1" x14ac:dyDescent="0.25">
      <c r="A4677" s="46">
        <v>9503</v>
      </c>
      <c r="B4677" s="4" t="s">
        <v>242</v>
      </c>
      <c r="C4677" s="22" t="s">
        <v>1539</v>
      </c>
      <c r="D4677" s="18">
        <v>2021</v>
      </c>
      <c r="E4677" s="18" t="s">
        <v>234</v>
      </c>
      <c r="F4677" s="18">
        <v>1</v>
      </c>
      <c r="G4677" s="18">
        <v>100</v>
      </c>
      <c r="H4677" s="18">
        <v>157.40100000000001</v>
      </c>
    </row>
    <row r="4678" spans="1:8" s="15" customFormat="1" ht="29.25" hidden="1" customHeight="1" outlineLevel="1" x14ac:dyDescent="0.25">
      <c r="A4678" s="46">
        <v>9498</v>
      </c>
      <c r="B4678" s="4" t="s">
        <v>242</v>
      </c>
      <c r="C4678" s="22" t="s">
        <v>1546</v>
      </c>
      <c r="D4678" s="18">
        <v>2021</v>
      </c>
      <c r="E4678" s="18" t="s">
        <v>234</v>
      </c>
      <c r="F4678" s="18">
        <v>1</v>
      </c>
      <c r="G4678" s="18">
        <v>155</v>
      </c>
      <c r="H4678" s="18">
        <v>866.65800000000002</v>
      </c>
    </row>
    <row r="4679" spans="1:8" s="15" customFormat="1" ht="29.25" hidden="1" customHeight="1" outlineLevel="1" x14ac:dyDescent="0.25">
      <c r="A4679" s="45">
        <v>1124</v>
      </c>
      <c r="B4679" s="4" t="s">
        <v>242</v>
      </c>
      <c r="C4679" s="22" t="s">
        <v>1551</v>
      </c>
      <c r="D4679" s="18">
        <v>2021</v>
      </c>
      <c r="E4679" s="18" t="s">
        <v>234</v>
      </c>
      <c r="F4679" s="18">
        <v>1</v>
      </c>
      <c r="G4679" s="18">
        <v>150</v>
      </c>
      <c r="H4679" s="18">
        <v>441</v>
      </c>
    </row>
    <row r="4680" spans="1:8" s="15" customFormat="1" ht="29.25" hidden="1" customHeight="1" outlineLevel="1" x14ac:dyDescent="0.25">
      <c r="A4680" s="46">
        <v>9656</v>
      </c>
      <c r="B4680" s="4" t="s">
        <v>242</v>
      </c>
      <c r="C4680" s="22" t="s">
        <v>1574</v>
      </c>
      <c r="D4680" s="18">
        <v>2021</v>
      </c>
      <c r="E4680" s="18" t="s">
        <v>234</v>
      </c>
      <c r="F4680" s="18">
        <v>1</v>
      </c>
      <c r="G4680" s="18">
        <v>140</v>
      </c>
      <c r="H4680" s="18">
        <v>383</v>
      </c>
    </row>
    <row r="4681" spans="1:8" s="15" customFormat="1" ht="29.25" hidden="1" customHeight="1" outlineLevel="1" x14ac:dyDescent="0.25">
      <c r="A4681" s="46">
        <v>9663</v>
      </c>
      <c r="B4681" s="4" t="s">
        <v>242</v>
      </c>
      <c r="C4681" s="22" t="s">
        <v>1819</v>
      </c>
      <c r="D4681" s="18">
        <v>2021</v>
      </c>
      <c r="E4681" s="18" t="s">
        <v>234</v>
      </c>
      <c r="F4681" s="18">
        <v>1</v>
      </c>
      <c r="G4681" s="18">
        <v>100</v>
      </c>
      <c r="H4681" s="18">
        <v>942</v>
      </c>
    </row>
    <row r="4682" spans="1:8" s="15" customFormat="1" ht="29.25" hidden="1" customHeight="1" outlineLevel="1" x14ac:dyDescent="0.25">
      <c r="A4682" s="46">
        <v>9653</v>
      </c>
      <c r="B4682" s="4" t="s">
        <v>242</v>
      </c>
      <c r="C4682" s="22" t="s">
        <v>1595</v>
      </c>
      <c r="D4682" s="18">
        <v>2021</v>
      </c>
      <c r="E4682" s="18" t="s">
        <v>234</v>
      </c>
      <c r="F4682" s="18">
        <v>1</v>
      </c>
      <c r="G4682" s="18">
        <v>150</v>
      </c>
      <c r="H4682" s="18">
        <v>493</v>
      </c>
    </row>
    <row r="4683" spans="1:8" s="15" customFormat="1" ht="29.25" hidden="1" customHeight="1" outlineLevel="1" x14ac:dyDescent="0.25">
      <c r="A4683" s="46">
        <v>9441</v>
      </c>
      <c r="B4683" s="4" t="s">
        <v>242</v>
      </c>
      <c r="C4683" s="22" t="s">
        <v>1823</v>
      </c>
      <c r="D4683" s="18">
        <v>2021</v>
      </c>
      <c r="E4683" s="18" t="s">
        <v>234</v>
      </c>
      <c r="F4683" s="18">
        <v>1</v>
      </c>
      <c r="G4683" s="18">
        <v>105</v>
      </c>
      <c r="H4683" s="18">
        <v>937</v>
      </c>
    </row>
    <row r="4684" spans="1:8" s="15" customFormat="1" ht="29.25" hidden="1" customHeight="1" outlineLevel="1" x14ac:dyDescent="0.25">
      <c r="A4684" s="45">
        <v>3797</v>
      </c>
      <c r="B4684" s="4" t="s">
        <v>242</v>
      </c>
      <c r="C4684" s="22" t="s">
        <v>1824</v>
      </c>
      <c r="D4684" s="18">
        <v>2021</v>
      </c>
      <c r="E4684" s="18" t="s">
        <v>234</v>
      </c>
      <c r="F4684" s="18">
        <v>1</v>
      </c>
      <c r="G4684" s="18">
        <v>149.30000000000001</v>
      </c>
      <c r="H4684" s="18">
        <v>1004</v>
      </c>
    </row>
    <row r="4685" spans="1:8" s="15" customFormat="1" ht="29.25" hidden="1" customHeight="1" outlineLevel="1" x14ac:dyDescent="0.25">
      <c r="A4685" s="45">
        <v>1129</v>
      </c>
      <c r="B4685" s="4" t="s">
        <v>242</v>
      </c>
      <c r="C4685" s="22" t="s">
        <v>1827</v>
      </c>
      <c r="D4685" s="18">
        <v>2021</v>
      </c>
      <c r="E4685" s="18" t="s">
        <v>234</v>
      </c>
      <c r="F4685" s="18">
        <v>1</v>
      </c>
      <c r="G4685" s="18">
        <v>150</v>
      </c>
      <c r="H4685" s="18">
        <v>879</v>
      </c>
    </row>
    <row r="4686" spans="1:8" s="15" customFormat="1" ht="29.25" hidden="1" customHeight="1" outlineLevel="1" x14ac:dyDescent="0.25">
      <c r="A4686" s="46">
        <v>9642</v>
      </c>
      <c r="B4686" s="4" t="s">
        <v>242</v>
      </c>
      <c r="C4686" s="22" t="s">
        <v>1828</v>
      </c>
      <c r="D4686" s="18">
        <v>2021</v>
      </c>
      <c r="E4686" s="18" t="s">
        <v>234</v>
      </c>
      <c r="F4686" s="18">
        <v>1</v>
      </c>
      <c r="G4686" s="18">
        <v>100</v>
      </c>
      <c r="H4686" s="18">
        <v>624</v>
      </c>
    </row>
    <row r="4687" spans="1:8" s="15" customFormat="1" ht="29.25" hidden="1" customHeight="1" outlineLevel="1" x14ac:dyDescent="0.25">
      <c r="A4687" s="46">
        <v>9592</v>
      </c>
      <c r="B4687" s="4" t="s">
        <v>242</v>
      </c>
      <c r="C4687" s="22" t="s">
        <v>1631</v>
      </c>
      <c r="D4687" s="18">
        <v>2021</v>
      </c>
      <c r="E4687" s="18" t="s">
        <v>234</v>
      </c>
      <c r="F4687" s="18">
        <v>1</v>
      </c>
      <c r="G4687" s="18">
        <v>90</v>
      </c>
      <c r="H4687" s="18">
        <v>740</v>
      </c>
    </row>
    <row r="4688" spans="1:8" s="15" customFormat="1" ht="29.25" hidden="1" customHeight="1" outlineLevel="1" x14ac:dyDescent="0.25">
      <c r="A4688" s="46">
        <v>9597</v>
      </c>
      <c r="B4688" s="4" t="s">
        <v>242</v>
      </c>
      <c r="C4688" s="22" t="s">
        <v>1645</v>
      </c>
      <c r="D4688" s="18">
        <v>2021</v>
      </c>
      <c r="E4688" s="18" t="s">
        <v>234</v>
      </c>
      <c r="F4688" s="18">
        <v>1</v>
      </c>
      <c r="G4688" s="18">
        <v>150</v>
      </c>
      <c r="H4688" s="18">
        <v>707</v>
      </c>
    </row>
    <row r="4689" spans="1:8" s="15" customFormat="1" ht="29.25" hidden="1" customHeight="1" outlineLevel="1" x14ac:dyDescent="0.25">
      <c r="A4689" s="45">
        <v>1130</v>
      </c>
      <c r="B4689" s="4" t="s">
        <v>242</v>
      </c>
      <c r="C4689" s="22" t="s">
        <v>1646</v>
      </c>
      <c r="D4689" s="18">
        <v>2021</v>
      </c>
      <c r="E4689" s="18" t="s">
        <v>234</v>
      </c>
      <c r="F4689" s="18">
        <v>1</v>
      </c>
      <c r="G4689" s="18">
        <v>110</v>
      </c>
      <c r="H4689" s="18">
        <v>576</v>
      </c>
    </row>
    <row r="4690" spans="1:8" s="15" customFormat="1" ht="29.25" hidden="1" customHeight="1" outlineLevel="1" x14ac:dyDescent="0.25">
      <c r="A4690" s="45">
        <v>1147</v>
      </c>
      <c r="B4690" s="4" t="s">
        <v>242</v>
      </c>
      <c r="C4690" s="22" t="s">
        <v>1650</v>
      </c>
      <c r="D4690" s="18">
        <v>2021</v>
      </c>
      <c r="E4690" s="18" t="s">
        <v>234</v>
      </c>
      <c r="F4690" s="18">
        <v>1</v>
      </c>
      <c r="G4690" s="18">
        <v>104</v>
      </c>
      <c r="H4690" s="18">
        <v>717</v>
      </c>
    </row>
    <row r="4691" spans="1:8" s="15" customFormat="1" ht="29.25" hidden="1" customHeight="1" outlineLevel="1" x14ac:dyDescent="0.25">
      <c r="A4691" s="46">
        <v>9583</v>
      </c>
      <c r="B4691" s="4" t="s">
        <v>242</v>
      </c>
      <c r="C4691" s="22" t="s">
        <v>1834</v>
      </c>
      <c r="D4691" s="18">
        <v>2021</v>
      </c>
      <c r="E4691" s="18" t="s">
        <v>234</v>
      </c>
      <c r="F4691" s="18">
        <v>1</v>
      </c>
      <c r="G4691" s="18">
        <v>150</v>
      </c>
      <c r="H4691" s="18">
        <v>505</v>
      </c>
    </row>
    <row r="4692" spans="1:8" s="15" customFormat="1" ht="29.25" hidden="1" customHeight="1" outlineLevel="1" x14ac:dyDescent="0.25">
      <c r="A4692" s="46">
        <v>9645</v>
      </c>
      <c r="B4692" s="4" t="s">
        <v>242</v>
      </c>
      <c r="C4692" s="22" t="s">
        <v>1836</v>
      </c>
      <c r="D4692" s="18">
        <v>2021</v>
      </c>
      <c r="E4692" s="18" t="s">
        <v>234</v>
      </c>
      <c r="F4692" s="18">
        <v>1</v>
      </c>
      <c r="G4692" s="18">
        <v>150</v>
      </c>
      <c r="H4692" s="18">
        <v>575</v>
      </c>
    </row>
    <row r="4693" spans="1:8" s="15" customFormat="1" ht="29.25" hidden="1" customHeight="1" outlineLevel="1" x14ac:dyDescent="0.25">
      <c r="A4693" s="46">
        <v>9374</v>
      </c>
      <c r="B4693" s="4" t="s">
        <v>242</v>
      </c>
      <c r="C4693" s="22" t="s">
        <v>1345</v>
      </c>
      <c r="D4693" s="18">
        <v>2021</v>
      </c>
      <c r="E4693" s="18" t="s">
        <v>234</v>
      </c>
      <c r="F4693" s="18">
        <v>1</v>
      </c>
      <c r="G4693" s="18">
        <v>9</v>
      </c>
      <c r="H4693" s="18">
        <v>664.03399999999999</v>
      </c>
    </row>
    <row r="4694" spans="1:8" s="15" customFormat="1" ht="29.25" hidden="1" customHeight="1" outlineLevel="1" x14ac:dyDescent="0.25">
      <c r="A4694" s="46">
        <v>9365</v>
      </c>
      <c r="B4694" s="4" t="s">
        <v>242</v>
      </c>
      <c r="C4694" s="22" t="s">
        <v>1288</v>
      </c>
      <c r="D4694" s="18">
        <v>2021</v>
      </c>
      <c r="E4694" s="18" t="s">
        <v>234</v>
      </c>
      <c r="F4694" s="18">
        <v>1</v>
      </c>
      <c r="G4694" s="18">
        <v>119.2</v>
      </c>
      <c r="H4694" s="18">
        <v>695.28599999999994</v>
      </c>
    </row>
    <row r="4695" spans="1:8" s="15" customFormat="1" ht="29.25" hidden="1" customHeight="1" outlineLevel="1" x14ac:dyDescent="0.25">
      <c r="A4695" s="46">
        <v>9880</v>
      </c>
      <c r="B4695" s="4" t="s">
        <v>242</v>
      </c>
      <c r="C4695" s="22" t="s">
        <v>2019</v>
      </c>
      <c r="D4695" s="18">
        <v>2021</v>
      </c>
      <c r="E4695" s="18" t="s">
        <v>234</v>
      </c>
      <c r="F4695" s="18">
        <v>1</v>
      </c>
      <c r="G4695" s="18">
        <v>80</v>
      </c>
      <c r="H4695" s="18">
        <v>304.17099999999999</v>
      </c>
    </row>
    <row r="4696" spans="1:8" s="15" customFormat="1" ht="29.25" hidden="1" customHeight="1" outlineLevel="1" x14ac:dyDescent="0.25">
      <c r="A4696" s="46">
        <v>9885</v>
      </c>
      <c r="B4696" s="4" t="s">
        <v>242</v>
      </c>
      <c r="C4696" s="22" t="s">
        <v>2020</v>
      </c>
      <c r="D4696" s="18">
        <v>2021</v>
      </c>
      <c r="E4696" s="18" t="s">
        <v>234</v>
      </c>
      <c r="F4696" s="18">
        <v>1</v>
      </c>
      <c r="G4696" s="18">
        <v>185</v>
      </c>
      <c r="H4696" s="18">
        <v>325.661</v>
      </c>
    </row>
    <row r="4697" spans="1:8" s="15" customFormat="1" ht="29.25" hidden="1" customHeight="1" outlineLevel="1" x14ac:dyDescent="0.25">
      <c r="A4697" s="45">
        <v>565</v>
      </c>
      <c r="B4697" s="4" t="s">
        <v>242</v>
      </c>
      <c r="C4697" s="22" t="s">
        <v>1265</v>
      </c>
      <c r="D4697" s="18">
        <v>2021</v>
      </c>
      <c r="E4697" s="18" t="s">
        <v>234</v>
      </c>
      <c r="F4697" s="18">
        <v>1</v>
      </c>
      <c r="G4697" s="18">
        <v>135</v>
      </c>
      <c r="H4697" s="18">
        <v>612.53200000000004</v>
      </c>
    </row>
    <row r="4698" spans="1:8" s="15" customFormat="1" ht="29.25" hidden="1" customHeight="1" outlineLevel="1" x14ac:dyDescent="0.25">
      <c r="A4698" s="45">
        <v>563</v>
      </c>
      <c r="B4698" s="4" t="s">
        <v>242</v>
      </c>
      <c r="C4698" s="22" t="s">
        <v>1365</v>
      </c>
      <c r="D4698" s="18">
        <v>2021</v>
      </c>
      <c r="E4698" s="18" t="s">
        <v>234</v>
      </c>
      <c r="F4698" s="18">
        <v>1</v>
      </c>
      <c r="G4698" s="18">
        <v>150</v>
      </c>
      <c r="H4698" s="18">
        <v>482.983</v>
      </c>
    </row>
    <row r="4699" spans="1:8" s="15" customFormat="1" ht="29.25" hidden="1" customHeight="1" outlineLevel="1" x14ac:dyDescent="0.25">
      <c r="A4699" s="45">
        <v>449</v>
      </c>
      <c r="B4699" s="4" t="s">
        <v>242</v>
      </c>
      <c r="C4699" s="22" t="s">
        <v>1367</v>
      </c>
      <c r="D4699" s="18">
        <v>2021</v>
      </c>
      <c r="E4699" s="18" t="s">
        <v>234</v>
      </c>
      <c r="F4699" s="18">
        <v>1</v>
      </c>
      <c r="G4699" s="18">
        <v>150</v>
      </c>
      <c r="H4699" s="18">
        <v>936.57899999999995</v>
      </c>
    </row>
    <row r="4700" spans="1:8" s="15" customFormat="1" ht="29.25" hidden="1" customHeight="1" outlineLevel="1" x14ac:dyDescent="0.25">
      <c r="A4700" s="46">
        <v>9079</v>
      </c>
      <c r="B4700" s="4" t="s">
        <v>242</v>
      </c>
      <c r="C4700" s="22" t="s">
        <v>1368</v>
      </c>
      <c r="D4700" s="18">
        <v>2021</v>
      </c>
      <c r="E4700" s="18" t="s">
        <v>234</v>
      </c>
      <c r="F4700" s="18">
        <v>1</v>
      </c>
      <c r="G4700" s="18">
        <v>105</v>
      </c>
      <c r="H4700" s="18">
        <v>961.14800000000002</v>
      </c>
    </row>
    <row r="4701" spans="1:8" s="15" customFormat="1" ht="29.25" hidden="1" customHeight="1" outlineLevel="1" x14ac:dyDescent="0.25">
      <c r="A4701" s="45">
        <v>3880</v>
      </c>
      <c r="B4701" s="4" t="s">
        <v>242</v>
      </c>
      <c r="C4701" s="22" t="s">
        <v>1856</v>
      </c>
      <c r="D4701" s="18">
        <v>2021</v>
      </c>
      <c r="E4701" s="18" t="s">
        <v>234</v>
      </c>
      <c r="F4701" s="18">
        <v>1</v>
      </c>
      <c r="G4701" s="18">
        <v>105</v>
      </c>
      <c r="H4701" s="18">
        <v>468.39558</v>
      </c>
    </row>
    <row r="4702" spans="1:8" s="15" customFormat="1" ht="29.25" hidden="1" customHeight="1" outlineLevel="1" x14ac:dyDescent="0.25">
      <c r="A4702" s="46">
        <v>9625</v>
      </c>
      <c r="B4702" s="4" t="s">
        <v>242</v>
      </c>
      <c r="C4702" s="22" t="s">
        <v>1860</v>
      </c>
      <c r="D4702" s="18">
        <v>2021</v>
      </c>
      <c r="E4702" s="18" t="s">
        <v>234</v>
      </c>
      <c r="F4702" s="18">
        <v>1</v>
      </c>
      <c r="G4702" s="18">
        <v>150</v>
      </c>
      <c r="H4702" s="18">
        <v>587.81016</v>
      </c>
    </row>
    <row r="4703" spans="1:8" s="15" customFormat="1" ht="29.25" hidden="1" customHeight="1" outlineLevel="1" x14ac:dyDescent="0.25">
      <c r="A4703" s="46">
        <v>9628</v>
      </c>
      <c r="B4703" s="4" t="s">
        <v>242</v>
      </c>
      <c r="C4703" s="76" t="s">
        <v>1861</v>
      </c>
      <c r="D4703" s="18">
        <v>2021</v>
      </c>
      <c r="E4703" s="18" t="s">
        <v>234</v>
      </c>
      <c r="F4703" s="18">
        <v>1</v>
      </c>
      <c r="G4703" s="18">
        <v>100</v>
      </c>
      <c r="H4703" s="18">
        <v>906.36734000000001</v>
      </c>
    </row>
    <row r="4704" spans="1:8" s="15" customFormat="1" ht="29.25" hidden="1" customHeight="1" outlineLevel="1" x14ac:dyDescent="0.25">
      <c r="A4704" s="46">
        <v>9525</v>
      </c>
      <c r="B4704" s="4" t="s">
        <v>242</v>
      </c>
      <c r="C4704" s="22" t="s">
        <v>2021</v>
      </c>
      <c r="D4704" s="18">
        <v>2021</v>
      </c>
      <c r="E4704" s="18" t="s">
        <v>234</v>
      </c>
      <c r="F4704" s="18">
        <v>1</v>
      </c>
      <c r="G4704" s="18">
        <v>105</v>
      </c>
      <c r="H4704" s="18">
        <v>649.98730999999998</v>
      </c>
    </row>
    <row r="4705" spans="1:33" s="15" customFormat="1" ht="29.25" hidden="1" customHeight="1" outlineLevel="1" x14ac:dyDescent="0.25">
      <c r="A4705" s="46">
        <v>9853</v>
      </c>
      <c r="B4705" s="4" t="s">
        <v>242</v>
      </c>
      <c r="C4705" s="76" t="s">
        <v>2022</v>
      </c>
      <c r="D4705" s="18">
        <v>2021</v>
      </c>
      <c r="E4705" s="18" t="s">
        <v>234</v>
      </c>
      <c r="F4705" s="18">
        <v>1</v>
      </c>
      <c r="G4705" s="18">
        <v>30</v>
      </c>
      <c r="H4705" s="18">
        <v>845.27791000000002</v>
      </c>
    </row>
    <row r="4706" spans="1:33" s="15" customFormat="1" ht="29.25" hidden="1" customHeight="1" outlineLevel="1" x14ac:dyDescent="0.25">
      <c r="A4706" s="46">
        <v>9618</v>
      </c>
      <c r="B4706" s="4" t="s">
        <v>242</v>
      </c>
      <c r="C4706" s="22" t="s">
        <v>2023</v>
      </c>
      <c r="D4706" s="18">
        <v>2021</v>
      </c>
      <c r="E4706" s="18" t="s">
        <v>234</v>
      </c>
      <c r="F4706" s="18">
        <v>1</v>
      </c>
      <c r="G4706" s="18">
        <v>150</v>
      </c>
      <c r="H4706" s="18">
        <v>980.35677999999996</v>
      </c>
    </row>
    <row r="4707" spans="1:33" s="15" customFormat="1" ht="29.25" hidden="1" customHeight="1" outlineLevel="1" x14ac:dyDescent="0.25">
      <c r="A4707" s="46">
        <v>9518</v>
      </c>
      <c r="B4707" s="4" t="s">
        <v>242</v>
      </c>
      <c r="C4707" s="22" t="s">
        <v>1868</v>
      </c>
      <c r="D4707" s="18">
        <v>2021</v>
      </c>
      <c r="E4707" s="18" t="s">
        <v>234</v>
      </c>
      <c r="F4707" s="18">
        <v>1</v>
      </c>
      <c r="G4707" s="18">
        <v>150</v>
      </c>
      <c r="H4707" s="18">
        <v>160.11350999999999</v>
      </c>
    </row>
    <row r="4708" spans="1:33" s="15" customFormat="1" ht="29.25" hidden="1" customHeight="1" outlineLevel="1" x14ac:dyDescent="0.25">
      <c r="A4708" s="46">
        <v>9879</v>
      </c>
      <c r="B4708" s="4" t="s">
        <v>242</v>
      </c>
      <c r="C4708" s="22" t="s">
        <v>2024</v>
      </c>
      <c r="D4708" s="18">
        <v>2021</v>
      </c>
      <c r="E4708" s="18" t="s">
        <v>234</v>
      </c>
      <c r="F4708" s="18">
        <v>1</v>
      </c>
      <c r="G4708" s="18">
        <v>30</v>
      </c>
      <c r="H4708" s="18">
        <v>234.92989</v>
      </c>
    </row>
    <row r="4709" spans="1:33" s="15" customFormat="1" ht="29.25" hidden="1" customHeight="1" outlineLevel="1" x14ac:dyDescent="0.25">
      <c r="A4709" s="45">
        <v>3740</v>
      </c>
      <c r="B4709" s="4" t="s">
        <v>242</v>
      </c>
      <c r="C4709" s="22" t="s">
        <v>1870</v>
      </c>
      <c r="D4709" s="18">
        <v>2021</v>
      </c>
      <c r="E4709" s="18" t="s">
        <v>234</v>
      </c>
      <c r="F4709" s="18">
        <v>1</v>
      </c>
      <c r="G4709" s="18">
        <v>99</v>
      </c>
      <c r="H4709" s="18">
        <v>997.11591999999996</v>
      </c>
    </row>
    <row r="4710" spans="1:33" s="15" customFormat="1" ht="29.25" hidden="1" customHeight="1" outlineLevel="1" x14ac:dyDescent="0.25">
      <c r="A4710" s="46">
        <v>9616</v>
      </c>
      <c r="B4710" s="4" t="s">
        <v>242</v>
      </c>
      <c r="C4710" s="22" t="s">
        <v>1875</v>
      </c>
      <c r="D4710" s="18">
        <v>2021</v>
      </c>
      <c r="E4710" s="18" t="s">
        <v>234</v>
      </c>
      <c r="F4710" s="18">
        <v>1</v>
      </c>
      <c r="G4710" s="18">
        <v>150</v>
      </c>
      <c r="H4710" s="18">
        <v>1041.7451100000001</v>
      </c>
    </row>
    <row r="4711" spans="1:33" s="15" customFormat="1" ht="29.25" hidden="1" customHeight="1" outlineLevel="1" x14ac:dyDescent="0.25">
      <c r="A4711" s="46">
        <v>9455</v>
      </c>
      <c r="B4711" s="4" t="s">
        <v>242</v>
      </c>
      <c r="C4711" s="22" t="s">
        <v>1973</v>
      </c>
      <c r="D4711" s="18">
        <v>2021</v>
      </c>
      <c r="E4711" s="18" t="s">
        <v>234</v>
      </c>
      <c r="F4711" s="18">
        <v>1</v>
      </c>
      <c r="G4711" s="18">
        <v>20</v>
      </c>
      <c r="H4711" s="18">
        <v>775.57054000000005</v>
      </c>
    </row>
    <row r="4712" spans="1:33" s="15" customFormat="1" ht="29.25" hidden="1" customHeight="1" outlineLevel="1" x14ac:dyDescent="0.25">
      <c r="A4712" s="46">
        <v>9446</v>
      </c>
      <c r="B4712" s="4" t="s">
        <v>242</v>
      </c>
      <c r="C4712" s="22" t="s">
        <v>1876</v>
      </c>
      <c r="D4712" s="18">
        <v>2021</v>
      </c>
      <c r="E4712" s="18" t="s">
        <v>234</v>
      </c>
      <c r="F4712" s="18">
        <v>1</v>
      </c>
      <c r="G4712" s="18">
        <v>150</v>
      </c>
      <c r="H4712" s="18">
        <v>671.89430000000004</v>
      </c>
    </row>
    <row r="4713" spans="1:33" s="15" customFormat="1" ht="31.5" collapsed="1" x14ac:dyDescent="0.25">
      <c r="A4713" s="18"/>
      <c r="B4713" s="70" t="s">
        <v>242</v>
      </c>
      <c r="C4713" s="71" t="s">
        <v>3226</v>
      </c>
      <c r="D4713" s="69"/>
      <c r="E4713" s="70" t="s">
        <v>232</v>
      </c>
      <c r="F4713" s="69"/>
      <c r="G4713" s="69"/>
      <c r="H4713" s="69"/>
    </row>
    <row r="4714" spans="1:33" s="16" customFormat="1" ht="16.5" customHeight="1" x14ac:dyDescent="0.25">
      <c r="A4714" s="18"/>
      <c r="B4714" s="11" t="s">
        <v>242</v>
      </c>
      <c r="C4714" s="12" t="s">
        <v>1102</v>
      </c>
      <c r="D4714" s="20">
        <v>2020</v>
      </c>
      <c r="E4714" s="20" t="s">
        <v>232</v>
      </c>
      <c r="F4714" s="11">
        <f>SUMIF($D$4717:$D$4752,$D$4714,$F$4717:$F$4752)</f>
        <v>22</v>
      </c>
      <c r="G4714" s="11">
        <f>SUMIF($D$4717:$D$4752,$D$4714,$G$4717:$G$4752)</f>
        <v>3230.5</v>
      </c>
      <c r="H4714" s="14">
        <f>SUMIF($D$4717:$D$4752,$D$4714,$H$4717:$H$4752)</f>
        <v>16105.971319999999</v>
      </c>
      <c r="I4714" s="15"/>
      <c r="J4714" s="15"/>
      <c r="K4714" s="15"/>
      <c r="L4714" s="15"/>
      <c r="M4714" s="15"/>
      <c r="N4714" s="15"/>
      <c r="O4714" s="15"/>
      <c r="P4714" s="15"/>
      <c r="Q4714" s="15"/>
      <c r="R4714" s="15"/>
      <c r="S4714" s="15"/>
      <c r="T4714" s="15"/>
      <c r="U4714" s="15"/>
      <c r="V4714" s="15"/>
      <c r="W4714" s="15"/>
      <c r="X4714" s="15"/>
      <c r="Y4714" s="15"/>
      <c r="Z4714" s="15"/>
      <c r="AA4714" s="15"/>
      <c r="AB4714" s="15"/>
      <c r="AC4714" s="15"/>
      <c r="AD4714" s="15"/>
      <c r="AE4714" s="15"/>
      <c r="AF4714" s="15"/>
      <c r="AG4714" s="15"/>
    </row>
    <row r="4715" spans="1:33" s="26" customFormat="1" ht="16.5" customHeight="1" x14ac:dyDescent="0.25">
      <c r="A4715" s="18"/>
      <c r="B4715" s="11" t="s">
        <v>242</v>
      </c>
      <c r="C4715" s="12" t="s">
        <v>1102</v>
      </c>
      <c r="D4715" s="20">
        <v>2021</v>
      </c>
      <c r="E4715" s="20" t="s">
        <v>232</v>
      </c>
      <c r="F4715" s="11">
        <f>SUMIF($D$4717:$D$4752,$D$4715,$F$4717:$F$4752)</f>
        <v>8</v>
      </c>
      <c r="G4715" s="11">
        <f>SUMIF($D$4717:$D$4752,$D$4715,$G$4717:$G$4752)</f>
        <v>775.75</v>
      </c>
      <c r="H4715" s="14">
        <f>SUMIF($D$4717:$D$4752,$D$4715,$H$4717:$H$4752)</f>
        <v>4759.2398700000003</v>
      </c>
      <c r="I4715" s="15"/>
      <c r="J4715" s="15"/>
      <c r="K4715" s="15"/>
      <c r="L4715" s="15"/>
      <c r="M4715" s="15"/>
      <c r="N4715" s="15"/>
      <c r="O4715" s="15"/>
      <c r="P4715" s="15"/>
      <c r="Q4715" s="15"/>
      <c r="R4715" s="15"/>
      <c r="S4715" s="15"/>
      <c r="T4715" s="15"/>
      <c r="U4715" s="15"/>
      <c r="V4715" s="15"/>
      <c r="W4715" s="15"/>
      <c r="X4715" s="15"/>
      <c r="Y4715" s="15"/>
      <c r="Z4715" s="15"/>
      <c r="AA4715" s="15"/>
      <c r="AB4715" s="15"/>
      <c r="AC4715" s="15"/>
      <c r="AD4715" s="15"/>
      <c r="AE4715" s="15"/>
      <c r="AF4715" s="15"/>
      <c r="AG4715" s="15"/>
    </row>
    <row r="4716" spans="1:33" s="26" customFormat="1" ht="15.75" x14ac:dyDescent="0.25">
      <c r="A4716" s="18"/>
      <c r="B4716" s="11" t="s">
        <v>242</v>
      </c>
      <c r="C4716" s="12" t="s">
        <v>1102</v>
      </c>
      <c r="D4716" s="20">
        <v>2022</v>
      </c>
      <c r="E4716" s="20" t="s">
        <v>232</v>
      </c>
      <c r="F4716" s="11">
        <f>SUMIF($D$4717:$D$4752,$D$4716,$F$4717:$F$4752)</f>
        <v>7</v>
      </c>
      <c r="G4716" s="11">
        <f>SUMIF($D$4717:$D$4752,$D$4716,$G$4717:$G$4752)</f>
        <v>1017</v>
      </c>
      <c r="H4716" s="14">
        <f>SUMIF($D$4717:$D$4752,$D$4716,$H$4717:$H$4752)</f>
        <v>8915.3023799999992</v>
      </c>
      <c r="I4716" s="15"/>
      <c r="J4716" s="15"/>
      <c r="K4716" s="15"/>
      <c r="L4716" s="15"/>
      <c r="M4716" s="15"/>
      <c r="N4716" s="15"/>
      <c r="O4716" s="15"/>
      <c r="P4716" s="15"/>
      <c r="Q4716" s="15"/>
      <c r="R4716" s="15"/>
      <c r="S4716" s="15"/>
      <c r="T4716" s="15"/>
      <c r="U4716" s="15"/>
      <c r="V4716" s="15"/>
      <c r="W4716" s="15"/>
      <c r="X4716" s="15"/>
      <c r="Y4716" s="15"/>
      <c r="Z4716" s="15"/>
      <c r="AA4716" s="15"/>
      <c r="AB4716" s="15"/>
      <c r="AC4716" s="15"/>
      <c r="AD4716" s="15"/>
      <c r="AE4716" s="15"/>
      <c r="AF4716" s="15"/>
      <c r="AG4716" s="15"/>
    </row>
    <row r="4717" spans="1:33" s="15" customFormat="1" ht="110.25" hidden="1" outlineLevel="1" x14ac:dyDescent="0.25">
      <c r="A4717" s="18">
        <v>3000</v>
      </c>
      <c r="B4717" s="4" t="s">
        <v>242</v>
      </c>
      <c r="C4717" s="22" t="s">
        <v>4051</v>
      </c>
      <c r="D4717" s="18">
        <v>2022</v>
      </c>
      <c r="E4717" s="18" t="s">
        <v>232</v>
      </c>
      <c r="F4717" s="18">
        <v>1</v>
      </c>
      <c r="G4717" s="18">
        <v>147</v>
      </c>
      <c r="H4717" s="18">
        <v>416.72399999999999</v>
      </c>
    </row>
    <row r="4718" spans="1:33" s="15" customFormat="1" ht="94.5" hidden="1" outlineLevel="1" x14ac:dyDescent="0.25">
      <c r="A4718" s="18">
        <v>1433</v>
      </c>
      <c r="B4718" s="4" t="s">
        <v>242</v>
      </c>
      <c r="C4718" s="22" t="s">
        <v>3949</v>
      </c>
      <c r="D4718" s="18">
        <v>2022</v>
      </c>
      <c r="E4718" s="18" t="s">
        <v>232</v>
      </c>
      <c r="F4718" s="18">
        <v>1</v>
      </c>
      <c r="G4718" s="18">
        <v>180</v>
      </c>
      <c r="H4718" s="18">
        <v>1027.63564</v>
      </c>
    </row>
    <row r="4719" spans="1:33" s="15" customFormat="1" ht="94.5" hidden="1" outlineLevel="1" x14ac:dyDescent="0.25">
      <c r="A4719" s="18">
        <v>448</v>
      </c>
      <c r="B4719" s="4" t="s">
        <v>242</v>
      </c>
      <c r="C4719" s="22" t="s">
        <v>3501</v>
      </c>
      <c r="D4719" s="18">
        <v>2022</v>
      </c>
      <c r="E4719" s="18" t="s">
        <v>232</v>
      </c>
      <c r="F4719" s="18">
        <v>1</v>
      </c>
      <c r="G4719" s="18">
        <v>150</v>
      </c>
      <c r="H4719" s="18">
        <v>759.83176000000003</v>
      </c>
    </row>
    <row r="4720" spans="1:33" s="15" customFormat="1" ht="78.75" hidden="1" outlineLevel="1" x14ac:dyDescent="0.25">
      <c r="A4720" s="18">
        <v>452</v>
      </c>
      <c r="B4720" s="4" t="s">
        <v>242</v>
      </c>
      <c r="C4720" s="22" t="s">
        <v>4024</v>
      </c>
      <c r="D4720" s="18">
        <v>2022</v>
      </c>
      <c r="E4720" s="18" t="s">
        <v>232</v>
      </c>
      <c r="F4720" s="18">
        <v>1</v>
      </c>
      <c r="G4720" s="18">
        <v>150</v>
      </c>
      <c r="H4720" s="18">
        <v>629.54777999999999</v>
      </c>
    </row>
    <row r="4721" spans="1:8" s="15" customFormat="1" ht="126" hidden="1" outlineLevel="1" x14ac:dyDescent="0.25">
      <c r="A4721" s="18">
        <v>454</v>
      </c>
      <c r="B4721" s="4" t="s">
        <v>242</v>
      </c>
      <c r="C4721" s="22" t="s">
        <v>4023</v>
      </c>
      <c r="D4721" s="18">
        <v>2022</v>
      </c>
      <c r="E4721" s="18" t="s">
        <v>232</v>
      </c>
      <c r="F4721" s="18">
        <v>1</v>
      </c>
      <c r="G4721" s="18">
        <v>150</v>
      </c>
      <c r="H4721" s="18">
        <v>690.56320000000005</v>
      </c>
    </row>
    <row r="4722" spans="1:8" s="15" customFormat="1" ht="63" hidden="1" outlineLevel="1" x14ac:dyDescent="0.25">
      <c r="A4722" s="18">
        <v>329</v>
      </c>
      <c r="B4722" s="4" t="s">
        <v>242</v>
      </c>
      <c r="C4722" s="22" t="s">
        <v>4239</v>
      </c>
      <c r="D4722" s="18">
        <v>2022</v>
      </c>
      <c r="E4722" s="18" t="s">
        <v>232</v>
      </c>
      <c r="F4722" s="18">
        <v>1</v>
      </c>
      <c r="G4722" s="18">
        <v>90</v>
      </c>
      <c r="H4722" s="18">
        <v>3265</v>
      </c>
    </row>
    <row r="4723" spans="1:8" s="15" customFormat="1" ht="47.25" hidden="1" outlineLevel="1" x14ac:dyDescent="0.25">
      <c r="A4723" s="18">
        <v>422</v>
      </c>
      <c r="B4723" s="4" t="s">
        <v>242</v>
      </c>
      <c r="C4723" s="22" t="s">
        <v>4242</v>
      </c>
      <c r="D4723" s="18">
        <v>2022</v>
      </c>
      <c r="E4723" s="18" t="s">
        <v>232</v>
      </c>
      <c r="F4723" s="18">
        <v>1</v>
      </c>
      <c r="G4723" s="18">
        <v>150</v>
      </c>
      <c r="H4723" s="18">
        <v>2126</v>
      </c>
    </row>
    <row r="4724" spans="1:8" s="15" customFormat="1" ht="30" hidden="1" customHeight="1" outlineLevel="1" x14ac:dyDescent="0.25">
      <c r="A4724" s="18">
        <v>1826</v>
      </c>
      <c r="B4724" s="4" t="s">
        <v>242</v>
      </c>
      <c r="C4724" s="22" t="s">
        <v>589</v>
      </c>
      <c r="D4724" s="18">
        <v>2020</v>
      </c>
      <c r="E4724" s="18" t="s">
        <v>232</v>
      </c>
      <c r="F4724" s="18">
        <v>1</v>
      </c>
      <c r="G4724" s="18">
        <v>65</v>
      </c>
      <c r="H4724" s="18">
        <v>489</v>
      </c>
    </row>
    <row r="4725" spans="1:8" s="15" customFormat="1" ht="30" hidden="1" customHeight="1" outlineLevel="1" x14ac:dyDescent="0.25">
      <c r="A4725" s="18">
        <v>1823</v>
      </c>
      <c r="B4725" s="4" t="s">
        <v>242</v>
      </c>
      <c r="C4725" s="22" t="s">
        <v>1018</v>
      </c>
      <c r="D4725" s="18">
        <v>2020</v>
      </c>
      <c r="E4725" s="18" t="s">
        <v>232</v>
      </c>
      <c r="F4725" s="18">
        <v>1</v>
      </c>
      <c r="G4725" s="18">
        <v>100</v>
      </c>
      <c r="H4725" s="18">
        <v>704</v>
      </c>
    </row>
    <row r="4726" spans="1:8" s="15" customFormat="1" ht="30" hidden="1" customHeight="1" outlineLevel="1" x14ac:dyDescent="0.25">
      <c r="A4726" s="18">
        <v>1825</v>
      </c>
      <c r="B4726" s="4" t="s">
        <v>242</v>
      </c>
      <c r="C4726" s="22" t="s">
        <v>500</v>
      </c>
      <c r="D4726" s="18">
        <v>2020</v>
      </c>
      <c r="E4726" s="18" t="s">
        <v>232</v>
      </c>
      <c r="F4726" s="18">
        <v>1</v>
      </c>
      <c r="G4726" s="18">
        <v>45</v>
      </c>
      <c r="H4726" s="18">
        <v>565</v>
      </c>
    </row>
    <row r="4727" spans="1:8" s="15" customFormat="1" ht="30" hidden="1" customHeight="1" outlineLevel="1" x14ac:dyDescent="0.25">
      <c r="A4727" s="18">
        <v>188</v>
      </c>
      <c r="B4727" s="4" t="s">
        <v>242</v>
      </c>
      <c r="C4727" s="22" t="s">
        <v>502</v>
      </c>
      <c r="D4727" s="18">
        <v>2020</v>
      </c>
      <c r="E4727" s="18" t="s">
        <v>232</v>
      </c>
      <c r="F4727" s="18">
        <v>1</v>
      </c>
      <c r="G4727" s="18">
        <v>60</v>
      </c>
      <c r="H4727" s="18">
        <v>783</v>
      </c>
    </row>
    <row r="4728" spans="1:8" s="15" customFormat="1" ht="30" hidden="1" customHeight="1" outlineLevel="1" x14ac:dyDescent="0.25">
      <c r="A4728" s="18">
        <v>187</v>
      </c>
      <c r="B4728" s="4" t="s">
        <v>242</v>
      </c>
      <c r="C4728" s="22" t="s">
        <v>1026</v>
      </c>
      <c r="D4728" s="18">
        <v>2020</v>
      </c>
      <c r="E4728" s="18" t="s">
        <v>232</v>
      </c>
      <c r="F4728" s="18">
        <v>1</v>
      </c>
      <c r="G4728" s="18">
        <v>5</v>
      </c>
      <c r="H4728" s="18">
        <v>632</v>
      </c>
    </row>
    <row r="4729" spans="1:8" s="15" customFormat="1" ht="30" hidden="1" customHeight="1" outlineLevel="1" x14ac:dyDescent="0.25">
      <c r="A4729" s="18">
        <v>1824</v>
      </c>
      <c r="B4729" s="4" t="s">
        <v>242</v>
      </c>
      <c r="C4729" s="22" t="s">
        <v>508</v>
      </c>
      <c r="D4729" s="18">
        <v>2020</v>
      </c>
      <c r="E4729" s="18" t="s">
        <v>232</v>
      </c>
      <c r="F4729" s="18">
        <v>1</v>
      </c>
      <c r="G4729" s="18">
        <v>15</v>
      </c>
      <c r="H4729" s="18">
        <v>627</v>
      </c>
    </row>
    <row r="4730" spans="1:8" s="15" customFormat="1" ht="30" hidden="1" customHeight="1" outlineLevel="1" x14ac:dyDescent="0.25">
      <c r="A4730" s="18">
        <v>516</v>
      </c>
      <c r="B4730" s="4" t="s">
        <v>242</v>
      </c>
      <c r="C4730" s="22" t="s">
        <v>510</v>
      </c>
      <c r="D4730" s="18">
        <v>2020</v>
      </c>
      <c r="E4730" s="18" t="s">
        <v>232</v>
      </c>
      <c r="F4730" s="18">
        <v>1</v>
      </c>
      <c r="G4730" s="18">
        <v>205</v>
      </c>
      <c r="H4730" s="18">
        <v>708</v>
      </c>
    </row>
    <row r="4731" spans="1:8" s="15" customFormat="1" ht="30" hidden="1" customHeight="1" outlineLevel="1" x14ac:dyDescent="0.25">
      <c r="A4731" s="18">
        <v>1761</v>
      </c>
      <c r="B4731" s="4" t="s">
        <v>242</v>
      </c>
      <c r="C4731" s="22" t="s">
        <v>515</v>
      </c>
      <c r="D4731" s="18">
        <v>2020</v>
      </c>
      <c r="E4731" s="18" t="s">
        <v>232</v>
      </c>
      <c r="F4731" s="18">
        <v>1</v>
      </c>
      <c r="G4731" s="18">
        <v>100</v>
      </c>
      <c r="H4731" s="18">
        <v>905.62099999999998</v>
      </c>
    </row>
    <row r="4732" spans="1:8" s="15" customFormat="1" ht="30" hidden="1" customHeight="1" outlineLevel="1" x14ac:dyDescent="0.25">
      <c r="A4732" s="18">
        <v>240</v>
      </c>
      <c r="B4732" s="4" t="s">
        <v>242</v>
      </c>
      <c r="C4732" s="22" t="s">
        <v>522</v>
      </c>
      <c r="D4732" s="18">
        <v>2020</v>
      </c>
      <c r="E4732" s="18" t="s">
        <v>232</v>
      </c>
      <c r="F4732" s="18">
        <v>1</v>
      </c>
      <c r="G4732" s="18">
        <v>172.5</v>
      </c>
      <c r="H4732" s="18">
        <v>1065.825</v>
      </c>
    </row>
    <row r="4733" spans="1:8" s="15" customFormat="1" ht="30" hidden="1" customHeight="1" outlineLevel="1" x14ac:dyDescent="0.25">
      <c r="A4733" s="18">
        <v>1760</v>
      </c>
      <c r="B4733" s="4" t="s">
        <v>242</v>
      </c>
      <c r="C4733" s="22" t="s">
        <v>537</v>
      </c>
      <c r="D4733" s="18">
        <v>2020</v>
      </c>
      <c r="E4733" s="18" t="s">
        <v>232</v>
      </c>
      <c r="F4733" s="18">
        <v>1</v>
      </c>
      <c r="G4733" s="18">
        <v>150</v>
      </c>
      <c r="H4733" s="18">
        <v>788.31399999999996</v>
      </c>
    </row>
    <row r="4734" spans="1:8" s="15" customFormat="1" ht="30" hidden="1" customHeight="1" outlineLevel="1" x14ac:dyDescent="0.25">
      <c r="A4734" s="18">
        <v>1719</v>
      </c>
      <c r="B4734" s="4" t="s">
        <v>242</v>
      </c>
      <c r="C4734" s="22" t="s">
        <v>540</v>
      </c>
      <c r="D4734" s="18">
        <v>2020</v>
      </c>
      <c r="E4734" s="18" t="s">
        <v>232</v>
      </c>
      <c r="F4734" s="18">
        <v>1</v>
      </c>
      <c r="G4734" s="18">
        <v>100</v>
      </c>
      <c r="H4734" s="18">
        <v>526.11500000000001</v>
      </c>
    </row>
    <row r="4735" spans="1:8" s="15" customFormat="1" ht="30" hidden="1" customHeight="1" outlineLevel="1" x14ac:dyDescent="0.25">
      <c r="A4735" s="18">
        <v>1713</v>
      </c>
      <c r="B4735" s="4" t="s">
        <v>242</v>
      </c>
      <c r="C4735" s="22" t="s">
        <v>543</v>
      </c>
      <c r="D4735" s="18">
        <v>2020</v>
      </c>
      <c r="E4735" s="18" t="s">
        <v>232</v>
      </c>
      <c r="F4735" s="18">
        <v>1</v>
      </c>
      <c r="G4735" s="18">
        <v>150</v>
      </c>
      <c r="H4735" s="18">
        <v>1219.6500000000001</v>
      </c>
    </row>
    <row r="4736" spans="1:8" s="15" customFormat="1" ht="30" hidden="1" customHeight="1" outlineLevel="1" x14ac:dyDescent="0.25">
      <c r="A4736" s="18">
        <v>1704</v>
      </c>
      <c r="B4736" s="4" t="s">
        <v>242</v>
      </c>
      <c r="C4736" s="22" t="s">
        <v>1093</v>
      </c>
      <c r="D4736" s="18">
        <v>2020</v>
      </c>
      <c r="E4736" s="18" t="s">
        <v>232</v>
      </c>
      <c r="F4736" s="18">
        <v>2</v>
      </c>
      <c r="G4736" s="18">
        <v>1020</v>
      </c>
      <c r="H4736" s="18">
        <v>1635.704</v>
      </c>
    </row>
    <row r="4737" spans="1:8" s="15" customFormat="1" ht="30" hidden="1" customHeight="1" outlineLevel="1" x14ac:dyDescent="0.25">
      <c r="A4737" s="18">
        <v>1812</v>
      </c>
      <c r="B4737" s="4" t="s">
        <v>242</v>
      </c>
      <c r="C4737" s="22" t="s">
        <v>68</v>
      </c>
      <c r="D4737" s="18">
        <v>2020</v>
      </c>
      <c r="E4737" s="18" t="s">
        <v>232</v>
      </c>
      <c r="F4737" s="18">
        <v>1</v>
      </c>
      <c r="G4737" s="18">
        <v>150</v>
      </c>
      <c r="H4737" s="18">
        <v>479.69603000000001</v>
      </c>
    </row>
    <row r="4738" spans="1:8" s="15" customFormat="1" ht="30" hidden="1" customHeight="1" outlineLevel="1" x14ac:dyDescent="0.25">
      <c r="A4738" s="18">
        <v>460</v>
      </c>
      <c r="B4738" s="4" t="s">
        <v>242</v>
      </c>
      <c r="C4738" s="22" t="s">
        <v>69</v>
      </c>
      <c r="D4738" s="18">
        <v>2020</v>
      </c>
      <c r="E4738" s="18" t="s">
        <v>232</v>
      </c>
      <c r="F4738" s="18">
        <v>1</v>
      </c>
      <c r="G4738" s="18">
        <v>100</v>
      </c>
      <c r="H4738" s="18">
        <v>807.72766000000001</v>
      </c>
    </row>
    <row r="4739" spans="1:8" s="15" customFormat="1" ht="30" hidden="1" customHeight="1" outlineLevel="1" x14ac:dyDescent="0.25">
      <c r="A4739" s="18">
        <v>1626</v>
      </c>
      <c r="B4739" s="4" t="s">
        <v>242</v>
      </c>
      <c r="C4739" s="22" t="s">
        <v>114</v>
      </c>
      <c r="D4739" s="18">
        <v>2020</v>
      </c>
      <c r="E4739" s="18" t="s">
        <v>232</v>
      </c>
      <c r="F4739" s="18">
        <v>1</v>
      </c>
      <c r="G4739" s="18">
        <v>100</v>
      </c>
      <c r="H4739" s="18">
        <v>625.33389</v>
      </c>
    </row>
    <row r="4740" spans="1:8" s="15" customFormat="1" ht="30" hidden="1" customHeight="1" outlineLevel="1" x14ac:dyDescent="0.25">
      <c r="A4740" s="18">
        <v>1712</v>
      </c>
      <c r="B4740" s="4" t="s">
        <v>242</v>
      </c>
      <c r="C4740" s="22" t="s">
        <v>225</v>
      </c>
      <c r="D4740" s="18">
        <v>2020</v>
      </c>
      <c r="E4740" s="18" t="s">
        <v>232</v>
      </c>
      <c r="F4740" s="18">
        <v>1</v>
      </c>
      <c r="G4740" s="18">
        <v>93</v>
      </c>
      <c r="H4740" s="18">
        <v>670.98567000000003</v>
      </c>
    </row>
    <row r="4741" spans="1:8" s="15" customFormat="1" ht="30" hidden="1" customHeight="1" outlineLevel="1" x14ac:dyDescent="0.25">
      <c r="A4741" s="18" t="s">
        <v>1111</v>
      </c>
      <c r="B4741" s="4" t="s">
        <v>242</v>
      </c>
      <c r="C4741" s="22" t="s">
        <v>59</v>
      </c>
      <c r="D4741" s="18">
        <v>2020</v>
      </c>
      <c r="E4741" s="18" t="s">
        <v>232</v>
      </c>
      <c r="F4741" s="18">
        <v>1</v>
      </c>
      <c r="G4741" s="18">
        <v>150</v>
      </c>
      <c r="H4741" s="18">
        <v>490.26706999999999</v>
      </c>
    </row>
    <row r="4742" spans="1:8" s="15" customFormat="1" ht="30.75" hidden="1" customHeight="1" outlineLevel="1" x14ac:dyDescent="0.25">
      <c r="A4742" s="18">
        <v>741</v>
      </c>
      <c r="B4742" s="4" t="s">
        <v>242</v>
      </c>
      <c r="C4742" s="22" t="s">
        <v>198</v>
      </c>
      <c r="D4742" s="18">
        <v>2020</v>
      </c>
      <c r="E4742" s="18" t="s">
        <v>232</v>
      </c>
      <c r="F4742" s="18">
        <v>1</v>
      </c>
      <c r="G4742" s="18">
        <v>150</v>
      </c>
      <c r="H4742" s="18">
        <v>845</v>
      </c>
    </row>
    <row r="4743" spans="1:8" s="15" customFormat="1" ht="30.75" hidden="1" customHeight="1" outlineLevel="1" x14ac:dyDescent="0.25">
      <c r="A4743" s="18">
        <v>933</v>
      </c>
      <c r="B4743" s="4" t="s">
        <v>242</v>
      </c>
      <c r="C4743" s="22" t="s">
        <v>199</v>
      </c>
      <c r="D4743" s="18">
        <v>2020</v>
      </c>
      <c r="E4743" s="18" t="s">
        <v>232</v>
      </c>
      <c r="F4743" s="18">
        <v>1</v>
      </c>
      <c r="G4743" s="18">
        <v>150</v>
      </c>
      <c r="H4743" s="18">
        <v>831</v>
      </c>
    </row>
    <row r="4744" spans="1:8" s="15" customFormat="1" ht="30.75" hidden="1" customHeight="1" outlineLevel="1" x14ac:dyDescent="0.25">
      <c r="A4744" s="18">
        <v>299</v>
      </c>
      <c r="B4744" s="4" t="s">
        <v>242</v>
      </c>
      <c r="C4744" s="22" t="s">
        <v>179</v>
      </c>
      <c r="D4744" s="18">
        <v>2020</v>
      </c>
      <c r="E4744" s="18" t="s">
        <v>232</v>
      </c>
      <c r="F4744" s="18">
        <v>1</v>
      </c>
      <c r="G4744" s="18">
        <v>150</v>
      </c>
      <c r="H4744" s="18">
        <v>706.73199999999997</v>
      </c>
    </row>
    <row r="4745" spans="1:8" s="15" customFormat="1" ht="33.75" hidden="1" customHeight="1" outlineLevel="1" x14ac:dyDescent="0.25">
      <c r="A4745" s="45">
        <v>1304</v>
      </c>
      <c r="B4745" s="4" t="s">
        <v>242</v>
      </c>
      <c r="C4745" s="22" t="s">
        <v>1808</v>
      </c>
      <c r="D4745" s="18">
        <v>2021</v>
      </c>
      <c r="E4745" s="18" t="s">
        <v>232</v>
      </c>
      <c r="F4745" s="18">
        <v>1</v>
      </c>
      <c r="G4745" s="18">
        <v>150</v>
      </c>
      <c r="H4745" s="18">
        <v>636</v>
      </c>
    </row>
    <row r="4746" spans="1:8" s="15" customFormat="1" ht="33.75" hidden="1" customHeight="1" outlineLevel="1" x14ac:dyDescent="0.25">
      <c r="A4746" s="45">
        <v>3838</v>
      </c>
      <c r="B4746" s="4" t="s">
        <v>242</v>
      </c>
      <c r="C4746" s="22" t="s">
        <v>1809</v>
      </c>
      <c r="D4746" s="18">
        <v>2021</v>
      </c>
      <c r="E4746" s="18" t="s">
        <v>232</v>
      </c>
      <c r="F4746" s="18">
        <v>1</v>
      </c>
      <c r="G4746" s="18">
        <v>60.75</v>
      </c>
      <c r="H4746" s="18">
        <v>592</v>
      </c>
    </row>
    <row r="4747" spans="1:8" s="15" customFormat="1" ht="33.75" hidden="1" customHeight="1" outlineLevel="1" x14ac:dyDescent="0.25">
      <c r="A4747" s="45">
        <v>157</v>
      </c>
      <c r="B4747" s="4" t="s">
        <v>242</v>
      </c>
      <c r="C4747" s="22" t="s">
        <v>2025</v>
      </c>
      <c r="D4747" s="18">
        <v>2021</v>
      </c>
      <c r="E4747" s="18" t="s">
        <v>232</v>
      </c>
      <c r="F4747" s="18">
        <v>1</v>
      </c>
      <c r="G4747" s="18">
        <v>15</v>
      </c>
      <c r="H4747" s="18">
        <v>935</v>
      </c>
    </row>
    <row r="4748" spans="1:8" s="15" customFormat="1" ht="33.75" hidden="1" customHeight="1" outlineLevel="1" x14ac:dyDescent="0.25">
      <c r="A4748" s="45">
        <v>1190</v>
      </c>
      <c r="B4748" s="4" t="s">
        <v>242</v>
      </c>
      <c r="C4748" s="22" t="s">
        <v>1296</v>
      </c>
      <c r="D4748" s="18">
        <v>2021</v>
      </c>
      <c r="E4748" s="18" t="s">
        <v>232</v>
      </c>
      <c r="F4748" s="18">
        <v>1</v>
      </c>
      <c r="G4748" s="18">
        <v>150</v>
      </c>
      <c r="H4748" s="18">
        <v>552.60487000000001</v>
      </c>
    </row>
    <row r="4749" spans="1:8" s="15" customFormat="1" ht="33.75" hidden="1" customHeight="1" outlineLevel="1" x14ac:dyDescent="0.25">
      <c r="A4749" s="45">
        <v>3802</v>
      </c>
      <c r="B4749" s="4" t="s">
        <v>242</v>
      </c>
      <c r="C4749" s="22" t="s">
        <v>1322</v>
      </c>
      <c r="D4749" s="18">
        <v>2021</v>
      </c>
      <c r="E4749" s="18" t="s">
        <v>232</v>
      </c>
      <c r="F4749" s="18">
        <v>1</v>
      </c>
      <c r="G4749" s="18">
        <v>135</v>
      </c>
      <c r="H4749" s="18">
        <v>618.51400000000001</v>
      </c>
    </row>
    <row r="4750" spans="1:8" s="15" customFormat="1" ht="33.75" hidden="1" customHeight="1" outlineLevel="1" x14ac:dyDescent="0.25">
      <c r="A4750" s="45">
        <v>1181</v>
      </c>
      <c r="B4750" s="4" t="s">
        <v>242</v>
      </c>
      <c r="C4750" s="22" t="s">
        <v>1335</v>
      </c>
      <c r="D4750" s="18">
        <v>2021</v>
      </c>
      <c r="E4750" s="18" t="s">
        <v>232</v>
      </c>
      <c r="F4750" s="18">
        <v>1</v>
      </c>
      <c r="G4750" s="18">
        <v>100</v>
      </c>
      <c r="H4750" s="18">
        <v>628.12099999999998</v>
      </c>
    </row>
    <row r="4751" spans="1:8" s="15" customFormat="1" ht="33.75" hidden="1" customHeight="1" outlineLevel="1" x14ac:dyDescent="0.25">
      <c r="A4751" s="46">
        <v>9327</v>
      </c>
      <c r="B4751" s="4" t="s">
        <v>242</v>
      </c>
      <c r="C4751" s="22" t="s">
        <v>1602</v>
      </c>
      <c r="D4751" s="18">
        <v>2021</v>
      </c>
      <c r="E4751" s="18" t="s">
        <v>232</v>
      </c>
      <c r="F4751" s="18">
        <v>1</v>
      </c>
      <c r="G4751" s="18">
        <v>15</v>
      </c>
      <c r="H4751" s="18">
        <v>29</v>
      </c>
    </row>
    <row r="4752" spans="1:8" s="15" customFormat="1" ht="33.75" hidden="1" customHeight="1" outlineLevel="1" x14ac:dyDescent="0.25">
      <c r="A4752" s="46">
        <v>9671</v>
      </c>
      <c r="B4752" s="4" t="s">
        <v>242</v>
      </c>
      <c r="C4752" s="22" t="s">
        <v>1832</v>
      </c>
      <c r="D4752" s="18">
        <v>2021</v>
      </c>
      <c r="E4752" s="18" t="s">
        <v>232</v>
      </c>
      <c r="F4752" s="18">
        <v>1</v>
      </c>
      <c r="G4752" s="18">
        <v>150</v>
      </c>
      <c r="H4752" s="18">
        <v>768</v>
      </c>
    </row>
    <row r="4753" spans="1:33" s="15" customFormat="1" ht="31.5" collapsed="1" x14ac:dyDescent="0.25">
      <c r="A4753" s="18"/>
      <c r="B4753" s="58" t="s">
        <v>243</v>
      </c>
      <c r="C4753" s="72" t="s">
        <v>3227</v>
      </c>
      <c r="D4753" s="65"/>
      <c r="E4753" s="66" t="s">
        <v>234</v>
      </c>
      <c r="F4753" s="65"/>
      <c r="G4753" s="65"/>
      <c r="H4753" s="65"/>
    </row>
    <row r="4754" spans="1:33" s="16" customFormat="1" ht="16.5" customHeight="1" x14ac:dyDescent="0.25">
      <c r="A4754" s="18"/>
      <c r="B4754" s="7" t="s">
        <v>243</v>
      </c>
      <c r="C4754" s="8" t="s">
        <v>1102</v>
      </c>
      <c r="D4754" s="19">
        <v>2020</v>
      </c>
      <c r="E4754" s="19" t="s">
        <v>234</v>
      </c>
      <c r="F4754" s="7">
        <f>SUMIF($D$4757:$D$4759,$D$4754,$F$4757:$F$4759)</f>
        <v>1</v>
      </c>
      <c r="G4754" s="7">
        <f>SUMIF($D$4757:$D$4759,$D$4754,$G$4757:$G$4759)</f>
        <v>150</v>
      </c>
      <c r="H4754" s="7">
        <f>SUMIF($D$4757:$D$4759,$D$4754,$H$4757:$H$4759)</f>
        <v>735</v>
      </c>
      <c r="I4754" s="15"/>
      <c r="J4754" s="15"/>
      <c r="K4754" s="15"/>
      <c r="L4754" s="15"/>
      <c r="M4754" s="15"/>
      <c r="N4754" s="15"/>
      <c r="O4754" s="15"/>
      <c r="P4754" s="15"/>
      <c r="Q4754" s="15"/>
      <c r="R4754" s="15"/>
      <c r="S4754" s="15"/>
      <c r="T4754" s="15"/>
      <c r="U4754" s="15"/>
      <c r="V4754" s="15"/>
      <c r="W4754" s="15"/>
      <c r="X4754" s="15"/>
      <c r="Y4754" s="15"/>
      <c r="Z4754" s="15"/>
      <c r="AA4754" s="15"/>
      <c r="AB4754" s="15"/>
      <c r="AC4754" s="15"/>
      <c r="AD4754" s="15"/>
      <c r="AE4754" s="15"/>
      <c r="AF4754" s="15"/>
      <c r="AG4754" s="15"/>
    </row>
    <row r="4755" spans="1:33" s="26" customFormat="1" ht="16.5" customHeight="1" x14ac:dyDescent="0.25">
      <c r="A4755" s="18"/>
      <c r="B4755" s="7" t="s">
        <v>243</v>
      </c>
      <c r="C4755" s="8" t="s">
        <v>1102</v>
      </c>
      <c r="D4755" s="19">
        <v>2021</v>
      </c>
      <c r="E4755" s="19" t="s">
        <v>234</v>
      </c>
      <c r="F4755" s="7">
        <f>SUMIF($D$4757:$D$4759,$D$4755,$F$4757:$F$4759)</f>
        <v>0</v>
      </c>
      <c r="G4755" s="7">
        <f>SUMIF($D$4757:$D$4759,$D$4755,$G$4757:$G$4759)</f>
        <v>0</v>
      </c>
      <c r="H4755" s="7">
        <f>SUMIF($D$4757:$D$4759,$D$4755,$H$4757:$H$4759)</f>
        <v>0</v>
      </c>
      <c r="I4755" s="15"/>
      <c r="J4755" s="15"/>
      <c r="K4755" s="15"/>
      <c r="L4755" s="15"/>
      <c r="M4755" s="15"/>
      <c r="N4755" s="15"/>
      <c r="O4755" s="15"/>
      <c r="P4755" s="15"/>
      <c r="Q4755" s="15"/>
      <c r="R4755" s="15"/>
      <c r="S4755" s="15"/>
      <c r="T4755" s="15"/>
      <c r="U4755" s="15"/>
      <c r="V4755" s="15"/>
      <c r="W4755" s="15"/>
      <c r="X4755" s="15"/>
      <c r="Y4755" s="15"/>
      <c r="Z4755" s="15"/>
      <c r="AA4755" s="15"/>
      <c r="AB4755" s="15"/>
      <c r="AC4755" s="15"/>
      <c r="AD4755" s="15"/>
      <c r="AE4755" s="15"/>
      <c r="AF4755" s="15"/>
      <c r="AG4755" s="15"/>
    </row>
    <row r="4756" spans="1:33" s="26" customFormat="1" ht="15.75" x14ac:dyDescent="0.25">
      <c r="A4756" s="18"/>
      <c r="B4756" s="7" t="s">
        <v>243</v>
      </c>
      <c r="C4756" s="8" t="s">
        <v>1102</v>
      </c>
      <c r="D4756" s="19">
        <v>2022</v>
      </c>
      <c r="E4756" s="19" t="s">
        <v>234</v>
      </c>
      <c r="F4756" s="7">
        <f>SUMIF($D$4757:$D$4759,$D$4756,$F$4757:$F$4759)</f>
        <v>1</v>
      </c>
      <c r="G4756" s="7">
        <f>SUMIF($D$4757:$D$4759,$D$4756,$G$4757:$G$4759)</f>
        <v>150</v>
      </c>
      <c r="H4756" s="7">
        <f>SUMIF($D$4757:$D$4759,$D$4756,$H$4757:$H$4759)</f>
        <v>949</v>
      </c>
      <c r="I4756" s="15"/>
      <c r="J4756" s="15"/>
      <c r="K4756" s="15"/>
      <c r="L4756" s="15"/>
      <c r="M4756" s="15"/>
      <c r="N4756" s="15"/>
      <c r="O4756" s="15"/>
      <c r="P4756" s="15"/>
      <c r="Q4756" s="15"/>
      <c r="R4756" s="15"/>
      <c r="S4756" s="15"/>
      <c r="T4756" s="15"/>
      <c r="U4756" s="15"/>
      <c r="V4756" s="15"/>
      <c r="W4756" s="15"/>
      <c r="X4756" s="15"/>
      <c r="Y4756" s="15"/>
      <c r="Z4756" s="15"/>
      <c r="AA4756" s="15"/>
      <c r="AB4756" s="15"/>
      <c r="AC4756" s="15"/>
      <c r="AD4756" s="15"/>
      <c r="AE4756" s="15"/>
      <c r="AF4756" s="15"/>
      <c r="AG4756" s="15"/>
    </row>
    <row r="4757" spans="1:33" s="15" customFormat="1" ht="80.25" hidden="1" customHeight="1" outlineLevel="1" x14ac:dyDescent="0.25">
      <c r="A4757" s="18">
        <v>153</v>
      </c>
      <c r="B4757" s="4" t="s">
        <v>243</v>
      </c>
      <c r="C4757" s="38" t="s">
        <v>3980</v>
      </c>
      <c r="D4757" s="18">
        <v>2022</v>
      </c>
      <c r="E4757" s="18" t="s">
        <v>234</v>
      </c>
      <c r="F4757" s="4">
        <v>1</v>
      </c>
      <c r="G4757" s="4">
        <v>150</v>
      </c>
      <c r="H4757" s="4">
        <v>949</v>
      </c>
    </row>
    <row r="4758" spans="1:33" s="15" customFormat="1" ht="94.5" hidden="1" outlineLevel="1" x14ac:dyDescent="0.25">
      <c r="A4758" s="18">
        <v>934</v>
      </c>
      <c r="B4758" s="4" t="s">
        <v>243</v>
      </c>
      <c r="C4758" s="22" t="s">
        <v>170</v>
      </c>
      <c r="D4758" s="18">
        <v>2020</v>
      </c>
      <c r="E4758" s="18" t="s">
        <v>234</v>
      </c>
      <c r="F4758" s="4">
        <v>1</v>
      </c>
      <c r="G4758" s="4">
        <v>150</v>
      </c>
      <c r="H4758" s="4">
        <v>735</v>
      </c>
    </row>
    <row r="4759" spans="1:33" s="15" customFormat="1" ht="15.75" hidden="1" outlineLevel="1" x14ac:dyDescent="0.25">
      <c r="A4759" s="18"/>
      <c r="B4759" s="4"/>
      <c r="C4759" s="22"/>
      <c r="D4759" s="18"/>
      <c r="E4759" s="18"/>
      <c r="F4759" s="4"/>
      <c r="G4759" s="4"/>
      <c r="H4759" s="4"/>
    </row>
    <row r="4760" spans="1:33" s="15" customFormat="1" ht="31.5" collapsed="1" x14ac:dyDescent="0.25">
      <c r="A4760" s="18"/>
      <c r="B4760" s="70" t="s">
        <v>244</v>
      </c>
      <c r="C4760" s="71" t="s">
        <v>3228</v>
      </c>
      <c r="D4760" s="69"/>
      <c r="E4760" s="74" t="s">
        <v>234</v>
      </c>
      <c r="F4760" s="70"/>
      <c r="G4760" s="70"/>
      <c r="H4760" s="70"/>
    </row>
    <row r="4761" spans="1:33" s="16" customFormat="1" ht="16.5" customHeight="1" x14ac:dyDescent="0.25">
      <c r="A4761" s="18"/>
      <c r="B4761" s="11" t="s">
        <v>244</v>
      </c>
      <c r="C4761" s="12" t="s">
        <v>1102</v>
      </c>
      <c r="D4761" s="20">
        <v>2020</v>
      </c>
      <c r="E4761" s="20" t="s">
        <v>234</v>
      </c>
      <c r="F4761" s="11">
        <f>SUMIF($D$4764:$D$4771,$D$4761,$F$4764:$F$4771)</f>
        <v>5</v>
      </c>
      <c r="G4761" s="11">
        <f>SUMIF($D$4764:$D$4771,$D$4761,$G$4764:$G$4771)</f>
        <v>1175</v>
      </c>
      <c r="H4761" s="14">
        <f>SUMIF($D$4764:$D$4771,$D$4761,$H$4764:$H$4771)</f>
        <v>3025.2265299999999</v>
      </c>
      <c r="I4761" s="15"/>
      <c r="J4761" s="15"/>
      <c r="K4761" s="15"/>
      <c r="L4761" s="15"/>
      <c r="M4761" s="15"/>
      <c r="N4761" s="15"/>
      <c r="O4761" s="15"/>
      <c r="P4761" s="15"/>
      <c r="Q4761" s="15"/>
      <c r="R4761" s="15"/>
      <c r="S4761" s="15"/>
      <c r="T4761" s="15"/>
      <c r="U4761" s="15"/>
      <c r="V4761" s="15"/>
      <c r="W4761" s="15"/>
      <c r="X4761" s="15"/>
      <c r="Y4761" s="15"/>
      <c r="Z4761" s="15"/>
      <c r="AA4761" s="15"/>
      <c r="AB4761" s="15"/>
      <c r="AC4761" s="15"/>
      <c r="AD4761" s="15"/>
      <c r="AE4761" s="15"/>
      <c r="AF4761" s="15"/>
      <c r="AG4761" s="15"/>
    </row>
    <row r="4762" spans="1:33" s="26" customFormat="1" ht="16.5" customHeight="1" x14ac:dyDescent="0.25">
      <c r="A4762" s="18"/>
      <c r="B4762" s="11" t="s">
        <v>244</v>
      </c>
      <c r="C4762" s="12" t="s">
        <v>1102</v>
      </c>
      <c r="D4762" s="20">
        <v>2021</v>
      </c>
      <c r="E4762" s="20" t="s">
        <v>234</v>
      </c>
      <c r="F4762" s="11">
        <f>SUMIF($D$4764:$D$4771,$D$4762,$F$4764:$F$4771)</f>
        <v>0</v>
      </c>
      <c r="G4762" s="11">
        <f>SUMIF($D$4764:$D$4771,$D$4762,$G$4764:$G$4771)</f>
        <v>0</v>
      </c>
      <c r="H4762" s="14">
        <f>SUMIF($D$4764:$D$4771,$D$4762,$H$4764:$H$4771)</f>
        <v>0</v>
      </c>
      <c r="I4762" s="15"/>
      <c r="J4762" s="15"/>
      <c r="K4762" s="15"/>
      <c r="L4762" s="15"/>
      <c r="M4762" s="15"/>
      <c r="N4762" s="15"/>
      <c r="O4762" s="15"/>
      <c r="P4762" s="15"/>
      <c r="Q4762" s="15"/>
      <c r="R4762" s="15"/>
      <c r="S4762" s="15"/>
      <c r="T4762" s="15"/>
      <c r="U4762" s="15"/>
      <c r="V4762" s="15"/>
      <c r="W4762" s="15"/>
      <c r="X4762" s="15"/>
      <c r="Y4762" s="15"/>
      <c r="Z4762" s="15"/>
      <c r="AA4762" s="15"/>
      <c r="AB4762" s="15"/>
      <c r="AC4762" s="15"/>
      <c r="AD4762" s="15"/>
      <c r="AE4762" s="15"/>
      <c r="AF4762" s="15"/>
      <c r="AG4762" s="15"/>
    </row>
    <row r="4763" spans="1:33" s="26" customFormat="1" ht="15.75" x14ac:dyDescent="0.25">
      <c r="A4763" s="18"/>
      <c r="B4763" s="11" t="s">
        <v>244</v>
      </c>
      <c r="C4763" s="12" t="s">
        <v>3929</v>
      </c>
      <c r="D4763" s="20">
        <v>2022</v>
      </c>
      <c r="E4763" s="20" t="s">
        <v>234</v>
      </c>
      <c r="F4763" s="11">
        <f>SUMIF($D$4764:$D$4771,$D$4763,$F$4764:$F$4771)</f>
        <v>4</v>
      </c>
      <c r="G4763" s="11">
        <f>SUMIF($D$4764:$D$4771,$D$4763,$G$4764:$G$4771)</f>
        <v>1060</v>
      </c>
      <c r="H4763" s="14">
        <f>SUMIF($D$4764:$D$4771,$D$4763,$H$4764:$H$4771)</f>
        <v>5178.7139999999999</v>
      </c>
      <c r="I4763" s="15"/>
      <c r="J4763" s="15"/>
      <c r="K4763" s="15"/>
      <c r="L4763" s="15"/>
      <c r="M4763" s="15"/>
      <c r="N4763" s="15"/>
      <c r="O4763" s="15"/>
      <c r="P4763" s="15"/>
      <c r="Q4763" s="15"/>
      <c r="R4763" s="15"/>
      <c r="S4763" s="15"/>
      <c r="T4763" s="15"/>
      <c r="U4763" s="15"/>
      <c r="V4763" s="15"/>
      <c r="W4763" s="15"/>
      <c r="X4763" s="15"/>
      <c r="Y4763" s="15"/>
      <c r="Z4763" s="15"/>
      <c r="AA4763" s="15"/>
      <c r="AB4763" s="15"/>
      <c r="AC4763" s="15"/>
      <c r="AD4763" s="15"/>
      <c r="AE4763" s="15"/>
      <c r="AF4763" s="15"/>
      <c r="AG4763" s="15"/>
    </row>
    <row r="4764" spans="1:33" s="15" customFormat="1" ht="141.75" hidden="1" outlineLevel="1" x14ac:dyDescent="0.25">
      <c r="A4764" s="18">
        <v>2410</v>
      </c>
      <c r="B4764" s="4" t="s">
        <v>244</v>
      </c>
      <c r="C4764" s="38" t="s">
        <v>4209</v>
      </c>
      <c r="D4764" s="18">
        <v>2022</v>
      </c>
      <c r="E4764" s="18" t="s">
        <v>234</v>
      </c>
      <c r="F4764" s="4">
        <v>2</v>
      </c>
      <c r="G4764" s="4">
        <v>600</v>
      </c>
      <c r="H4764" s="42">
        <v>2349.7139999999999</v>
      </c>
    </row>
    <row r="4765" spans="1:33" s="15" customFormat="1" ht="63" hidden="1" outlineLevel="1" x14ac:dyDescent="0.25">
      <c r="A4765" s="18">
        <v>400</v>
      </c>
      <c r="B4765" s="4" t="s">
        <v>244</v>
      </c>
      <c r="C4765" s="38" t="s">
        <v>3986</v>
      </c>
      <c r="D4765" s="18">
        <v>2022</v>
      </c>
      <c r="E4765" s="18" t="s">
        <v>234</v>
      </c>
      <c r="F4765" s="4">
        <v>1</v>
      </c>
      <c r="G4765" s="4">
        <v>300</v>
      </c>
      <c r="H4765" s="42">
        <v>1015</v>
      </c>
    </row>
    <row r="4766" spans="1:33" s="15" customFormat="1" ht="78.75" hidden="1" outlineLevel="1" x14ac:dyDescent="0.25">
      <c r="A4766" s="18">
        <v>430</v>
      </c>
      <c r="B4766" s="4" t="s">
        <v>244</v>
      </c>
      <c r="C4766" s="38" t="s">
        <v>3836</v>
      </c>
      <c r="D4766" s="18">
        <v>2022</v>
      </c>
      <c r="E4766" s="18" t="s">
        <v>234</v>
      </c>
      <c r="F4766" s="4">
        <v>1</v>
      </c>
      <c r="G4766" s="4">
        <v>160</v>
      </c>
      <c r="H4766" s="42">
        <v>1814</v>
      </c>
    </row>
    <row r="4767" spans="1:33" s="15" customFormat="1" ht="24" hidden="1" customHeight="1" outlineLevel="1" x14ac:dyDescent="0.25">
      <c r="A4767" s="18">
        <v>121</v>
      </c>
      <c r="B4767" s="4" t="s">
        <v>244</v>
      </c>
      <c r="C4767" s="38" t="s">
        <v>342</v>
      </c>
      <c r="D4767" s="18">
        <v>2020</v>
      </c>
      <c r="E4767" s="18" t="s">
        <v>234</v>
      </c>
      <c r="F4767" s="4">
        <v>1</v>
      </c>
      <c r="G4767" s="4">
        <v>150</v>
      </c>
      <c r="H4767" s="42">
        <v>585.51437999999996</v>
      </c>
    </row>
    <row r="4768" spans="1:33" s="15" customFormat="1" ht="24" hidden="1" customHeight="1" outlineLevel="1" x14ac:dyDescent="0.25">
      <c r="A4768" s="18">
        <v>1739</v>
      </c>
      <c r="B4768" s="4" t="s">
        <v>244</v>
      </c>
      <c r="C4768" s="38" t="s">
        <v>601</v>
      </c>
      <c r="D4768" s="18">
        <v>2020</v>
      </c>
      <c r="E4768" s="18" t="s">
        <v>234</v>
      </c>
      <c r="F4768" s="4">
        <v>1</v>
      </c>
      <c r="G4768" s="4">
        <v>290</v>
      </c>
      <c r="H4768" s="42">
        <v>871.26599999999996</v>
      </c>
    </row>
    <row r="4769" spans="1:33" s="15" customFormat="1" ht="24" hidden="1" customHeight="1" outlineLevel="1" x14ac:dyDescent="0.25">
      <c r="A4769" s="18">
        <v>1735</v>
      </c>
      <c r="B4769" s="4" t="s">
        <v>244</v>
      </c>
      <c r="C4769" s="38" t="s">
        <v>878</v>
      </c>
      <c r="D4769" s="18">
        <v>2020</v>
      </c>
      <c r="E4769" s="18" t="s">
        <v>234</v>
      </c>
      <c r="F4769" s="4">
        <v>1</v>
      </c>
      <c r="G4769" s="4">
        <v>300</v>
      </c>
      <c r="H4769" s="42">
        <v>360.10199999999998</v>
      </c>
    </row>
    <row r="4770" spans="1:33" s="15" customFormat="1" ht="24" hidden="1" customHeight="1" outlineLevel="1" x14ac:dyDescent="0.25">
      <c r="A4770" s="18">
        <v>1613</v>
      </c>
      <c r="B4770" s="4" t="s">
        <v>244</v>
      </c>
      <c r="C4770" s="38" t="s">
        <v>327</v>
      </c>
      <c r="D4770" s="18">
        <v>2020</v>
      </c>
      <c r="E4770" s="18" t="s">
        <v>234</v>
      </c>
      <c r="F4770" s="4">
        <v>1</v>
      </c>
      <c r="G4770" s="4">
        <v>150</v>
      </c>
      <c r="H4770" s="42">
        <v>336.60307</v>
      </c>
    </row>
    <row r="4771" spans="1:33" s="15" customFormat="1" ht="94.5" hidden="1" outlineLevel="1" x14ac:dyDescent="0.25">
      <c r="A4771" s="18">
        <v>1770</v>
      </c>
      <c r="B4771" s="4" t="s">
        <v>244</v>
      </c>
      <c r="C4771" s="22" t="s">
        <v>71</v>
      </c>
      <c r="D4771" s="18">
        <v>2020</v>
      </c>
      <c r="E4771" s="18" t="s">
        <v>234</v>
      </c>
      <c r="F4771" s="4">
        <v>1</v>
      </c>
      <c r="G4771" s="4">
        <v>285</v>
      </c>
      <c r="H4771" s="4">
        <v>871.74108000000001</v>
      </c>
    </row>
    <row r="4772" spans="1:33" s="15" customFormat="1" ht="31.5" collapsed="1" x14ac:dyDescent="0.25">
      <c r="A4772" s="18"/>
      <c r="B4772" s="70" t="s">
        <v>244</v>
      </c>
      <c r="C4772" s="71" t="s">
        <v>3228</v>
      </c>
      <c r="D4772" s="69"/>
      <c r="E4772" s="70" t="s">
        <v>232</v>
      </c>
      <c r="F4772" s="69"/>
      <c r="G4772" s="69"/>
      <c r="H4772" s="69"/>
    </row>
    <row r="4773" spans="1:33" s="16" customFormat="1" ht="16.5" customHeight="1" x14ac:dyDescent="0.25">
      <c r="A4773" s="18"/>
      <c r="B4773" s="11" t="s">
        <v>244</v>
      </c>
      <c r="C4773" s="12" t="s">
        <v>1102</v>
      </c>
      <c r="D4773" s="20">
        <v>2020</v>
      </c>
      <c r="E4773" s="20" t="s">
        <v>232</v>
      </c>
      <c r="F4773" s="11">
        <f>SUMIF($D$4776:$D$4777,$D$4773,$F$4776:$F$4777)</f>
        <v>1</v>
      </c>
      <c r="G4773" s="11">
        <f>SUMIF($D$4776:$D$4777,$D$4773,$G$4776:$G$4777)</f>
        <v>300</v>
      </c>
      <c r="H4773" s="11">
        <f>SUMIF($D$4776:$D$4777,$D$4773,$H$4776:$H$4777)</f>
        <v>795.9</v>
      </c>
      <c r="I4773" s="15"/>
      <c r="J4773" s="15"/>
      <c r="K4773" s="15"/>
      <c r="L4773" s="15"/>
      <c r="M4773" s="15"/>
      <c r="N4773" s="15"/>
      <c r="O4773" s="15"/>
      <c r="P4773" s="15"/>
      <c r="Q4773" s="15"/>
      <c r="R4773" s="15"/>
      <c r="S4773" s="15"/>
      <c r="T4773" s="15"/>
      <c r="U4773" s="15"/>
      <c r="V4773" s="15"/>
      <c r="W4773" s="15"/>
      <c r="X4773" s="15"/>
      <c r="Y4773" s="15"/>
      <c r="Z4773" s="15"/>
      <c r="AA4773" s="15"/>
      <c r="AB4773" s="15"/>
      <c r="AC4773" s="15"/>
      <c r="AD4773" s="15"/>
      <c r="AE4773" s="15"/>
      <c r="AF4773" s="15"/>
      <c r="AG4773" s="15"/>
    </row>
    <row r="4774" spans="1:33" s="26" customFormat="1" ht="16.5" customHeight="1" x14ac:dyDescent="0.25">
      <c r="A4774" s="18"/>
      <c r="B4774" s="11" t="s">
        <v>244</v>
      </c>
      <c r="C4774" s="12" t="s">
        <v>1102</v>
      </c>
      <c r="D4774" s="20">
        <v>2021</v>
      </c>
      <c r="E4774" s="20" t="s">
        <v>232</v>
      </c>
      <c r="F4774" s="11">
        <f>SUMIF($D$4776:$D$4777,$D$4774,$F$4776:$F$4777)</f>
        <v>0</v>
      </c>
      <c r="G4774" s="11">
        <f>SUMIF($D$4776:$D$4777,$D$4774,$G$4776:$G$4777)</f>
        <v>0</v>
      </c>
      <c r="H4774" s="11">
        <f>SUMIF($D$4776:$D$4777,$D$4774,$H$4776:$H$4777)</f>
        <v>0</v>
      </c>
      <c r="I4774" s="15"/>
      <c r="J4774" s="15"/>
      <c r="K4774" s="15"/>
      <c r="L4774" s="15"/>
      <c r="M4774" s="15"/>
      <c r="N4774" s="15"/>
      <c r="O4774" s="15"/>
      <c r="P4774" s="15"/>
      <c r="Q4774" s="15"/>
      <c r="R4774" s="15"/>
      <c r="S4774" s="15"/>
      <c r="T4774" s="15"/>
      <c r="U4774" s="15"/>
      <c r="V4774" s="15"/>
      <c r="W4774" s="15"/>
      <c r="X4774" s="15"/>
      <c r="Y4774" s="15"/>
      <c r="Z4774" s="15"/>
      <c r="AA4774" s="15"/>
      <c r="AB4774" s="15"/>
      <c r="AC4774" s="15"/>
      <c r="AD4774" s="15"/>
      <c r="AE4774" s="15"/>
      <c r="AF4774" s="15"/>
      <c r="AG4774" s="15"/>
    </row>
    <row r="4775" spans="1:33" s="26" customFormat="1" ht="15.75" x14ac:dyDescent="0.25">
      <c r="A4775" s="18"/>
      <c r="B4775" s="11" t="s">
        <v>244</v>
      </c>
      <c r="C4775" s="12" t="s">
        <v>3929</v>
      </c>
      <c r="D4775" s="20">
        <v>2022</v>
      </c>
      <c r="E4775" s="20" t="s">
        <v>232</v>
      </c>
      <c r="F4775" s="11">
        <f>SUMIF($D$4776:$D$4777,$D$4775,$F$4776:$F$4777)</f>
        <v>0</v>
      </c>
      <c r="G4775" s="11">
        <f>SUMIF($D$4776:$D$4777,$D$4775,$G$4776:$G$4777)</f>
        <v>0</v>
      </c>
      <c r="H4775" s="11">
        <f>SUMIF($D$4776:$D$4777,$D$4775,$H$4776:$H$4777)</f>
        <v>0</v>
      </c>
      <c r="I4775" s="15"/>
      <c r="J4775" s="15"/>
      <c r="K4775" s="15"/>
      <c r="L4775" s="15"/>
      <c r="M4775" s="15"/>
      <c r="N4775" s="15"/>
      <c r="O4775" s="15"/>
      <c r="P4775" s="15"/>
      <c r="Q4775" s="15"/>
      <c r="R4775" s="15"/>
      <c r="S4775" s="15"/>
      <c r="T4775" s="15"/>
      <c r="U4775" s="15"/>
      <c r="V4775" s="15"/>
      <c r="W4775" s="15"/>
      <c r="X4775" s="15"/>
      <c r="Y4775" s="15"/>
      <c r="Z4775" s="15"/>
      <c r="AA4775" s="15"/>
      <c r="AB4775" s="15"/>
      <c r="AC4775" s="15"/>
      <c r="AD4775" s="15"/>
      <c r="AE4775" s="15"/>
      <c r="AF4775" s="15"/>
      <c r="AG4775" s="15"/>
    </row>
    <row r="4776" spans="1:33" s="15" customFormat="1" ht="63" hidden="1" outlineLevel="1" x14ac:dyDescent="0.25">
      <c r="A4776" s="18">
        <v>480</v>
      </c>
      <c r="B4776" s="4" t="s">
        <v>244</v>
      </c>
      <c r="C4776" s="22" t="s">
        <v>180</v>
      </c>
      <c r="D4776" s="18">
        <v>2020</v>
      </c>
      <c r="E4776" s="18" t="s">
        <v>232</v>
      </c>
      <c r="F4776" s="4">
        <v>1</v>
      </c>
      <c r="G4776" s="4">
        <v>300</v>
      </c>
      <c r="H4776" s="4">
        <v>795.9</v>
      </c>
    </row>
    <row r="4777" spans="1:33" s="15" customFormat="1" ht="15.75" hidden="1" outlineLevel="1" x14ac:dyDescent="0.25">
      <c r="A4777" s="18"/>
      <c r="B4777" s="4"/>
      <c r="C4777" s="22"/>
      <c r="D4777" s="18"/>
      <c r="E4777" s="18"/>
      <c r="F4777" s="4"/>
      <c r="G4777" s="4"/>
      <c r="H4777" s="4"/>
    </row>
    <row r="4778" spans="1:33" s="15" customFormat="1" ht="31.5" collapsed="1" x14ac:dyDescent="0.25">
      <c r="A4778" s="18"/>
      <c r="B4778" s="58" t="s">
        <v>245</v>
      </c>
      <c r="C4778" s="72" t="s">
        <v>3229</v>
      </c>
      <c r="D4778" s="65"/>
      <c r="E4778" s="66" t="s">
        <v>234</v>
      </c>
      <c r="F4778" s="65"/>
      <c r="G4778" s="65"/>
      <c r="H4778" s="65"/>
    </row>
    <row r="4779" spans="1:33" s="16" customFormat="1" ht="16.5" customHeight="1" x14ac:dyDescent="0.25">
      <c r="A4779" s="18"/>
      <c r="B4779" s="7" t="s">
        <v>245</v>
      </c>
      <c r="C4779" s="8" t="s">
        <v>1102</v>
      </c>
      <c r="D4779" s="19">
        <v>2020</v>
      </c>
      <c r="E4779" s="19" t="s">
        <v>234</v>
      </c>
      <c r="F4779" s="7">
        <f>SUMIF($D$4782:$D$4807,$D$4779,$F$4782:$F$4807)</f>
        <v>9</v>
      </c>
      <c r="G4779" s="10">
        <f>SUMIF($D$4782:$D$4807,$D$4779,$G$4782:$G$4807)</f>
        <v>1895.3</v>
      </c>
      <c r="H4779" s="10">
        <f>SUMIF($D$4782:$D$4807,$D$4779,$H$4782:$H$4807)</f>
        <v>7964.7005400000007</v>
      </c>
      <c r="I4779" s="15"/>
      <c r="J4779" s="15"/>
      <c r="K4779" s="15"/>
      <c r="L4779" s="15"/>
      <c r="M4779" s="15"/>
      <c r="N4779" s="15"/>
      <c r="O4779" s="15"/>
      <c r="P4779" s="15"/>
      <c r="Q4779" s="15"/>
      <c r="R4779" s="15"/>
      <c r="S4779" s="15"/>
      <c r="T4779" s="15"/>
      <c r="U4779" s="15"/>
      <c r="V4779" s="15"/>
      <c r="W4779" s="15"/>
      <c r="X4779" s="15"/>
      <c r="Y4779" s="15"/>
      <c r="Z4779" s="15"/>
      <c r="AA4779" s="15"/>
      <c r="AB4779" s="15"/>
      <c r="AC4779" s="15"/>
      <c r="AD4779" s="15"/>
      <c r="AE4779" s="15"/>
      <c r="AF4779" s="15"/>
      <c r="AG4779" s="15"/>
    </row>
    <row r="4780" spans="1:33" s="26" customFormat="1" ht="16.5" customHeight="1" x14ac:dyDescent="0.25">
      <c r="A4780" s="18"/>
      <c r="B4780" s="7" t="s">
        <v>245</v>
      </c>
      <c r="C4780" s="8" t="s">
        <v>1102</v>
      </c>
      <c r="D4780" s="19">
        <v>2021</v>
      </c>
      <c r="E4780" s="19" t="s">
        <v>234</v>
      </c>
      <c r="F4780" s="7">
        <f>SUMIF($D$4782:$D$4807,$D$4780,$F$4782:$F$4807)</f>
        <v>12</v>
      </c>
      <c r="G4780" s="7">
        <f>SUMIF($D$4782:$D$4807,$D$4780,$G$4782:$G$4807)</f>
        <v>2385</v>
      </c>
      <c r="H4780" s="10">
        <f>SUMIF($D$4782:$D$4807,$D$4780,$H$4782:$H$4807)</f>
        <v>8745.8077900000008</v>
      </c>
      <c r="I4780" s="15"/>
      <c r="J4780" s="15"/>
      <c r="K4780" s="15"/>
      <c r="L4780" s="15"/>
      <c r="M4780" s="15"/>
      <c r="N4780" s="15"/>
      <c r="O4780" s="15"/>
      <c r="P4780" s="15"/>
      <c r="Q4780" s="15"/>
      <c r="R4780" s="15"/>
      <c r="S4780" s="15"/>
      <c r="T4780" s="15"/>
      <c r="U4780" s="15"/>
      <c r="V4780" s="15"/>
      <c r="W4780" s="15"/>
      <c r="X4780" s="15"/>
      <c r="Y4780" s="15"/>
      <c r="Z4780" s="15"/>
      <c r="AA4780" s="15"/>
      <c r="AB4780" s="15"/>
      <c r="AC4780" s="15"/>
      <c r="AD4780" s="15"/>
      <c r="AE4780" s="15"/>
      <c r="AF4780" s="15"/>
      <c r="AG4780" s="15"/>
    </row>
    <row r="4781" spans="1:33" s="26" customFormat="1" ht="15.75" x14ac:dyDescent="0.25">
      <c r="A4781" s="18"/>
      <c r="B4781" s="7" t="s">
        <v>245</v>
      </c>
      <c r="C4781" s="8" t="s">
        <v>1102</v>
      </c>
      <c r="D4781" s="19">
        <v>2022</v>
      </c>
      <c r="E4781" s="19" t="s">
        <v>234</v>
      </c>
      <c r="F4781" s="7">
        <f>SUMIF($D$4782:$D$4807,$D$4781,$F$4782:$F$4807)</f>
        <v>9</v>
      </c>
      <c r="G4781" s="7">
        <f>SUMIF($D$4782:$D$4807,$D$4781,$G$4782:$G$4807)</f>
        <v>1977.2</v>
      </c>
      <c r="H4781" s="10">
        <f>SUMIF($D$4782:$D$4807,$D$4781,$H$4782:$H$4807)</f>
        <v>9982.4067900000009</v>
      </c>
      <c r="I4781" s="15"/>
      <c r="J4781" s="15"/>
      <c r="K4781" s="15"/>
      <c r="L4781" s="15"/>
      <c r="M4781" s="15"/>
      <c r="N4781" s="15"/>
      <c r="O4781" s="15"/>
      <c r="P4781" s="15"/>
      <c r="Q4781" s="15"/>
      <c r="R4781" s="15"/>
      <c r="S4781" s="15"/>
      <c r="T4781" s="15"/>
      <c r="U4781" s="15"/>
      <c r="V4781" s="15"/>
      <c r="W4781" s="15"/>
      <c r="X4781" s="15"/>
      <c r="Y4781" s="15"/>
      <c r="Z4781" s="15"/>
      <c r="AA4781" s="15"/>
      <c r="AB4781" s="15"/>
      <c r="AC4781" s="15"/>
      <c r="AD4781" s="15"/>
      <c r="AE4781" s="15"/>
      <c r="AF4781" s="15"/>
      <c r="AG4781" s="15"/>
    </row>
    <row r="4782" spans="1:33" s="15" customFormat="1" ht="110.25" hidden="1" outlineLevel="1" x14ac:dyDescent="0.25">
      <c r="A4782" s="18">
        <v>2802</v>
      </c>
      <c r="B4782" s="4" t="s">
        <v>245</v>
      </c>
      <c r="C4782" s="22" t="s">
        <v>3999</v>
      </c>
      <c r="D4782" s="18">
        <v>2022</v>
      </c>
      <c r="E4782" s="18" t="s">
        <v>234</v>
      </c>
      <c r="F4782" s="4">
        <v>1</v>
      </c>
      <c r="G4782" s="18">
        <v>300</v>
      </c>
      <c r="H4782" s="4">
        <v>871.971</v>
      </c>
    </row>
    <row r="4783" spans="1:33" s="15" customFormat="1" ht="141.75" hidden="1" outlineLevel="1" x14ac:dyDescent="0.25">
      <c r="A4783" s="18">
        <v>4113</v>
      </c>
      <c r="B4783" s="4" t="s">
        <v>4262</v>
      </c>
      <c r="C4783" s="22" t="s">
        <v>3942</v>
      </c>
      <c r="D4783" s="18">
        <v>2022</v>
      </c>
      <c r="E4783" s="18" t="s">
        <v>234</v>
      </c>
      <c r="F4783" s="4">
        <v>2</v>
      </c>
      <c r="G4783" s="18">
        <v>138</v>
      </c>
      <c r="H4783" s="4">
        <v>1899.7879800000001</v>
      </c>
    </row>
    <row r="4784" spans="1:33" s="15" customFormat="1" ht="78.75" hidden="1" outlineLevel="1" x14ac:dyDescent="0.25">
      <c r="A4784" s="18">
        <v>4117</v>
      </c>
      <c r="B4784" s="4" t="s">
        <v>4263</v>
      </c>
      <c r="C4784" s="22" t="s">
        <v>4006</v>
      </c>
      <c r="D4784" s="18">
        <v>2022</v>
      </c>
      <c r="E4784" s="18" t="s">
        <v>234</v>
      </c>
      <c r="F4784" s="4">
        <v>1</v>
      </c>
      <c r="G4784" s="18">
        <v>300</v>
      </c>
      <c r="H4784" s="4">
        <v>1353.8448100000001</v>
      </c>
    </row>
    <row r="4785" spans="1:8" s="15" customFormat="1" ht="110.25" hidden="1" outlineLevel="1" x14ac:dyDescent="0.25">
      <c r="A4785" s="18">
        <v>2712</v>
      </c>
      <c r="B4785" s="4" t="s">
        <v>4264</v>
      </c>
      <c r="C4785" s="22" t="s">
        <v>3946</v>
      </c>
      <c r="D4785" s="18">
        <v>2022</v>
      </c>
      <c r="E4785" s="18" t="s">
        <v>234</v>
      </c>
      <c r="F4785" s="4">
        <v>1</v>
      </c>
      <c r="G4785" s="18">
        <v>300</v>
      </c>
      <c r="H4785" s="4">
        <v>777.803</v>
      </c>
    </row>
    <row r="4786" spans="1:8" s="15" customFormat="1" ht="47.25" hidden="1" outlineLevel="1" x14ac:dyDescent="0.25">
      <c r="A4786" s="18">
        <v>17</v>
      </c>
      <c r="B4786" s="4" t="s">
        <v>245</v>
      </c>
      <c r="C4786" s="22" t="s">
        <v>4040</v>
      </c>
      <c r="D4786" s="18">
        <v>2022</v>
      </c>
      <c r="E4786" s="18" t="s">
        <v>234</v>
      </c>
      <c r="F4786" s="4">
        <v>1</v>
      </c>
      <c r="G4786" s="18">
        <v>265</v>
      </c>
      <c r="H4786" s="4">
        <v>1040</v>
      </c>
    </row>
    <row r="4787" spans="1:8" s="15" customFormat="1" ht="47.25" hidden="1" outlineLevel="1" x14ac:dyDescent="0.25">
      <c r="A4787" s="18">
        <v>431</v>
      </c>
      <c r="B4787" s="4" t="s">
        <v>245</v>
      </c>
      <c r="C4787" s="22" t="s">
        <v>3988</v>
      </c>
      <c r="D4787" s="18">
        <v>2022</v>
      </c>
      <c r="E4787" s="18" t="s">
        <v>234</v>
      </c>
      <c r="F4787" s="4">
        <v>1</v>
      </c>
      <c r="G4787" s="18">
        <v>405</v>
      </c>
      <c r="H4787" s="4">
        <v>1539</v>
      </c>
    </row>
    <row r="4788" spans="1:8" s="15" customFormat="1" ht="110.25" hidden="1" outlineLevel="1" x14ac:dyDescent="0.25">
      <c r="A4788" s="18">
        <v>5056</v>
      </c>
      <c r="B4788" s="4" t="s">
        <v>245</v>
      </c>
      <c r="C4788" s="22" t="s">
        <v>4265</v>
      </c>
      <c r="D4788" s="18">
        <v>2022</v>
      </c>
      <c r="E4788" s="18" t="s">
        <v>234</v>
      </c>
      <c r="F4788" s="4">
        <v>2</v>
      </c>
      <c r="G4788" s="18">
        <v>269.2</v>
      </c>
      <c r="H4788" s="4">
        <v>2500</v>
      </c>
    </row>
    <row r="4789" spans="1:8" s="15" customFormat="1" ht="35.25" hidden="1" customHeight="1" outlineLevel="1" x14ac:dyDescent="0.25">
      <c r="A4789" s="18">
        <v>482</v>
      </c>
      <c r="B4789" s="4" t="s">
        <v>245</v>
      </c>
      <c r="C4789" s="22" t="s">
        <v>1071</v>
      </c>
      <c r="D4789" s="18">
        <v>2020</v>
      </c>
      <c r="E4789" s="18" t="s">
        <v>234</v>
      </c>
      <c r="F4789" s="4">
        <v>1</v>
      </c>
      <c r="G4789" s="4">
        <v>150</v>
      </c>
      <c r="H4789" s="4">
        <v>973</v>
      </c>
    </row>
    <row r="4790" spans="1:8" s="15" customFormat="1" ht="35.25" hidden="1" customHeight="1" outlineLevel="1" x14ac:dyDescent="0.25">
      <c r="A4790" s="18">
        <v>289</v>
      </c>
      <c r="B4790" s="4" t="s">
        <v>245</v>
      </c>
      <c r="C4790" s="22" t="s">
        <v>376</v>
      </c>
      <c r="D4790" s="18">
        <v>2020</v>
      </c>
      <c r="E4790" s="18" t="s">
        <v>234</v>
      </c>
      <c r="F4790" s="4">
        <v>1</v>
      </c>
      <c r="G4790" s="4">
        <v>150</v>
      </c>
      <c r="H4790" s="4">
        <v>1210.0291099999999</v>
      </c>
    </row>
    <row r="4791" spans="1:8" s="15" customFormat="1" ht="35.25" hidden="1" customHeight="1" outlineLevel="1" x14ac:dyDescent="0.25">
      <c r="A4791" s="18">
        <v>1700</v>
      </c>
      <c r="B4791" s="4" t="s">
        <v>245</v>
      </c>
      <c r="C4791" s="22" t="s">
        <v>461</v>
      </c>
      <c r="D4791" s="18">
        <v>2020</v>
      </c>
      <c r="E4791" s="18" t="s">
        <v>234</v>
      </c>
      <c r="F4791" s="4">
        <v>1</v>
      </c>
      <c r="G4791" s="4">
        <v>150</v>
      </c>
      <c r="H4791" s="4">
        <v>624.86571000000004</v>
      </c>
    </row>
    <row r="4792" spans="1:8" s="15" customFormat="1" ht="35.25" hidden="1" customHeight="1" outlineLevel="1" x14ac:dyDescent="0.25">
      <c r="A4792" s="18">
        <v>1527</v>
      </c>
      <c r="B4792" s="4" t="s">
        <v>245</v>
      </c>
      <c r="C4792" s="22" t="s">
        <v>471</v>
      </c>
      <c r="D4792" s="18">
        <v>2020</v>
      </c>
      <c r="E4792" s="18" t="s">
        <v>234</v>
      </c>
      <c r="F4792" s="4">
        <v>1</v>
      </c>
      <c r="G4792" s="4">
        <v>150</v>
      </c>
      <c r="H4792" s="4">
        <v>633.30871999999999</v>
      </c>
    </row>
    <row r="4793" spans="1:8" s="15" customFormat="1" ht="35.25" hidden="1" customHeight="1" outlineLevel="1" x14ac:dyDescent="0.25">
      <c r="A4793" s="18">
        <v>129</v>
      </c>
      <c r="B4793" s="4" t="s">
        <v>245</v>
      </c>
      <c r="C4793" s="22" t="s">
        <v>1083</v>
      </c>
      <c r="D4793" s="18">
        <v>2020</v>
      </c>
      <c r="E4793" s="18" t="s">
        <v>234</v>
      </c>
      <c r="F4793" s="4">
        <v>1</v>
      </c>
      <c r="G4793" s="4">
        <v>300</v>
      </c>
      <c r="H4793" s="4">
        <v>1012.36</v>
      </c>
    </row>
    <row r="4794" spans="1:8" s="15" customFormat="1" ht="35.25" hidden="1" customHeight="1" outlineLevel="1" x14ac:dyDescent="0.25">
      <c r="A4794" s="18">
        <v>1708</v>
      </c>
      <c r="B4794" s="4" t="s">
        <v>245</v>
      </c>
      <c r="C4794" s="22" t="s">
        <v>575</v>
      </c>
      <c r="D4794" s="18">
        <v>2020</v>
      </c>
      <c r="E4794" s="18" t="s">
        <v>234</v>
      </c>
      <c r="F4794" s="4">
        <v>2</v>
      </c>
      <c r="G4794" s="4">
        <v>368</v>
      </c>
      <c r="H4794" s="4">
        <v>1826.614</v>
      </c>
    </row>
    <row r="4795" spans="1:8" s="15" customFormat="1" ht="35.25" hidden="1" customHeight="1" outlineLevel="1" x14ac:dyDescent="0.25">
      <c r="A4795" s="18">
        <v>1668</v>
      </c>
      <c r="B4795" s="4" t="s">
        <v>245</v>
      </c>
      <c r="C4795" s="22" t="s">
        <v>1094</v>
      </c>
      <c r="D4795" s="18">
        <v>2020</v>
      </c>
      <c r="E4795" s="18" t="s">
        <v>234</v>
      </c>
      <c r="F4795" s="4">
        <v>1</v>
      </c>
      <c r="G4795" s="4">
        <v>345</v>
      </c>
      <c r="H4795" s="4">
        <v>1063.5229999999999</v>
      </c>
    </row>
    <row r="4796" spans="1:8" s="15" customFormat="1" ht="27" hidden="1" customHeight="1" outlineLevel="1" x14ac:dyDescent="0.25">
      <c r="A4796" s="18">
        <v>1807</v>
      </c>
      <c r="B4796" s="4" t="s">
        <v>245</v>
      </c>
      <c r="C4796" s="22" t="s">
        <v>177</v>
      </c>
      <c r="D4796" s="18">
        <v>2020</v>
      </c>
      <c r="E4796" s="18" t="s">
        <v>234</v>
      </c>
      <c r="F4796" s="4">
        <v>1</v>
      </c>
      <c r="G4796" s="4">
        <v>282.3</v>
      </c>
      <c r="H4796" s="4">
        <v>621</v>
      </c>
    </row>
    <row r="4797" spans="1:8" s="15" customFormat="1" ht="28.5" hidden="1" customHeight="1" outlineLevel="1" x14ac:dyDescent="0.25">
      <c r="A4797" s="45">
        <v>3823</v>
      </c>
      <c r="B4797" s="4" t="s">
        <v>245</v>
      </c>
      <c r="C4797" s="22" t="s">
        <v>1318</v>
      </c>
      <c r="D4797" s="18">
        <v>2021</v>
      </c>
      <c r="E4797" s="18" t="s">
        <v>234</v>
      </c>
      <c r="F4797" s="4">
        <v>1</v>
      </c>
      <c r="G4797" s="4">
        <v>150</v>
      </c>
      <c r="H4797" s="4">
        <v>613.37013999999999</v>
      </c>
    </row>
    <row r="4798" spans="1:8" s="15" customFormat="1" ht="28.5" hidden="1" customHeight="1" outlineLevel="1" x14ac:dyDescent="0.25">
      <c r="A4798" s="46">
        <v>9734</v>
      </c>
      <c r="B4798" s="4" t="s">
        <v>245</v>
      </c>
      <c r="C4798" s="22" t="s">
        <v>1336</v>
      </c>
      <c r="D4798" s="18">
        <v>2021</v>
      </c>
      <c r="E4798" s="18" t="s">
        <v>234</v>
      </c>
      <c r="F4798" s="4">
        <v>1</v>
      </c>
      <c r="G4798" s="4">
        <v>170</v>
      </c>
      <c r="H4798" s="4">
        <v>719.53700000000003</v>
      </c>
    </row>
    <row r="4799" spans="1:8" s="15" customFormat="1" ht="28.5" hidden="1" customHeight="1" outlineLevel="1" x14ac:dyDescent="0.25">
      <c r="A4799" s="46">
        <v>9740</v>
      </c>
      <c r="B4799" s="4" t="s">
        <v>245</v>
      </c>
      <c r="C4799" s="22" t="s">
        <v>1341</v>
      </c>
      <c r="D4799" s="18">
        <v>2021</v>
      </c>
      <c r="E4799" s="18" t="s">
        <v>234</v>
      </c>
      <c r="F4799" s="4">
        <v>1</v>
      </c>
      <c r="G4799" s="4">
        <v>150</v>
      </c>
      <c r="H4799" s="4">
        <v>577.24300000000005</v>
      </c>
    </row>
    <row r="4800" spans="1:8" s="15" customFormat="1" ht="28.5" hidden="1" customHeight="1" outlineLevel="1" x14ac:dyDescent="0.25">
      <c r="A4800" s="45">
        <v>1143</v>
      </c>
      <c r="B4800" s="4" t="s">
        <v>245</v>
      </c>
      <c r="C4800" s="22" t="s">
        <v>1818</v>
      </c>
      <c r="D4800" s="18">
        <v>2021</v>
      </c>
      <c r="E4800" s="18" t="s">
        <v>234</v>
      </c>
      <c r="F4800" s="4">
        <v>1</v>
      </c>
      <c r="G4800" s="4">
        <v>290</v>
      </c>
      <c r="H4800" s="4">
        <v>966</v>
      </c>
    </row>
    <row r="4801" spans="1:33" s="15" customFormat="1" ht="28.5" hidden="1" customHeight="1" outlineLevel="1" x14ac:dyDescent="0.25">
      <c r="A4801" s="46">
        <v>9576</v>
      </c>
      <c r="B4801" s="4" t="s">
        <v>245</v>
      </c>
      <c r="C4801" s="22" t="s">
        <v>1625</v>
      </c>
      <c r="D4801" s="18">
        <v>2021</v>
      </c>
      <c r="E4801" s="18" t="s">
        <v>234</v>
      </c>
      <c r="F4801" s="4">
        <v>2</v>
      </c>
      <c r="G4801" s="4">
        <v>390</v>
      </c>
      <c r="H4801" s="4">
        <v>1583</v>
      </c>
    </row>
    <row r="4802" spans="1:33" s="15" customFormat="1" ht="28.5" hidden="1" customHeight="1" outlineLevel="1" x14ac:dyDescent="0.25">
      <c r="A4802" s="46">
        <v>9589</v>
      </c>
      <c r="B4802" s="4" t="s">
        <v>245</v>
      </c>
      <c r="C4802" s="22" t="s">
        <v>1950</v>
      </c>
      <c r="D4802" s="18">
        <v>2021</v>
      </c>
      <c r="E4802" s="18" t="s">
        <v>234</v>
      </c>
      <c r="F4802" s="4">
        <v>1</v>
      </c>
      <c r="G4802" s="4">
        <v>300</v>
      </c>
      <c r="H4802" s="4">
        <v>853</v>
      </c>
    </row>
    <row r="4803" spans="1:33" s="15" customFormat="1" ht="28.5" hidden="1" customHeight="1" outlineLevel="1" x14ac:dyDescent="0.25">
      <c r="A4803" s="46">
        <v>9646</v>
      </c>
      <c r="B4803" s="4" t="s">
        <v>245</v>
      </c>
      <c r="C4803" s="22" t="s">
        <v>1839</v>
      </c>
      <c r="D4803" s="18">
        <v>2021</v>
      </c>
      <c r="E4803" s="18" t="s">
        <v>234</v>
      </c>
      <c r="F4803" s="4">
        <v>1</v>
      </c>
      <c r="G4803" s="4">
        <v>150</v>
      </c>
      <c r="H4803" s="4">
        <v>540</v>
      </c>
    </row>
    <row r="4804" spans="1:33" s="15" customFormat="1" ht="28.5" hidden="1" customHeight="1" outlineLevel="1" x14ac:dyDescent="0.25">
      <c r="A4804" s="45">
        <v>425</v>
      </c>
      <c r="B4804" s="4" t="s">
        <v>245</v>
      </c>
      <c r="C4804" s="22" t="s">
        <v>1284</v>
      </c>
      <c r="D4804" s="18">
        <v>2021</v>
      </c>
      <c r="E4804" s="18" t="s">
        <v>234</v>
      </c>
      <c r="F4804" s="4">
        <v>1</v>
      </c>
      <c r="G4804" s="4">
        <v>300</v>
      </c>
      <c r="H4804" s="4">
        <v>757.10799999999995</v>
      </c>
    </row>
    <row r="4805" spans="1:33" s="15" customFormat="1" ht="28.5" hidden="1" customHeight="1" outlineLevel="1" x14ac:dyDescent="0.25">
      <c r="A4805" s="45">
        <v>428</v>
      </c>
      <c r="B4805" s="4" t="s">
        <v>245</v>
      </c>
      <c r="C4805" s="22" t="s">
        <v>1263</v>
      </c>
      <c r="D4805" s="18">
        <v>2021</v>
      </c>
      <c r="E4805" s="18" t="s">
        <v>234</v>
      </c>
      <c r="F4805" s="4">
        <v>1</v>
      </c>
      <c r="G4805" s="4">
        <v>200</v>
      </c>
      <c r="H4805" s="4">
        <v>820.8</v>
      </c>
    </row>
    <row r="4806" spans="1:33" s="15" customFormat="1" ht="28.5" hidden="1" customHeight="1" outlineLevel="1" x14ac:dyDescent="0.25">
      <c r="A4806" s="46">
        <v>9372</v>
      </c>
      <c r="B4806" s="4" t="s">
        <v>245</v>
      </c>
      <c r="C4806" s="22" t="s">
        <v>1294</v>
      </c>
      <c r="D4806" s="18">
        <v>2021</v>
      </c>
      <c r="E4806" s="18" t="s">
        <v>234</v>
      </c>
      <c r="F4806" s="4">
        <v>1</v>
      </c>
      <c r="G4806" s="4">
        <v>210</v>
      </c>
      <c r="H4806" s="4">
        <v>821.32100000000003</v>
      </c>
    </row>
    <row r="4807" spans="1:33" s="15" customFormat="1" ht="28.5" hidden="1" customHeight="1" outlineLevel="1" x14ac:dyDescent="0.25">
      <c r="A4807" s="45">
        <v>3843</v>
      </c>
      <c r="B4807" s="4" t="s">
        <v>245</v>
      </c>
      <c r="C4807" s="22" t="s">
        <v>2026</v>
      </c>
      <c r="D4807" s="18">
        <v>2021</v>
      </c>
      <c r="E4807" s="18" t="s">
        <v>234</v>
      </c>
      <c r="F4807" s="4">
        <v>1</v>
      </c>
      <c r="G4807" s="4">
        <v>75</v>
      </c>
      <c r="H4807" s="4">
        <v>494.42865</v>
      </c>
    </row>
    <row r="4808" spans="1:33" s="15" customFormat="1" ht="31.5" collapsed="1" x14ac:dyDescent="0.25">
      <c r="A4808" s="18"/>
      <c r="B4808" s="58" t="s">
        <v>245</v>
      </c>
      <c r="C4808" s="72" t="s">
        <v>3229</v>
      </c>
      <c r="D4808" s="65"/>
      <c r="E4808" s="58" t="s">
        <v>232</v>
      </c>
      <c r="F4808" s="65"/>
      <c r="G4808" s="65"/>
      <c r="H4808" s="65"/>
    </row>
    <row r="4809" spans="1:33" s="16" customFormat="1" ht="16.5" customHeight="1" x14ac:dyDescent="0.25">
      <c r="A4809" s="18"/>
      <c r="B4809" s="7" t="s">
        <v>245</v>
      </c>
      <c r="C4809" s="8" t="s">
        <v>1102</v>
      </c>
      <c r="D4809" s="19">
        <v>2020</v>
      </c>
      <c r="E4809" s="19" t="s">
        <v>232</v>
      </c>
      <c r="F4809" s="7">
        <f>SUMIF($D$4812:$D$4818,$D$4809,$F$4812:$F$4818)</f>
        <v>5</v>
      </c>
      <c r="G4809" s="10">
        <f>SUMIF($D$4812:$D$4818,$D$4809,$G$4812:$G$4818)</f>
        <v>848</v>
      </c>
      <c r="H4809" s="10">
        <f>SUMIF($D$4812:$D$4818,$D$4809,$H$4812:$H$4818)</f>
        <v>4128.5319200000004</v>
      </c>
      <c r="I4809" s="15"/>
      <c r="J4809" s="15"/>
      <c r="K4809" s="15"/>
      <c r="L4809" s="15"/>
      <c r="M4809" s="15"/>
      <c r="N4809" s="15"/>
      <c r="O4809" s="15"/>
      <c r="P4809" s="15"/>
      <c r="Q4809" s="15"/>
      <c r="R4809" s="15"/>
      <c r="S4809" s="15"/>
      <c r="T4809" s="15"/>
      <c r="U4809" s="15"/>
      <c r="V4809" s="15"/>
      <c r="W4809" s="15"/>
      <c r="X4809" s="15"/>
      <c r="Y4809" s="15"/>
      <c r="Z4809" s="15"/>
      <c r="AA4809" s="15"/>
      <c r="AB4809" s="15"/>
      <c r="AC4809" s="15"/>
      <c r="AD4809" s="15"/>
      <c r="AE4809" s="15"/>
      <c r="AF4809" s="15"/>
      <c r="AG4809" s="15"/>
    </row>
    <row r="4810" spans="1:33" s="26" customFormat="1" ht="16.5" customHeight="1" x14ac:dyDescent="0.25">
      <c r="A4810" s="18"/>
      <c r="B4810" s="7" t="s">
        <v>245</v>
      </c>
      <c r="C4810" s="8" t="s">
        <v>1102</v>
      </c>
      <c r="D4810" s="19">
        <v>2021</v>
      </c>
      <c r="E4810" s="19" t="s">
        <v>232</v>
      </c>
      <c r="F4810" s="7">
        <f>SUMIF($D$4812:$D$4818,$D$4810,$F$4812:$F$4818)</f>
        <v>1</v>
      </c>
      <c r="G4810" s="10">
        <f>SUMIF($D$4812:$D$4818,$D$4810,$G$4812:$G$4818)</f>
        <v>150</v>
      </c>
      <c r="H4810" s="10">
        <f>SUMIF($D$4812:$D$4818,$D$4810,$H$4812:$H$4818)</f>
        <v>669.81</v>
      </c>
      <c r="I4810" s="15"/>
      <c r="J4810" s="15"/>
      <c r="K4810" s="15"/>
      <c r="L4810" s="15"/>
      <c r="M4810" s="15"/>
      <c r="N4810" s="15"/>
      <c r="O4810" s="15"/>
      <c r="P4810" s="15"/>
      <c r="Q4810" s="15"/>
      <c r="R4810" s="15"/>
      <c r="S4810" s="15"/>
      <c r="T4810" s="15"/>
      <c r="U4810" s="15"/>
      <c r="V4810" s="15"/>
      <c r="W4810" s="15"/>
      <c r="X4810" s="15"/>
      <c r="Y4810" s="15"/>
      <c r="Z4810" s="15"/>
      <c r="AA4810" s="15"/>
      <c r="AB4810" s="15"/>
      <c r="AC4810" s="15"/>
      <c r="AD4810" s="15"/>
      <c r="AE4810" s="15"/>
      <c r="AF4810" s="15"/>
      <c r="AG4810" s="15"/>
    </row>
    <row r="4811" spans="1:33" s="26" customFormat="1" ht="15.75" x14ac:dyDescent="0.25">
      <c r="A4811" s="18"/>
      <c r="B4811" s="7" t="s">
        <v>245</v>
      </c>
      <c r="C4811" s="8" t="s">
        <v>1102</v>
      </c>
      <c r="D4811" s="19">
        <v>2022</v>
      </c>
      <c r="E4811" s="19" t="s">
        <v>232</v>
      </c>
      <c r="F4811" s="7">
        <f>SUMIF($D$4812:$D$4818,$D$4811,$F$4812:$F$4818)</f>
        <v>1</v>
      </c>
      <c r="G4811" s="10">
        <f>SUMIF($D$4812:$D$4818,$D$4811,$G$4812:$G$4818)</f>
        <v>180</v>
      </c>
      <c r="H4811" s="10">
        <f>SUMIF($D$4812:$D$4818,$D$4811,$H$4812:$H$4818)</f>
        <v>404</v>
      </c>
      <c r="I4811" s="15"/>
      <c r="J4811" s="15"/>
      <c r="K4811" s="15"/>
      <c r="L4811" s="15"/>
      <c r="M4811" s="15"/>
      <c r="N4811" s="15"/>
      <c r="O4811" s="15"/>
      <c r="P4811" s="15"/>
      <c r="Q4811" s="15"/>
      <c r="R4811" s="15"/>
      <c r="S4811" s="15"/>
      <c r="T4811" s="15"/>
      <c r="U4811" s="15"/>
      <c r="V4811" s="15"/>
      <c r="W4811" s="15"/>
      <c r="X4811" s="15"/>
      <c r="Y4811" s="15"/>
      <c r="Z4811" s="15"/>
      <c r="AA4811" s="15"/>
      <c r="AB4811" s="15"/>
      <c r="AC4811" s="15"/>
      <c r="AD4811" s="15"/>
      <c r="AE4811" s="15"/>
      <c r="AF4811" s="15"/>
      <c r="AG4811" s="15"/>
    </row>
    <row r="4812" spans="1:33" s="15" customFormat="1" ht="78.75" hidden="1" outlineLevel="1" x14ac:dyDescent="0.25">
      <c r="A4812" s="18">
        <v>177</v>
      </c>
      <c r="B4812" s="4" t="s">
        <v>245</v>
      </c>
      <c r="C4812" s="22" t="s">
        <v>3788</v>
      </c>
      <c r="D4812" s="18">
        <v>2022</v>
      </c>
      <c r="E4812" s="18" t="s">
        <v>232</v>
      </c>
      <c r="F4812" s="4">
        <v>1</v>
      </c>
      <c r="G4812" s="4">
        <v>180</v>
      </c>
      <c r="H4812" s="4">
        <v>404</v>
      </c>
    </row>
    <row r="4813" spans="1:33" s="15" customFormat="1" ht="42.75" hidden="1" customHeight="1" outlineLevel="1" x14ac:dyDescent="0.25">
      <c r="A4813" s="18">
        <v>1827</v>
      </c>
      <c r="B4813" s="4" t="s">
        <v>245</v>
      </c>
      <c r="C4813" s="22" t="s">
        <v>591</v>
      </c>
      <c r="D4813" s="18">
        <v>2020</v>
      </c>
      <c r="E4813" s="18" t="s">
        <v>232</v>
      </c>
      <c r="F4813" s="4">
        <v>1</v>
      </c>
      <c r="G4813" s="4">
        <v>100</v>
      </c>
      <c r="H4813" s="4">
        <v>600</v>
      </c>
    </row>
    <row r="4814" spans="1:33" s="15" customFormat="1" ht="42.75" hidden="1" customHeight="1" outlineLevel="1" x14ac:dyDescent="0.25">
      <c r="A4814" s="18">
        <v>147</v>
      </c>
      <c r="B4814" s="4" t="s">
        <v>245</v>
      </c>
      <c r="C4814" s="22" t="s">
        <v>513</v>
      </c>
      <c r="D4814" s="18">
        <v>2020</v>
      </c>
      <c r="E4814" s="18" t="s">
        <v>232</v>
      </c>
      <c r="F4814" s="4">
        <v>1</v>
      </c>
      <c r="G4814" s="4">
        <v>300</v>
      </c>
      <c r="H4814" s="4">
        <v>1035.1559999999999</v>
      </c>
    </row>
    <row r="4815" spans="1:33" s="15" customFormat="1" ht="48" hidden="1" customHeight="1" outlineLevel="1" x14ac:dyDescent="0.25">
      <c r="A4815" s="18">
        <v>1762</v>
      </c>
      <c r="B4815" s="4" t="s">
        <v>245</v>
      </c>
      <c r="C4815" s="22" t="s">
        <v>45</v>
      </c>
      <c r="D4815" s="18">
        <v>2020</v>
      </c>
      <c r="E4815" s="18" t="s">
        <v>232</v>
      </c>
      <c r="F4815" s="4">
        <v>1</v>
      </c>
      <c r="G4815" s="4">
        <v>149</v>
      </c>
      <c r="H4815" s="4">
        <v>692.49104999999997</v>
      </c>
    </row>
    <row r="4816" spans="1:33" s="15" customFormat="1" ht="48" hidden="1" customHeight="1" outlineLevel="1" x14ac:dyDescent="0.25">
      <c r="A4816" s="18">
        <v>1624</v>
      </c>
      <c r="B4816" s="4" t="s">
        <v>245</v>
      </c>
      <c r="C4816" s="22" t="s">
        <v>46</v>
      </c>
      <c r="D4816" s="18">
        <v>2020</v>
      </c>
      <c r="E4816" s="18" t="s">
        <v>232</v>
      </c>
      <c r="F4816" s="4">
        <v>1</v>
      </c>
      <c r="G4816" s="4">
        <v>149</v>
      </c>
      <c r="H4816" s="4">
        <v>879.07503999999994</v>
      </c>
    </row>
    <row r="4817" spans="1:33" s="15" customFormat="1" ht="48" hidden="1" customHeight="1" outlineLevel="1" x14ac:dyDescent="0.25">
      <c r="A4817" s="18">
        <v>109</v>
      </c>
      <c r="B4817" s="4" t="s">
        <v>245</v>
      </c>
      <c r="C4817" s="22" t="s">
        <v>8</v>
      </c>
      <c r="D4817" s="18">
        <v>2020</v>
      </c>
      <c r="E4817" s="18" t="s">
        <v>232</v>
      </c>
      <c r="F4817" s="4">
        <v>1</v>
      </c>
      <c r="G4817" s="4">
        <v>150</v>
      </c>
      <c r="H4817" s="4">
        <v>921.80983000000003</v>
      </c>
    </row>
    <row r="4818" spans="1:33" s="15" customFormat="1" ht="29.25" hidden="1" customHeight="1" outlineLevel="1" x14ac:dyDescent="0.25">
      <c r="A4818" s="46">
        <v>9686</v>
      </c>
      <c r="B4818" s="4" t="s">
        <v>245</v>
      </c>
      <c r="C4818" s="22" t="s">
        <v>1342</v>
      </c>
      <c r="D4818" s="18">
        <v>2021</v>
      </c>
      <c r="E4818" s="18" t="s">
        <v>232</v>
      </c>
      <c r="F4818" s="4">
        <v>1</v>
      </c>
      <c r="G4818" s="4">
        <v>150</v>
      </c>
      <c r="H4818" s="4">
        <v>669.81</v>
      </c>
    </row>
    <row r="4819" spans="1:33" s="15" customFormat="1" ht="31.5" collapsed="1" x14ac:dyDescent="0.25">
      <c r="A4819" s="18"/>
      <c r="B4819" s="70" t="s">
        <v>246</v>
      </c>
      <c r="C4819" s="71" t="s">
        <v>3230</v>
      </c>
      <c r="D4819" s="69"/>
      <c r="E4819" s="74" t="s">
        <v>234</v>
      </c>
      <c r="F4819" s="70"/>
      <c r="G4819" s="70"/>
      <c r="H4819" s="70"/>
    </row>
    <row r="4820" spans="1:33" s="16" customFormat="1" ht="16.5" customHeight="1" x14ac:dyDescent="0.25">
      <c r="A4820" s="18"/>
      <c r="B4820" s="11" t="s">
        <v>246</v>
      </c>
      <c r="C4820" s="12" t="s">
        <v>1102</v>
      </c>
      <c r="D4820" s="20">
        <v>2020</v>
      </c>
      <c r="E4820" s="20" t="s">
        <v>234</v>
      </c>
      <c r="F4820" s="11">
        <f ca="1">SUMIF($D$4823:$H$4825,$D$4820,$F$4823:$F$4825)</f>
        <v>0</v>
      </c>
      <c r="G4820" s="11">
        <f ca="1">SUMIF($D$4823:$H$4825,$D$4820,$G$4823:$G$4825)</f>
        <v>0</v>
      </c>
      <c r="H4820" s="11">
        <f ca="1">SUMIF($D$4823:$H$4825,$D$4820,$H$4823:$H$4825)</f>
        <v>0</v>
      </c>
      <c r="I4820" s="15"/>
      <c r="J4820" s="15"/>
      <c r="K4820" s="15"/>
      <c r="L4820" s="15"/>
      <c r="M4820" s="15"/>
      <c r="N4820" s="15"/>
      <c r="O4820" s="15"/>
      <c r="P4820" s="15"/>
      <c r="Q4820" s="15"/>
      <c r="R4820" s="15"/>
      <c r="S4820" s="15"/>
      <c r="T4820" s="15"/>
      <c r="U4820" s="15"/>
      <c r="V4820" s="15"/>
      <c r="W4820" s="15"/>
      <c r="X4820" s="15"/>
      <c r="Y4820" s="15"/>
      <c r="Z4820" s="15"/>
      <c r="AA4820" s="15"/>
      <c r="AB4820" s="15"/>
      <c r="AC4820" s="15"/>
      <c r="AD4820" s="15"/>
      <c r="AE4820" s="15"/>
      <c r="AF4820" s="15"/>
      <c r="AG4820" s="15"/>
    </row>
    <row r="4821" spans="1:33" s="26" customFormat="1" ht="16.5" customHeight="1" x14ac:dyDescent="0.25">
      <c r="A4821" s="18"/>
      <c r="B4821" s="11" t="s">
        <v>246</v>
      </c>
      <c r="C4821" s="12" t="s">
        <v>1102</v>
      </c>
      <c r="D4821" s="20">
        <v>2021</v>
      </c>
      <c r="E4821" s="20" t="s">
        <v>234</v>
      </c>
      <c r="F4821" s="11">
        <f ca="1">SUMIF($D$4823:$H$4825,$D$4824,$F$4823:$F$4825)</f>
        <v>0</v>
      </c>
      <c r="G4821" s="11">
        <f ca="1">SUMIF($D$4823:$H$4825,$D$4821,$G$4823:$G$4825)</f>
        <v>0</v>
      </c>
      <c r="H4821" s="11">
        <f ca="1">SUMIF($D$4823:$H$4825,$D$4821,$H$4823:$H$4825)</f>
        <v>0</v>
      </c>
      <c r="I4821" s="15"/>
      <c r="J4821" s="15"/>
      <c r="K4821" s="15"/>
      <c r="L4821" s="15"/>
      <c r="M4821" s="15"/>
      <c r="N4821" s="15"/>
      <c r="O4821" s="15"/>
      <c r="P4821" s="15"/>
      <c r="Q4821" s="15"/>
      <c r="R4821" s="15"/>
      <c r="S4821" s="15"/>
      <c r="T4821" s="15"/>
      <c r="U4821" s="15"/>
      <c r="V4821" s="15"/>
      <c r="W4821" s="15"/>
      <c r="X4821" s="15"/>
      <c r="Y4821" s="15"/>
      <c r="Z4821" s="15"/>
      <c r="AA4821" s="15"/>
      <c r="AB4821" s="15"/>
      <c r="AC4821" s="15"/>
      <c r="AD4821" s="15"/>
      <c r="AE4821" s="15"/>
      <c r="AF4821" s="15"/>
      <c r="AG4821" s="15"/>
    </row>
    <row r="4822" spans="1:33" s="26" customFormat="1" ht="15.75" x14ac:dyDescent="0.25">
      <c r="A4822" s="18"/>
      <c r="B4822" s="11" t="s">
        <v>246</v>
      </c>
      <c r="C4822" s="12" t="s">
        <v>1102</v>
      </c>
      <c r="D4822" s="20">
        <v>2022</v>
      </c>
      <c r="E4822" s="20" t="s">
        <v>234</v>
      </c>
      <c r="F4822" s="11">
        <f ca="1">SUMIF($D$4823:$H$4825,$D$4822,$F$4823:$F$4825)</f>
        <v>0</v>
      </c>
      <c r="G4822" s="11">
        <f ca="1">SUMIF($D$4823:$H$4825,$D$4822,$G$4823:$G$4825)</f>
        <v>0</v>
      </c>
      <c r="H4822" s="11">
        <f ca="1">SUMIF($D$4823:$H$4825,$D$4822,$H$4823:$H$4825)</f>
        <v>0</v>
      </c>
      <c r="I4822" s="15"/>
      <c r="J4822" s="15"/>
      <c r="K4822" s="15"/>
      <c r="L4822" s="15"/>
      <c r="M4822" s="15"/>
      <c r="N4822" s="15"/>
      <c r="O4822" s="15"/>
      <c r="P4822" s="15"/>
      <c r="Q4822" s="15"/>
      <c r="R4822" s="15"/>
      <c r="S4822" s="15"/>
      <c r="T4822" s="15"/>
      <c r="U4822" s="15"/>
      <c r="V4822" s="15"/>
      <c r="W4822" s="15"/>
      <c r="X4822" s="15"/>
      <c r="Y4822" s="15"/>
      <c r="Z4822" s="15"/>
      <c r="AA4822" s="15"/>
      <c r="AB4822" s="15"/>
      <c r="AC4822" s="15"/>
      <c r="AD4822" s="15"/>
      <c r="AE4822" s="15"/>
      <c r="AF4822" s="15"/>
      <c r="AG4822" s="15"/>
    </row>
    <row r="4823" spans="1:33" s="15" customFormat="1" ht="15.75" hidden="1" outlineLevel="1" x14ac:dyDescent="0.25">
      <c r="A4823" s="18"/>
      <c r="B4823" s="4" t="s">
        <v>246</v>
      </c>
      <c r="C4823" s="22"/>
      <c r="D4823" s="18">
        <v>2022</v>
      </c>
      <c r="E4823" s="18" t="s">
        <v>234</v>
      </c>
      <c r="F4823" s="6"/>
      <c r="G4823" s="41"/>
      <c r="H4823" s="41"/>
    </row>
    <row r="4824" spans="1:33" s="15" customFormat="1" ht="15.75" hidden="1" outlineLevel="1" x14ac:dyDescent="0.25">
      <c r="A4824" s="18"/>
      <c r="B4824" s="4" t="s">
        <v>246</v>
      </c>
      <c r="C4824" s="22"/>
      <c r="D4824" s="18">
        <v>2021</v>
      </c>
      <c r="E4824" s="18" t="s">
        <v>234</v>
      </c>
      <c r="F4824" s="6"/>
      <c r="G4824" s="41"/>
      <c r="H4824" s="41"/>
    </row>
    <row r="4825" spans="1:33" s="15" customFormat="1" ht="15.75" hidden="1" outlineLevel="1" x14ac:dyDescent="0.25">
      <c r="A4825" s="18"/>
      <c r="B4825" s="4" t="s">
        <v>246</v>
      </c>
      <c r="C4825" s="22"/>
      <c r="D4825" s="18">
        <v>2021</v>
      </c>
      <c r="E4825" s="18" t="s">
        <v>234</v>
      </c>
      <c r="F4825" s="6"/>
      <c r="G4825" s="41"/>
      <c r="H4825" s="41"/>
    </row>
    <row r="4826" spans="1:33" s="15" customFormat="1" ht="31.5" collapsed="1" x14ac:dyDescent="0.25">
      <c r="A4826" s="18"/>
      <c r="B4826" s="58" t="s">
        <v>247</v>
      </c>
      <c r="C4826" s="72" t="s">
        <v>3231</v>
      </c>
      <c r="D4826" s="65"/>
      <c r="E4826" s="66" t="s">
        <v>234</v>
      </c>
      <c r="F4826" s="65"/>
      <c r="G4826" s="65"/>
      <c r="H4826" s="65"/>
    </row>
    <row r="4827" spans="1:33" s="16" customFormat="1" ht="16.5" customHeight="1" x14ac:dyDescent="0.25">
      <c r="A4827" s="18"/>
      <c r="B4827" s="7" t="s">
        <v>247</v>
      </c>
      <c r="C4827" s="8" t="s">
        <v>1102</v>
      </c>
      <c r="D4827" s="19">
        <v>2020</v>
      </c>
      <c r="E4827" s="19" t="s">
        <v>234</v>
      </c>
      <c r="F4827" s="7">
        <f>SUMIF($D$4830:$D$4839,$D$4827,$F$4830:$F$4839)</f>
        <v>3</v>
      </c>
      <c r="G4827" s="10">
        <f>SUMIF($D$4830:$D$4839,$D$4827,$G$4830:$G$4839)</f>
        <v>721.4</v>
      </c>
      <c r="H4827" s="10">
        <f>SUMIF($D$4830:$D$4839,$D$4827,$H$4830:$H$4839)</f>
        <v>3667.587</v>
      </c>
      <c r="I4827" s="15"/>
      <c r="J4827" s="15"/>
      <c r="K4827" s="15"/>
      <c r="L4827" s="15"/>
      <c r="M4827" s="15"/>
      <c r="N4827" s="15"/>
      <c r="O4827" s="15"/>
      <c r="P4827" s="15"/>
      <c r="Q4827" s="15"/>
      <c r="R4827" s="15"/>
      <c r="S4827" s="15"/>
      <c r="T4827" s="15"/>
      <c r="U4827" s="15"/>
      <c r="V4827" s="15"/>
      <c r="W4827" s="15"/>
      <c r="X4827" s="15"/>
      <c r="Y4827" s="15"/>
      <c r="Z4827" s="15"/>
      <c r="AA4827" s="15"/>
      <c r="AB4827" s="15"/>
      <c r="AC4827" s="15"/>
      <c r="AD4827" s="15"/>
      <c r="AE4827" s="15"/>
      <c r="AF4827" s="15"/>
      <c r="AG4827" s="15"/>
    </row>
    <row r="4828" spans="1:33" s="26" customFormat="1" ht="16.5" customHeight="1" x14ac:dyDescent="0.25">
      <c r="A4828" s="18"/>
      <c r="B4828" s="7" t="s">
        <v>247</v>
      </c>
      <c r="C4828" s="8" t="s">
        <v>1102</v>
      </c>
      <c r="D4828" s="19">
        <v>2021</v>
      </c>
      <c r="E4828" s="19" t="s">
        <v>234</v>
      </c>
      <c r="F4828" s="7">
        <f>SUMIF($D$4830:$D$4839,$D$4828,$F$4830:$F$4839)</f>
        <v>3</v>
      </c>
      <c r="G4828" s="10">
        <f>SUMIF($D$4830:$D$4839,$D$4828,$G$4830:$G$4839)</f>
        <v>1704</v>
      </c>
      <c r="H4828" s="10">
        <f>SUMIF($D$4830:$D$4839,$D$4828,$H$4830:$H$4839)</f>
        <v>4363</v>
      </c>
      <c r="I4828" s="15"/>
      <c r="J4828" s="15"/>
      <c r="K4828" s="15"/>
      <c r="L4828" s="15"/>
      <c r="M4828" s="15"/>
      <c r="N4828" s="15"/>
      <c r="O4828" s="15"/>
      <c r="P4828" s="15"/>
      <c r="Q4828" s="15"/>
      <c r="R4828" s="15"/>
      <c r="S4828" s="15"/>
      <c r="T4828" s="15"/>
      <c r="U4828" s="15"/>
      <c r="V4828" s="15"/>
      <c r="W4828" s="15"/>
      <c r="X4828" s="15"/>
      <c r="Y4828" s="15"/>
      <c r="Z4828" s="15"/>
      <c r="AA4828" s="15"/>
      <c r="AB4828" s="15"/>
      <c r="AC4828" s="15"/>
      <c r="AD4828" s="15"/>
      <c r="AE4828" s="15"/>
      <c r="AF4828" s="15"/>
      <c r="AG4828" s="15"/>
    </row>
    <row r="4829" spans="1:33" s="26" customFormat="1" ht="15.75" x14ac:dyDescent="0.25">
      <c r="A4829" s="18"/>
      <c r="B4829" s="7" t="s">
        <v>247</v>
      </c>
      <c r="C4829" s="8" t="s">
        <v>1102</v>
      </c>
      <c r="D4829" s="19">
        <v>2022</v>
      </c>
      <c r="E4829" s="19" t="s">
        <v>234</v>
      </c>
      <c r="F4829" s="7">
        <f>SUMIF($D$4830:$D$4839,$D$4829,$F$4830:$F$4839)</f>
        <v>6</v>
      </c>
      <c r="G4829" s="10">
        <f>SUMIF($D$4830:$D$4839,$D$4829,$G$4830:$G$4839)</f>
        <v>2064</v>
      </c>
      <c r="H4829" s="10">
        <f>SUMIF($D$4830:$D$4839,$D$4829,$H$4830:$H$4839)</f>
        <v>6699.6319999999996</v>
      </c>
      <c r="I4829" s="15"/>
      <c r="J4829" s="15"/>
      <c r="K4829" s="15"/>
      <c r="L4829" s="15"/>
      <c r="M4829" s="15"/>
      <c r="N4829" s="15"/>
      <c r="O4829" s="15"/>
      <c r="P4829" s="15"/>
      <c r="Q4829" s="15"/>
      <c r="R4829" s="15"/>
      <c r="S4829" s="15"/>
      <c r="T4829" s="15"/>
      <c r="U4829" s="15"/>
      <c r="V4829" s="15"/>
      <c r="W4829" s="15"/>
      <c r="X4829" s="15"/>
      <c r="Y4829" s="15"/>
      <c r="Z4829" s="15"/>
      <c r="AA4829" s="15"/>
      <c r="AB4829" s="15"/>
      <c r="AC4829" s="15"/>
      <c r="AD4829" s="15"/>
      <c r="AE4829" s="15"/>
      <c r="AF4829" s="15"/>
      <c r="AG4829" s="15"/>
    </row>
    <row r="4830" spans="1:33" s="15" customFormat="1" ht="58.5" hidden="1" customHeight="1" outlineLevel="1" x14ac:dyDescent="0.25">
      <c r="A4830" s="18">
        <v>2804</v>
      </c>
      <c r="B4830" s="4" t="s">
        <v>247</v>
      </c>
      <c r="C4830" s="38" t="s">
        <v>3938</v>
      </c>
      <c r="D4830" s="18">
        <v>2022</v>
      </c>
      <c r="E4830" s="18" t="s">
        <v>234</v>
      </c>
      <c r="F4830" s="4">
        <v>1</v>
      </c>
      <c r="G4830" s="4">
        <v>435</v>
      </c>
      <c r="H4830" s="4">
        <v>1199.6969999999999</v>
      </c>
    </row>
    <row r="4831" spans="1:33" s="15" customFormat="1" ht="80.25" hidden="1" customHeight="1" outlineLevel="1" x14ac:dyDescent="0.25">
      <c r="A4831" s="18">
        <v>2713</v>
      </c>
      <c r="B4831" s="4" t="s">
        <v>247</v>
      </c>
      <c r="C4831" s="38" t="s">
        <v>3933</v>
      </c>
      <c r="D4831" s="18">
        <v>2022</v>
      </c>
      <c r="E4831" s="18" t="s">
        <v>234</v>
      </c>
      <c r="F4831" s="4">
        <v>2</v>
      </c>
      <c r="G4831" s="4">
        <v>177</v>
      </c>
      <c r="H4831" s="4">
        <v>1605.9349999999999</v>
      </c>
    </row>
    <row r="4832" spans="1:33" s="15" customFormat="1" ht="62.25" hidden="1" customHeight="1" outlineLevel="1" x14ac:dyDescent="0.25">
      <c r="A4832" s="18">
        <v>166</v>
      </c>
      <c r="B4832" s="4" t="s">
        <v>247</v>
      </c>
      <c r="C4832" s="38" t="s">
        <v>4243</v>
      </c>
      <c r="D4832" s="18">
        <v>2022</v>
      </c>
      <c r="E4832" s="18" t="s">
        <v>234</v>
      </c>
      <c r="F4832" s="4">
        <v>1</v>
      </c>
      <c r="G4832" s="4">
        <v>600</v>
      </c>
      <c r="H4832" s="4">
        <v>1858</v>
      </c>
    </row>
    <row r="4833" spans="1:33" s="15" customFormat="1" ht="51" hidden="1" customHeight="1" outlineLevel="1" x14ac:dyDescent="0.25">
      <c r="A4833" s="18">
        <v>184</v>
      </c>
      <c r="B4833" s="4" t="s">
        <v>247</v>
      </c>
      <c r="C4833" s="38" t="s">
        <v>3802</v>
      </c>
      <c r="D4833" s="18">
        <v>2022</v>
      </c>
      <c r="E4833" s="18" t="s">
        <v>234</v>
      </c>
      <c r="F4833" s="4">
        <v>1</v>
      </c>
      <c r="G4833" s="4">
        <v>405</v>
      </c>
      <c r="H4833" s="4">
        <v>1040</v>
      </c>
    </row>
    <row r="4834" spans="1:33" s="15" customFormat="1" ht="66" hidden="1" customHeight="1" outlineLevel="1" x14ac:dyDescent="0.25">
      <c r="A4834" s="18">
        <v>402</v>
      </c>
      <c r="B4834" s="4" t="s">
        <v>247</v>
      </c>
      <c r="C4834" s="38" t="s">
        <v>3987</v>
      </c>
      <c r="D4834" s="18">
        <v>2022</v>
      </c>
      <c r="E4834" s="18" t="s">
        <v>234</v>
      </c>
      <c r="F4834" s="4">
        <v>1</v>
      </c>
      <c r="G4834" s="4">
        <v>447</v>
      </c>
      <c r="H4834" s="4">
        <v>996</v>
      </c>
    </row>
    <row r="4835" spans="1:33" s="15" customFormat="1" ht="62.25" hidden="1" customHeight="1" outlineLevel="1" x14ac:dyDescent="0.25">
      <c r="A4835" s="18">
        <v>1435</v>
      </c>
      <c r="B4835" s="4" t="s">
        <v>247</v>
      </c>
      <c r="C4835" s="22" t="s">
        <v>4</v>
      </c>
      <c r="D4835" s="18">
        <v>2020</v>
      </c>
      <c r="E4835" s="18" t="s">
        <v>234</v>
      </c>
      <c r="F4835" s="4">
        <v>2</v>
      </c>
      <c r="G4835" s="4">
        <v>421.4</v>
      </c>
      <c r="H4835" s="42">
        <v>2571.587</v>
      </c>
    </row>
    <row r="4836" spans="1:33" s="15" customFormat="1" ht="51" hidden="1" customHeight="1" outlineLevel="1" x14ac:dyDescent="0.25">
      <c r="A4836" s="18">
        <v>1734</v>
      </c>
      <c r="B4836" s="4" t="s">
        <v>247</v>
      </c>
      <c r="C4836" s="22" t="s">
        <v>248</v>
      </c>
      <c r="D4836" s="18">
        <v>2020</v>
      </c>
      <c r="E4836" s="18" t="s">
        <v>234</v>
      </c>
      <c r="F4836" s="4">
        <v>1</v>
      </c>
      <c r="G4836" s="4">
        <v>300</v>
      </c>
      <c r="H4836" s="42">
        <v>1096</v>
      </c>
    </row>
    <row r="4837" spans="1:33" s="15" customFormat="1" ht="66" hidden="1" customHeight="1" outlineLevel="1" x14ac:dyDescent="0.25">
      <c r="A4837" s="46">
        <v>9601</v>
      </c>
      <c r="B4837" s="4" t="s">
        <v>247</v>
      </c>
      <c r="C4837" s="22" t="s">
        <v>3179</v>
      </c>
      <c r="D4837" s="18">
        <v>2021</v>
      </c>
      <c r="E4837" s="18" t="s">
        <v>234</v>
      </c>
      <c r="F4837" s="4">
        <v>1</v>
      </c>
      <c r="G4837" s="4">
        <v>537</v>
      </c>
      <c r="H4837" s="42">
        <v>1570</v>
      </c>
    </row>
    <row r="4838" spans="1:33" s="15" customFormat="1" ht="66" hidden="1" customHeight="1" outlineLevel="1" x14ac:dyDescent="0.25">
      <c r="A4838" s="46">
        <v>9591</v>
      </c>
      <c r="B4838" s="4" t="s">
        <v>247</v>
      </c>
      <c r="C4838" s="22" t="s">
        <v>1923</v>
      </c>
      <c r="D4838" s="18">
        <v>2021</v>
      </c>
      <c r="E4838" s="18" t="s">
        <v>234</v>
      </c>
      <c r="F4838" s="4">
        <v>1</v>
      </c>
      <c r="G4838" s="4">
        <v>417</v>
      </c>
      <c r="H4838" s="42">
        <v>1077</v>
      </c>
    </row>
    <row r="4839" spans="1:33" s="15" customFormat="1" ht="52.5" hidden="1" customHeight="1" outlineLevel="1" x14ac:dyDescent="0.25">
      <c r="A4839" s="46">
        <v>9669</v>
      </c>
      <c r="B4839" s="4" t="s">
        <v>247</v>
      </c>
      <c r="C4839" s="22" t="s">
        <v>2000</v>
      </c>
      <c r="D4839" s="18">
        <v>2021</v>
      </c>
      <c r="E4839" s="18" t="s">
        <v>234</v>
      </c>
      <c r="F4839" s="4">
        <v>1</v>
      </c>
      <c r="G4839" s="4">
        <v>750</v>
      </c>
      <c r="H4839" s="42">
        <v>1716</v>
      </c>
    </row>
    <row r="4840" spans="1:33" s="16" customFormat="1" ht="36" customHeight="1" collapsed="1" x14ac:dyDescent="0.25">
      <c r="A4840" s="18"/>
      <c r="B4840" s="58" t="s">
        <v>247</v>
      </c>
      <c r="C4840" s="72" t="s">
        <v>3231</v>
      </c>
      <c r="D4840" s="65"/>
      <c r="E4840" s="58" t="s">
        <v>232</v>
      </c>
      <c r="F4840" s="65"/>
      <c r="G4840" s="65"/>
      <c r="H4840" s="65"/>
      <c r="I4840" s="15"/>
      <c r="J4840" s="15"/>
      <c r="K4840" s="15"/>
      <c r="L4840" s="15"/>
      <c r="M4840" s="15"/>
      <c r="N4840" s="15"/>
      <c r="O4840" s="15"/>
      <c r="P4840" s="15"/>
      <c r="Q4840" s="15"/>
      <c r="R4840" s="15"/>
      <c r="S4840" s="15"/>
      <c r="T4840" s="15"/>
      <c r="U4840" s="15"/>
      <c r="V4840" s="15"/>
      <c r="W4840" s="15"/>
      <c r="X4840" s="15"/>
      <c r="Y4840" s="15"/>
      <c r="Z4840" s="15"/>
      <c r="AA4840" s="15"/>
      <c r="AB4840" s="15"/>
      <c r="AC4840" s="15"/>
      <c r="AD4840" s="15"/>
      <c r="AE4840" s="15"/>
      <c r="AF4840" s="15"/>
      <c r="AG4840" s="15"/>
    </row>
    <row r="4841" spans="1:33" s="16" customFormat="1" ht="16.5" customHeight="1" x14ac:dyDescent="0.25">
      <c r="A4841" s="18"/>
      <c r="B4841" s="7" t="s">
        <v>247</v>
      </c>
      <c r="C4841" s="8" t="s">
        <v>1102</v>
      </c>
      <c r="D4841" s="19">
        <v>2020</v>
      </c>
      <c r="E4841" s="19" t="s">
        <v>232</v>
      </c>
      <c r="F4841" s="7">
        <f>SUMIF($D$4844:$D$4854,$D$4841,$F$4844:$F$4854)</f>
        <v>10</v>
      </c>
      <c r="G4841" s="7">
        <f>SUMIF($D$4844:$D$4854,$D$4841,$G$4844:$G$4854)</f>
        <v>4068.3</v>
      </c>
      <c r="H4841" s="10">
        <f>SUMIF($D$4844:$D$4854,$D$4841,$H$4844:$H$4854)</f>
        <v>10002.14255</v>
      </c>
      <c r="I4841" s="15"/>
      <c r="J4841" s="15"/>
      <c r="K4841" s="15"/>
      <c r="L4841" s="15"/>
      <c r="M4841" s="15"/>
      <c r="N4841" s="15"/>
      <c r="O4841" s="15"/>
      <c r="P4841" s="15"/>
      <c r="Q4841" s="15"/>
      <c r="R4841" s="15"/>
      <c r="S4841" s="15"/>
      <c r="T4841" s="15"/>
      <c r="U4841" s="15"/>
      <c r="V4841" s="15"/>
      <c r="W4841" s="15"/>
      <c r="X4841" s="15"/>
      <c r="Y4841" s="15"/>
      <c r="Z4841" s="15"/>
      <c r="AA4841" s="15"/>
      <c r="AB4841" s="15"/>
      <c r="AC4841" s="15"/>
      <c r="AD4841" s="15"/>
      <c r="AE4841" s="15"/>
      <c r="AF4841" s="15"/>
      <c r="AG4841" s="15"/>
    </row>
    <row r="4842" spans="1:33" s="26" customFormat="1" ht="16.5" customHeight="1" x14ac:dyDescent="0.25">
      <c r="A4842" s="18"/>
      <c r="B4842" s="7" t="s">
        <v>247</v>
      </c>
      <c r="C4842" s="8" t="s">
        <v>1102</v>
      </c>
      <c r="D4842" s="19">
        <v>2021</v>
      </c>
      <c r="E4842" s="19" t="s">
        <v>232</v>
      </c>
      <c r="F4842" s="7">
        <f>SUMIF($D$4844:$D$4854,$D$4842,$F$4844:$F$4854)</f>
        <v>1</v>
      </c>
      <c r="G4842" s="7">
        <f>SUMIF($D$4844:$D$4854,$D$4842,$G$4844:$G$4854)</f>
        <v>450</v>
      </c>
      <c r="H4842" s="10">
        <f>SUMIF($D$4844:$D$4854,$D$4842,$H$4844:$H$4854)</f>
        <v>967.58264999999994</v>
      </c>
      <c r="I4842" s="15"/>
      <c r="J4842" s="15"/>
      <c r="K4842" s="15"/>
      <c r="L4842" s="15"/>
      <c r="M4842" s="15"/>
      <c r="N4842" s="15"/>
      <c r="O4842" s="15"/>
      <c r="P4842" s="15"/>
      <c r="Q4842" s="15"/>
      <c r="R4842" s="15"/>
      <c r="S4842" s="15"/>
      <c r="T4842" s="15"/>
      <c r="U4842" s="15"/>
      <c r="V4842" s="15"/>
      <c r="W4842" s="15"/>
      <c r="X4842" s="15"/>
      <c r="Y4842" s="15"/>
      <c r="Z4842" s="15"/>
      <c r="AA4842" s="15"/>
      <c r="AB4842" s="15"/>
      <c r="AC4842" s="15"/>
      <c r="AD4842" s="15"/>
      <c r="AE4842" s="15"/>
      <c r="AF4842" s="15"/>
      <c r="AG4842" s="15"/>
    </row>
    <row r="4843" spans="1:33" s="26" customFormat="1" ht="15.75" x14ac:dyDescent="0.25">
      <c r="A4843" s="18"/>
      <c r="B4843" s="7" t="s">
        <v>247</v>
      </c>
      <c r="C4843" s="8" t="s">
        <v>1102</v>
      </c>
      <c r="D4843" s="19">
        <v>2022</v>
      </c>
      <c r="E4843" s="19" t="s">
        <v>232</v>
      </c>
      <c r="F4843" s="7">
        <f>SUMIF($D$4844:$D$4854,$D$4843,$F$4844:$F$4854)</f>
        <v>1</v>
      </c>
      <c r="G4843" s="7">
        <f>SUMIF($D$4844:$D$4854,$D$4843,$G$4844:$G$4854)</f>
        <v>150</v>
      </c>
      <c r="H4843" s="10">
        <f>SUMIF($D$4844:$D$4854,$D$4843,$H$4844:$H$4854)</f>
        <v>810.48934999999994</v>
      </c>
      <c r="I4843" s="15"/>
      <c r="J4843" s="15"/>
      <c r="K4843" s="15"/>
      <c r="L4843" s="15"/>
      <c r="M4843" s="15"/>
      <c r="N4843" s="15"/>
      <c r="O4843" s="15"/>
      <c r="P4843" s="15"/>
      <c r="Q4843" s="15"/>
      <c r="R4843" s="15"/>
      <c r="S4843" s="15"/>
      <c r="T4843" s="15"/>
      <c r="U4843" s="15"/>
      <c r="V4843" s="15"/>
      <c r="W4843" s="15"/>
      <c r="X4843" s="15"/>
      <c r="Y4843" s="15"/>
      <c r="Z4843" s="15"/>
      <c r="AA4843" s="15"/>
      <c r="AB4843" s="15"/>
      <c r="AC4843" s="15"/>
      <c r="AD4843" s="15"/>
      <c r="AE4843" s="15"/>
      <c r="AF4843" s="15"/>
      <c r="AG4843" s="15"/>
    </row>
    <row r="4844" spans="1:33" s="15" customFormat="1" ht="78.75" hidden="1" outlineLevel="1" x14ac:dyDescent="0.25">
      <c r="A4844" s="18">
        <v>2990</v>
      </c>
      <c r="B4844" s="4" t="s">
        <v>247</v>
      </c>
      <c r="C4844" s="22" t="s">
        <v>4266</v>
      </c>
      <c r="D4844" s="18">
        <v>2022</v>
      </c>
      <c r="E4844" s="18" t="s">
        <v>232</v>
      </c>
      <c r="F4844" s="4">
        <v>1</v>
      </c>
      <c r="G4844" s="4">
        <v>150</v>
      </c>
      <c r="H4844" s="42">
        <v>810.48934999999994</v>
      </c>
    </row>
    <row r="4845" spans="1:33" s="15" customFormat="1" ht="28.5" hidden="1" customHeight="1" outlineLevel="1" x14ac:dyDescent="0.25">
      <c r="A4845" s="18">
        <v>1660</v>
      </c>
      <c r="B4845" s="4" t="s">
        <v>247</v>
      </c>
      <c r="C4845" s="22" t="s">
        <v>512</v>
      </c>
      <c r="D4845" s="18">
        <v>2020</v>
      </c>
      <c r="E4845" s="18" t="s">
        <v>232</v>
      </c>
      <c r="F4845" s="4">
        <v>1</v>
      </c>
      <c r="G4845" s="4">
        <v>600</v>
      </c>
      <c r="H4845" s="42">
        <v>1517.24</v>
      </c>
    </row>
    <row r="4846" spans="1:33" s="15" customFormat="1" ht="28.5" hidden="1" customHeight="1" outlineLevel="1" x14ac:dyDescent="0.25">
      <c r="A4846" s="18">
        <v>1773</v>
      </c>
      <c r="B4846" s="4" t="s">
        <v>247</v>
      </c>
      <c r="C4846" s="22" t="s">
        <v>592</v>
      </c>
      <c r="D4846" s="18">
        <v>2020</v>
      </c>
      <c r="E4846" s="18" t="s">
        <v>232</v>
      </c>
      <c r="F4846" s="4">
        <v>2</v>
      </c>
      <c r="G4846" s="4">
        <v>426.3</v>
      </c>
      <c r="H4846" s="42">
        <v>1794.96082</v>
      </c>
    </row>
    <row r="4847" spans="1:33" s="15" customFormat="1" ht="28.5" hidden="1" customHeight="1" outlineLevel="1" x14ac:dyDescent="0.25">
      <c r="A4847" s="18">
        <v>968</v>
      </c>
      <c r="B4847" s="4" t="s">
        <v>247</v>
      </c>
      <c r="C4847" s="22" t="s">
        <v>318</v>
      </c>
      <c r="D4847" s="18">
        <v>2020</v>
      </c>
      <c r="E4847" s="18" t="s">
        <v>232</v>
      </c>
      <c r="F4847" s="4">
        <v>1</v>
      </c>
      <c r="G4847" s="4">
        <v>320</v>
      </c>
      <c r="H4847" s="42">
        <v>855.25189</v>
      </c>
    </row>
    <row r="4848" spans="1:33" s="15" customFormat="1" ht="28.5" hidden="1" customHeight="1" outlineLevel="1" x14ac:dyDescent="0.25">
      <c r="A4848" s="18">
        <v>1530</v>
      </c>
      <c r="B4848" s="4" t="s">
        <v>247</v>
      </c>
      <c r="C4848" s="22" t="s">
        <v>382</v>
      </c>
      <c r="D4848" s="18">
        <v>2020</v>
      </c>
      <c r="E4848" s="18" t="s">
        <v>232</v>
      </c>
      <c r="F4848" s="4">
        <v>1</v>
      </c>
      <c r="G4848" s="4">
        <v>40</v>
      </c>
      <c r="H4848" s="42">
        <v>1246.54791</v>
      </c>
    </row>
    <row r="4849" spans="1:33" s="15" customFormat="1" ht="28.5" hidden="1" customHeight="1" outlineLevel="1" x14ac:dyDescent="0.25">
      <c r="A4849" s="18">
        <v>338</v>
      </c>
      <c r="B4849" s="4" t="s">
        <v>247</v>
      </c>
      <c r="C4849" s="22" t="s">
        <v>383</v>
      </c>
      <c r="D4849" s="18">
        <v>2020</v>
      </c>
      <c r="E4849" s="18" t="s">
        <v>232</v>
      </c>
      <c r="F4849" s="4">
        <v>1</v>
      </c>
      <c r="G4849" s="4">
        <v>30</v>
      </c>
      <c r="H4849" s="42">
        <v>865.99063000000001</v>
      </c>
    </row>
    <row r="4850" spans="1:33" s="15" customFormat="1" ht="28.5" hidden="1" customHeight="1" outlineLevel="1" x14ac:dyDescent="0.25">
      <c r="A4850" s="18">
        <v>433</v>
      </c>
      <c r="B4850" s="4" t="s">
        <v>247</v>
      </c>
      <c r="C4850" s="22" t="s">
        <v>397</v>
      </c>
      <c r="D4850" s="18">
        <v>2020</v>
      </c>
      <c r="E4850" s="18" t="s">
        <v>232</v>
      </c>
      <c r="F4850" s="4">
        <v>1</v>
      </c>
      <c r="G4850" s="4">
        <v>270</v>
      </c>
      <c r="H4850" s="42">
        <v>712.13275999999996</v>
      </c>
    </row>
    <row r="4851" spans="1:33" s="15" customFormat="1" ht="28.5" hidden="1" customHeight="1" outlineLevel="1" x14ac:dyDescent="0.25">
      <c r="A4851" s="18">
        <v>444</v>
      </c>
      <c r="B4851" s="4" t="s">
        <v>247</v>
      </c>
      <c r="C4851" s="22" t="s">
        <v>516</v>
      </c>
      <c r="D4851" s="18">
        <v>2020</v>
      </c>
      <c r="E4851" s="18" t="s">
        <v>232</v>
      </c>
      <c r="F4851" s="4">
        <v>1</v>
      </c>
      <c r="G4851" s="4">
        <v>642</v>
      </c>
      <c r="H4851" s="42">
        <v>1250.25</v>
      </c>
    </row>
    <row r="4852" spans="1:33" s="15" customFormat="1" ht="28.5" hidden="1" customHeight="1" outlineLevel="1" x14ac:dyDescent="0.25">
      <c r="A4852" s="18">
        <v>326</v>
      </c>
      <c r="B4852" s="4" t="s">
        <v>247</v>
      </c>
      <c r="C4852" s="22" t="s">
        <v>597</v>
      </c>
      <c r="D4852" s="18">
        <v>2020</v>
      </c>
      <c r="E4852" s="18" t="s">
        <v>232</v>
      </c>
      <c r="F4852" s="4">
        <v>1</v>
      </c>
      <c r="G4852" s="4">
        <v>1440</v>
      </c>
      <c r="H4852" s="42">
        <v>1169.29</v>
      </c>
    </row>
    <row r="4853" spans="1:33" s="15" customFormat="1" ht="47.25" hidden="1" outlineLevel="1" x14ac:dyDescent="0.25">
      <c r="A4853" s="18">
        <v>50</v>
      </c>
      <c r="B4853" s="4" t="s">
        <v>247</v>
      </c>
      <c r="C4853" s="22" t="s">
        <v>113</v>
      </c>
      <c r="D4853" s="18">
        <v>2020</v>
      </c>
      <c r="E4853" s="18" t="s">
        <v>232</v>
      </c>
      <c r="F4853" s="4">
        <v>1</v>
      </c>
      <c r="G4853" s="42">
        <v>300</v>
      </c>
      <c r="H4853" s="42">
        <v>590.47853999999995</v>
      </c>
    </row>
    <row r="4854" spans="1:33" s="15" customFormat="1" ht="78.75" hidden="1" outlineLevel="1" x14ac:dyDescent="0.25">
      <c r="A4854" s="49">
        <v>9615</v>
      </c>
      <c r="B4854" s="4" t="s">
        <v>247</v>
      </c>
      <c r="C4854" s="22" t="s">
        <v>2027</v>
      </c>
      <c r="D4854" s="18">
        <v>2021</v>
      </c>
      <c r="E4854" s="18" t="s">
        <v>232</v>
      </c>
      <c r="F4854" s="4">
        <v>1</v>
      </c>
      <c r="G4854" s="4">
        <v>450</v>
      </c>
      <c r="H4854" s="42">
        <v>967.58264999999994</v>
      </c>
    </row>
    <row r="4855" spans="1:33" s="15" customFormat="1" ht="38.25" customHeight="1" collapsed="1" x14ac:dyDescent="0.25">
      <c r="A4855" s="18"/>
      <c r="B4855" s="199" t="s">
        <v>3183</v>
      </c>
      <c r="C4855" s="199"/>
      <c r="D4855" s="199"/>
      <c r="E4855" s="199"/>
      <c r="F4855" s="199"/>
      <c r="G4855" s="199"/>
      <c r="H4855" s="199"/>
    </row>
    <row r="4856" spans="1:33" s="15" customFormat="1" ht="31.5" collapsed="1" x14ac:dyDescent="0.25">
      <c r="A4856" s="18"/>
      <c r="B4856" s="70" t="s">
        <v>3232</v>
      </c>
      <c r="C4856" s="71" t="s">
        <v>3233</v>
      </c>
      <c r="D4856" s="69"/>
      <c r="E4856" s="74" t="s">
        <v>1095</v>
      </c>
      <c r="F4856" s="70"/>
      <c r="G4856" s="70"/>
      <c r="H4856" s="70"/>
    </row>
    <row r="4857" spans="1:33" s="15" customFormat="1" ht="15.75" customHeight="1" x14ac:dyDescent="0.25">
      <c r="A4857" s="18"/>
      <c r="B4857" s="11" t="s">
        <v>3232</v>
      </c>
      <c r="C4857" s="12" t="s">
        <v>1102</v>
      </c>
      <c r="D4857" s="20">
        <v>2020</v>
      </c>
      <c r="E4857" s="20" t="s">
        <v>1095</v>
      </c>
      <c r="F4857" s="11">
        <f>SUMIF($D$4860:$D$4861,$D$4857,$F$4860:$F$4861)</f>
        <v>1</v>
      </c>
      <c r="G4857" s="11">
        <f>SUMIF($D$4860:$D$4861,$D$4857,$G$4860:$G$4861)</f>
        <v>98800</v>
      </c>
      <c r="H4857" s="14">
        <f>SUMIF($D$4860:$D$4861,$D$4857,$H$4860:$H$4861)</f>
        <v>534948.79177000001</v>
      </c>
    </row>
    <row r="4858" spans="1:33" s="26" customFormat="1" ht="16.5" customHeight="1" x14ac:dyDescent="0.25">
      <c r="A4858" s="18"/>
      <c r="B4858" s="11" t="s">
        <v>3232</v>
      </c>
      <c r="C4858" s="12" t="s">
        <v>1102</v>
      </c>
      <c r="D4858" s="20">
        <v>2021</v>
      </c>
      <c r="E4858" s="20" t="s">
        <v>1095</v>
      </c>
      <c r="F4858" s="11">
        <f>SUMIF($D$4860:$D$4861,$D$4858,$F$4860:$F$4861)</f>
        <v>1</v>
      </c>
      <c r="G4858" s="11">
        <f>SUMIF($D$4860:$D$4861,$D$4858,$G$4860:$G$4861)</f>
        <v>120000</v>
      </c>
      <c r="H4858" s="14">
        <f>SUMIF($D$4860:$D$4861,$D$4858,$H$4860:$H$4861)</f>
        <v>609776</v>
      </c>
      <c r="I4858" s="15"/>
      <c r="J4858" s="15"/>
      <c r="K4858" s="15"/>
      <c r="L4858" s="15"/>
      <c r="M4858" s="15"/>
      <c r="N4858" s="15"/>
      <c r="O4858" s="15"/>
      <c r="P4858" s="15"/>
      <c r="Q4858" s="15"/>
      <c r="R4858" s="15"/>
      <c r="S4858" s="15"/>
      <c r="T4858" s="15"/>
      <c r="U4858" s="15"/>
      <c r="V4858" s="15"/>
      <c r="W4858" s="15"/>
      <c r="X4858" s="15"/>
      <c r="Y4858" s="15"/>
      <c r="Z4858" s="15"/>
      <c r="AA4858" s="15"/>
      <c r="AB4858" s="15"/>
      <c r="AC4858" s="15"/>
      <c r="AD4858" s="15"/>
      <c r="AE4858" s="15"/>
      <c r="AF4858" s="15"/>
      <c r="AG4858" s="15"/>
    </row>
    <row r="4859" spans="1:33" s="26" customFormat="1" ht="15.75" x14ac:dyDescent="0.25">
      <c r="A4859" s="18"/>
      <c r="B4859" s="11" t="s">
        <v>3232</v>
      </c>
      <c r="C4859" s="12" t="s">
        <v>1102</v>
      </c>
      <c r="D4859" s="20">
        <v>2022</v>
      </c>
      <c r="E4859" s="20" t="s">
        <v>1095</v>
      </c>
      <c r="F4859" s="11">
        <f>SUMIF($D$4860:$D$4861,$D$4859,$F$4860:$F$4861)</f>
        <v>0</v>
      </c>
      <c r="G4859" s="11">
        <f>SUMIF($D$4860:$D$4861,$D$4859,$G$4860:$G$4861)</f>
        <v>0</v>
      </c>
      <c r="H4859" s="14">
        <f>SUMIF($D$4860:$D$4861,$D$4859,$H$4860:$H$4861)</f>
        <v>0</v>
      </c>
      <c r="I4859" s="15"/>
      <c r="J4859" s="15"/>
      <c r="K4859" s="15"/>
      <c r="L4859" s="15"/>
      <c r="M4859" s="15"/>
      <c r="N4859" s="15"/>
      <c r="O4859" s="15"/>
      <c r="P4859" s="15"/>
      <c r="Q4859" s="15"/>
      <c r="R4859" s="15"/>
      <c r="S4859" s="15"/>
      <c r="T4859" s="15"/>
      <c r="U4859" s="15"/>
      <c r="V4859" s="15"/>
      <c r="W4859" s="15"/>
      <c r="X4859" s="15"/>
      <c r="Y4859" s="15"/>
      <c r="Z4859" s="15"/>
      <c r="AA4859" s="15"/>
      <c r="AB4859" s="15"/>
      <c r="AC4859" s="15"/>
      <c r="AD4859" s="15"/>
      <c r="AE4859" s="15"/>
      <c r="AF4859" s="15"/>
      <c r="AG4859" s="15"/>
    </row>
    <row r="4860" spans="1:33" s="15" customFormat="1" ht="52.5" hidden="1" customHeight="1" outlineLevel="1" x14ac:dyDescent="0.25">
      <c r="A4860" s="18">
        <v>2012</v>
      </c>
      <c r="B4860" s="4" t="s">
        <v>3232</v>
      </c>
      <c r="C4860" s="22" t="s">
        <v>1096</v>
      </c>
      <c r="D4860" s="18">
        <v>2020</v>
      </c>
      <c r="E4860" s="18" t="s">
        <v>1095</v>
      </c>
      <c r="F4860" s="4">
        <v>1</v>
      </c>
      <c r="G4860" s="4">
        <v>98800</v>
      </c>
      <c r="H4860" s="42">
        <v>534948.79177000001</v>
      </c>
    </row>
    <row r="4861" spans="1:33" s="15" customFormat="1" ht="52.5" hidden="1" customHeight="1" outlineLevel="1" x14ac:dyDescent="0.25">
      <c r="A4861" s="48">
        <v>9635</v>
      </c>
      <c r="B4861" s="124" t="s">
        <v>3232</v>
      </c>
      <c r="C4861" s="51" t="s">
        <v>1995</v>
      </c>
      <c r="D4861" s="18">
        <v>2021</v>
      </c>
      <c r="E4861" s="18" t="s">
        <v>1095</v>
      </c>
      <c r="F4861" s="4">
        <v>1</v>
      </c>
      <c r="G4861" s="4">
        <v>120000</v>
      </c>
      <c r="H4861" s="4">
        <v>609776</v>
      </c>
    </row>
    <row r="4862" spans="1:33" s="27" customFormat="1" ht="32.25" customHeight="1" collapsed="1" x14ac:dyDescent="0.25">
      <c r="A4862" s="18"/>
      <c r="B4862" s="182" t="s">
        <v>1098</v>
      </c>
      <c r="C4862" s="183"/>
      <c r="D4862" s="183"/>
      <c r="E4862" s="183"/>
      <c r="F4862" s="183"/>
      <c r="G4862" s="183"/>
      <c r="H4862" s="184"/>
      <c r="I4862" s="15"/>
      <c r="J4862" s="15"/>
      <c r="K4862" s="15"/>
      <c r="L4862" s="15"/>
      <c r="M4862" s="15"/>
      <c r="N4862" s="15"/>
      <c r="O4862" s="15"/>
      <c r="P4862" s="15"/>
      <c r="Q4862" s="15"/>
      <c r="R4862" s="15"/>
      <c r="S4862" s="15"/>
      <c r="T4862" s="15"/>
      <c r="U4862" s="15"/>
      <c r="V4862" s="15"/>
      <c r="W4862" s="15"/>
      <c r="X4862" s="15"/>
      <c r="Y4862" s="15"/>
      <c r="Z4862" s="15"/>
      <c r="AA4862" s="15"/>
      <c r="AB4862" s="15"/>
      <c r="AC4862" s="15"/>
      <c r="AD4862" s="15"/>
      <c r="AE4862" s="15"/>
      <c r="AF4862" s="15"/>
      <c r="AG4862" s="15"/>
    </row>
    <row r="4863" spans="1:33" s="15" customFormat="1" ht="19.5" customHeight="1" collapsed="1" x14ac:dyDescent="0.25">
      <c r="A4863" s="18"/>
      <c r="B4863" s="178" t="s">
        <v>249</v>
      </c>
      <c r="C4863" s="180" t="s">
        <v>3234</v>
      </c>
      <c r="D4863" s="178"/>
      <c r="E4863" s="178" t="s">
        <v>0</v>
      </c>
      <c r="F4863" s="178"/>
      <c r="G4863" s="178"/>
      <c r="H4863" s="178"/>
    </row>
    <row r="4864" spans="1:33" s="16" customFormat="1" ht="16.5" customHeight="1" x14ac:dyDescent="0.25">
      <c r="A4864" s="18"/>
      <c r="B4864" s="179"/>
      <c r="C4864" s="181"/>
      <c r="D4864" s="179"/>
      <c r="E4864" s="179" t="s">
        <v>0</v>
      </c>
      <c r="F4864" s="179"/>
      <c r="G4864" s="179"/>
      <c r="H4864" s="179"/>
      <c r="I4864" s="15"/>
      <c r="J4864" s="15"/>
      <c r="K4864" s="15"/>
      <c r="L4864" s="15"/>
      <c r="M4864" s="15"/>
      <c r="N4864" s="15"/>
      <c r="O4864" s="15"/>
      <c r="P4864" s="15"/>
      <c r="Q4864" s="15"/>
      <c r="R4864" s="15"/>
      <c r="S4864" s="15"/>
      <c r="T4864" s="15"/>
      <c r="U4864" s="15"/>
      <c r="V4864" s="15"/>
      <c r="W4864" s="15"/>
      <c r="X4864" s="15"/>
      <c r="Y4864" s="15"/>
      <c r="Z4864" s="15"/>
      <c r="AA4864" s="15"/>
      <c r="AB4864" s="15"/>
      <c r="AC4864" s="15"/>
      <c r="AD4864" s="15"/>
      <c r="AE4864" s="15"/>
      <c r="AF4864" s="15"/>
      <c r="AG4864" s="15"/>
    </row>
    <row r="4865" spans="1:33" s="16" customFormat="1" ht="28.5" x14ac:dyDescent="0.25">
      <c r="A4865" s="18"/>
      <c r="B4865" s="7" t="s">
        <v>249</v>
      </c>
      <c r="C4865" s="8" t="s">
        <v>1102</v>
      </c>
      <c r="D4865" s="40" t="s">
        <v>1120</v>
      </c>
      <c r="E4865" s="19" t="s">
        <v>0</v>
      </c>
      <c r="F4865" s="7">
        <f>SUMIF($D$4868:$D$7135,$D$4865,$F$4868:$F$7135)</f>
        <v>10</v>
      </c>
      <c r="G4865" s="7">
        <f>SUMIF($D$4868:$D$7135,$D$4865,$G$4868:$G$7135)</f>
        <v>70</v>
      </c>
      <c r="H4865" s="10">
        <f>SUMIF($D$4868:$D$7135,$D$4865,$H$4868:$H$7135)</f>
        <v>370.83080000000001</v>
      </c>
      <c r="I4865" s="15"/>
      <c r="J4865" s="15"/>
      <c r="K4865" s="15"/>
      <c r="L4865" s="15"/>
      <c r="M4865" s="15"/>
      <c r="N4865" s="15"/>
      <c r="O4865" s="15"/>
      <c r="P4865" s="15"/>
      <c r="Q4865" s="15"/>
      <c r="R4865" s="15"/>
      <c r="S4865" s="15"/>
      <c r="T4865" s="15"/>
      <c r="U4865" s="15"/>
      <c r="V4865" s="15"/>
      <c r="W4865" s="15"/>
      <c r="X4865" s="15"/>
      <c r="Y4865" s="15"/>
      <c r="Z4865" s="15"/>
      <c r="AA4865" s="15"/>
      <c r="AB4865" s="15"/>
      <c r="AC4865" s="15"/>
      <c r="AD4865" s="15"/>
      <c r="AE4865" s="15"/>
      <c r="AF4865" s="15"/>
      <c r="AG4865" s="15"/>
    </row>
    <row r="4866" spans="1:33" s="26" customFormat="1" ht="16.5" customHeight="1" x14ac:dyDescent="0.25">
      <c r="A4866" s="18"/>
      <c r="B4866" s="7" t="s">
        <v>249</v>
      </c>
      <c r="C4866" s="8" t="s">
        <v>1102</v>
      </c>
      <c r="D4866" s="19">
        <v>2021</v>
      </c>
      <c r="E4866" s="19" t="s">
        <v>0</v>
      </c>
      <c r="F4866" s="7">
        <f>SUMIF($D$4868:$D$7135,$D$4866,$F$4868:$F$7135)</f>
        <v>577</v>
      </c>
      <c r="G4866" s="10">
        <f>SUMIF($D$4868:$D$7135,$D$4866,$G$4868:$G$7135)</f>
        <v>5358.6200000000008</v>
      </c>
      <c r="H4866" s="10">
        <f>SUMIF($D$4868:$D$7135,$D$4866,$H$4868:$H$7135)</f>
        <v>19929.585615000007</v>
      </c>
      <c r="I4866" s="15"/>
      <c r="J4866" s="15"/>
      <c r="K4866" s="15"/>
      <c r="L4866" s="15"/>
      <c r="M4866" s="15"/>
      <c r="N4866" s="15"/>
      <c r="O4866" s="15"/>
      <c r="P4866" s="15"/>
      <c r="Q4866" s="15"/>
      <c r="R4866" s="15"/>
      <c r="S4866" s="15"/>
      <c r="T4866" s="15"/>
      <c r="U4866" s="15"/>
      <c r="V4866" s="15"/>
      <c r="W4866" s="15"/>
      <c r="X4866" s="15"/>
      <c r="Y4866" s="15"/>
      <c r="Z4866" s="15"/>
      <c r="AA4866" s="15"/>
      <c r="AB4866" s="15"/>
      <c r="AC4866" s="15"/>
      <c r="AD4866" s="15"/>
      <c r="AE4866" s="15"/>
      <c r="AF4866" s="15"/>
      <c r="AG4866" s="15"/>
    </row>
    <row r="4867" spans="1:33" s="26" customFormat="1" ht="15.75" x14ac:dyDescent="0.25">
      <c r="A4867" s="18"/>
      <c r="B4867" s="7" t="s">
        <v>249</v>
      </c>
      <c r="C4867" s="8" t="s">
        <v>3929</v>
      </c>
      <c r="D4867" s="19">
        <v>2022</v>
      </c>
      <c r="E4867" s="19" t="s">
        <v>0</v>
      </c>
      <c r="F4867" s="7">
        <f>SUMIF($D$4868:$D$7135,$D$4867,$F$4868:$F$7135)</f>
        <v>2408</v>
      </c>
      <c r="G4867" s="10">
        <f>SUMIF($D$4868:$D$7135,$D$4867,$G$4868:$G$7135)</f>
        <v>21215.93</v>
      </c>
      <c r="H4867" s="10">
        <f>SUMIF($D$4868:$D$7135,$D$4867,$H$4868:$H$7135)</f>
        <v>42746.290243999996</v>
      </c>
      <c r="I4867" s="15"/>
      <c r="J4867" s="15"/>
      <c r="K4867" s="15"/>
      <c r="L4867" s="15"/>
      <c r="M4867" s="15"/>
      <c r="N4867" s="15"/>
      <c r="O4867" s="15"/>
      <c r="P4867" s="15"/>
      <c r="Q4867" s="15"/>
      <c r="R4867" s="15"/>
      <c r="S4867" s="15"/>
      <c r="T4867" s="15"/>
      <c r="U4867" s="15"/>
      <c r="V4867" s="15"/>
      <c r="W4867" s="15"/>
      <c r="X4867" s="15"/>
      <c r="Y4867" s="15"/>
      <c r="Z4867" s="15"/>
      <c r="AA4867" s="15"/>
      <c r="AB4867" s="15"/>
      <c r="AC4867" s="15"/>
      <c r="AD4867" s="15"/>
      <c r="AE4867" s="15"/>
      <c r="AF4867" s="15"/>
      <c r="AG4867" s="15"/>
    </row>
    <row r="4868" spans="1:33" s="15" customFormat="1" ht="16.5" hidden="1" customHeight="1" outlineLevel="1" x14ac:dyDescent="0.25">
      <c r="A4868" s="18">
        <v>2749</v>
      </c>
      <c r="B4868" s="4" t="s">
        <v>249</v>
      </c>
      <c r="C4868" s="38" t="s">
        <v>3247</v>
      </c>
      <c r="D4868" s="18">
        <v>2022</v>
      </c>
      <c r="E4868" s="18" t="s">
        <v>0</v>
      </c>
      <c r="F4868" s="4">
        <v>2</v>
      </c>
      <c r="G4868" s="42">
        <v>20</v>
      </c>
      <c r="H4868" s="42">
        <v>67.450999999999993</v>
      </c>
    </row>
    <row r="4869" spans="1:33" s="15" customFormat="1" ht="16.5" hidden="1" customHeight="1" outlineLevel="1" x14ac:dyDescent="0.25">
      <c r="A4869" s="18">
        <v>2750</v>
      </c>
      <c r="B4869" s="4" t="s">
        <v>249</v>
      </c>
      <c r="C4869" s="38" t="s">
        <v>3248</v>
      </c>
      <c r="D4869" s="18">
        <v>2022</v>
      </c>
      <c r="E4869" s="18" t="s">
        <v>0</v>
      </c>
      <c r="F4869" s="4">
        <v>1</v>
      </c>
      <c r="G4869" s="42">
        <v>10</v>
      </c>
      <c r="H4869" s="42">
        <f>0.044215*(1000)</f>
        <v>44.214999999999996</v>
      </c>
    </row>
    <row r="4870" spans="1:33" s="15" customFormat="1" ht="16.5" hidden="1" customHeight="1" outlineLevel="1" x14ac:dyDescent="0.25">
      <c r="A4870" s="18">
        <v>2776</v>
      </c>
      <c r="B4870" s="4" t="s">
        <v>249</v>
      </c>
      <c r="C4870" s="38" t="s">
        <v>3253</v>
      </c>
      <c r="D4870" s="18">
        <v>2022</v>
      </c>
      <c r="E4870" s="18" t="s">
        <v>0</v>
      </c>
      <c r="F4870" s="4">
        <v>1</v>
      </c>
      <c r="G4870" s="42">
        <v>10</v>
      </c>
      <c r="H4870" s="42">
        <f>0.059121*(1000)</f>
        <v>59.121000000000002</v>
      </c>
    </row>
    <row r="4871" spans="1:33" s="15" customFormat="1" ht="16.5" hidden="1" customHeight="1" outlineLevel="1" x14ac:dyDescent="0.25">
      <c r="A4871" s="18">
        <v>2777</v>
      </c>
      <c r="B4871" s="4" t="s">
        <v>249</v>
      </c>
      <c r="C4871" s="38" t="s">
        <v>3254</v>
      </c>
      <c r="D4871" s="18">
        <v>2022</v>
      </c>
      <c r="E4871" s="18" t="s">
        <v>0</v>
      </c>
      <c r="F4871" s="4">
        <v>1</v>
      </c>
      <c r="G4871" s="42">
        <v>10</v>
      </c>
      <c r="H4871" s="42">
        <f>0.030307*(1000)</f>
        <v>30.307000000000002</v>
      </c>
    </row>
    <row r="4872" spans="1:33" s="15" customFormat="1" ht="16.5" hidden="1" customHeight="1" outlineLevel="1" x14ac:dyDescent="0.25">
      <c r="A4872" s="18">
        <v>2783</v>
      </c>
      <c r="B4872" s="4" t="s">
        <v>249</v>
      </c>
      <c r="C4872" s="38" t="s">
        <v>3258</v>
      </c>
      <c r="D4872" s="18">
        <v>2022</v>
      </c>
      <c r="E4872" s="18" t="s">
        <v>0</v>
      </c>
      <c r="F4872" s="4">
        <v>1</v>
      </c>
      <c r="G4872" s="42">
        <v>10</v>
      </c>
      <c r="H4872" s="42">
        <f>0.053799*(1000)</f>
        <v>53.798999999999999</v>
      </c>
    </row>
    <row r="4873" spans="1:33" s="15" customFormat="1" ht="16.5" hidden="1" customHeight="1" outlineLevel="1" x14ac:dyDescent="0.25">
      <c r="A4873" s="18">
        <v>2797</v>
      </c>
      <c r="B4873" s="4" t="s">
        <v>249</v>
      </c>
      <c r="C4873" s="38" t="s">
        <v>3262</v>
      </c>
      <c r="D4873" s="18">
        <v>2022</v>
      </c>
      <c r="E4873" s="18" t="s">
        <v>0</v>
      </c>
      <c r="F4873" s="4">
        <v>1</v>
      </c>
      <c r="G4873" s="42">
        <v>10</v>
      </c>
      <c r="H4873" s="42">
        <f>0.041519*(1000)</f>
        <v>41.518999999999998</v>
      </c>
    </row>
    <row r="4874" spans="1:33" s="15" customFormat="1" ht="16.5" hidden="1" customHeight="1" outlineLevel="1" x14ac:dyDescent="0.25">
      <c r="A4874" s="18">
        <v>2798</v>
      </c>
      <c r="B4874" s="4" t="s">
        <v>249</v>
      </c>
      <c r="C4874" s="38" t="s">
        <v>3263</v>
      </c>
      <c r="D4874" s="18">
        <v>2022</v>
      </c>
      <c r="E4874" s="18" t="s">
        <v>0</v>
      </c>
      <c r="F4874" s="4">
        <v>3</v>
      </c>
      <c r="G4874" s="42">
        <v>68</v>
      </c>
      <c r="H4874" s="42">
        <f>0.088181*(1000)</f>
        <v>88.180999999999997</v>
      </c>
    </row>
    <row r="4875" spans="1:33" s="15" customFormat="1" ht="16.5" hidden="1" customHeight="1" outlineLevel="1" x14ac:dyDescent="0.25">
      <c r="A4875" s="18">
        <v>2799</v>
      </c>
      <c r="B4875" s="4" t="s">
        <v>249</v>
      </c>
      <c r="C4875" s="38" t="s">
        <v>3264</v>
      </c>
      <c r="D4875" s="18">
        <v>2022</v>
      </c>
      <c r="E4875" s="18" t="s">
        <v>0</v>
      </c>
      <c r="F4875" s="4">
        <v>1</v>
      </c>
      <c r="G4875" s="42">
        <v>10</v>
      </c>
      <c r="H4875" s="42">
        <f>0.0523*(1000)</f>
        <v>52.3</v>
      </c>
    </row>
    <row r="4876" spans="1:33" s="15" customFormat="1" ht="16.5" hidden="1" customHeight="1" outlineLevel="1" x14ac:dyDescent="0.25">
      <c r="A4876" s="18">
        <v>2852</v>
      </c>
      <c r="B4876" s="4" t="s">
        <v>249</v>
      </c>
      <c r="C4876" s="38" t="s">
        <v>3269</v>
      </c>
      <c r="D4876" s="18">
        <v>2022</v>
      </c>
      <c r="E4876" s="18" t="s">
        <v>0</v>
      </c>
      <c r="F4876" s="4">
        <v>1</v>
      </c>
      <c r="G4876" s="42">
        <v>10</v>
      </c>
      <c r="H4876" s="42">
        <f>0.055081*(1000)</f>
        <v>55.080999999999996</v>
      </c>
    </row>
    <row r="4877" spans="1:33" s="15" customFormat="1" ht="16.5" hidden="1" customHeight="1" outlineLevel="1" x14ac:dyDescent="0.25">
      <c r="A4877" s="18">
        <v>2996</v>
      </c>
      <c r="B4877" s="4" t="s">
        <v>249</v>
      </c>
      <c r="C4877" s="38" t="s">
        <v>3273</v>
      </c>
      <c r="D4877" s="18">
        <v>2022</v>
      </c>
      <c r="E4877" s="18" t="s">
        <v>0</v>
      </c>
      <c r="F4877" s="4">
        <v>1</v>
      </c>
      <c r="G4877" s="42">
        <v>6</v>
      </c>
      <c r="H4877" s="42">
        <f>0.110845*(1000)</f>
        <v>110.845</v>
      </c>
    </row>
    <row r="4878" spans="1:33" s="15" customFormat="1" ht="16.5" hidden="1" customHeight="1" outlineLevel="1" x14ac:dyDescent="0.25">
      <c r="A4878" s="18">
        <v>4132</v>
      </c>
      <c r="B4878" s="4" t="s">
        <v>249</v>
      </c>
      <c r="C4878" s="38" t="s">
        <v>4267</v>
      </c>
      <c r="D4878" s="18">
        <v>2022</v>
      </c>
      <c r="E4878" s="18" t="s">
        <v>0</v>
      </c>
      <c r="F4878" s="4">
        <v>1</v>
      </c>
      <c r="G4878" s="42">
        <v>8</v>
      </c>
      <c r="H4878" s="42">
        <f>0.0103337*(1000)</f>
        <v>10.3337</v>
      </c>
    </row>
    <row r="4879" spans="1:33" s="15" customFormat="1" ht="16.5" hidden="1" customHeight="1" outlineLevel="1" x14ac:dyDescent="0.25">
      <c r="A4879" s="18">
        <v>4133</v>
      </c>
      <c r="B4879" s="4" t="s">
        <v>249</v>
      </c>
      <c r="C4879" s="38" t="s">
        <v>4268</v>
      </c>
      <c r="D4879" s="18">
        <v>2022</v>
      </c>
      <c r="E4879" s="18" t="s">
        <v>0</v>
      </c>
      <c r="F4879" s="4">
        <v>1</v>
      </c>
      <c r="G4879" s="42">
        <v>8</v>
      </c>
      <c r="H4879" s="42">
        <f>0.01033373*(1000)</f>
        <v>10.333729999999999</v>
      </c>
    </row>
    <row r="4880" spans="1:33" s="15" customFormat="1" ht="16.5" hidden="1" customHeight="1" outlineLevel="1" x14ac:dyDescent="0.25">
      <c r="A4880" s="18">
        <v>4134</v>
      </c>
      <c r="B4880" s="4" t="s">
        <v>249</v>
      </c>
      <c r="C4880" s="38" t="s">
        <v>4269</v>
      </c>
      <c r="D4880" s="18">
        <v>2022</v>
      </c>
      <c r="E4880" s="18" t="s">
        <v>0</v>
      </c>
      <c r="F4880" s="4">
        <v>1</v>
      </c>
      <c r="G4880" s="42">
        <v>5</v>
      </c>
      <c r="H4880" s="42">
        <f>0.0103337*(1000)</f>
        <v>10.3337</v>
      </c>
    </row>
    <row r="4881" spans="1:8" s="15" customFormat="1" ht="16.5" hidden="1" customHeight="1" outlineLevel="1" x14ac:dyDescent="0.25">
      <c r="A4881" s="18">
        <v>4135</v>
      </c>
      <c r="B4881" s="4" t="s">
        <v>249</v>
      </c>
      <c r="C4881" s="38" t="s">
        <v>4270</v>
      </c>
      <c r="D4881" s="18">
        <v>2022</v>
      </c>
      <c r="E4881" s="18" t="s">
        <v>0</v>
      </c>
      <c r="F4881" s="4">
        <v>1</v>
      </c>
      <c r="G4881" s="42">
        <v>10</v>
      </c>
      <c r="H4881" s="42">
        <f>0.01033373*(1000)</f>
        <v>10.333729999999999</v>
      </c>
    </row>
    <row r="4882" spans="1:8" s="15" customFormat="1" ht="16.5" hidden="1" customHeight="1" outlineLevel="1" x14ac:dyDescent="0.25">
      <c r="A4882" s="18">
        <v>4136</v>
      </c>
      <c r="B4882" s="4" t="s">
        <v>249</v>
      </c>
      <c r="C4882" s="38" t="s">
        <v>4271</v>
      </c>
      <c r="D4882" s="18">
        <v>2022</v>
      </c>
      <c r="E4882" s="18" t="s">
        <v>0</v>
      </c>
      <c r="F4882" s="4">
        <v>1</v>
      </c>
      <c r="G4882" s="42">
        <v>8</v>
      </c>
      <c r="H4882" s="42">
        <f>0.01055048*(1000)</f>
        <v>10.550479999999999</v>
      </c>
    </row>
    <row r="4883" spans="1:8" s="15" customFormat="1" ht="16.5" hidden="1" customHeight="1" outlineLevel="1" x14ac:dyDescent="0.25">
      <c r="A4883" s="18">
        <v>4137</v>
      </c>
      <c r="B4883" s="4" t="s">
        <v>249</v>
      </c>
      <c r="C4883" s="38" t="s">
        <v>4272</v>
      </c>
      <c r="D4883" s="18">
        <v>2022</v>
      </c>
      <c r="E4883" s="18" t="s">
        <v>0</v>
      </c>
      <c r="F4883" s="4">
        <v>1</v>
      </c>
      <c r="G4883" s="42">
        <v>8</v>
      </c>
      <c r="H4883" s="42">
        <f>0.0104001*(1000)</f>
        <v>10.4001</v>
      </c>
    </row>
    <row r="4884" spans="1:8" s="15" customFormat="1" ht="16.5" hidden="1" customHeight="1" outlineLevel="1" x14ac:dyDescent="0.25">
      <c r="A4884" s="18">
        <v>4138</v>
      </c>
      <c r="B4884" s="4" t="s">
        <v>249</v>
      </c>
      <c r="C4884" s="38" t="s">
        <v>4273</v>
      </c>
      <c r="D4884" s="18">
        <v>2022</v>
      </c>
      <c r="E4884" s="18" t="s">
        <v>0</v>
      </c>
      <c r="F4884" s="4">
        <v>1</v>
      </c>
      <c r="G4884" s="42">
        <v>5</v>
      </c>
      <c r="H4884" s="42">
        <f>0.01030378*(1000)</f>
        <v>10.30378</v>
      </c>
    </row>
    <row r="4885" spans="1:8" s="15" customFormat="1" ht="16.5" hidden="1" customHeight="1" outlineLevel="1" x14ac:dyDescent="0.25">
      <c r="A4885" s="18">
        <v>4139</v>
      </c>
      <c r="B4885" s="4" t="s">
        <v>249</v>
      </c>
      <c r="C4885" s="38" t="s">
        <v>4274</v>
      </c>
      <c r="D4885" s="18">
        <v>2022</v>
      </c>
      <c r="E4885" s="18" t="s">
        <v>0</v>
      </c>
      <c r="F4885" s="4">
        <v>1</v>
      </c>
      <c r="G4885" s="42">
        <v>5</v>
      </c>
      <c r="H4885" s="42">
        <f>0.01052056*(1000)</f>
        <v>10.52056</v>
      </c>
    </row>
    <row r="4886" spans="1:8" s="15" customFormat="1" ht="16.5" hidden="1" customHeight="1" outlineLevel="1" x14ac:dyDescent="0.25">
      <c r="A4886" s="18">
        <v>4140</v>
      </c>
      <c r="B4886" s="4" t="s">
        <v>249</v>
      </c>
      <c r="C4886" s="38" t="s">
        <v>4275</v>
      </c>
      <c r="D4886" s="18">
        <v>2022</v>
      </c>
      <c r="E4886" s="18" t="s">
        <v>0</v>
      </c>
      <c r="F4886" s="4">
        <v>1</v>
      </c>
      <c r="G4886" s="42">
        <v>5</v>
      </c>
      <c r="H4886" s="42">
        <f>0.01030377*(1000)</f>
        <v>10.30377</v>
      </c>
    </row>
    <row r="4887" spans="1:8" s="15" customFormat="1" ht="16.5" hidden="1" customHeight="1" outlineLevel="1" x14ac:dyDescent="0.25">
      <c r="A4887" s="18">
        <v>4141</v>
      </c>
      <c r="B4887" s="4" t="s">
        <v>249</v>
      </c>
      <c r="C4887" s="38" t="s">
        <v>4276</v>
      </c>
      <c r="D4887" s="18">
        <v>2022</v>
      </c>
      <c r="E4887" s="18" t="s">
        <v>0</v>
      </c>
      <c r="F4887" s="4">
        <v>1</v>
      </c>
      <c r="G4887" s="42">
        <v>5</v>
      </c>
      <c r="H4887" s="42">
        <f>0.01052057*(1000)</f>
        <v>10.520569999999999</v>
      </c>
    </row>
    <row r="4888" spans="1:8" s="15" customFormat="1" ht="16.5" hidden="1" customHeight="1" outlineLevel="1" x14ac:dyDescent="0.25">
      <c r="A4888" s="18">
        <v>4142</v>
      </c>
      <c r="B4888" s="4" t="s">
        <v>249</v>
      </c>
      <c r="C4888" s="38" t="s">
        <v>4277</v>
      </c>
      <c r="D4888" s="18">
        <v>2022</v>
      </c>
      <c r="E4888" s="18" t="s">
        <v>0</v>
      </c>
      <c r="F4888" s="4">
        <v>1</v>
      </c>
      <c r="G4888" s="42">
        <v>8</v>
      </c>
      <c r="H4888" s="42">
        <f>0.01034629*(1000)</f>
        <v>10.34629</v>
      </c>
    </row>
    <row r="4889" spans="1:8" s="15" customFormat="1" ht="16.5" hidden="1" customHeight="1" outlineLevel="1" x14ac:dyDescent="0.25">
      <c r="A4889" s="18">
        <v>4143</v>
      </c>
      <c r="B4889" s="4" t="s">
        <v>249</v>
      </c>
      <c r="C4889" s="38" t="s">
        <v>4278</v>
      </c>
      <c r="D4889" s="18">
        <v>2022</v>
      </c>
      <c r="E4889" s="18" t="s">
        <v>0</v>
      </c>
      <c r="F4889" s="4">
        <v>1</v>
      </c>
      <c r="G4889" s="42">
        <v>8</v>
      </c>
      <c r="H4889" s="42">
        <f>0.01030377*(1000)</f>
        <v>10.30377</v>
      </c>
    </row>
    <row r="4890" spans="1:8" s="15" customFormat="1" ht="16.5" hidden="1" customHeight="1" outlineLevel="1" x14ac:dyDescent="0.25">
      <c r="A4890" s="18">
        <v>4144</v>
      </c>
      <c r="B4890" s="4" t="s">
        <v>249</v>
      </c>
      <c r="C4890" s="38" t="s">
        <v>4279</v>
      </c>
      <c r="D4890" s="18">
        <v>2022</v>
      </c>
      <c r="E4890" s="18" t="s">
        <v>0</v>
      </c>
      <c r="F4890" s="4">
        <v>1</v>
      </c>
      <c r="G4890" s="42">
        <v>8</v>
      </c>
      <c r="H4890" s="42">
        <f>0.01055045*(1000)</f>
        <v>10.55045</v>
      </c>
    </row>
    <row r="4891" spans="1:8" s="15" customFormat="1" ht="16.5" hidden="1" customHeight="1" outlineLevel="1" x14ac:dyDescent="0.25">
      <c r="A4891" s="18">
        <v>4145</v>
      </c>
      <c r="B4891" s="4" t="s">
        <v>249</v>
      </c>
      <c r="C4891" s="38" t="s">
        <v>4280</v>
      </c>
      <c r="D4891" s="18">
        <v>2022</v>
      </c>
      <c r="E4891" s="18" t="s">
        <v>0</v>
      </c>
      <c r="F4891" s="4">
        <v>1</v>
      </c>
      <c r="G4891" s="42">
        <v>8</v>
      </c>
      <c r="H4891" s="42">
        <f>0.01033373*(1000)</f>
        <v>10.333729999999999</v>
      </c>
    </row>
    <row r="4892" spans="1:8" s="15" customFormat="1" ht="16.5" hidden="1" customHeight="1" outlineLevel="1" x14ac:dyDescent="0.25">
      <c r="A4892" s="18">
        <v>4146</v>
      </c>
      <c r="B4892" s="4" t="s">
        <v>249</v>
      </c>
      <c r="C4892" s="38" t="s">
        <v>4281</v>
      </c>
      <c r="D4892" s="18">
        <v>2022</v>
      </c>
      <c r="E4892" s="18" t="s">
        <v>0</v>
      </c>
      <c r="F4892" s="4">
        <v>1</v>
      </c>
      <c r="G4892" s="42">
        <v>10</v>
      </c>
      <c r="H4892" s="42">
        <f>0.0103337*(1000)</f>
        <v>10.3337</v>
      </c>
    </row>
    <row r="4893" spans="1:8" s="15" customFormat="1" ht="16.5" hidden="1" customHeight="1" outlineLevel="1" x14ac:dyDescent="0.25">
      <c r="A4893" s="18">
        <v>4147</v>
      </c>
      <c r="B4893" s="4" t="s">
        <v>249</v>
      </c>
      <c r="C4893" s="38" t="s">
        <v>4282</v>
      </c>
      <c r="D4893" s="18">
        <v>2022</v>
      </c>
      <c r="E4893" s="18" t="s">
        <v>0</v>
      </c>
      <c r="F4893" s="4">
        <v>1</v>
      </c>
      <c r="G4893" s="42">
        <v>8</v>
      </c>
      <c r="H4893" s="42">
        <f>0.01059298*(1000)</f>
        <v>10.592980000000001</v>
      </c>
    </row>
    <row r="4894" spans="1:8" s="15" customFormat="1" ht="16.5" hidden="1" customHeight="1" outlineLevel="1" x14ac:dyDescent="0.25">
      <c r="A4894" s="18">
        <v>4148</v>
      </c>
      <c r="B4894" s="4" t="s">
        <v>249</v>
      </c>
      <c r="C4894" s="38" t="s">
        <v>4283</v>
      </c>
      <c r="D4894" s="18">
        <v>2022</v>
      </c>
      <c r="E4894" s="18" t="s">
        <v>0</v>
      </c>
      <c r="F4894" s="4">
        <v>1</v>
      </c>
      <c r="G4894" s="42">
        <v>10</v>
      </c>
      <c r="H4894" s="42">
        <f>0.0103762*(1000)</f>
        <v>10.376200000000001</v>
      </c>
    </row>
    <row r="4895" spans="1:8" s="15" customFormat="1" ht="16.5" hidden="1" customHeight="1" outlineLevel="1" x14ac:dyDescent="0.25">
      <c r="A4895" s="18">
        <v>4149</v>
      </c>
      <c r="B4895" s="4" t="s">
        <v>249</v>
      </c>
      <c r="C4895" s="38" t="s">
        <v>4284</v>
      </c>
      <c r="D4895" s="18">
        <v>2022</v>
      </c>
      <c r="E4895" s="18" t="s">
        <v>0</v>
      </c>
      <c r="F4895" s="4">
        <v>1</v>
      </c>
      <c r="G4895" s="42">
        <v>5</v>
      </c>
      <c r="H4895" s="42">
        <f>0.01033371*(1000)</f>
        <v>10.33371</v>
      </c>
    </row>
    <row r="4896" spans="1:8" s="15" customFormat="1" ht="16.5" hidden="1" customHeight="1" outlineLevel="1" x14ac:dyDescent="0.25">
      <c r="A4896" s="18">
        <v>4150</v>
      </c>
      <c r="B4896" s="4" t="s">
        <v>249</v>
      </c>
      <c r="C4896" s="38" t="s">
        <v>4285</v>
      </c>
      <c r="D4896" s="18">
        <v>2022</v>
      </c>
      <c r="E4896" s="18" t="s">
        <v>0</v>
      </c>
      <c r="F4896" s="4">
        <v>1</v>
      </c>
      <c r="G4896" s="42">
        <v>5</v>
      </c>
      <c r="H4896" s="42">
        <f>0.01059294*(1000)</f>
        <v>10.59294</v>
      </c>
    </row>
    <row r="4897" spans="1:8" s="15" customFormat="1" ht="16.5" hidden="1" customHeight="1" outlineLevel="1" x14ac:dyDescent="0.25">
      <c r="A4897" s="18">
        <v>4151</v>
      </c>
      <c r="B4897" s="4" t="s">
        <v>249</v>
      </c>
      <c r="C4897" s="38" t="s">
        <v>4286</v>
      </c>
      <c r="D4897" s="18">
        <v>2022</v>
      </c>
      <c r="E4897" s="18" t="s">
        <v>0</v>
      </c>
      <c r="F4897" s="4">
        <v>1</v>
      </c>
      <c r="G4897" s="42">
        <v>5</v>
      </c>
      <c r="H4897" s="42">
        <f>0.01055047*(1000)</f>
        <v>10.550469999999999</v>
      </c>
    </row>
    <row r="4898" spans="1:8" s="15" customFormat="1" ht="16.5" hidden="1" customHeight="1" outlineLevel="1" x14ac:dyDescent="0.25">
      <c r="A4898" s="18">
        <v>4152</v>
      </c>
      <c r="B4898" s="4" t="s">
        <v>249</v>
      </c>
      <c r="C4898" s="38" t="s">
        <v>4287</v>
      </c>
      <c r="D4898" s="18">
        <v>2022</v>
      </c>
      <c r="E4898" s="18" t="s">
        <v>0</v>
      </c>
      <c r="F4898" s="4">
        <v>1</v>
      </c>
      <c r="G4898" s="42">
        <v>8</v>
      </c>
      <c r="H4898" s="42">
        <f>0.01037621*(1000)</f>
        <v>10.37621</v>
      </c>
    </row>
    <row r="4899" spans="1:8" s="15" customFormat="1" ht="16.5" hidden="1" customHeight="1" outlineLevel="1" x14ac:dyDescent="0.25">
      <c r="A4899" s="18">
        <v>4153</v>
      </c>
      <c r="B4899" s="4" t="s">
        <v>249</v>
      </c>
      <c r="C4899" s="38" t="s">
        <v>4288</v>
      </c>
      <c r="D4899" s="18">
        <v>2022</v>
      </c>
      <c r="E4899" s="18" t="s">
        <v>0</v>
      </c>
      <c r="F4899" s="4">
        <v>1</v>
      </c>
      <c r="G4899" s="42">
        <v>8</v>
      </c>
      <c r="H4899" s="42">
        <f>0.01033372*(1000)</f>
        <v>10.33372</v>
      </c>
    </row>
    <row r="4900" spans="1:8" s="15" customFormat="1" ht="16.5" hidden="1" customHeight="1" outlineLevel="1" x14ac:dyDescent="0.25">
      <c r="A4900" s="18">
        <v>4154</v>
      </c>
      <c r="B4900" s="4" t="s">
        <v>249</v>
      </c>
      <c r="C4900" s="38" t="s">
        <v>4289</v>
      </c>
      <c r="D4900" s="18">
        <v>2022</v>
      </c>
      <c r="E4900" s="18" t="s">
        <v>0</v>
      </c>
      <c r="F4900" s="4">
        <v>1</v>
      </c>
      <c r="G4900" s="42">
        <v>10</v>
      </c>
      <c r="H4900" s="42">
        <f>0.01033372*(1000)</f>
        <v>10.33372</v>
      </c>
    </row>
    <row r="4901" spans="1:8" s="15" customFormat="1" ht="16.5" hidden="1" customHeight="1" outlineLevel="1" x14ac:dyDescent="0.25">
      <c r="A4901" s="18">
        <v>4155</v>
      </c>
      <c r="B4901" s="4" t="s">
        <v>249</v>
      </c>
      <c r="C4901" s="38" t="s">
        <v>4290</v>
      </c>
      <c r="D4901" s="18">
        <v>2022</v>
      </c>
      <c r="E4901" s="18" t="s">
        <v>0</v>
      </c>
      <c r="F4901" s="4">
        <v>1</v>
      </c>
      <c r="G4901" s="42">
        <v>8</v>
      </c>
      <c r="H4901" s="42">
        <f>0.01037621*(1000)</f>
        <v>10.37621</v>
      </c>
    </row>
    <row r="4902" spans="1:8" s="15" customFormat="1" ht="16.5" hidden="1" customHeight="1" outlineLevel="1" x14ac:dyDescent="0.25">
      <c r="A4902" s="18">
        <v>4156</v>
      </c>
      <c r="B4902" s="4" t="s">
        <v>249</v>
      </c>
      <c r="C4902" s="38" t="s">
        <v>4291</v>
      </c>
      <c r="D4902" s="18">
        <v>2022</v>
      </c>
      <c r="E4902" s="18" t="s">
        <v>0</v>
      </c>
      <c r="F4902" s="4">
        <v>1</v>
      </c>
      <c r="G4902" s="42">
        <v>8</v>
      </c>
      <c r="H4902" s="42">
        <f>0.01033372*(1000)</f>
        <v>10.33372</v>
      </c>
    </row>
    <row r="4903" spans="1:8" s="15" customFormat="1" ht="16.5" hidden="1" customHeight="1" outlineLevel="1" x14ac:dyDescent="0.25">
      <c r="A4903" s="18">
        <v>4157</v>
      </c>
      <c r="B4903" s="4" t="s">
        <v>249</v>
      </c>
      <c r="C4903" s="38" t="s">
        <v>4292</v>
      </c>
      <c r="D4903" s="18">
        <v>2022</v>
      </c>
      <c r="E4903" s="18" t="s">
        <v>0</v>
      </c>
      <c r="F4903" s="4">
        <v>1</v>
      </c>
      <c r="G4903" s="42">
        <v>5</v>
      </c>
      <c r="H4903" s="42">
        <f>0.01059297*(1000)</f>
        <v>10.592969999999999</v>
      </c>
    </row>
    <row r="4904" spans="1:8" s="15" customFormat="1" ht="16.5" hidden="1" customHeight="1" outlineLevel="1" x14ac:dyDescent="0.25">
      <c r="A4904" s="18">
        <v>4158</v>
      </c>
      <c r="B4904" s="4" t="s">
        <v>249</v>
      </c>
      <c r="C4904" s="38" t="s">
        <v>4293</v>
      </c>
      <c r="D4904" s="18">
        <v>2022</v>
      </c>
      <c r="E4904" s="18" t="s">
        <v>0</v>
      </c>
      <c r="F4904" s="4">
        <v>1</v>
      </c>
      <c r="G4904" s="42">
        <v>10</v>
      </c>
      <c r="H4904" s="42">
        <f>0.01049996*(1000)</f>
        <v>10.49996</v>
      </c>
    </row>
    <row r="4905" spans="1:8" s="15" customFormat="1" ht="16.5" hidden="1" customHeight="1" outlineLevel="1" x14ac:dyDescent="0.25">
      <c r="A4905" s="18">
        <v>4159</v>
      </c>
      <c r="B4905" s="4" t="s">
        <v>249</v>
      </c>
      <c r="C4905" s="38" t="s">
        <v>4294</v>
      </c>
      <c r="D4905" s="18">
        <v>2022</v>
      </c>
      <c r="E4905" s="18" t="s">
        <v>0</v>
      </c>
      <c r="F4905" s="4">
        <v>1</v>
      </c>
      <c r="G4905" s="42">
        <v>10</v>
      </c>
      <c r="H4905" s="42">
        <f>0.0102832*(1000)</f>
        <v>10.283199999999999</v>
      </c>
    </row>
    <row r="4906" spans="1:8" s="15" customFormat="1" ht="16.5" hidden="1" customHeight="1" outlineLevel="1" x14ac:dyDescent="0.25">
      <c r="A4906" s="18">
        <v>4160</v>
      </c>
      <c r="B4906" s="4" t="s">
        <v>249</v>
      </c>
      <c r="C4906" s="38" t="s">
        <v>4295</v>
      </c>
      <c r="D4906" s="18">
        <v>2022</v>
      </c>
      <c r="E4906" s="18" t="s">
        <v>0</v>
      </c>
      <c r="F4906" s="4">
        <v>1</v>
      </c>
      <c r="G4906" s="42">
        <v>8</v>
      </c>
      <c r="H4906" s="42">
        <f>0.0102832*(1000)</f>
        <v>10.283199999999999</v>
      </c>
    </row>
    <row r="4907" spans="1:8" s="15" customFormat="1" ht="16.5" hidden="1" customHeight="1" outlineLevel="1" x14ac:dyDescent="0.25">
      <c r="A4907" s="18">
        <v>4161</v>
      </c>
      <c r="B4907" s="4" t="s">
        <v>249</v>
      </c>
      <c r="C4907" s="38" t="s">
        <v>4296</v>
      </c>
      <c r="D4907" s="18">
        <v>2022</v>
      </c>
      <c r="E4907" s="18" t="s">
        <v>0</v>
      </c>
      <c r="F4907" s="4">
        <v>1</v>
      </c>
      <c r="G4907" s="42">
        <v>8</v>
      </c>
      <c r="H4907" s="42">
        <f>0.0102832*(1000)</f>
        <v>10.283199999999999</v>
      </c>
    </row>
    <row r="4908" spans="1:8" s="15" customFormat="1" ht="16.5" hidden="1" customHeight="1" outlineLevel="1" x14ac:dyDescent="0.25">
      <c r="A4908" s="18">
        <v>4162</v>
      </c>
      <c r="B4908" s="4" t="s">
        <v>249</v>
      </c>
      <c r="C4908" s="38" t="s">
        <v>4297</v>
      </c>
      <c r="D4908" s="18">
        <v>2022</v>
      </c>
      <c r="E4908" s="18" t="s">
        <v>0</v>
      </c>
      <c r="F4908" s="4">
        <v>1</v>
      </c>
      <c r="G4908" s="42">
        <v>8</v>
      </c>
      <c r="H4908" s="42">
        <f>0.01032569*(1000)</f>
        <v>10.32569</v>
      </c>
    </row>
    <row r="4909" spans="1:8" s="15" customFormat="1" ht="16.5" hidden="1" customHeight="1" outlineLevel="1" x14ac:dyDescent="0.25">
      <c r="A4909" s="18">
        <v>4163</v>
      </c>
      <c r="B4909" s="4" t="s">
        <v>249</v>
      </c>
      <c r="C4909" s="38" t="s">
        <v>4298</v>
      </c>
      <c r="D4909" s="18">
        <v>2022</v>
      </c>
      <c r="E4909" s="18" t="s">
        <v>0</v>
      </c>
      <c r="F4909" s="4">
        <v>1</v>
      </c>
      <c r="G4909" s="42">
        <v>5</v>
      </c>
      <c r="H4909" s="42">
        <f>0.0102832*(1000)</f>
        <v>10.283199999999999</v>
      </c>
    </row>
    <row r="4910" spans="1:8" s="15" customFormat="1" ht="16.5" hidden="1" customHeight="1" outlineLevel="1" x14ac:dyDescent="0.25">
      <c r="A4910" s="18">
        <v>4164</v>
      </c>
      <c r="B4910" s="4" t="s">
        <v>249</v>
      </c>
      <c r="C4910" s="38" t="s">
        <v>4299</v>
      </c>
      <c r="D4910" s="18">
        <v>2022</v>
      </c>
      <c r="E4910" s="18" t="s">
        <v>0</v>
      </c>
      <c r="F4910" s="4">
        <v>1</v>
      </c>
      <c r="G4910" s="42">
        <v>5</v>
      </c>
      <c r="H4910" s="42">
        <f>0.01049996*(1000)</f>
        <v>10.49996</v>
      </c>
    </row>
    <row r="4911" spans="1:8" s="15" customFormat="1" ht="16.5" hidden="1" customHeight="1" outlineLevel="1" x14ac:dyDescent="0.25">
      <c r="A4911" s="18">
        <v>4165</v>
      </c>
      <c r="B4911" s="4" t="s">
        <v>249</v>
      </c>
      <c r="C4911" s="38" t="s">
        <v>4300</v>
      </c>
      <c r="D4911" s="18">
        <v>2022</v>
      </c>
      <c r="E4911" s="18" t="s">
        <v>0</v>
      </c>
      <c r="F4911" s="4">
        <v>1</v>
      </c>
      <c r="G4911" s="42">
        <v>8</v>
      </c>
      <c r="H4911" s="42">
        <f>0.01054245*(1000)</f>
        <v>10.542450000000001</v>
      </c>
    </row>
    <row r="4912" spans="1:8" s="15" customFormat="1" ht="16.5" hidden="1" customHeight="1" outlineLevel="1" x14ac:dyDescent="0.25">
      <c r="A4912" s="18">
        <v>4166</v>
      </c>
      <c r="B4912" s="4" t="s">
        <v>249</v>
      </c>
      <c r="C4912" s="38" t="s">
        <v>4301</v>
      </c>
      <c r="D4912" s="18">
        <v>2022</v>
      </c>
      <c r="E4912" s="18" t="s">
        <v>0</v>
      </c>
      <c r="F4912" s="4">
        <v>1</v>
      </c>
      <c r="G4912" s="42">
        <v>8</v>
      </c>
      <c r="H4912" s="42">
        <f>0.0102832*(1000)</f>
        <v>10.283199999999999</v>
      </c>
    </row>
    <row r="4913" spans="1:8" s="15" customFormat="1" ht="16.5" hidden="1" customHeight="1" outlineLevel="1" x14ac:dyDescent="0.25">
      <c r="A4913" s="18">
        <v>4167</v>
      </c>
      <c r="B4913" s="4" t="s">
        <v>249</v>
      </c>
      <c r="C4913" s="38" t="s">
        <v>4302</v>
      </c>
      <c r="D4913" s="18">
        <v>2022</v>
      </c>
      <c r="E4913" s="18" t="s">
        <v>0</v>
      </c>
      <c r="F4913" s="4">
        <v>1</v>
      </c>
      <c r="G4913" s="42">
        <v>5</v>
      </c>
      <c r="H4913" s="42">
        <f>0.01032569*(1000)</f>
        <v>10.32569</v>
      </c>
    </row>
    <row r="4914" spans="1:8" s="15" customFormat="1" ht="16.5" hidden="1" customHeight="1" outlineLevel="1" x14ac:dyDescent="0.25">
      <c r="A4914" s="18">
        <v>4168</v>
      </c>
      <c r="B4914" s="4" t="s">
        <v>249</v>
      </c>
      <c r="C4914" s="38" t="s">
        <v>4303</v>
      </c>
      <c r="D4914" s="18">
        <v>2022</v>
      </c>
      <c r="E4914" s="18" t="s">
        <v>0</v>
      </c>
      <c r="F4914" s="4">
        <v>1</v>
      </c>
      <c r="G4914" s="42">
        <v>8</v>
      </c>
      <c r="H4914" s="42">
        <f>0.0102832*(1000)</f>
        <v>10.283199999999999</v>
      </c>
    </row>
    <row r="4915" spans="1:8" s="15" customFormat="1" ht="16.5" hidden="1" customHeight="1" outlineLevel="1" x14ac:dyDescent="0.25">
      <c r="A4915" s="18">
        <v>4169</v>
      </c>
      <c r="B4915" s="4" t="s">
        <v>249</v>
      </c>
      <c r="C4915" s="38" t="s">
        <v>4304</v>
      </c>
      <c r="D4915" s="18">
        <v>2022</v>
      </c>
      <c r="E4915" s="18" t="s">
        <v>0</v>
      </c>
      <c r="F4915" s="4">
        <v>1</v>
      </c>
      <c r="G4915" s="42">
        <v>8</v>
      </c>
      <c r="H4915" s="42">
        <f>0.0102832*(1000)</f>
        <v>10.283199999999999</v>
      </c>
    </row>
    <row r="4916" spans="1:8" s="15" customFormat="1" ht="16.5" hidden="1" customHeight="1" outlineLevel="1" x14ac:dyDescent="0.25">
      <c r="A4916" s="18">
        <v>4170</v>
      </c>
      <c r="B4916" s="4" t="s">
        <v>249</v>
      </c>
      <c r="C4916" s="38" t="s">
        <v>4305</v>
      </c>
      <c r="D4916" s="18">
        <v>2022</v>
      </c>
      <c r="E4916" s="18" t="s">
        <v>0</v>
      </c>
      <c r="F4916" s="4">
        <v>1</v>
      </c>
      <c r="G4916" s="42">
        <v>8</v>
      </c>
      <c r="H4916" s="42">
        <f>0.0102832*(1000)</f>
        <v>10.283199999999999</v>
      </c>
    </row>
    <row r="4917" spans="1:8" s="15" customFormat="1" ht="16.5" hidden="1" customHeight="1" outlineLevel="1" x14ac:dyDescent="0.25">
      <c r="A4917" s="18">
        <v>4171</v>
      </c>
      <c r="B4917" s="4" t="s">
        <v>249</v>
      </c>
      <c r="C4917" s="38" t="s">
        <v>4306</v>
      </c>
      <c r="D4917" s="18">
        <v>2022</v>
      </c>
      <c r="E4917" s="18" t="s">
        <v>0</v>
      </c>
      <c r="F4917" s="4">
        <v>1</v>
      </c>
      <c r="G4917" s="42">
        <v>5</v>
      </c>
      <c r="H4917" s="42">
        <f>0.01041729*(1000)</f>
        <v>10.417289999999999</v>
      </c>
    </row>
    <row r="4918" spans="1:8" s="15" customFormat="1" ht="16.5" hidden="1" customHeight="1" outlineLevel="1" x14ac:dyDescent="0.25">
      <c r="A4918" s="18">
        <v>4172</v>
      </c>
      <c r="B4918" s="4" t="s">
        <v>249</v>
      </c>
      <c r="C4918" s="38" t="s">
        <v>4307</v>
      </c>
      <c r="D4918" s="18">
        <v>2022</v>
      </c>
      <c r="E4918" s="18" t="s">
        <v>0</v>
      </c>
      <c r="F4918" s="4">
        <v>1</v>
      </c>
      <c r="G4918" s="42">
        <v>5</v>
      </c>
      <c r="H4918" s="42">
        <f>0.01041729*(1000)</f>
        <v>10.417289999999999</v>
      </c>
    </row>
    <row r="4919" spans="1:8" s="15" customFormat="1" ht="16.5" hidden="1" customHeight="1" outlineLevel="1" x14ac:dyDescent="0.25">
      <c r="A4919" s="18">
        <v>4173</v>
      </c>
      <c r="B4919" s="4" t="s">
        <v>249</v>
      </c>
      <c r="C4919" s="38" t="s">
        <v>4308</v>
      </c>
      <c r="D4919" s="18">
        <v>2022</v>
      </c>
      <c r="E4919" s="18" t="s">
        <v>0</v>
      </c>
      <c r="F4919" s="4">
        <v>1</v>
      </c>
      <c r="G4919" s="42">
        <v>8</v>
      </c>
      <c r="H4919" s="42">
        <f>0.01020055*(1000)</f>
        <v>10.20055</v>
      </c>
    </row>
    <row r="4920" spans="1:8" s="15" customFormat="1" ht="16.5" hidden="1" customHeight="1" outlineLevel="1" x14ac:dyDescent="0.25">
      <c r="A4920" s="18">
        <v>4174</v>
      </c>
      <c r="B4920" s="4" t="s">
        <v>249</v>
      </c>
      <c r="C4920" s="38" t="s">
        <v>4309</v>
      </c>
      <c r="D4920" s="18">
        <v>2022</v>
      </c>
      <c r="E4920" s="18" t="s">
        <v>0</v>
      </c>
      <c r="F4920" s="4">
        <v>1</v>
      </c>
      <c r="G4920" s="42">
        <v>8</v>
      </c>
      <c r="H4920" s="42">
        <f>0.01020055*(1000)</f>
        <v>10.20055</v>
      </c>
    </row>
    <row r="4921" spans="1:8" s="15" customFormat="1" ht="16.5" hidden="1" customHeight="1" outlineLevel="1" x14ac:dyDescent="0.25">
      <c r="A4921" s="18">
        <v>4175</v>
      </c>
      <c r="B4921" s="4" t="s">
        <v>249</v>
      </c>
      <c r="C4921" s="38" t="s">
        <v>4310</v>
      </c>
      <c r="D4921" s="18">
        <v>2022</v>
      </c>
      <c r="E4921" s="18" t="s">
        <v>0</v>
      </c>
      <c r="F4921" s="4">
        <v>1</v>
      </c>
      <c r="G4921" s="42">
        <v>10</v>
      </c>
      <c r="H4921" s="42">
        <f>0.01020055*(1000)</f>
        <v>10.20055</v>
      </c>
    </row>
    <row r="4922" spans="1:8" s="15" customFormat="1" ht="16.5" hidden="1" customHeight="1" outlineLevel="1" x14ac:dyDescent="0.25">
      <c r="A4922" s="18">
        <v>4176</v>
      </c>
      <c r="B4922" s="4" t="s">
        <v>249</v>
      </c>
      <c r="C4922" s="38" t="s">
        <v>4311</v>
      </c>
      <c r="D4922" s="18">
        <v>2022</v>
      </c>
      <c r="E4922" s="18" t="s">
        <v>0</v>
      </c>
      <c r="F4922" s="4">
        <v>1</v>
      </c>
      <c r="G4922" s="42">
        <v>8</v>
      </c>
      <c r="H4922" s="42">
        <f>0.01015807*(1000)</f>
        <v>10.15807</v>
      </c>
    </row>
    <row r="4923" spans="1:8" s="15" customFormat="1" ht="16.5" hidden="1" customHeight="1" outlineLevel="1" x14ac:dyDescent="0.25">
      <c r="A4923" s="18">
        <v>4177</v>
      </c>
      <c r="B4923" s="4" t="s">
        <v>249</v>
      </c>
      <c r="C4923" s="38" t="s">
        <v>4312</v>
      </c>
      <c r="D4923" s="18">
        <v>2022</v>
      </c>
      <c r="E4923" s="18" t="s">
        <v>0</v>
      </c>
      <c r="F4923" s="4">
        <v>1</v>
      </c>
      <c r="G4923" s="42">
        <v>8</v>
      </c>
      <c r="H4923" s="42">
        <f>0.01037484*(1000)</f>
        <v>10.374839999999999</v>
      </c>
    </row>
    <row r="4924" spans="1:8" s="15" customFormat="1" ht="16.5" hidden="1" customHeight="1" outlineLevel="1" x14ac:dyDescent="0.25">
      <c r="A4924" s="18">
        <v>4178</v>
      </c>
      <c r="B4924" s="4" t="s">
        <v>249</v>
      </c>
      <c r="C4924" s="38" t="s">
        <v>4313</v>
      </c>
      <c r="D4924" s="18">
        <v>2022</v>
      </c>
      <c r="E4924" s="18" t="s">
        <v>0</v>
      </c>
      <c r="F4924" s="4">
        <v>1</v>
      </c>
      <c r="G4924" s="42">
        <v>8</v>
      </c>
      <c r="H4924" s="42">
        <f>0.01037484*(1000)</f>
        <v>10.374839999999999</v>
      </c>
    </row>
    <row r="4925" spans="1:8" s="15" customFormat="1" ht="16.5" hidden="1" customHeight="1" outlineLevel="1" x14ac:dyDescent="0.25">
      <c r="A4925" s="18">
        <v>4179</v>
      </c>
      <c r="B4925" s="4" t="s">
        <v>249</v>
      </c>
      <c r="C4925" s="38" t="s">
        <v>4314</v>
      </c>
      <c r="D4925" s="18">
        <v>2022</v>
      </c>
      <c r="E4925" s="18" t="s">
        <v>0</v>
      </c>
      <c r="F4925" s="4">
        <v>1</v>
      </c>
      <c r="G4925" s="42">
        <v>8</v>
      </c>
      <c r="H4925" s="42">
        <f>0.01037484*(1000)</f>
        <v>10.374839999999999</v>
      </c>
    </row>
    <row r="4926" spans="1:8" s="15" customFormat="1" ht="16.5" hidden="1" customHeight="1" outlineLevel="1" x14ac:dyDescent="0.25">
      <c r="A4926" s="18">
        <v>4180</v>
      </c>
      <c r="B4926" s="4" t="s">
        <v>249</v>
      </c>
      <c r="C4926" s="38" t="s">
        <v>4315</v>
      </c>
      <c r="D4926" s="18">
        <v>2022</v>
      </c>
      <c r="E4926" s="18" t="s">
        <v>0</v>
      </c>
      <c r="F4926" s="4">
        <v>1</v>
      </c>
      <c r="G4926" s="42">
        <v>5</v>
      </c>
      <c r="H4926" s="42">
        <f>0.01020055*(1000)</f>
        <v>10.20055</v>
      </c>
    </row>
    <row r="4927" spans="1:8" s="15" customFormat="1" ht="16.5" hidden="1" customHeight="1" outlineLevel="1" x14ac:dyDescent="0.25">
      <c r="A4927" s="18">
        <v>4181</v>
      </c>
      <c r="B4927" s="4" t="s">
        <v>249</v>
      </c>
      <c r="C4927" s="38" t="s">
        <v>4316</v>
      </c>
      <c r="D4927" s="18">
        <v>2022</v>
      </c>
      <c r="E4927" s="18" t="s">
        <v>0</v>
      </c>
      <c r="F4927" s="4">
        <v>1</v>
      </c>
      <c r="G4927" s="42">
        <v>8</v>
      </c>
      <c r="H4927" s="42">
        <f>0.01015807*(1000)</f>
        <v>10.15807</v>
      </c>
    </row>
    <row r="4928" spans="1:8" s="15" customFormat="1" ht="16.5" hidden="1" customHeight="1" outlineLevel="1" x14ac:dyDescent="0.25">
      <c r="A4928" s="18">
        <v>4182</v>
      </c>
      <c r="B4928" s="4" t="s">
        <v>249</v>
      </c>
      <c r="C4928" s="38" t="s">
        <v>4317</v>
      </c>
      <c r="D4928" s="18">
        <v>2022</v>
      </c>
      <c r="E4928" s="18" t="s">
        <v>0</v>
      </c>
      <c r="F4928" s="4">
        <v>1</v>
      </c>
      <c r="G4928" s="42">
        <v>10</v>
      </c>
      <c r="H4928" s="42">
        <f>0.01015806*(1000)</f>
        <v>10.158060000000001</v>
      </c>
    </row>
    <row r="4929" spans="1:8" s="15" customFormat="1" ht="16.5" hidden="1" customHeight="1" outlineLevel="1" x14ac:dyDescent="0.25">
      <c r="A4929" s="18">
        <v>4183</v>
      </c>
      <c r="B4929" s="4" t="s">
        <v>249</v>
      </c>
      <c r="C4929" s="38" t="s">
        <v>4318</v>
      </c>
      <c r="D4929" s="18">
        <v>2022</v>
      </c>
      <c r="E4929" s="18" t="s">
        <v>0</v>
      </c>
      <c r="F4929" s="4">
        <v>1</v>
      </c>
      <c r="G4929" s="42">
        <v>5</v>
      </c>
      <c r="H4929" s="42">
        <f>0.01015807*(1000)</f>
        <v>10.15807</v>
      </c>
    </row>
    <row r="4930" spans="1:8" s="15" customFormat="1" ht="16.5" hidden="1" customHeight="1" outlineLevel="1" x14ac:dyDescent="0.25">
      <c r="A4930" s="18">
        <v>4184</v>
      </c>
      <c r="B4930" s="4" t="s">
        <v>249</v>
      </c>
      <c r="C4930" s="38" t="s">
        <v>4319</v>
      </c>
      <c r="D4930" s="18">
        <v>2022</v>
      </c>
      <c r="E4930" s="18" t="s">
        <v>0</v>
      </c>
      <c r="F4930" s="4">
        <v>1</v>
      </c>
      <c r="G4930" s="42">
        <v>8</v>
      </c>
      <c r="H4930" s="42">
        <f>0.01037483*(1000)</f>
        <v>10.374829999999999</v>
      </c>
    </row>
    <row r="4931" spans="1:8" s="15" customFormat="1" ht="16.5" hidden="1" customHeight="1" outlineLevel="1" x14ac:dyDescent="0.25">
      <c r="A4931" s="18">
        <v>4185</v>
      </c>
      <c r="B4931" s="4" t="s">
        <v>249</v>
      </c>
      <c r="C4931" s="38" t="s">
        <v>4320</v>
      </c>
      <c r="D4931" s="18">
        <v>2022</v>
      </c>
      <c r="E4931" s="18" t="s">
        <v>0</v>
      </c>
      <c r="F4931" s="4">
        <v>1</v>
      </c>
      <c r="G4931" s="42">
        <v>5</v>
      </c>
      <c r="H4931" s="42">
        <f>0.01037483*(1000)</f>
        <v>10.374829999999999</v>
      </c>
    </row>
    <row r="4932" spans="1:8" s="15" customFormat="1" ht="16.5" hidden="1" customHeight="1" outlineLevel="1" x14ac:dyDescent="0.25">
      <c r="A4932" s="18">
        <v>4186</v>
      </c>
      <c r="B4932" s="4" t="s">
        <v>249</v>
      </c>
      <c r="C4932" s="38" t="s">
        <v>4321</v>
      </c>
      <c r="D4932" s="18">
        <v>2022</v>
      </c>
      <c r="E4932" s="18" t="s">
        <v>0</v>
      </c>
      <c r="F4932" s="4">
        <v>1</v>
      </c>
      <c r="G4932" s="42">
        <v>8</v>
      </c>
      <c r="H4932" s="42">
        <f>0.01041729*(1000)</f>
        <v>10.417289999999999</v>
      </c>
    </row>
    <row r="4933" spans="1:8" s="15" customFormat="1" ht="16.5" hidden="1" customHeight="1" outlineLevel="1" x14ac:dyDescent="0.25">
      <c r="A4933" s="18">
        <v>4187</v>
      </c>
      <c r="B4933" s="4" t="s">
        <v>249</v>
      </c>
      <c r="C4933" s="38" t="s">
        <v>4322</v>
      </c>
      <c r="D4933" s="18">
        <v>2022</v>
      </c>
      <c r="E4933" s="18" t="s">
        <v>0</v>
      </c>
      <c r="F4933" s="4">
        <v>1</v>
      </c>
      <c r="G4933" s="42">
        <v>8</v>
      </c>
      <c r="H4933" s="42">
        <f>0.01037482*(1000)</f>
        <v>10.37482</v>
      </c>
    </row>
    <row r="4934" spans="1:8" s="15" customFormat="1" ht="16.5" hidden="1" customHeight="1" outlineLevel="1" x14ac:dyDescent="0.25">
      <c r="A4934" s="18">
        <v>4188</v>
      </c>
      <c r="B4934" s="4" t="s">
        <v>249</v>
      </c>
      <c r="C4934" s="38" t="s">
        <v>4323</v>
      </c>
      <c r="D4934" s="18">
        <v>2022</v>
      </c>
      <c r="E4934" s="18" t="s">
        <v>0</v>
      </c>
      <c r="F4934" s="4">
        <v>1</v>
      </c>
      <c r="G4934" s="42">
        <v>8</v>
      </c>
      <c r="H4934" s="42">
        <f>0.01015807*(1000)</f>
        <v>10.15807</v>
      </c>
    </row>
    <row r="4935" spans="1:8" s="15" customFormat="1" ht="16.5" hidden="1" customHeight="1" outlineLevel="1" x14ac:dyDescent="0.25">
      <c r="A4935" s="18">
        <v>4189</v>
      </c>
      <c r="B4935" s="4" t="s">
        <v>249</v>
      </c>
      <c r="C4935" s="38" t="s">
        <v>4324</v>
      </c>
      <c r="D4935" s="18">
        <v>2022</v>
      </c>
      <c r="E4935" s="18" t="s">
        <v>0</v>
      </c>
      <c r="F4935" s="4">
        <v>1</v>
      </c>
      <c r="G4935" s="42">
        <v>8</v>
      </c>
      <c r="H4935" s="42">
        <f>0.01015806*(1000)</f>
        <v>10.158060000000001</v>
      </c>
    </row>
    <row r="4936" spans="1:8" s="15" customFormat="1" ht="16.5" hidden="1" customHeight="1" outlineLevel="1" x14ac:dyDescent="0.25">
      <c r="A4936" s="18">
        <v>4190</v>
      </c>
      <c r="B4936" s="4" t="s">
        <v>249</v>
      </c>
      <c r="C4936" s="38" t="s">
        <v>4325</v>
      </c>
      <c r="D4936" s="18">
        <v>2022</v>
      </c>
      <c r="E4936" s="18" t="s">
        <v>0</v>
      </c>
      <c r="F4936" s="4">
        <v>1</v>
      </c>
      <c r="G4936" s="42">
        <v>8</v>
      </c>
      <c r="H4936" s="42">
        <f>0.01015807*(1000)</f>
        <v>10.15807</v>
      </c>
    </row>
    <row r="4937" spans="1:8" s="15" customFormat="1" ht="16.5" hidden="1" customHeight="1" outlineLevel="1" x14ac:dyDescent="0.25">
      <c r="A4937" s="18">
        <v>4191</v>
      </c>
      <c r="B4937" s="4" t="s">
        <v>249</v>
      </c>
      <c r="C4937" s="38" t="s">
        <v>4326</v>
      </c>
      <c r="D4937" s="18">
        <v>2022</v>
      </c>
      <c r="E4937" s="18" t="s">
        <v>0</v>
      </c>
      <c r="F4937" s="4">
        <v>1</v>
      </c>
      <c r="G4937" s="42">
        <v>10</v>
      </c>
      <c r="H4937" s="42">
        <f>0.01015681*(1000)</f>
        <v>10.15681</v>
      </c>
    </row>
    <row r="4938" spans="1:8" s="15" customFormat="1" ht="16.5" hidden="1" customHeight="1" outlineLevel="1" x14ac:dyDescent="0.25">
      <c r="A4938" s="18">
        <v>4194</v>
      </c>
      <c r="B4938" s="4" t="s">
        <v>249</v>
      </c>
      <c r="C4938" s="38" t="s">
        <v>4327</v>
      </c>
      <c r="D4938" s="18">
        <v>2022</v>
      </c>
      <c r="E4938" s="18" t="s">
        <v>0</v>
      </c>
      <c r="F4938" s="4">
        <v>1</v>
      </c>
      <c r="G4938" s="42">
        <v>6</v>
      </c>
      <c r="H4938" s="42">
        <f>0.01044494*(1000)</f>
        <v>10.444939999999999</v>
      </c>
    </row>
    <row r="4939" spans="1:8" s="15" customFormat="1" ht="16.5" hidden="1" customHeight="1" outlineLevel="1" x14ac:dyDescent="0.25">
      <c r="A4939" s="18">
        <v>4196</v>
      </c>
      <c r="B4939" s="4" t="s">
        <v>249</v>
      </c>
      <c r="C4939" s="38" t="s">
        <v>4328</v>
      </c>
      <c r="D4939" s="18">
        <v>2022</v>
      </c>
      <c r="E4939" s="18" t="s">
        <v>0</v>
      </c>
      <c r="F4939" s="4">
        <v>1</v>
      </c>
      <c r="G4939" s="42">
        <v>4</v>
      </c>
      <c r="H4939" s="42">
        <f>0.01075937*(1000)</f>
        <v>10.759370000000001</v>
      </c>
    </row>
    <row r="4940" spans="1:8" s="15" customFormat="1" ht="16.5" hidden="1" customHeight="1" outlineLevel="1" x14ac:dyDescent="0.25">
      <c r="A4940" s="18">
        <v>4197</v>
      </c>
      <c r="B4940" s="4" t="s">
        <v>249</v>
      </c>
      <c r="C4940" s="38" t="s">
        <v>4329</v>
      </c>
      <c r="D4940" s="18">
        <v>2022</v>
      </c>
      <c r="E4940" s="18" t="s">
        <v>0</v>
      </c>
      <c r="F4940" s="4">
        <v>1</v>
      </c>
      <c r="G4940" s="42">
        <v>4</v>
      </c>
      <c r="H4940" s="42">
        <f>0.01074478*(1000)</f>
        <v>10.74478</v>
      </c>
    </row>
    <row r="4941" spans="1:8" s="15" customFormat="1" ht="16.5" hidden="1" customHeight="1" outlineLevel="1" x14ac:dyDescent="0.25">
      <c r="A4941" s="18">
        <v>4198</v>
      </c>
      <c r="B4941" s="4" t="s">
        <v>249</v>
      </c>
      <c r="C4941" s="38" t="s">
        <v>4330</v>
      </c>
      <c r="D4941" s="18">
        <v>2022</v>
      </c>
      <c r="E4941" s="18" t="s">
        <v>0</v>
      </c>
      <c r="F4941" s="4">
        <v>1</v>
      </c>
      <c r="G4941" s="42">
        <v>4</v>
      </c>
      <c r="H4941" s="42">
        <f>0.01074478*(1000)</f>
        <v>10.74478</v>
      </c>
    </row>
    <row r="4942" spans="1:8" s="15" customFormat="1" ht="16.5" hidden="1" customHeight="1" outlineLevel="1" x14ac:dyDescent="0.25">
      <c r="A4942" s="18">
        <v>4199</v>
      </c>
      <c r="B4942" s="4" t="s">
        <v>249</v>
      </c>
      <c r="C4942" s="38" t="s">
        <v>4331</v>
      </c>
      <c r="D4942" s="18">
        <v>2022</v>
      </c>
      <c r="E4942" s="18" t="s">
        <v>0</v>
      </c>
      <c r="F4942" s="4">
        <v>1</v>
      </c>
      <c r="G4942" s="42">
        <v>10</v>
      </c>
      <c r="H4942" s="42">
        <f>0.01077362*(1000)</f>
        <v>10.773619999999999</v>
      </c>
    </row>
    <row r="4943" spans="1:8" s="15" customFormat="1" ht="16.5" hidden="1" customHeight="1" outlineLevel="1" x14ac:dyDescent="0.25">
      <c r="A4943" s="18">
        <v>4200</v>
      </c>
      <c r="B4943" s="4" t="s">
        <v>249</v>
      </c>
      <c r="C4943" s="38" t="s">
        <v>4332</v>
      </c>
      <c r="D4943" s="18">
        <v>2022</v>
      </c>
      <c r="E4943" s="18" t="s">
        <v>0</v>
      </c>
      <c r="F4943" s="4">
        <v>1</v>
      </c>
      <c r="G4943" s="42">
        <v>10</v>
      </c>
      <c r="H4943" s="42">
        <f>0.01096042*(1000)</f>
        <v>10.960420000000001</v>
      </c>
    </row>
    <row r="4944" spans="1:8" s="15" customFormat="1" ht="16.5" hidden="1" customHeight="1" outlineLevel="1" x14ac:dyDescent="0.25">
      <c r="A4944" s="18">
        <v>4206</v>
      </c>
      <c r="B4944" s="4" t="s">
        <v>249</v>
      </c>
      <c r="C4944" s="38" t="s">
        <v>4333</v>
      </c>
      <c r="D4944" s="18">
        <v>2022</v>
      </c>
      <c r="E4944" s="18" t="s">
        <v>0</v>
      </c>
      <c r="F4944" s="4">
        <v>1</v>
      </c>
      <c r="G4944" s="42">
        <v>15</v>
      </c>
      <c r="H4944" s="42">
        <f>0.01098971*(1000)</f>
        <v>10.989710000000001</v>
      </c>
    </row>
    <row r="4945" spans="1:8" s="15" customFormat="1" ht="16.5" hidden="1" customHeight="1" outlineLevel="1" x14ac:dyDescent="0.25">
      <c r="A4945" s="18">
        <v>4207</v>
      </c>
      <c r="B4945" s="4" t="s">
        <v>249</v>
      </c>
      <c r="C4945" s="38" t="s">
        <v>4334</v>
      </c>
      <c r="D4945" s="18">
        <v>2022</v>
      </c>
      <c r="E4945" s="18" t="s">
        <v>0</v>
      </c>
      <c r="F4945" s="4">
        <v>1</v>
      </c>
      <c r="G4945" s="42">
        <v>11</v>
      </c>
      <c r="H4945" s="42">
        <f>0.01138764*(1000)</f>
        <v>11.387639999999999</v>
      </c>
    </row>
    <row r="4946" spans="1:8" s="15" customFormat="1" ht="16.5" hidden="1" customHeight="1" outlineLevel="1" x14ac:dyDescent="0.25">
      <c r="A4946" s="18">
        <v>4209</v>
      </c>
      <c r="B4946" s="4" t="s">
        <v>249</v>
      </c>
      <c r="C4946" s="38" t="s">
        <v>4335</v>
      </c>
      <c r="D4946" s="18">
        <v>2022</v>
      </c>
      <c r="E4946" s="18" t="s">
        <v>0</v>
      </c>
      <c r="F4946" s="4">
        <v>1</v>
      </c>
      <c r="G4946" s="42">
        <v>12</v>
      </c>
      <c r="H4946" s="42">
        <f>0.01058868*(1000)</f>
        <v>10.58868</v>
      </c>
    </row>
    <row r="4947" spans="1:8" s="15" customFormat="1" ht="16.5" hidden="1" customHeight="1" outlineLevel="1" x14ac:dyDescent="0.25">
      <c r="A4947" s="18">
        <v>4210</v>
      </c>
      <c r="B4947" s="4" t="s">
        <v>249</v>
      </c>
      <c r="C4947" s="38" t="s">
        <v>4336</v>
      </c>
      <c r="D4947" s="18">
        <v>2022</v>
      </c>
      <c r="E4947" s="18" t="s">
        <v>0</v>
      </c>
      <c r="F4947" s="4">
        <v>1</v>
      </c>
      <c r="G4947" s="42">
        <v>5</v>
      </c>
      <c r="H4947" s="42">
        <f>0.01058661*(1000)</f>
        <v>10.58661</v>
      </c>
    </row>
    <row r="4948" spans="1:8" s="15" customFormat="1" ht="16.5" hidden="1" customHeight="1" outlineLevel="1" x14ac:dyDescent="0.25">
      <c r="A4948" s="18">
        <v>4211</v>
      </c>
      <c r="B4948" s="4" t="s">
        <v>249</v>
      </c>
      <c r="C4948" s="38" t="s">
        <v>4337</v>
      </c>
      <c r="D4948" s="18">
        <v>2022</v>
      </c>
      <c r="E4948" s="18" t="s">
        <v>0</v>
      </c>
      <c r="F4948" s="4">
        <v>1</v>
      </c>
      <c r="G4948" s="42">
        <v>10</v>
      </c>
      <c r="H4948" s="42">
        <f>0.01060505*(1000)</f>
        <v>10.60505</v>
      </c>
    </row>
    <row r="4949" spans="1:8" s="15" customFormat="1" ht="16.5" hidden="1" customHeight="1" outlineLevel="1" x14ac:dyDescent="0.25">
      <c r="A4949" s="18">
        <v>4213</v>
      </c>
      <c r="B4949" s="4" t="s">
        <v>249</v>
      </c>
      <c r="C4949" s="38" t="s">
        <v>4338</v>
      </c>
      <c r="D4949" s="18">
        <v>2022</v>
      </c>
      <c r="E4949" s="18" t="s">
        <v>0</v>
      </c>
      <c r="F4949" s="4">
        <v>1</v>
      </c>
      <c r="G4949" s="42">
        <v>2</v>
      </c>
      <c r="H4949" s="42">
        <f>0.0105866*(1000)</f>
        <v>10.586600000000001</v>
      </c>
    </row>
    <row r="4950" spans="1:8" s="15" customFormat="1" ht="16.5" hidden="1" customHeight="1" outlineLevel="1" x14ac:dyDescent="0.25">
      <c r="A4950" s="18">
        <v>4216</v>
      </c>
      <c r="B4950" s="4" t="s">
        <v>249</v>
      </c>
      <c r="C4950" s="38" t="s">
        <v>4339</v>
      </c>
      <c r="D4950" s="18">
        <v>2022</v>
      </c>
      <c r="E4950" s="18" t="s">
        <v>0</v>
      </c>
      <c r="F4950" s="4">
        <v>1</v>
      </c>
      <c r="G4950" s="42">
        <v>10</v>
      </c>
      <c r="H4950" s="42">
        <f>0.01047382*(1000)</f>
        <v>10.47382</v>
      </c>
    </row>
    <row r="4951" spans="1:8" s="15" customFormat="1" ht="16.5" hidden="1" customHeight="1" outlineLevel="1" x14ac:dyDescent="0.25">
      <c r="A4951" s="18">
        <v>4219</v>
      </c>
      <c r="B4951" s="4" t="s">
        <v>249</v>
      </c>
      <c r="C4951" s="38" t="s">
        <v>4340</v>
      </c>
      <c r="D4951" s="18">
        <v>2022</v>
      </c>
      <c r="E4951" s="18" t="s">
        <v>0</v>
      </c>
      <c r="F4951" s="4">
        <v>1</v>
      </c>
      <c r="G4951" s="42">
        <v>10</v>
      </c>
      <c r="H4951" s="42">
        <f>0.01867701*(1000)</f>
        <v>18.677009999999999</v>
      </c>
    </row>
    <row r="4952" spans="1:8" s="15" customFormat="1" ht="16.5" hidden="1" customHeight="1" outlineLevel="1" x14ac:dyDescent="0.25">
      <c r="A4952" s="18">
        <v>4221</v>
      </c>
      <c r="B4952" s="4" t="s">
        <v>249</v>
      </c>
      <c r="C4952" s="38" t="s">
        <v>4341</v>
      </c>
      <c r="D4952" s="18">
        <v>2022</v>
      </c>
      <c r="E4952" s="18" t="s">
        <v>0</v>
      </c>
      <c r="F4952" s="4">
        <v>1</v>
      </c>
      <c r="G4952" s="42">
        <v>5</v>
      </c>
      <c r="H4952" s="42">
        <f>0.01074478*(1000)</f>
        <v>10.74478</v>
      </c>
    </row>
    <row r="4953" spans="1:8" s="15" customFormat="1" ht="16.5" hidden="1" customHeight="1" outlineLevel="1" x14ac:dyDescent="0.25">
      <c r="A4953" s="18">
        <v>4118</v>
      </c>
      <c r="B4953" s="4" t="s">
        <v>249</v>
      </c>
      <c r="C4953" s="38" t="s">
        <v>3303</v>
      </c>
      <c r="D4953" s="18">
        <v>2022</v>
      </c>
      <c r="E4953" s="18" t="s">
        <v>0</v>
      </c>
      <c r="F4953" s="4">
        <v>1</v>
      </c>
      <c r="G4953" s="42">
        <v>15</v>
      </c>
      <c r="H4953" s="42">
        <f>0.12103409*(1000)</f>
        <v>121.03408999999999</v>
      </c>
    </row>
    <row r="4954" spans="1:8" s="15" customFormat="1" ht="16.5" hidden="1" customHeight="1" outlineLevel="1" x14ac:dyDescent="0.25">
      <c r="A4954" s="18">
        <v>4120</v>
      </c>
      <c r="B4954" s="4" t="s">
        <v>249</v>
      </c>
      <c r="C4954" s="38" t="s">
        <v>3305</v>
      </c>
      <c r="D4954" s="18">
        <v>2022</v>
      </c>
      <c r="E4954" s="18" t="s">
        <v>0</v>
      </c>
      <c r="F4954" s="4">
        <v>1</v>
      </c>
      <c r="G4954" s="42">
        <v>11</v>
      </c>
      <c r="H4954" s="42">
        <f>0.1561201*(1000)</f>
        <v>156.12010000000001</v>
      </c>
    </row>
    <row r="4955" spans="1:8" s="15" customFormat="1" ht="16.5" hidden="1" customHeight="1" outlineLevel="1" x14ac:dyDescent="0.25">
      <c r="A4955" s="18">
        <v>2765</v>
      </c>
      <c r="B4955" s="4" t="s">
        <v>249</v>
      </c>
      <c r="C4955" s="38" t="s">
        <v>3319</v>
      </c>
      <c r="D4955" s="18">
        <v>2022</v>
      </c>
      <c r="E4955" s="18" t="s">
        <v>0</v>
      </c>
      <c r="F4955" s="4">
        <v>1</v>
      </c>
      <c r="G4955" s="42">
        <v>25</v>
      </c>
      <c r="H4955" s="42">
        <f>0.03608165*(1000)</f>
        <v>36.081650000000003</v>
      </c>
    </row>
    <row r="4956" spans="1:8" s="15" customFormat="1" ht="16.5" hidden="1" customHeight="1" outlineLevel="1" x14ac:dyDescent="0.25">
      <c r="A4956" s="18">
        <v>2841</v>
      </c>
      <c r="B4956" s="4" t="s">
        <v>249</v>
      </c>
      <c r="C4956" s="38" t="s">
        <v>3323</v>
      </c>
      <c r="D4956" s="18">
        <v>2022</v>
      </c>
      <c r="E4956" s="18" t="s">
        <v>0</v>
      </c>
      <c r="F4956" s="4">
        <v>1</v>
      </c>
      <c r="G4956" s="42">
        <v>10</v>
      </c>
      <c r="H4956" s="42">
        <f>0.03662387*(1000)</f>
        <v>36.623870000000004</v>
      </c>
    </row>
    <row r="4957" spans="1:8" s="15" customFormat="1" ht="16.5" hidden="1" customHeight="1" outlineLevel="1" x14ac:dyDescent="0.25">
      <c r="A4957" s="18">
        <v>2848</v>
      </c>
      <c r="B4957" s="4" t="s">
        <v>249</v>
      </c>
      <c r="C4957" s="38" t="s">
        <v>3325</v>
      </c>
      <c r="D4957" s="18">
        <v>2022</v>
      </c>
      <c r="E4957" s="18" t="s">
        <v>0</v>
      </c>
      <c r="F4957" s="4">
        <v>1</v>
      </c>
      <c r="G4957" s="42">
        <v>11</v>
      </c>
      <c r="H4957" s="42">
        <f>0.03601925*(1000)</f>
        <v>36.01925</v>
      </c>
    </row>
    <row r="4958" spans="1:8" s="15" customFormat="1" ht="16.5" hidden="1" customHeight="1" outlineLevel="1" x14ac:dyDescent="0.25">
      <c r="A4958" s="18">
        <v>2860</v>
      </c>
      <c r="B4958" s="4" t="s">
        <v>249</v>
      </c>
      <c r="C4958" s="38" t="s">
        <v>3326</v>
      </c>
      <c r="D4958" s="18">
        <v>2022</v>
      </c>
      <c r="E4958" s="18" t="s">
        <v>0</v>
      </c>
      <c r="F4958" s="4">
        <v>1</v>
      </c>
      <c r="G4958" s="42">
        <v>6</v>
      </c>
      <c r="H4958" s="42">
        <f>0.03740404*(1000)</f>
        <v>37.404040000000002</v>
      </c>
    </row>
    <row r="4959" spans="1:8" s="15" customFormat="1" ht="16.5" hidden="1" customHeight="1" outlineLevel="1" x14ac:dyDescent="0.25">
      <c r="A4959" s="18">
        <v>2883</v>
      </c>
      <c r="B4959" s="4" t="s">
        <v>249</v>
      </c>
      <c r="C4959" s="38" t="s">
        <v>3331</v>
      </c>
      <c r="D4959" s="18">
        <v>2022</v>
      </c>
      <c r="E4959" s="18" t="s">
        <v>0</v>
      </c>
      <c r="F4959" s="4">
        <v>1</v>
      </c>
      <c r="G4959" s="42">
        <v>8</v>
      </c>
      <c r="H4959" s="42">
        <f>0.03694246*(1000)</f>
        <v>36.942460000000004</v>
      </c>
    </row>
    <row r="4960" spans="1:8" s="15" customFormat="1" ht="16.5" hidden="1" customHeight="1" outlineLevel="1" x14ac:dyDescent="0.25">
      <c r="A4960" s="18">
        <v>2884</v>
      </c>
      <c r="B4960" s="4" t="s">
        <v>249</v>
      </c>
      <c r="C4960" s="38" t="s">
        <v>3332</v>
      </c>
      <c r="D4960" s="18">
        <v>2022</v>
      </c>
      <c r="E4960" s="18" t="s">
        <v>0</v>
      </c>
      <c r="F4960" s="4">
        <v>3</v>
      </c>
      <c r="G4960" s="42">
        <v>24</v>
      </c>
      <c r="H4960" s="42">
        <f>0.0732512*(1000)</f>
        <v>73.251199999999997</v>
      </c>
    </row>
    <row r="4961" spans="1:8" s="15" customFormat="1" ht="16.5" hidden="1" customHeight="1" outlineLevel="1" x14ac:dyDescent="0.25">
      <c r="A4961" s="18">
        <v>2997</v>
      </c>
      <c r="B4961" s="4" t="s">
        <v>249</v>
      </c>
      <c r="C4961" s="38" t="s">
        <v>3339</v>
      </c>
      <c r="D4961" s="18">
        <v>2022</v>
      </c>
      <c r="E4961" s="18" t="s">
        <v>0</v>
      </c>
      <c r="F4961" s="4">
        <v>1</v>
      </c>
      <c r="G4961" s="42">
        <v>10</v>
      </c>
      <c r="H4961" s="42">
        <f>0.03934899*(1000)</f>
        <v>39.348990000000001</v>
      </c>
    </row>
    <row r="4962" spans="1:8" s="15" customFormat="1" ht="16.5" hidden="1" customHeight="1" outlineLevel="1" x14ac:dyDescent="0.25">
      <c r="A4962" s="18">
        <v>2999</v>
      </c>
      <c r="B4962" s="4" t="s">
        <v>249</v>
      </c>
      <c r="C4962" s="38" t="s">
        <v>3341</v>
      </c>
      <c r="D4962" s="18">
        <v>2022</v>
      </c>
      <c r="E4962" s="18" t="s">
        <v>0</v>
      </c>
      <c r="F4962" s="4">
        <v>1</v>
      </c>
      <c r="G4962" s="42">
        <v>10</v>
      </c>
      <c r="H4962" s="42">
        <f>0.03421827*(1000)</f>
        <v>34.218270000000004</v>
      </c>
    </row>
    <row r="4963" spans="1:8" s="15" customFormat="1" ht="16.5" hidden="1" customHeight="1" outlineLevel="1" x14ac:dyDescent="0.25">
      <c r="A4963" s="18">
        <v>4230</v>
      </c>
      <c r="B4963" s="4" t="s">
        <v>249</v>
      </c>
      <c r="C4963" s="38" t="s">
        <v>4342</v>
      </c>
      <c r="D4963" s="18">
        <v>2022</v>
      </c>
      <c r="E4963" s="18" t="s">
        <v>0</v>
      </c>
      <c r="F4963" s="4">
        <v>1</v>
      </c>
      <c r="G4963" s="42">
        <v>5</v>
      </c>
      <c r="H4963" s="42">
        <f>0.01130637*(1000)</f>
        <v>11.306369999999999</v>
      </c>
    </row>
    <row r="4964" spans="1:8" s="15" customFormat="1" ht="16.5" hidden="1" customHeight="1" outlineLevel="1" x14ac:dyDescent="0.25">
      <c r="A4964" s="18">
        <v>4237</v>
      </c>
      <c r="B4964" s="4" t="s">
        <v>249</v>
      </c>
      <c r="C4964" s="38" t="s">
        <v>4343</v>
      </c>
      <c r="D4964" s="18">
        <v>2022</v>
      </c>
      <c r="E4964" s="18" t="s">
        <v>0</v>
      </c>
      <c r="F4964" s="4">
        <v>1</v>
      </c>
      <c r="G4964" s="42">
        <v>7</v>
      </c>
      <c r="H4964" s="42">
        <f>0.0106004*(1000)</f>
        <v>10.600399999999999</v>
      </c>
    </row>
    <row r="4965" spans="1:8" s="15" customFormat="1" ht="16.5" hidden="1" customHeight="1" outlineLevel="1" x14ac:dyDescent="0.25">
      <c r="A4965" s="18">
        <v>4238</v>
      </c>
      <c r="B4965" s="4" t="s">
        <v>249</v>
      </c>
      <c r="C4965" s="38" t="s">
        <v>4344</v>
      </c>
      <c r="D4965" s="18">
        <v>2022</v>
      </c>
      <c r="E4965" s="18" t="s">
        <v>0</v>
      </c>
      <c r="F4965" s="4">
        <v>1</v>
      </c>
      <c r="G4965" s="42">
        <v>5</v>
      </c>
      <c r="H4965" s="42">
        <f>0.0106004*(1000)</f>
        <v>10.600399999999999</v>
      </c>
    </row>
    <row r="4966" spans="1:8" s="15" customFormat="1" ht="16.5" hidden="1" customHeight="1" outlineLevel="1" x14ac:dyDescent="0.25">
      <c r="A4966" s="18">
        <v>4245</v>
      </c>
      <c r="B4966" s="4" t="s">
        <v>249</v>
      </c>
      <c r="C4966" s="38" t="s">
        <v>4345</v>
      </c>
      <c r="D4966" s="18">
        <v>2022</v>
      </c>
      <c r="E4966" s="18" t="s">
        <v>0</v>
      </c>
      <c r="F4966" s="4">
        <v>1</v>
      </c>
      <c r="G4966" s="42">
        <v>10</v>
      </c>
      <c r="H4966" s="42">
        <f>0.00992597*(1000)</f>
        <v>9.9259699999999995</v>
      </c>
    </row>
    <row r="4967" spans="1:8" s="15" customFormat="1" ht="16.5" hidden="1" customHeight="1" outlineLevel="1" x14ac:dyDescent="0.25">
      <c r="A4967" s="18">
        <v>4246</v>
      </c>
      <c r="B4967" s="4" t="s">
        <v>249</v>
      </c>
      <c r="C4967" s="38" t="s">
        <v>4346</v>
      </c>
      <c r="D4967" s="18">
        <v>2022</v>
      </c>
      <c r="E4967" s="18" t="s">
        <v>0</v>
      </c>
      <c r="F4967" s="4">
        <v>1</v>
      </c>
      <c r="G4967" s="42">
        <v>10</v>
      </c>
      <c r="H4967" s="42">
        <f>0.01012313*(1000)</f>
        <v>10.12313</v>
      </c>
    </row>
    <row r="4968" spans="1:8" s="15" customFormat="1" ht="16.5" hidden="1" customHeight="1" outlineLevel="1" x14ac:dyDescent="0.25">
      <c r="A4968" s="18">
        <v>4247</v>
      </c>
      <c r="B4968" s="4" t="s">
        <v>249</v>
      </c>
      <c r="C4968" s="38" t="s">
        <v>4347</v>
      </c>
      <c r="D4968" s="18">
        <v>2022</v>
      </c>
      <c r="E4968" s="18" t="s">
        <v>0</v>
      </c>
      <c r="F4968" s="4">
        <v>1</v>
      </c>
      <c r="G4968" s="42">
        <v>10</v>
      </c>
      <c r="H4968" s="42">
        <f>0.01012313*(1000)</f>
        <v>10.12313</v>
      </c>
    </row>
    <row r="4969" spans="1:8" s="15" customFormat="1" ht="16.5" hidden="1" customHeight="1" outlineLevel="1" x14ac:dyDescent="0.25">
      <c r="A4969" s="18">
        <v>4248</v>
      </c>
      <c r="B4969" s="4" t="s">
        <v>249</v>
      </c>
      <c r="C4969" s="38" t="s">
        <v>4348</v>
      </c>
      <c r="D4969" s="18">
        <v>2022</v>
      </c>
      <c r="E4969" s="18" t="s">
        <v>0</v>
      </c>
      <c r="F4969" s="4">
        <v>1</v>
      </c>
      <c r="G4969" s="42">
        <v>10</v>
      </c>
      <c r="H4969" s="42">
        <f>0.01012313*(1000)</f>
        <v>10.12313</v>
      </c>
    </row>
    <row r="4970" spans="1:8" s="15" customFormat="1" ht="16.5" hidden="1" customHeight="1" outlineLevel="1" x14ac:dyDescent="0.25">
      <c r="A4970" s="18">
        <v>4249</v>
      </c>
      <c r="B4970" s="4" t="s">
        <v>249</v>
      </c>
      <c r="C4970" s="38" t="s">
        <v>4349</v>
      </c>
      <c r="D4970" s="18">
        <v>2022</v>
      </c>
      <c r="E4970" s="18" t="s">
        <v>0</v>
      </c>
      <c r="F4970" s="4">
        <v>1</v>
      </c>
      <c r="G4970" s="42">
        <v>10</v>
      </c>
      <c r="H4970" s="42">
        <f>0.00992595*(1000)</f>
        <v>9.9259499999999985</v>
      </c>
    </row>
    <row r="4971" spans="1:8" s="15" customFormat="1" ht="16.5" hidden="1" customHeight="1" outlineLevel="1" x14ac:dyDescent="0.25">
      <c r="A4971" s="18">
        <v>4250</v>
      </c>
      <c r="B4971" s="4" t="s">
        <v>249</v>
      </c>
      <c r="C4971" s="38" t="s">
        <v>4350</v>
      </c>
      <c r="D4971" s="18">
        <v>2022</v>
      </c>
      <c r="E4971" s="18" t="s">
        <v>0</v>
      </c>
      <c r="F4971" s="4">
        <v>1</v>
      </c>
      <c r="G4971" s="42">
        <v>10</v>
      </c>
      <c r="H4971" s="42">
        <f>0.01012314*(1000)</f>
        <v>10.123139999999999</v>
      </c>
    </row>
    <row r="4972" spans="1:8" s="15" customFormat="1" ht="16.5" hidden="1" customHeight="1" outlineLevel="1" x14ac:dyDescent="0.25">
      <c r="A4972" s="18">
        <v>4251</v>
      </c>
      <c r="B4972" s="4" t="s">
        <v>249</v>
      </c>
      <c r="C4972" s="38" t="s">
        <v>4351</v>
      </c>
      <c r="D4972" s="18">
        <v>2022</v>
      </c>
      <c r="E4972" s="18" t="s">
        <v>0</v>
      </c>
      <c r="F4972" s="4">
        <v>1</v>
      </c>
      <c r="G4972" s="42">
        <v>10</v>
      </c>
      <c r="H4972" s="42">
        <f>0.01012313*(1000)</f>
        <v>10.12313</v>
      </c>
    </row>
    <row r="4973" spans="1:8" s="15" customFormat="1" ht="16.5" hidden="1" customHeight="1" outlineLevel="1" x14ac:dyDescent="0.25">
      <c r="A4973" s="18">
        <v>4252</v>
      </c>
      <c r="B4973" s="4" t="s">
        <v>249</v>
      </c>
      <c r="C4973" s="38" t="s">
        <v>4352</v>
      </c>
      <c r="D4973" s="18">
        <v>2022</v>
      </c>
      <c r="E4973" s="18" t="s">
        <v>0</v>
      </c>
      <c r="F4973" s="4">
        <v>1</v>
      </c>
      <c r="G4973" s="42">
        <v>10</v>
      </c>
      <c r="H4973" s="42">
        <f>0.01012313*(1000)</f>
        <v>10.12313</v>
      </c>
    </row>
    <row r="4974" spans="1:8" s="15" customFormat="1" ht="16.5" hidden="1" customHeight="1" outlineLevel="1" x14ac:dyDescent="0.25">
      <c r="A4974" s="18">
        <v>4257</v>
      </c>
      <c r="B4974" s="4" t="s">
        <v>249</v>
      </c>
      <c r="C4974" s="38" t="s">
        <v>4353</v>
      </c>
      <c r="D4974" s="18">
        <v>2022</v>
      </c>
      <c r="E4974" s="18" t="s">
        <v>0</v>
      </c>
      <c r="F4974" s="4">
        <v>1</v>
      </c>
      <c r="G4974" s="42">
        <v>10</v>
      </c>
      <c r="H4974" s="42">
        <f>0.01012312*(1000)</f>
        <v>10.12312</v>
      </c>
    </row>
    <row r="4975" spans="1:8" s="15" customFormat="1" ht="16.5" hidden="1" customHeight="1" outlineLevel="1" x14ac:dyDescent="0.25">
      <c r="A4975" s="18">
        <v>4258</v>
      </c>
      <c r="B4975" s="4" t="s">
        <v>249</v>
      </c>
      <c r="C4975" s="38" t="s">
        <v>4354</v>
      </c>
      <c r="D4975" s="18">
        <v>2022</v>
      </c>
      <c r="E4975" s="18" t="s">
        <v>0</v>
      </c>
      <c r="F4975" s="4">
        <v>1</v>
      </c>
      <c r="G4975" s="42">
        <v>10</v>
      </c>
      <c r="H4975" s="42">
        <f>0.01012313*(1000)</f>
        <v>10.12313</v>
      </c>
    </row>
    <row r="4976" spans="1:8" s="15" customFormat="1" ht="16.5" hidden="1" customHeight="1" outlineLevel="1" x14ac:dyDescent="0.25">
      <c r="A4976" s="18">
        <v>4259</v>
      </c>
      <c r="B4976" s="4" t="s">
        <v>249</v>
      </c>
      <c r="C4976" s="38" t="s">
        <v>4355</v>
      </c>
      <c r="D4976" s="18">
        <v>2022</v>
      </c>
      <c r="E4976" s="18" t="s">
        <v>0</v>
      </c>
      <c r="F4976" s="4">
        <v>1</v>
      </c>
      <c r="G4976" s="42">
        <v>10</v>
      </c>
      <c r="H4976" s="42">
        <f>0.01012313*(1000)</f>
        <v>10.12313</v>
      </c>
    </row>
    <row r="4977" spans="1:8" s="15" customFormat="1" ht="16.5" hidden="1" customHeight="1" outlineLevel="1" x14ac:dyDescent="0.25">
      <c r="A4977" s="18">
        <v>4261</v>
      </c>
      <c r="B4977" s="4" t="s">
        <v>249</v>
      </c>
      <c r="C4977" s="38" t="s">
        <v>4356</v>
      </c>
      <c r="D4977" s="18">
        <v>2022</v>
      </c>
      <c r="E4977" s="18" t="s">
        <v>0</v>
      </c>
      <c r="F4977" s="4">
        <v>1</v>
      </c>
      <c r="G4977" s="42">
        <v>10</v>
      </c>
      <c r="H4977" s="42">
        <f>0.01012313*(1000)</f>
        <v>10.12313</v>
      </c>
    </row>
    <row r="4978" spans="1:8" s="15" customFormat="1" ht="16.5" hidden="1" customHeight="1" outlineLevel="1" x14ac:dyDescent="0.25">
      <c r="A4978" s="18">
        <v>4262</v>
      </c>
      <c r="B4978" s="4" t="s">
        <v>249</v>
      </c>
      <c r="C4978" s="38" t="s">
        <v>4357</v>
      </c>
      <c r="D4978" s="18">
        <v>2022</v>
      </c>
      <c r="E4978" s="18" t="s">
        <v>0</v>
      </c>
      <c r="F4978" s="4">
        <v>1</v>
      </c>
      <c r="G4978" s="42">
        <v>10</v>
      </c>
      <c r="H4978" s="42">
        <f>0.01012313*(1000)</f>
        <v>10.12313</v>
      </c>
    </row>
    <row r="4979" spans="1:8" s="15" customFormat="1" ht="16.5" hidden="1" customHeight="1" outlineLevel="1" x14ac:dyDescent="0.25">
      <c r="A4979" s="18">
        <v>4265</v>
      </c>
      <c r="B4979" s="4" t="s">
        <v>249</v>
      </c>
      <c r="C4979" s="38" t="s">
        <v>4358</v>
      </c>
      <c r="D4979" s="18">
        <v>2022</v>
      </c>
      <c r="E4979" s="18" t="s">
        <v>0</v>
      </c>
      <c r="F4979" s="4">
        <v>1</v>
      </c>
      <c r="G4979" s="42">
        <v>10</v>
      </c>
      <c r="H4979" s="42">
        <f>0.01012312*(1000)</f>
        <v>10.12312</v>
      </c>
    </row>
    <row r="4980" spans="1:8" s="15" customFormat="1" ht="16.5" hidden="1" customHeight="1" outlineLevel="1" x14ac:dyDescent="0.25">
      <c r="A4980" s="18">
        <v>4266</v>
      </c>
      <c r="B4980" s="4" t="s">
        <v>249</v>
      </c>
      <c r="C4980" s="38" t="s">
        <v>4359</v>
      </c>
      <c r="D4980" s="18">
        <v>2022</v>
      </c>
      <c r="E4980" s="18" t="s">
        <v>0</v>
      </c>
      <c r="F4980" s="4">
        <v>1</v>
      </c>
      <c r="G4980" s="42">
        <v>10</v>
      </c>
      <c r="H4980" s="42">
        <f>0.00986026*(1000)</f>
        <v>9.8602599999999985</v>
      </c>
    </row>
    <row r="4981" spans="1:8" s="15" customFormat="1" ht="16.5" hidden="1" customHeight="1" outlineLevel="1" x14ac:dyDescent="0.25">
      <c r="A4981" s="18">
        <v>4268</v>
      </c>
      <c r="B4981" s="4" t="s">
        <v>249</v>
      </c>
      <c r="C4981" s="38" t="s">
        <v>4360</v>
      </c>
      <c r="D4981" s="18">
        <v>2022</v>
      </c>
      <c r="E4981" s="18" t="s">
        <v>0</v>
      </c>
      <c r="F4981" s="4">
        <v>1</v>
      </c>
      <c r="G4981" s="42">
        <v>10</v>
      </c>
      <c r="H4981" s="42">
        <f>0.00986025*(1000)</f>
        <v>9.8602499999999988</v>
      </c>
    </row>
    <row r="4982" spans="1:8" s="15" customFormat="1" ht="16.5" hidden="1" customHeight="1" outlineLevel="1" x14ac:dyDescent="0.25">
      <c r="A4982" s="18">
        <v>4270</v>
      </c>
      <c r="B4982" s="4" t="s">
        <v>249</v>
      </c>
      <c r="C4982" s="38" t="s">
        <v>4361</v>
      </c>
      <c r="D4982" s="18">
        <v>2022</v>
      </c>
      <c r="E4982" s="18" t="s">
        <v>0</v>
      </c>
      <c r="F4982" s="4">
        <v>1</v>
      </c>
      <c r="G4982" s="42">
        <v>15</v>
      </c>
      <c r="H4982" s="42">
        <f>0.00986026*(1000)</f>
        <v>9.8602599999999985</v>
      </c>
    </row>
    <row r="4983" spans="1:8" s="15" customFormat="1" ht="16.5" hidden="1" customHeight="1" outlineLevel="1" x14ac:dyDescent="0.25">
      <c r="A4983" s="18">
        <v>4272</v>
      </c>
      <c r="B4983" s="4" t="s">
        <v>249</v>
      </c>
      <c r="C4983" s="38" t="s">
        <v>4362</v>
      </c>
      <c r="D4983" s="18">
        <v>2022</v>
      </c>
      <c r="E4983" s="18" t="s">
        <v>0</v>
      </c>
      <c r="F4983" s="4">
        <v>1</v>
      </c>
      <c r="G4983" s="42">
        <v>10</v>
      </c>
      <c r="H4983" s="42">
        <f>0.00975124*(1000)</f>
        <v>9.7512399999999992</v>
      </c>
    </row>
    <row r="4984" spans="1:8" s="15" customFormat="1" ht="16.5" hidden="1" customHeight="1" outlineLevel="1" x14ac:dyDescent="0.25">
      <c r="A4984" s="18">
        <v>4273</v>
      </c>
      <c r="B4984" s="4" t="s">
        <v>249</v>
      </c>
      <c r="C4984" s="38" t="s">
        <v>4363</v>
      </c>
      <c r="D4984" s="18">
        <v>2022</v>
      </c>
      <c r="E4984" s="18" t="s">
        <v>0</v>
      </c>
      <c r="F4984" s="4">
        <v>1</v>
      </c>
      <c r="G4984" s="42">
        <v>10</v>
      </c>
      <c r="H4984" s="42">
        <f>0.00994842*(1000)</f>
        <v>9.9484199999999987</v>
      </c>
    </row>
    <row r="4985" spans="1:8" s="15" customFormat="1" ht="16.5" hidden="1" customHeight="1" outlineLevel="1" x14ac:dyDescent="0.25">
      <c r="A4985" s="18">
        <v>4274</v>
      </c>
      <c r="B4985" s="4" t="s">
        <v>249</v>
      </c>
      <c r="C4985" s="38" t="s">
        <v>4364</v>
      </c>
      <c r="D4985" s="18">
        <v>2022</v>
      </c>
      <c r="E4985" s="18" t="s">
        <v>0</v>
      </c>
      <c r="F4985" s="4">
        <v>1</v>
      </c>
      <c r="G4985" s="42">
        <v>10</v>
      </c>
      <c r="H4985" s="42">
        <f>0.00975124*(1000)</f>
        <v>9.7512399999999992</v>
      </c>
    </row>
    <row r="4986" spans="1:8" s="15" customFormat="1" ht="16.5" hidden="1" customHeight="1" outlineLevel="1" x14ac:dyDescent="0.25">
      <c r="A4986" s="18">
        <v>4275</v>
      </c>
      <c r="B4986" s="4" t="s">
        <v>249</v>
      </c>
      <c r="C4986" s="38" t="s">
        <v>4365</v>
      </c>
      <c r="D4986" s="18">
        <v>2022</v>
      </c>
      <c r="E4986" s="18" t="s">
        <v>0</v>
      </c>
      <c r="F4986" s="4">
        <v>1</v>
      </c>
      <c r="G4986" s="42">
        <v>10</v>
      </c>
      <c r="H4986" s="42">
        <f>0.00975124*(1000)</f>
        <v>9.7512399999999992</v>
      </c>
    </row>
    <row r="4987" spans="1:8" s="15" customFormat="1" ht="16.5" hidden="1" customHeight="1" outlineLevel="1" x14ac:dyDescent="0.25">
      <c r="A4987" s="18">
        <v>4276</v>
      </c>
      <c r="B4987" s="4" t="s">
        <v>249</v>
      </c>
      <c r="C4987" s="38" t="s">
        <v>4366</v>
      </c>
      <c r="D4987" s="18">
        <v>2022</v>
      </c>
      <c r="E4987" s="18" t="s">
        <v>0</v>
      </c>
      <c r="F4987" s="4">
        <v>1</v>
      </c>
      <c r="G4987" s="42">
        <v>15</v>
      </c>
      <c r="H4987" s="42">
        <f>0.00968555*(1000)</f>
        <v>9.6855499999999992</v>
      </c>
    </row>
    <row r="4988" spans="1:8" s="15" customFormat="1" ht="16.5" hidden="1" customHeight="1" outlineLevel="1" x14ac:dyDescent="0.25">
      <c r="A4988" s="18">
        <v>4278</v>
      </c>
      <c r="B4988" s="4" t="s">
        <v>249</v>
      </c>
      <c r="C4988" s="38" t="s">
        <v>4367</v>
      </c>
      <c r="D4988" s="18">
        <v>2022</v>
      </c>
      <c r="E4988" s="18" t="s">
        <v>0</v>
      </c>
      <c r="F4988" s="4">
        <v>1</v>
      </c>
      <c r="G4988" s="42">
        <v>10</v>
      </c>
      <c r="H4988" s="42">
        <f>0.00989194*(1000)</f>
        <v>9.89194</v>
      </c>
    </row>
    <row r="4989" spans="1:8" s="15" customFormat="1" ht="16.5" hidden="1" customHeight="1" outlineLevel="1" x14ac:dyDescent="0.25">
      <c r="A4989" s="18">
        <v>4279</v>
      </c>
      <c r="B4989" s="4" t="s">
        <v>249</v>
      </c>
      <c r="C4989" s="38" t="s">
        <v>4368</v>
      </c>
      <c r="D4989" s="18">
        <v>2022</v>
      </c>
      <c r="E4989" s="18" t="s">
        <v>0</v>
      </c>
      <c r="F4989" s="4">
        <v>1</v>
      </c>
      <c r="G4989" s="42">
        <v>10</v>
      </c>
      <c r="H4989" s="42">
        <f>0.01008912*(1000)</f>
        <v>10.089119999999999</v>
      </c>
    </row>
    <row r="4990" spans="1:8" s="15" customFormat="1" ht="16.5" hidden="1" customHeight="1" outlineLevel="1" x14ac:dyDescent="0.25">
      <c r="A4990" s="18">
        <v>4280</v>
      </c>
      <c r="B4990" s="4" t="s">
        <v>249</v>
      </c>
      <c r="C4990" s="38" t="s">
        <v>4369</v>
      </c>
      <c r="D4990" s="18">
        <v>2022</v>
      </c>
      <c r="E4990" s="18" t="s">
        <v>0</v>
      </c>
      <c r="F4990" s="4">
        <v>1</v>
      </c>
      <c r="G4990" s="42">
        <v>10</v>
      </c>
      <c r="H4990" s="42">
        <f>0.01008914*(1000)</f>
        <v>10.08914</v>
      </c>
    </row>
    <row r="4991" spans="1:8" s="15" customFormat="1" ht="16.5" hidden="1" customHeight="1" outlineLevel="1" x14ac:dyDescent="0.25">
      <c r="A4991" s="18">
        <v>4281</v>
      </c>
      <c r="B4991" s="4" t="s">
        <v>249</v>
      </c>
      <c r="C4991" s="38" t="s">
        <v>4370</v>
      </c>
      <c r="D4991" s="18">
        <v>2022</v>
      </c>
      <c r="E4991" s="18" t="s">
        <v>0</v>
      </c>
      <c r="F4991" s="4">
        <v>1</v>
      </c>
      <c r="G4991" s="42">
        <v>10</v>
      </c>
      <c r="H4991" s="42">
        <f>0.01015214*(1000)</f>
        <v>10.152140000000001</v>
      </c>
    </row>
    <row r="4992" spans="1:8" s="15" customFormat="1" ht="16.5" hidden="1" customHeight="1" outlineLevel="1" x14ac:dyDescent="0.25">
      <c r="A4992" s="18">
        <v>4282</v>
      </c>
      <c r="B4992" s="4" t="s">
        <v>249</v>
      </c>
      <c r="C4992" s="38" t="s">
        <v>4371</v>
      </c>
      <c r="D4992" s="18">
        <v>2022</v>
      </c>
      <c r="E4992" s="18" t="s">
        <v>0</v>
      </c>
      <c r="F4992" s="4">
        <v>1</v>
      </c>
      <c r="G4992" s="42">
        <v>10</v>
      </c>
      <c r="H4992" s="42">
        <f>0.01015215*(1000)</f>
        <v>10.152150000000001</v>
      </c>
    </row>
    <row r="4993" spans="1:8" s="15" customFormat="1" ht="16.5" hidden="1" customHeight="1" outlineLevel="1" x14ac:dyDescent="0.25">
      <c r="A4993" s="18">
        <v>4283</v>
      </c>
      <c r="B4993" s="4" t="s">
        <v>249</v>
      </c>
      <c r="C4993" s="38" t="s">
        <v>4372</v>
      </c>
      <c r="D4993" s="18">
        <v>2022</v>
      </c>
      <c r="E4993" s="18" t="s">
        <v>0</v>
      </c>
      <c r="F4993" s="4">
        <v>1</v>
      </c>
      <c r="G4993" s="42">
        <v>10</v>
      </c>
      <c r="H4993" s="42">
        <f>0.01015214*(1000)</f>
        <v>10.152140000000001</v>
      </c>
    </row>
    <row r="4994" spans="1:8" s="15" customFormat="1" ht="16.5" hidden="1" customHeight="1" outlineLevel="1" x14ac:dyDescent="0.25">
      <c r="A4994" s="18">
        <v>4284</v>
      </c>
      <c r="B4994" s="4" t="s">
        <v>249</v>
      </c>
      <c r="C4994" s="38" t="s">
        <v>4373</v>
      </c>
      <c r="D4994" s="18">
        <v>2022</v>
      </c>
      <c r="E4994" s="18" t="s">
        <v>0</v>
      </c>
      <c r="F4994" s="4">
        <v>1</v>
      </c>
      <c r="G4994" s="42">
        <v>10</v>
      </c>
      <c r="H4994" s="42">
        <f>0.00995498*(1000)</f>
        <v>9.9549800000000008</v>
      </c>
    </row>
    <row r="4995" spans="1:8" s="15" customFormat="1" ht="16.5" hidden="1" customHeight="1" outlineLevel="1" x14ac:dyDescent="0.25">
      <c r="A4995" s="18">
        <v>4287</v>
      </c>
      <c r="B4995" s="4" t="s">
        <v>249</v>
      </c>
      <c r="C4995" s="38" t="s">
        <v>4374</v>
      </c>
      <c r="D4995" s="18">
        <v>2022</v>
      </c>
      <c r="E4995" s="18" t="s">
        <v>0</v>
      </c>
      <c r="F4995" s="4">
        <v>1</v>
      </c>
      <c r="G4995" s="42">
        <v>10</v>
      </c>
      <c r="H4995" s="42">
        <f>0.00988926*(1000)</f>
        <v>9.8892600000000002</v>
      </c>
    </row>
    <row r="4996" spans="1:8" s="15" customFormat="1" ht="16.5" hidden="1" customHeight="1" outlineLevel="1" x14ac:dyDescent="0.25">
      <c r="A4996" s="18">
        <v>4288</v>
      </c>
      <c r="B4996" s="4" t="s">
        <v>249</v>
      </c>
      <c r="C4996" s="38" t="s">
        <v>4375</v>
      </c>
      <c r="D4996" s="18">
        <v>2022</v>
      </c>
      <c r="E4996" s="18" t="s">
        <v>0</v>
      </c>
      <c r="F4996" s="4">
        <v>1</v>
      </c>
      <c r="G4996" s="42">
        <v>10</v>
      </c>
      <c r="H4996" s="42">
        <f>0.01015215*(1000)</f>
        <v>10.152150000000001</v>
      </c>
    </row>
    <row r="4997" spans="1:8" s="15" customFormat="1" ht="16.5" hidden="1" customHeight="1" outlineLevel="1" x14ac:dyDescent="0.25">
      <c r="A4997" s="18">
        <v>4292</v>
      </c>
      <c r="B4997" s="4" t="s">
        <v>249</v>
      </c>
      <c r="C4997" s="38" t="s">
        <v>4376</v>
      </c>
      <c r="D4997" s="18">
        <v>2022</v>
      </c>
      <c r="E4997" s="18" t="s">
        <v>0</v>
      </c>
      <c r="F4997" s="4">
        <v>1</v>
      </c>
      <c r="G4997" s="42">
        <v>10</v>
      </c>
      <c r="H4997" s="42">
        <f>0.00974858*(1000)</f>
        <v>9.7485800000000005</v>
      </c>
    </row>
    <row r="4998" spans="1:8" s="15" customFormat="1" ht="16.5" hidden="1" customHeight="1" outlineLevel="1" x14ac:dyDescent="0.25">
      <c r="A4998" s="18">
        <v>4293</v>
      </c>
      <c r="B4998" s="4" t="s">
        <v>249</v>
      </c>
      <c r="C4998" s="38" t="s">
        <v>4377</v>
      </c>
      <c r="D4998" s="18">
        <v>2022</v>
      </c>
      <c r="E4998" s="18" t="s">
        <v>0</v>
      </c>
      <c r="F4998" s="4">
        <v>1</v>
      </c>
      <c r="G4998" s="42">
        <v>15</v>
      </c>
      <c r="H4998" s="42">
        <f>0.00981431*(1000)</f>
        <v>9.814309999999999</v>
      </c>
    </row>
    <row r="4999" spans="1:8" s="15" customFormat="1" ht="16.5" hidden="1" customHeight="1" outlineLevel="1" x14ac:dyDescent="0.25">
      <c r="A4999" s="18">
        <v>4294</v>
      </c>
      <c r="B4999" s="4" t="s">
        <v>249</v>
      </c>
      <c r="C4999" s="38" t="s">
        <v>4378</v>
      </c>
      <c r="D4999" s="18">
        <v>2022</v>
      </c>
      <c r="E4999" s="18" t="s">
        <v>0</v>
      </c>
      <c r="F4999" s="4">
        <v>1</v>
      </c>
      <c r="G4999" s="42">
        <v>10</v>
      </c>
      <c r="H4999" s="42">
        <f>0.0098143*(1000)</f>
        <v>9.8142999999999994</v>
      </c>
    </row>
    <row r="5000" spans="1:8" s="15" customFormat="1" ht="16.5" hidden="1" customHeight="1" outlineLevel="1" x14ac:dyDescent="0.25">
      <c r="A5000" s="18">
        <v>4295</v>
      </c>
      <c r="B5000" s="4" t="s">
        <v>249</v>
      </c>
      <c r="C5000" s="38" t="s">
        <v>4379</v>
      </c>
      <c r="D5000" s="18">
        <v>2022</v>
      </c>
      <c r="E5000" s="18" t="s">
        <v>0</v>
      </c>
      <c r="F5000" s="4">
        <v>1</v>
      </c>
      <c r="G5000" s="42">
        <v>10</v>
      </c>
      <c r="H5000" s="42">
        <f>0.0103401*(1000)</f>
        <v>10.3401</v>
      </c>
    </row>
    <row r="5001" spans="1:8" s="15" customFormat="1" ht="16.5" hidden="1" customHeight="1" outlineLevel="1" x14ac:dyDescent="0.25">
      <c r="A5001" s="18">
        <v>4298</v>
      </c>
      <c r="B5001" s="4" t="s">
        <v>249</v>
      </c>
      <c r="C5001" s="38" t="s">
        <v>4380</v>
      </c>
      <c r="D5001" s="18">
        <v>2022</v>
      </c>
      <c r="E5001" s="18" t="s">
        <v>0</v>
      </c>
      <c r="F5001" s="4">
        <v>1</v>
      </c>
      <c r="G5001" s="42">
        <v>10</v>
      </c>
      <c r="H5001" s="42">
        <f>0.01034009*(1000)</f>
        <v>10.34009</v>
      </c>
    </row>
    <row r="5002" spans="1:8" s="15" customFormat="1" ht="16.5" hidden="1" customHeight="1" outlineLevel="1" x14ac:dyDescent="0.25">
      <c r="A5002" s="18">
        <v>4300</v>
      </c>
      <c r="B5002" s="4" t="s">
        <v>249</v>
      </c>
      <c r="C5002" s="38" t="s">
        <v>4381</v>
      </c>
      <c r="D5002" s="18">
        <v>2022</v>
      </c>
      <c r="E5002" s="18" t="s">
        <v>0</v>
      </c>
      <c r="F5002" s="4">
        <v>1</v>
      </c>
      <c r="G5002" s="42">
        <v>10</v>
      </c>
      <c r="H5002" s="42">
        <f>0.00981431*(1000)</f>
        <v>9.814309999999999</v>
      </c>
    </row>
    <row r="5003" spans="1:8" s="15" customFormat="1" ht="16.5" hidden="1" customHeight="1" outlineLevel="1" x14ac:dyDescent="0.25">
      <c r="A5003" s="18">
        <v>4302</v>
      </c>
      <c r="B5003" s="4" t="s">
        <v>249</v>
      </c>
      <c r="C5003" s="38" t="s">
        <v>4382</v>
      </c>
      <c r="D5003" s="18">
        <v>2022</v>
      </c>
      <c r="E5003" s="18" t="s">
        <v>0</v>
      </c>
      <c r="F5003" s="4">
        <v>1</v>
      </c>
      <c r="G5003" s="42">
        <v>10</v>
      </c>
      <c r="H5003" s="42">
        <f>0.0098143*(1000)</f>
        <v>9.8142999999999994</v>
      </c>
    </row>
    <row r="5004" spans="1:8" s="15" customFormat="1" ht="16.5" hidden="1" customHeight="1" outlineLevel="1" x14ac:dyDescent="0.25">
      <c r="A5004" s="18">
        <v>4303</v>
      </c>
      <c r="B5004" s="4" t="s">
        <v>249</v>
      </c>
      <c r="C5004" s="38" t="s">
        <v>4383</v>
      </c>
      <c r="D5004" s="18">
        <v>2022</v>
      </c>
      <c r="E5004" s="18" t="s">
        <v>0</v>
      </c>
      <c r="F5004" s="4">
        <v>1</v>
      </c>
      <c r="G5004" s="42">
        <v>10</v>
      </c>
      <c r="H5004" s="42">
        <f>0.00981431*(1000)</f>
        <v>9.814309999999999</v>
      </c>
    </row>
    <row r="5005" spans="1:8" s="15" customFormat="1" ht="16.5" hidden="1" customHeight="1" outlineLevel="1" x14ac:dyDescent="0.25">
      <c r="A5005" s="18">
        <v>4304</v>
      </c>
      <c r="B5005" s="4" t="s">
        <v>249</v>
      </c>
      <c r="C5005" s="38" t="s">
        <v>4384</v>
      </c>
      <c r="D5005" s="18">
        <v>2022</v>
      </c>
      <c r="E5005" s="18" t="s">
        <v>0</v>
      </c>
      <c r="F5005" s="4">
        <v>1</v>
      </c>
      <c r="G5005" s="42">
        <v>10</v>
      </c>
      <c r="H5005" s="42">
        <f>0.0098143*(1000)</f>
        <v>9.8142999999999994</v>
      </c>
    </row>
    <row r="5006" spans="1:8" s="15" customFormat="1" ht="16.5" hidden="1" customHeight="1" outlineLevel="1" x14ac:dyDescent="0.25">
      <c r="A5006" s="18">
        <v>4308</v>
      </c>
      <c r="B5006" s="4" t="s">
        <v>249</v>
      </c>
      <c r="C5006" s="38" t="s">
        <v>4385</v>
      </c>
      <c r="D5006" s="18">
        <v>2022</v>
      </c>
      <c r="E5006" s="18" t="s">
        <v>0</v>
      </c>
      <c r="F5006" s="4">
        <v>1</v>
      </c>
      <c r="G5006" s="42">
        <v>5</v>
      </c>
      <c r="H5006" s="42">
        <f>0.00981492*(1000)</f>
        <v>9.814919999999999</v>
      </c>
    </row>
    <row r="5007" spans="1:8" s="15" customFormat="1" ht="16.5" hidden="1" customHeight="1" outlineLevel="1" x14ac:dyDescent="0.25">
      <c r="A5007" s="18">
        <v>4309</v>
      </c>
      <c r="B5007" s="4" t="s">
        <v>249</v>
      </c>
      <c r="C5007" s="38" t="s">
        <v>4386</v>
      </c>
      <c r="D5007" s="18">
        <v>2022</v>
      </c>
      <c r="E5007" s="18" t="s">
        <v>0</v>
      </c>
      <c r="F5007" s="4">
        <v>1</v>
      </c>
      <c r="G5007" s="42">
        <v>5</v>
      </c>
      <c r="H5007" s="42">
        <f>0.00981494*(1000)</f>
        <v>9.81494</v>
      </c>
    </row>
    <row r="5008" spans="1:8" s="15" customFormat="1" ht="16.5" hidden="1" customHeight="1" outlineLevel="1" x14ac:dyDescent="0.25">
      <c r="A5008" s="18">
        <v>4310</v>
      </c>
      <c r="B5008" s="4" t="s">
        <v>249</v>
      </c>
      <c r="C5008" s="38" t="s">
        <v>4387</v>
      </c>
      <c r="D5008" s="18">
        <v>2022</v>
      </c>
      <c r="E5008" s="18" t="s">
        <v>0</v>
      </c>
      <c r="F5008" s="4">
        <v>1</v>
      </c>
      <c r="G5008" s="42">
        <v>10</v>
      </c>
      <c r="H5008" s="42">
        <f>0.01034027*(1000)</f>
        <v>10.34027</v>
      </c>
    </row>
    <row r="5009" spans="1:8" s="15" customFormat="1" ht="16.5" hidden="1" customHeight="1" outlineLevel="1" x14ac:dyDescent="0.25">
      <c r="A5009" s="18">
        <v>4311</v>
      </c>
      <c r="B5009" s="4" t="s">
        <v>249</v>
      </c>
      <c r="C5009" s="38" t="s">
        <v>4388</v>
      </c>
      <c r="D5009" s="18">
        <v>2022</v>
      </c>
      <c r="E5009" s="18" t="s">
        <v>0</v>
      </c>
      <c r="F5009" s="4">
        <v>1</v>
      </c>
      <c r="G5009" s="42">
        <v>11</v>
      </c>
      <c r="H5009" s="42">
        <f>0.01107688*(1000)</f>
        <v>11.076880000000001</v>
      </c>
    </row>
    <row r="5010" spans="1:8" s="15" customFormat="1" ht="16.5" hidden="1" customHeight="1" outlineLevel="1" x14ac:dyDescent="0.25">
      <c r="A5010" s="18">
        <v>4319</v>
      </c>
      <c r="B5010" s="4" t="s">
        <v>249</v>
      </c>
      <c r="C5010" s="38" t="s">
        <v>4389</v>
      </c>
      <c r="D5010" s="18">
        <v>2022</v>
      </c>
      <c r="E5010" s="18" t="s">
        <v>0</v>
      </c>
      <c r="F5010" s="4">
        <v>1</v>
      </c>
      <c r="G5010" s="42">
        <v>10</v>
      </c>
      <c r="H5010" s="42">
        <f>0.01326637*(1000)</f>
        <v>13.26637</v>
      </c>
    </row>
    <row r="5011" spans="1:8" s="15" customFormat="1" ht="16.5" hidden="1" customHeight="1" outlineLevel="1" x14ac:dyDescent="0.25">
      <c r="A5011" s="18">
        <v>4323</v>
      </c>
      <c r="B5011" s="4" t="s">
        <v>249</v>
      </c>
      <c r="C5011" s="38" t="s">
        <v>4390</v>
      </c>
      <c r="D5011" s="18">
        <v>2022</v>
      </c>
      <c r="E5011" s="18" t="s">
        <v>0</v>
      </c>
      <c r="F5011" s="4">
        <v>1</v>
      </c>
      <c r="G5011" s="42">
        <v>11</v>
      </c>
      <c r="H5011" s="42">
        <f>0.01275103*(1000)</f>
        <v>12.75103</v>
      </c>
    </row>
    <row r="5012" spans="1:8" s="15" customFormat="1" ht="16.5" hidden="1" customHeight="1" outlineLevel="1" x14ac:dyDescent="0.25">
      <c r="A5012" s="18">
        <v>4325</v>
      </c>
      <c r="B5012" s="4" t="s">
        <v>249</v>
      </c>
      <c r="C5012" s="38" t="s">
        <v>4391</v>
      </c>
      <c r="D5012" s="18">
        <v>2022</v>
      </c>
      <c r="E5012" s="18" t="s">
        <v>0</v>
      </c>
      <c r="F5012" s="4">
        <v>1</v>
      </c>
      <c r="G5012" s="42">
        <v>10</v>
      </c>
      <c r="H5012" s="42">
        <f>0.01272914*(1000)</f>
        <v>12.729139999999999</v>
      </c>
    </row>
    <row r="5013" spans="1:8" s="15" customFormat="1" ht="16.5" hidden="1" customHeight="1" outlineLevel="1" x14ac:dyDescent="0.25">
      <c r="A5013" s="18">
        <v>4333</v>
      </c>
      <c r="B5013" s="4" t="s">
        <v>249</v>
      </c>
      <c r="C5013" s="38" t="s">
        <v>4392</v>
      </c>
      <c r="D5013" s="18">
        <v>2022</v>
      </c>
      <c r="E5013" s="18" t="s">
        <v>0</v>
      </c>
      <c r="F5013" s="4">
        <v>1</v>
      </c>
      <c r="G5013" s="42">
        <v>12</v>
      </c>
      <c r="H5013" s="42">
        <f>0.01242216*(1000)</f>
        <v>12.42216</v>
      </c>
    </row>
    <row r="5014" spans="1:8" s="15" customFormat="1" ht="16.5" hidden="1" customHeight="1" outlineLevel="1" x14ac:dyDescent="0.25">
      <c r="A5014" s="18">
        <v>4334</v>
      </c>
      <c r="B5014" s="4" t="s">
        <v>249</v>
      </c>
      <c r="C5014" s="38" t="s">
        <v>4393</v>
      </c>
      <c r="D5014" s="18">
        <v>2022</v>
      </c>
      <c r="E5014" s="18" t="s">
        <v>0</v>
      </c>
      <c r="F5014" s="4">
        <v>1</v>
      </c>
      <c r="G5014" s="42">
        <v>8</v>
      </c>
      <c r="H5014" s="42">
        <f>0.01239951*(1000)</f>
        <v>12.399510000000001</v>
      </c>
    </row>
    <row r="5015" spans="1:8" s="15" customFormat="1" ht="16.5" hidden="1" customHeight="1" outlineLevel="1" x14ac:dyDescent="0.25">
      <c r="A5015" s="18">
        <v>4335</v>
      </c>
      <c r="B5015" s="4" t="s">
        <v>249</v>
      </c>
      <c r="C5015" s="38" t="s">
        <v>4394</v>
      </c>
      <c r="D5015" s="18">
        <v>2022</v>
      </c>
      <c r="E5015" s="18" t="s">
        <v>0</v>
      </c>
      <c r="F5015" s="4">
        <v>1</v>
      </c>
      <c r="G5015" s="42">
        <v>12</v>
      </c>
      <c r="H5015" s="42">
        <f>0.01070009*(1000)</f>
        <v>10.700090000000001</v>
      </c>
    </row>
    <row r="5016" spans="1:8" s="15" customFormat="1" ht="16.5" hidden="1" customHeight="1" outlineLevel="1" x14ac:dyDescent="0.25">
      <c r="A5016" s="18">
        <v>4337</v>
      </c>
      <c r="B5016" s="4" t="s">
        <v>249</v>
      </c>
      <c r="C5016" s="38" t="s">
        <v>4395</v>
      </c>
      <c r="D5016" s="18">
        <v>2022</v>
      </c>
      <c r="E5016" s="18" t="s">
        <v>0</v>
      </c>
      <c r="F5016" s="4">
        <v>1</v>
      </c>
      <c r="G5016" s="42">
        <v>15</v>
      </c>
      <c r="H5016" s="42">
        <f>0.01073202*(1000)</f>
        <v>10.73202</v>
      </c>
    </row>
    <row r="5017" spans="1:8" s="15" customFormat="1" ht="16.5" hidden="1" customHeight="1" outlineLevel="1" x14ac:dyDescent="0.25">
      <c r="A5017" s="18">
        <v>4339</v>
      </c>
      <c r="B5017" s="4" t="s">
        <v>249</v>
      </c>
      <c r="C5017" s="38" t="s">
        <v>4396</v>
      </c>
      <c r="D5017" s="18">
        <v>2022</v>
      </c>
      <c r="E5017" s="18" t="s">
        <v>0</v>
      </c>
      <c r="F5017" s="4">
        <v>1</v>
      </c>
      <c r="G5017" s="42">
        <v>10</v>
      </c>
      <c r="H5017" s="42">
        <f>0.01074616*(1000)</f>
        <v>10.74616</v>
      </c>
    </row>
    <row r="5018" spans="1:8" s="15" customFormat="1" ht="16.5" hidden="1" customHeight="1" outlineLevel="1" x14ac:dyDescent="0.25">
      <c r="A5018" s="18">
        <v>4340</v>
      </c>
      <c r="B5018" s="4" t="s">
        <v>249</v>
      </c>
      <c r="C5018" s="38" t="s">
        <v>4397</v>
      </c>
      <c r="D5018" s="18">
        <v>2022</v>
      </c>
      <c r="E5018" s="18" t="s">
        <v>0</v>
      </c>
      <c r="F5018" s="4">
        <v>1</v>
      </c>
      <c r="G5018" s="42">
        <v>5</v>
      </c>
      <c r="H5018" s="42">
        <f>0.01073203*(1000)</f>
        <v>10.73203</v>
      </c>
    </row>
    <row r="5019" spans="1:8" s="15" customFormat="1" ht="16.5" hidden="1" customHeight="1" outlineLevel="1" x14ac:dyDescent="0.25">
      <c r="A5019" s="18">
        <v>4341</v>
      </c>
      <c r="B5019" s="4" t="s">
        <v>249</v>
      </c>
      <c r="C5019" s="38" t="s">
        <v>4398</v>
      </c>
      <c r="D5019" s="18">
        <v>2022</v>
      </c>
      <c r="E5019" s="18" t="s">
        <v>0</v>
      </c>
      <c r="F5019" s="4">
        <v>1</v>
      </c>
      <c r="G5019" s="42">
        <v>2</v>
      </c>
      <c r="H5019" s="42">
        <f>0.01058454*(1000)</f>
        <v>10.584540000000001</v>
      </c>
    </row>
    <row r="5020" spans="1:8" s="15" customFormat="1" ht="16.5" hidden="1" customHeight="1" outlineLevel="1" x14ac:dyDescent="0.25">
      <c r="A5020" s="18">
        <v>4342</v>
      </c>
      <c r="B5020" s="4" t="s">
        <v>249</v>
      </c>
      <c r="C5020" s="38" t="s">
        <v>4399</v>
      </c>
      <c r="D5020" s="18">
        <v>2022</v>
      </c>
      <c r="E5020" s="18" t="s">
        <v>0</v>
      </c>
      <c r="F5020" s="4">
        <v>1</v>
      </c>
      <c r="G5020" s="42">
        <v>2</v>
      </c>
      <c r="H5020" s="42">
        <f>0.01058453*(1000)</f>
        <v>10.584529999999999</v>
      </c>
    </row>
    <row r="5021" spans="1:8" s="15" customFormat="1" ht="16.5" hidden="1" customHeight="1" outlineLevel="1" x14ac:dyDescent="0.25">
      <c r="A5021" s="18">
        <v>4343</v>
      </c>
      <c r="B5021" s="4" t="s">
        <v>249</v>
      </c>
      <c r="C5021" s="38" t="s">
        <v>4400</v>
      </c>
      <c r="D5021" s="18">
        <v>2022</v>
      </c>
      <c r="E5021" s="18" t="s">
        <v>0</v>
      </c>
      <c r="F5021" s="4">
        <v>1</v>
      </c>
      <c r="G5021" s="42">
        <v>5</v>
      </c>
      <c r="H5021" s="42">
        <f>0.01147424*(1000)</f>
        <v>11.47424</v>
      </c>
    </row>
    <row r="5022" spans="1:8" s="15" customFormat="1" ht="16.5" hidden="1" customHeight="1" outlineLevel="1" x14ac:dyDescent="0.25">
      <c r="A5022" s="18">
        <v>4344</v>
      </c>
      <c r="B5022" s="4" t="s">
        <v>249</v>
      </c>
      <c r="C5022" s="38" t="s">
        <v>4401</v>
      </c>
      <c r="D5022" s="18">
        <v>2022</v>
      </c>
      <c r="E5022" s="18" t="s">
        <v>0</v>
      </c>
      <c r="F5022" s="4">
        <v>1</v>
      </c>
      <c r="G5022" s="42">
        <v>14</v>
      </c>
      <c r="H5022" s="42">
        <f>0.01180172*(1000)</f>
        <v>11.80172</v>
      </c>
    </row>
    <row r="5023" spans="1:8" s="15" customFormat="1" ht="16.5" hidden="1" customHeight="1" outlineLevel="1" x14ac:dyDescent="0.25">
      <c r="A5023" s="18">
        <v>4348</v>
      </c>
      <c r="B5023" s="4" t="s">
        <v>249</v>
      </c>
      <c r="C5023" s="38" t="s">
        <v>4402</v>
      </c>
      <c r="D5023" s="18">
        <v>2022</v>
      </c>
      <c r="E5023" s="18" t="s">
        <v>0</v>
      </c>
      <c r="F5023" s="4">
        <v>1</v>
      </c>
      <c r="G5023" s="42">
        <v>5</v>
      </c>
      <c r="H5023" s="42">
        <f>0.01180172*(1000)</f>
        <v>11.80172</v>
      </c>
    </row>
    <row r="5024" spans="1:8" s="15" customFormat="1" ht="16.5" hidden="1" customHeight="1" outlineLevel="1" x14ac:dyDescent="0.25">
      <c r="A5024" s="18">
        <v>4349</v>
      </c>
      <c r="B5024" s="4" t="s">
        <v>249</v>
      </c>
      <c r="C5024" s="38" t="s">
        <v>4403</v>
      </c>
      <c r="D5024" s="18">
        <v>2022</v>
      </c>
      <c r="E5024" s="18" t="s">
        <v>0</v>
      </c>
      <c r="F5024" s="4">
        <v>1</v>
      </c>
      <c r="G5024" s="42">
        <v>5</v>
      </c>
      <c r="H5024" s="42">
        <f>0.01180172*(1000)</f>
        <v>11.80172</v>
      </c>
    </row>
    <row r="5025" spans="1:8" s="15" customFormat="1" ht="16.5" hidden="1" customHeight="1" outlineLevel="1" x14ac:dyDescent="0.25">
      <c r="A5025" s="18">
        <v>4350</v>
      </c>
      <c r="B5025" s="4" t="s">
        <v>249</v>
      </c>
      <c r="C5025" s="38" t="s">
        <v>4404</v>
      </c>
      <c r="D5025" s="18">
        <v>2022</v>
      </c>
      <c r="E5025" s="18" t="s">
        <v>0</v>
      </c>
      <c r="F5025" s="4">
        <v>1</v>
      </c>
      <c r="G5025" s="42">
        <v>10</v>
      </c>
      <c r="H5025" s="42">
        <f>0.01124568*(1000)</f>
        <v>11.245679999999998</v>
      </c>
    </row>
    <row r="5026" spans="1:8" s="15" customFormat="1" ht="16.5" hidden="1" customHeight="1" outlineLevel="1" x14ac:dyDescent="0.25">
      <c r="A5026" s="18">
        <v>4357</v>
      </c>
      <c r="B5026" s="4" t="s">
        <v>249</v>
      </c>
      <c r="C5026" s="38" t="s">
        <v>4405</v>
      </c>
      <c r="D5026" s="18">
        <v>2022</v>
      </c>
      <c r="E5026" s="18" t="s">
        <v>0</v>
      </c>
      <c r="F5026" s="4">
        <v>1</v>
      </c>
      <c r="G5026" s="42">
        <v>5</v>
      </c>
      <c r="H5026" s="42">
        <f>0.01110499*(1000)</f>
        <v>11.104990000000001</v>
      </c>
    </row>
    <row r="5027" spans="1:8" s="15" customFormat="1" ht="16.5" hidden="1" customHeight="1" outlineLevel="1" x14ac:dyDescent="0.25">
      <c r="A5027" s="18">
        <v>4359</v>
      </c>
      <c r="B5027" s="4" t="s">
        <v>249</v>
      </c>
      <c r="C5027" s="38" t="s">
        <v>4406</v>
      </c>
      <c r="D5027" s="18">
        <v>2022</v>
      </c>
      <c r="E5027" s="18" t="s">
        <v>0</v>
      </c>
      <c r="F5027" s="4">
        <v>1</v>
      </c>
      <c r="G5027" s="42">
        <v>10</v>
      </c>
      <c r="H5027" s="42">
        <f>0.01110499*(1000)</f>
        <v>11.104990000000001</v>
      </c>
    </row>
    <row r="5028" spans="1:8" s="15" customFormat="1" ht="16.5" hidden="1" customHeight="1" outlineLevel="1" x14ac:dyDescent="0.25">
      <c r="A5028" s="18">
        <v>4363</v>
      </c>
      <c r="B5028" s="4" t="s">
        <v>249</v>
      </c>
      <c r="C5028" s="38" t="s">
        <v>4407</v>
      </c>
      <c r="D5028" s="18">
        <v>2022</v>
      </c>
      <c r="E5028" s="18" t="s">
        <v>0</v>
      </c>
      <c r="F5028" s="4">
        <v>1</v>
      </c>
      <c r="G5028" s="42">
        <v>12</v>
      </c>
      <c r="H5028" s="42">
        <f>0.01124568*(1000)</f>
        <v>11.245679999999998</v>
      </c>
    </row>
    <row r="5029" spans="1:8" s="15" customFormat="1" ht="16.5" hidden="1" customHeight="1" outlineLevel="1" x14ac:dyDescent="0.25">
      <c r="A5029" s="18">
        <v>4364</v>
      </c>
      <c r="B5029" s="4" t="s">
        <v>249</v>
      </c>
      <c r="C5029" s="38" t="s">
        <v>4408</v>
      </c>
      <c r="D5029" s="18">
        <v>2022</v>
      </c>
      <c r="E5029" s="18" t="s">
        <v>0</v>
      </c>
      <c r="F5029" s="4">
        <v>1</v>
      </c>
      <c r="G5029" s="42">
        <v>5</v>
      </c>
      <c r="H5029" s="42">
        <f>0.01124568*(1000)</f>
        <v>11.245679999999998</v>
      </c>
    </row>
    <row r="5030" spans="1:8" s="15" customFormat="1" ht="16.5" hidden="1" customHeight="1" outlineLevel="1" x14ac:dyDescent="0.25">
      <c r="A5030" s="18">
        <v>4365</v>
      </c>
      <c r="B5030" s="4" t="s">
        <v>249</v>
      </c>
      <c r="C5030" s="38" t="s">
        <v>4409</v>
      </c>
      <c r="D5030" s="18">
        <v>2022</v>
      </c>
      <c r="E5030" s="18" t="s">
        <v>0</v>
      </c>
      <c r="F5030" s="4">
        <v>1</v>
      </c>
      <c r="G5030" s="42">
        <v>5</v>
      </c>
      <c r="H5030" s="42">
        <f>0.01124568*(1000)</f>
        <v>11.245679999999998</v>
      </c>
    </row>
    <row r="5031" spans="1:8" s="15" customFormat="1" ht="16.5" hidden="1" customHeight="1" outlineLevel="1" x14ac:dyDescent="0.25">
      <c r="A5031" s="18">
        <v>4367</v>
      </c>
      <c r="B5031" s="4" t="s">
        <v>249</v>
      </c>
      <c r="C5031" s="38" t="s">
        <v>4410</v>
      </c>
      <c r="D5031" s="18">
        <v>2022</v>
      </c>
      <c r="E5031" s="18" t="s">
        <v>0</v>
      </c>
      <c r="F5031" s="4">
        <v>1</v>
      </c>
      <c r="G5031" s="42">
        <v>15</v>
      </c>
      <c r="H5031" s="42">
        <f>0.01124568*(1000)</f>
        <v>11.245679999999998</v>
      </c>
    </row>
    <row r="5032" spans="1:8" s="15" customFormat="1" ht="16.5" hidden="1" customHeight="1" outlineLevel="1" x14ac:dyDescent="0.25">
      <c r="A5032" s="18">
        <v>4368</v>
      </c>
      <c r="B5032" s="4" t="s">
        <v>249</v>
      </c>
      <c r="C5032" s="38" t="s">
        <v>4411</v>
      </c>
      <c r="D5032" s="18">
        <v>2022</v>
      </c>
      <c r="E5032" s="18" t="s">
        <v>0</v>
      </c>
      <c r="F5032" s="4">
        <v>1</v>
      </c>
      <c r="G5032" s="42">
        <v>5</v>
      </c>
      <c r="H5032" s="42">
        <f>0.01124568*(1000)</f>
        <v>11.245679999999998</v>
      </c>
    </row>
    <row r="5033" spans="1:8" s="15" customFormat="1" ht="16.5" hidden="1" customHeight="1" outlineLevel="1" x14ac:dyDescent="0.25">
      <c r="A5033" s="18">
        <v>4369</v>
      </c>
      <c r="B5033" s="4" t="s">
        <v>249</v>
      </c>
      <c r="C5033" s="38" t="s">
        <v>4412</v>
      </c>
      <c r="D5033" s="18">
        <v>2022</v>
      </c>
      <c r="E5033" s="18" t="s">
        <v>0</v>
      </c>
      <c r="F5033" s="4">
        <v>1</v>
      </c>
      <c r="G5033" s="42">
        <v>10</v>
      </c>
      <c r="H5033" s="42">
        <f>0.01096764*(1000)</f>
        <v>10.967640000000001</v>
      </c>
    </row>
    <row r="5034" spans="1:8" s="15" customFormat="1" ht="16.5" hidden="1" customHeight="1" outlineLevel="1" x14ac:dyDescent="0.25">
      <c r="A5034" s="18">
        <v>4375</v>
      </c>
      <c r="B5034" s="4" t="s">
        <v>249</v>
      </c>
      <c r="C5034" s="38" t="s">
        <v>4413</v>
      </c>
      <c r="D5034" s="18">
        <v>2022</v>
      </c>
      <c r="E5034" s="18" t="s">
        <v>0</v>
      </c>
      <c r="F5034" s="4">
        <v>1</v>
      </c>
      <c r="G5034" s="42">
        <v>8</v>
      </c>
      <c r="H5034" s="42">
        <f>0.00935009*(1000)</f>
        <v>9.3500899999999998</v>
      </c>
    </row>
    <row r="5035" spans="1:8" s="15" customFormat="1" ht="16.5" hidden="1" customHeight="1" outlineLevel="1" x14ac:dyDescent="0.25">
      <c r="A5035" s="18">
        <v>4376</v>
      </c>
      <c r="B5035" s="4" t="s">
        <v>249</v>
      </c>
      <c r="C5035" s="38" t="s">
        <v>4414</v>
      </c>
      <c r="D5035" s="18">
        <v>2022</v>
      </c>
      <c r="E5035" s="18" t="s">
        <v>0</v>
      </c>
      <c r="F5035" s="4">
        <v>1</v>
      </c>
      <c r="G5035" s="42">
        <v>8</v>
      </c>
      <c r="H5035" s="42">
        <f>0.00938407*(1000)</f>
        <v>9.3840699999999995</v>
      </c>
    </row>
    <row r="5036" spans="1:8" s="15" customFormat="1" ht="16.5" hidden="1" customHeight="1" outlineLevel="1" x14ac:dyDescent="0.25">
      <c r="A5036" s="18">
        <v>4377</v>
      </c>
      <c r="B5036" s="4" t="s">
        <v>249</v>
      </c>
      <c r="C5036" s="38" t="s">
        <v>4415</v>
      </c>
      <c r="D5036" s="18">
        <v>2022</v>
      </c>
      <c r="E5036" s="18" t="s">
        <v>0</v>
      </c>
      <c r="F5036" s="4">
        <v>1</v>
      </c>
      <c r="G5036" s="42">
        <v>8</v>
      </c>
      <c r="H5036" s="42">
        <f>0.00938409*(1000)</f>
        <v>9.3840899999999987</v>
      </c>
    </row>
    <row r="5037" spans="1:8" s="15" customFormat="1" ht="16.5" hidden="1" customHeight="1" outlineLevel="1" x14ac:dyDescent="0.25">
      <c r="A5037" s="18">
        <v>4378</v>
      </c>
      <c r="B5037" s="4" t="s">
        <v>249</v>
      </c>
      <c r="C5037" s="38" t="s">
        <v>4416</v>
      </c>
      <c r="D5037" s="18">
        <v>2022</v>
      </c>
      <c r="E5037" s="18" t="s">
        <v>0</v>
      </c>
      <c r="F5037" s="4">
        <v>1</v>
      </c>
      <c r="G5037" s="42">
        <v>15</v>
      </c>
      <c r="H5037" s="42">
        <f>0.00938409*(1000)</f>
        <v>9.3840899999999987</v>
      </c>
    </row>
    <row r="5038" spans="1:8" s="15" customFormat="1" ht="16.5" hidden="1" customHeight="1" outlineLevel="1" x14ac:dyDescent="0.25">
      <c r="A5038" s="18">
        <v>4380</v>
      </c>
      <c r="B5038" s="4" t="s">
        <v>249</v>
      </c>
      <c r="C5038" s="38" t="s">
        <v>4417</v>
      </c>
      <c r="D5038" s="18">
        <v>2022</v>
      </c>
      <c r="E5038" s="18" t="s">
        <v>0</v>
      </c>
      <c r="F5038" s="4">
        <v>1</v>
      </c>
      <c r="G5038" s="42">
        <v>10</v>
      </c>
      <c r="H5038" s="42">
        <f>0.00938406*(1000)</f>
        <v>9.3840599999999998</v>
      </c>
    </row>
    <row r="5039" spans="1:8" s="15" customFormat="1" ht="16.5" hidden="1" customHeight="1" outlineLevel="1" x14ac:dyDescent="0.25">
      <c r="A5039" s="18">
        <v>4381</v>
      </c>
      <c r="B5039" s="4" t="s">
        <v>249</v>
      </c>
      <c r="C5039" s="38" t="s">
        <v>4418</v>
      </c>
      <c r="D5039" s="18">
        <v>2022</v>
      </c>
      <c r="E5039" s="18" t="s">
        <v>0</v>
      </c>
      <c r="F5039" s="4">
        <v>1</v>
      </c>
      <c r="G5039" s="42">
        <v>8</v>
      </c>
      <c r="H5039" s="42">
        <f>0.00938409*(1000)</f>
        <v>9.3840899999999987</v>
      </c>
    </row>
    <row r="5040" spans="1:8" s="15" customFormat="1" ht="16.5" hidden="1" customHeight="1" outlineLevel="1" x14ac:dyDescent="0.25">
      <c r="A5040" s="18">
        <v>4382</v>
      </c>
      <c r="B5040" s="4" t="s">
        <v>249</v>
      </c>
      <c r="C5040" s="38" t="s">
        <v>4419</v>
      </c>
      <c r="D5040" s="18">
        <v>2022</v>
      </c>
      <c r="E5040" s="18" t="s">
        <v>0</v>
      </c>
      <c r="F5040" s="4">
        <v>1</v>
      </c>
      <c r="G5040" s="42">
        <v>10</v>
      </c>
      <c r="H5040" s="42">
        <f>0.00938409*(1000)</f>
        <v>9.3840899999999987</v>
      </c>
    </row>
    <row r="5041" spans="1:8" s="15" customFormat="1" ht="16.5" hidden="1" customHeight="1" outlineLevel="1" x14ac:dyDescent="0.25">
      <c r="A5041" s="18">
        <v>4383</v>
      </c>
      <c r="B5041" s="4" t="s">
        <v>249</v>
      </c>
      <c r="C5041" s="38" t="s">
        <v>4420</v>
      </c>
      <c r="D5041" s="18">
        <v>2022</v>
      </c>
      <c r="E5041" s="18" t="s">
        <v>0</v>
      </c>
      <c r="F5041" s="4">
        <v>1</v>
      </c>
      <c r="G5041" s="42">
        <v>10</v>
      </c>
      <c r="H5041" s="42">
        <f>0.00938408*(1000)</f>
        <v>9.3840799999999991</v>
      </c>
    </row>
    <row r="5042" spans="1:8" s="15" customFormat="1" ht="16.5" hidden="1" customHeight="1" outlineLevel="1" x14ac:dyDescent="0.25">
      <c r="A5042" s="18">
        <v>4384</v>
      </c>
      <c r="B5042" s="4" t="s">
        <v>249</v>
      </c>
      <c r="C5042" s="38" t="s">
        <v>4421</v>
      </c>
      <c r="D5042" s="18">
        <v>2022</v>
      </c>
      <c r="E5042" s="18" t="s">
        <v>0</v>
      </c>
      <c r="F5042" s="4">
        <v>1</v>
      </c>
      <c r="G5042" s="42">
        <v>14</v>
      </c>
      <c r="H5042" s="42">
        <f>0.00938409*(1000)</f>
        <v>9.3840899999999987</v>
      </c>
    </row>
    <row r="5043" spans="1:8" s="15" customFormat="1" ht="16.5" hidden="1" customHeight="1" outlineLevel="1" x14ac:dyDescent="0.25">
      <c r="A5043" s="18">
        <v>4387</v>
      </c>
      <c r="B5043" s="4" t="s">
        <v>249</v>
      </c>
      <c r="C5043" s="38" t="s">
        <v>4422</v>
      </c>
      <c r="D5043" s="18">
        <v>2022</v>
      </c>
      <c r="E5043" s="18" t="s">
        <v>0</v>
      </c>
      <c r="F5043" s="4">
        <v>1</v>
      </c>
      <c r="G5043" s="42">
        <v>10</v>
      </c>
      <c r="H5043" s="42">
        <f>0.00938409*(1000)</f>
        <v>9.3840899999999987</v>
      </c>
    </row>
    <row r="5044" spans="1:8" s="15" customFormat="1" ht="16.5" hidden="1" customHeight="1" outlineLevel="1" x14ac:dyDescent="0.25">
      <c r="A5044" s="18">
        <v>4388</v>
      </c>
      <c r="B5044" s="4" t="s">
        <v>249</v>
      </c>
      <c r="C5044" s="38" t="s">
        <v>4423</v>
      </c>
      <c r="D5044" s="18">
        <v>2022</v>
      </c>
      <c r="E5044" s="18" t="s">
        <v>0</v>
      </c>
      <c r="F5044" s="4">
        <v>1</v>
      </c>
      <c r="G5044" s="42">
        <v>8</v>
      </c>
      <c r="H5044" s="42">
        <f>0.00938407*(1000)</f>
        <v>9.3840699999999995</v>
      </c>
    </row>
    <row r="5045" spans="1:8" s="15" customFormat="1" ht="16.5" hidden="1" customHeight="1" outlineLevel="1" x14ac:dyDescent="0.25">
      <c r="A5045" s="18">
        <v>4389</v>
      </c>
      <c r="B5045" s="4" t="s">
        <v>249</v>
      </c>
      <c r="C5045" s="38" t="s">
        <v>4424</v>
      </c>
      <c r="D5045" s="18">
        <v>2022</v>
      </c>
      <c r="E5045" s="18" t="s">
        <v>0</v>
      </c>
      <c r="F5045" s="4">
        <v>1</v>
      </c>
      <c r="G5045" s="42">
        <v>8</v>
      </c>
      <c r="H5045" s="42">
        <f t="shared" ref="H5045:H5050" si="0">0.00938409*(1000)</f>
        <v>9.3840899999999987</v>
      </c>
    </row>
    <row r="5046" spans="1:8" s="15" customFormat="1" ht="16.5" hidden="1" customHeight="1" outlineLevel="1" x14ac:dyDescent="0.25">
      <c r="A5046" s="18">
        <v>4390</v>
      </c>
      <c r="B5046" s="4" t="s">
        <v>249</v>
      </c>
      <c r="C5046" s="38" t="s">
        <v>4425</v>
      </c>
      <c r="D5046" s="18">
        <v>2022</v>
      </c>
      <c r="E5046" s="18" t="s">
        <v>0</v>
      </c>
      <c r="F5046" s="4">
        <v>1</v>
      </c>
      <c r="G5046" s="42">
        <v>8</v>
      </c>
      <c r="H5046" s="42">
        <f t="shared" si="0"/>
        <v>9.3840899999999987</v>
      </c>
    </row>
    <row r="5047" spans="1:8" s="15" customFormat="1" ht="16.5" hidden="1" customHeight="1" outlineLevel="1" x14ac:dyDescent="0.25">
      <c r="A5047" s="18">
        <v>4392</v>
      </c>
      <c r="B5047" s="4" t="s">
        <v>249</v>
      </c>
      <c r="C5047" s="38" t="s">
        <v>4426</v>
      </c>
      <c r="D5047" s="18">
        <v>2022</v>
      </c>
      <c r="E5047" s="18" t="s">
        <v>0</v>
      </c>
      <c r="F5047" s="4">
        <v>1</v>
      </c>
      <c r="G5047" s="42">
        <v>10</v>
      </c>
      <c r="H5047" s="42">
        <f t="shared" si="0"/>
        <v>9.3840899999999987</v>
      </c>
    </row>
    <row r="5048" spans="1:8" s="15" customFormat="1" ht="16.5" hidden="1" customHeight="1" outlineLevel="1" x14ac:dyDescent="0.25">
      <c r="A5048" s="18">
        <v>4393</v>
      </c>
      <c r="B5048" s="4" t="s">
        <v>249</v>
      </c>
      <c r="C5048" s="38" t="s">
        <v>4427</v>
      </c>
      <c r="D5048" s="18">
        <v>2022</v>
      </c>
      <c r="E5048" s="18" t="s">
        <v>0</v>
      </c>
      <c r="F5048" s="4">
        <v>1</v>
      </c>
      <c r="G5048" s="42">
        <v>5</v>
      </c>
      <c r="H5048" s="42">
        <f t="shared" si="0"/>
        <v>9.3840899999999987</v>
      </c>
    </row>
    <row r="5049" spans="1:8" s="15" customFormat="1" ht="16.5" hidden="1" customHeight="1" outlineLevel="1" x14ac:dyDescent="0.25">
      <c r="A5049" s="18">
        <v>4394</v>
      </c>
      <c r="B5049" s="4" t="s">
        <v>249</v>
      </c>
      <c r="C5049" s="38" t="s">
        <v>4428</v>
      </c>
      <c r="D5049" s="18">
        <v>2022</v>
      </c>
      <c r="E5049" s="18" t="s">
        <v>0</v>
      </c>
      <c r="F5049" s="4">
        <v>1</v>
      </c>
      <c r="G5049" s="42">
        <v>10</v>
      </c>
      <c r="H5049" s="42">
        <f t="shared" si="0"/>
        <v>9.3840899999999987</v>
      </c>
    </row>
    <row r="5050" spans="1:8" s="15" customFormat="1" ht="16.5" hidden="1" customHeight="1" outlineLevel="1" x14ac:dyDescent="0.25">
      <c r="A5050" s="18">
        <v>4395</v>
      </c>
      <c r="B5050" s="4" t="s">
        <v>249</v>
      </c>
      <c r="C5050" s="38" t="s">
        <v>4429</v>
      </c>
      <c r="D5050" s="18">
        <v>2022</v>
      </c>
      <c r="E5050" s="18" t="s">
        <v>0</v>
      </c>
      <c r="F5050" s="4">
        <v>1</v>
      </c>
      <c r="G5050" s="42">
        <v>10</v>
      </c>
      <c r="H5050" s="42">
        <f t="shared" si="0"/>
        <v>9.3840899999999987</v>
      </c>
    </row>
    <row r="5051" spans="1:8" s="15" customFormat="1" ht="16.5" hidden="1" customHeight="1" outlineLevel="1" x14ac:dyDescent="0.25">
      <c r="A5051" s="18">
        <v>4396</v>
      </c>
      <c r="B5051" s="4" t="s">
        <v>249</v>
      </c>
      <c r="C5051" s="38" t="s">
        <v>4430</v>
      </c>
      <c r="D5051" s="18">
        <v>2022</v>
      </c>
      <c r="E5051" s="18" t="s">
        <v>0</v>
      </c>
      <c r="F5051" s="4">
        <v>1</v>
      </c>
      <c r="G5051" s="42">
        <v>10</v>
      </c>
      <c r="H5051" s="42">
        <f>0.00938403*(1000)</f>
        <v>9.3840299999999992</v>
      </c>
    </row>
    <row r="5052" spans="1:8" s="15" customFormat="1" ht="16.5" hidden="1" customHeight="1" outlineLevel="1" x14ac:dyDescent="0.25">
      <c r="A5052" s="18">
        <v>4397</v>
      </c>
      <c r="B5052" s="4" t="s">
        <v>249</v>
      </c>
      <c r="C5052" s="38" t="s">
        <v>4431</v>
      </c>
      <c r="D5052" s="18">
        <v>2022</v>
      </c>
      <c r="E5052" s="18" t="s">
        <v>0</v>
      </c>
      <c r="F5052" s="4">
        <v>1</v>
      </c>
      <c r="G5052" s="42">
        <v>13</v>
      </c>
      <c r="H5052" s="42">
        <f>0.00938409*(1000)</f>
        <v>9.3840899999999987</v>
      </c>
    </row>
    <row r="5053" spans="1:8" s="15" customFormat="1" ht="16.5" hidden="1" customHeight="1" outlineLevel="1" x14ac:dyDescent="0.25">
      <c r="A5053" s="18">
        <v>4398</v>
      </c>
      <c r="B5053" s="4" t="s">
        <v>249</v>
      </c>
      <c r="C5053" s="38" t="s">
        <v>4432</v>
      </c>
      <c r="D5053" s="18">
        <v>2022</v>
      </c>
      <c r="E5053" s="18" t="s">
        <v>0</v>
      </c>
      <c r="F5053" s="4">
        <v>1</v>
      </c>
      <c r="G5053" s="42">
        <v>10</v>
      </c>
      <c r="H5053" s="42">
        <f>0.00938409*(1000)</f>
        <v>9.3840899999999987</v>
      </c>
    </row>
    <row r="5054" spans="1:8" s="15" customFormat="1" ht="16.5" hidden="1" customHeight="1" outlineLevel="1" x14ac:dyDescent="0.25">
      <c r="A5054" s="18">
        <v>4400</v>
      </c>
      <c r="B5054" s="4" t="s">
        <v>249</v>
      </c>
      <c r="C5054" s="38" t="s">
        <v>4433</v>
      </c>
      <c r="D5054" s="18">
        <v>2022</v>
      </c>
      <c r="E5054" s="18" t="s">
        <v>0</v>
      </c>
      <c r="F5054" s="4">
        <v>1</v>
      </c>
      <c r="G5054" s="42">
        <v>12</v>
      </c>
      <c r="H5054" s="42">
        <f>0.00938409*(1000)</f>
        <v>9.3840899999999987</v>
      </c>
    </row>
    <row r="5055" spans="1:8" s="15" customFormat="1" ht="16.5" hidden="1" customHeight="1" outlineLevel="1" x14ac:dyDescent="0.25">
      <c r="A5055" s="18">
        <v>4401</v>
      </c>
      <c r="B5055" s="4" t="s">
        <v>249</v>
      </c>
      <c r="C5055" s="38" t="s">
        <v>4434</v>
      </c>
      <c r="D5055" s="18">
        <v>2022</v>
      </c>
      <c r="E5055" s="18" t="s">
        <v>0</v>
      </c>
      <c r="F5055" s="4">
        <v>1</v>
      </c>
      <c r="G5055" s="42">
        <v>10</v>
      </c>
      <c r="H5055" s="42">
        <f>0.00938409*(1000)</f>
        <v>9.3840899999999987</v>
      </c>
    </row>
    <row r="5056" spans="1:8" s="15" customFormat="1" ht="16.5" hidden="1" customHeight="1" outlineLevel="1" x14ac:dyDescent="0.25">
      <c r="A5056" s="18">
        <v>4403</v>
      </c>
      <c r="B5056" s="4" t="s">
        <v>249</v>
      </c>
      <c r="C5056" s="38" t="s">
        <v>4435</v>
      </c>
      <c r="D5056" s="18">
        <v>2022</v>
      </c>
      <c r="E5056" s="18" t="s">
        <v>0</v>
      </c>
      <c r="F5056" s="4">
        <v>1</v>
      </c>
      <c r="G5056" s="42">
        <v>10</v>
      </c>
      <c r="H5056" s="42">
        <f>0.00938407*(1000)</f>
        <v>9.3840699999999995</v>
      </c>
    </row>
    <row r="5057" spans="1:8" s="15" customFormat="1" ht="16.5" hidden="1" customHeight="1" outlineLevel="1" x14ac:dyDescent="0.25">
      <c r="A5057" s="18">
        <v>4404</v>
      </c>
      <c r="B5057" s="4" t="s">
        <v>249</v>
      </c>
      <c r="C5057" s="38" t="s">
        <v>4436</v>
      </c>
      <c r="D5057" s="18">
        <v>2022</v>
      </c>
      <c r="E5057" s="18" t="s">
        <v>0</v>
      </c>
      <c r="F5057" s="4">
        <v>1</v>
      </c>
      <c r="G5057" s="42">
        <v>10</v>
      </c>
      <c r="H5057" s="42">
        <f>0.00938408*(1000)</f>
        <v>9.3840799999999991</v>
      </c>
    </row>
    <row r="5058" spans="1:8" s="15" customFormat="1" ht="16.5" hidden="1" customHeight="1" outlineLevel="1" x14ac:dyDescent="0.25">
      <c r="A5058" s="18">
        <v>4405</v>
      </c>
      <c r="B5058" s="4" t="s">
        <v>249</v>
      </c>
      <c r="C5058" s="38" t="s">
        <v>4437</v>
      </c>
      <c r="D5058" s="18">
        <v>2022</v>
      </c>
      <c r="E5058" s="18" t="s">
        <v>0</v>
      </c>
      <c r="F5058" s="4">
        <v>1</v>
      </c>
      <c r="G5058" s="42">
        <v>15</v>
      </c>
      <c r="H5058" s="42">
        <f>0.00938407*(1000)</f>
        <v>9.3840699999999995</v>
      </c>
    </row>
    <row r="5059" spans="1:8" s="15" customFormat="1" ht="16.5" hidden="1" customHeight="1" outlineLevel="1" x14ac:dyDescent="0.25">
      <c r="A5059" s="18">
        <v>4406</v>
      </c>
      <c r="B5059" s="4" t="s">
        <v>249</v>
      </c>
      <c r="C5059" s="38" t="s">
        <v>4438</v>
      </c>
      <c r="D5059" s="18">
        <v>2022</v>
      </c>
      <c r="E5059" s="18" t="s">
        <v>0</v>
      </c>
      <c r="F5059" s="4">
        <v>1</v>
      </c>
      <c r="G5059" s="42">
        <v>8</v>
      </c>
      <c r="H5059" s="42">
        <f>0.0093841*(1000)</f>
        <v>9.3841000000000001</v>
      </c>
    </row>
    <row r="5060" spans="1:8" s="15" customFormat="1" ht="16.5" hidden="1" customHeight="1" outlineLevel="1" x14ac:dyDescent="0.25">
      <c r="A5060" s="18">
        <v>4407</v>
      </c>
      <c r="B5060" s="4" t="s">
        <v>249</v>
      </c>
      <c r="C5060" s="38" t="s">
        <v>4439</v>
      </c>
      <c r="D5060" s="18">
        <v>2022</v>
      </c>
      <c r="E5060" s="18" t="s">
        <v>0</v>
      </c>
      <c r="F5060" s="4">
        <v>1</v>
      </c>
      <c r="G5060" s="42">
        <v>10</v>
      </c>
      <c r="H5060" s="42">
        <f>0.00938407*(1000)</f>
        <v>9.3840699999999995</v>
      </c>
    </row>
    <row r="5061" spans="1:8" s="15" customFormat="1" ht="16.5" hidden="1" customHeight="1" outlineLevel="1" x14ac:dyDescent="0.25">
      <c r="A5061" s="18">
        <v>4408</v>
      </c>
      <c r="B5061" s="4" t="s">
        <v>249</v>
      </c>
      <c r="C5061" s="38" t="s">
        <v>4440</v>
      </c>
      <c r="D5061" s="18">
        <v>2022</v>
      </c>
      <c r="E5061" s="18" t="s">
        <v>0</v>
      </c>
      <c r="F5061" s="4">
        <v>1</v>
      </c>
      <c r="G5061" s="42">
        <v>10</v>
      </c>
      <c r="H5061" s="42">
        <f>0.0093841*(1000)</f>
        <v>9.3841000000000001</v>
      </c>
    </row>
    <row r="5062" spans="1:8" s="15" customFormat="1" ht="16.5" hidden="1" customHeight="1" outlineLevel="1" x14ac:dyDescent="0.25">
      <c r="A5062" s="18">
        <v>4410</v>
      </c>
      <c r="B5062" s="4" t="s">
        <v>249</v>
      </c>
      <c r="C5062" s="38" t="s">
        <v>4441</v>
      </c>
      <c r="D5062" s="18">
        <v>2022</v>
      </c>
      <c r="E5062" s="18" t="s">
        <v>0</v>
      </c>
      <c r="F5062" s="4">
        <v>1</v>
      </c>
      <c r="G5062" s="42">
        <v>5</v>
      </c>
      <c r="H5062" s="42">
        <f>0.00938409*(1000)</f>
        <v>9.3840899999999987</v>
      </c>
    </row>
    <row r="5063" spans="1:8" s="15" customFormat="1" ht="16.5" hidden="1" customHeight="1" outlineLevel="1" x14ac:dyDescent="0.25">
      <c r="A5063" s="18">
        <v>4411</v>
      </c>
      <c r="B5063" s="4" t="s">
        <v>249</v>
      </c>
      <c r="C5063" s="38" t="s">
        <v>4442</v>
      </c>
      <c r="D5063" s="18">
        <v>2022</v>
      </c>
      <c r="E5063" s="18" t="s">
        <v>0</v>
      </c>
      <c r="F5063" s="4">
        <v>1</v>
      </c>
      <c r="G5063" s="42">
        <v>10</v>
      </c>
      <c r="H5063" s="42">
        <f>0.00938409*(1000)</f>
        <v>9.3840899999999987</v>
      </c>
    </row>
    <row r="5064" spans="1:8" s="15" customFormat="1" ht="16.5" hidden="1" customHeight="1" outlineLevel="1" x14ac:dyDescent="0.25">
      <c r="A5064" s="18">
        <v>4412</v>
      </c>
      <c r="B5064" s="4" t="s">
        <v>249</v>
      </c>
      <c r="C5064" s="38" t="s">
        <v>4443</v>
      </c>
      <c r="D5064" s="18">
        <v>2022</v>
      </c>
      <c r="E5064" s="18" t="s">
        <v>0</v>
      </c>
      <c r="F5064" s="4">
        <v>1</v>
      </c>
      <c r="G5064" s="42">
        <v>5</v>
      </c>
      <c r="H5064" s="42">
        <f>0.00938408*(1000)</f>
        <v>9.3840799999999991</v>
      </c>
    </row>
    <row r="5065" spans="1:8" s="15" customFormat="1" ht="16.5" hidden="1" customHeight="1" outlineLevel="1" x14ac:dyDescent="0.25">
      <c r="A5065" s="18">
        <v>4413</v>
      </c>
      <c r="B5065" s="4" t="s">
        <v>249</v>
      </c>
      <c r="C5065" s="38" t="s">
        <v>4444</v>
      </c>
      <c r="D5065" s="18">
        <v>2022</v>
      </c>
      <c r="E5065" s="18" t="s">
        <v>0</v>
      </c>
      <c r="F5065" s="4">
        <v>1</v>
      </c>
      <c r="G5065" s="42">
        <v>5</v>
      </c>
      <c r="H5065" s="42">
        <f>0.0093841*(1000)</f>
        <v>9.3841000000000001</v>
      </c>
    </row>
    <row r="5066" spans="1:8" s="15" customFormat="1" ht="16.5" hidden="1" customHeight="1" outlineLevel="1" x14ac:dyDescent="0.25">
      <c r="A5066" s="18">
        <v>4414</v>
      </c>
      <c r="B5066" s="4" t="s">
        <v>249</v>
      </c>
      <c r="C5066" s="38" t="s">
        <v>4445</v>
      </c>
      <c r="D5066" s="18">
        <v>2022</v>
      </c>
      <c r="E5066" s="18" t="s">
        <v>0</v>
      </c>
      <c r="F5066" s="4">
        <v>1</v>
      </c>
      <c r="G5066" s="42">
        <v>8</v>
      </c>
      <c r="H5066" s="42">
        <f>0.00938409*(1000)</f>
        <v>9.3840899999999987</v>
      </c>
    </row>
    <row r="5067" spans="1:8" s="15" customFormat="1" ht="16.5" hidden="1" customHeight="1" outlineLevel="1" x14ac:dyDescent="0.25">
      <c r="A5067" s="18">
        <v>4416</v>
      </c>
      <c r="B5067" s="4" t="s">
        <v>249</v>
      </c>
      <c r="C5067" s="38" t="s">
        <v>4446</v>
      </c>
      <c r="D5067" s="18">
        <v>2022</v>
      </c>
      <c r="E5067" s="18" t="s">
        <v>0</v>
      </c>
      <c r="F5067" s="4">
        <v>1</v>
      </c>
      <c r="G5067" s="42">
        <v>5</v>
      </c>
      <c r="H5067" s="42">
        <f>0.00938409*(1000)</f>
        <v>9.3840899999999987</v>
      </c>
    </row>
    <row r="5068" spans="1:8" s="15" customFormat="1" ht="16.5" hidden="1" customHeight="1" outlineLevel="1" x14ac:dyDescent="0.25">
      <c r="A5068" s="18">
        <v>4417</v>
      </c>
      <c r="B5068" s="4" t="s">
        <v>249</v>
      </c>
      <c r="C5068" s="38" t="s">
        <v>4447</v>
      </c>
      <c r="D5068" s="18">
        <v>2022</v>
      </c>
      <c r="E5068" s="18" t="s">
        <v>0</v>
      </c>
      <c r="F5068" s="4">
        <v>1</v>
      </c>
      <c r="G5068" s="42">
        <v>10</v>
      </c>
      <c r="H5068" s="42">
        <f>0.00938409*(1000)</f>
        <v>9.3840899999999987</v>
      </c>
    </row>
    <row r="5069" spans="1:8" s="15" customFormat="1" ht="16.5" hidden="1" customHeight="1" outlineLevel="1" x14ac:dyDescent="0.25">
      <c r="A5069" s="18">
        <v>4419</v>
      </c>
      <c r="B5069" s="4" t="s">
        <v>249</v>
      </c>
      <c r="C5069" s="38" t="s">
        <v>4448</v>
      </c>
      <c r="D5069" s="18">
        <v>2022</v>
      </c>
      <c r="E5069" s="18" t="s">
        <v>0</v>
      </c>
      <c r="F5069" s="4">
        <v>1</v>
      </c>
      <c r="G5069" s="42">
        <v>5</v>
      </c>
      <c r="H5069" s="42">
        <f>0.00938409*(1000)</f>
        <v>9.3840899999999987</v>
      </c>
    </row>
    <row r="5070" spans="1:8" s="15" customFormat="1" ht="16.5" hidden="1" customHeight="1" outlineLevel="1" x14ac:dyDescent="0.25">
      <c r="A5070" s="18">
        <v>4420</v>
      </c>
      <c r="B5070" s="4" t="s">
        <v>249</v>
      </c>
      <c r="C5070" s="38" t="s">
        <v>4449</v>
      </c>
      <c r="D5070" s="18">
        <v>2022</v>
      </c>
      <c r="E5070" s="18" t="s">
        <v>0</v>
      </c>
      <c r="F5070" s="4">
        <v>1</v>
      </c>
      <c r="G5070" s="42">
        <v>8</v>
      </c>
      <c r="H5070" s="42">
        <f>0.00938406*(1000)</f>
        <v>9.3840599999999998</v>
      </c>
    </row>
    <row r="5071" spans="1:8" s="15" customFormat="1" ht="16.5" hidden="1" customHeight="1" outlineLevel="1" x14ac:dyDescent="0.25">
      <c r="A5071" s="18">
        <v>4421</v>
      </c>
      <c r="B5071" s="4" t="s">
        <v>249</v>
      </c>
      <c r="C5071" s="38" t="s">
        <v>4450</v>
      </c>
      <c r="D5071" s="18">
        <v>2022</v>
      </c>
      <c r="E5071" s="18" t="s">
        <v>0</v>
      </c>
      <c r="F5071" s="4">
        <v>1</v>
      </c>
      <c r="G5071" s="42">
        <v>10</v>
      </c>
      <c r="H5071" s="42">
        <f t="shared" ref="H5071:H5076" si="1">0.00938409*(1000)</f>
        <v>9.3840899999999987</v>
      </c>
    </row>
    <row r="5072" spans="1:8" s="15" customFormat="1" ht="16.5" hidden="1" customHeight="1" outlineLevel="1" x14ac:dyDescent="0.25">
      <c r="A5072" s="18">
        <v>4422</v>
      </c>
      <c r="B5072" s="4" t="s">
        <v>249</v>
      </c>
      <c r="C5072" s="38" t="s">
        <v>4451</v>
      </c>
      <c r="D5072" s="18">
        <v>2022</v>
      </c>
      <c r="E5072" s="18" t="s">
        <v>0</v>
      </c>
      <c r="F5072" s="4">
        <v>1</v>
      </c>
      <c r="G5072" s="42">
        <v>10</v>
      </c>
      <c r="H5072" s="42">
        <f t="shared" si="1"/>
        <v>9.3840899999999987</v>
      </c>
    </row>
    <row r="5073" spans="1:8" s="15" customFormat="1" ht="16.5" hidden="1" customHeight="1" outlineLevel="1" x14ac:dyDescent="0.25">
      <c r="A5073" s="18">
        <v>4424</v>
      </c>
      <c r="B5073" s="4" t="s">
        <v>249</v>
      </c>
      <c r="C5073" s="38" t="s">
        <v>4452</v>
      </c>
      <c r="D5073" s="18">
        <v>2022</v>
      </c>
      <c r="E5073" s="18" t="s">
        <v>0</v>
      </c>
      <c r="F5073" s="4">
        <v>1</v>
      </c>
      <c r="G5073" s="42">
        <v>5</v>
      </c>
      <c r="H5073" s="42">
        <f t="shared" si="1"/>
        <v>9.3840899999999987</v>
      </c>
    </row>
    <row r="5074" spans="1:8" s="15" customFormat="1" ht="16.5" hidden="1" customHeight="1" outlineLevel="1" x14ac:dyDescent="0.25">
      <c r="A5074" s="18">
        <v>4425</v>
      </c>
      <c r="B5074" s="4" t="s">
        <v>249</v>
      </c>
      <c r="C5074" s="38" t="s">
        <v>4453</v>
      </c>
      <c r="D5074" s="18">
        <v>2022</v>
      </c>
      <c r="E5074" s="18" t="s">
        <v>0</v>
      </c>
      <c r="F5074" s="4">
        <v>1</v>
      </c>
      <c r="G5074" s="42">
        <v>8</v>
      </c>
      <c r="H5074" s="42">
        <f t="shared" si="1"/>
        <v>9.3840899999999987</v>
      </c>
    </row>
    <row r="5075" spans="1:8" s="15" customFormat="1" ht="16.5" hidden="1" customHeight="1" outlineLevel="1" x14ac:dyDescent="0.25">
      <c r="A5075" s="18">
        <v>4426</v>
      </c>
      <c r="B5075" s="4" t="s">
        <v>249</v>
      </c>
      <c r="C5075" s="38" t="s">
        <v>4454</v>
      </c>
      <c r="D5075" s="18">
        <v>2022</v>
      </c>
      <c r="E5075" s="18" t="s">
        <v>0</v>
      </c>
      <c r="F5075" s="4">
        <v>1</v>
      </c>
      <c r="G5075" s="42">
        <v>10</v>
      </c>
      <c r="H5075" s="42">
        <f t="shared" si="1"/>
        <v>9.3840899999999987</v>
      </c>
    </row>
    <row r="5076" spans="1:8" s="15" customFormat="1" ht="16.5" hidden="1" customHeight="1" outlineLevel="1" x14ac:dyDescent="0.25">
      <c r="A5076" s="18">
        <v>4427</v>
      </c>
      <c r="B5076" s="4" t="s">
        <v>249</v>
      </c>
      <c r="C5076" s="38" t="s">
        <v>4455</v>
      </c>
      <c r="D5076" s="18">
        <v>2022</v>
      </c>
      <c r="E5076" s="18" t="s">
        <v>0</v>
      </c>
      <c r="F5076" s="4">
        <v>1</v>
      </c>
      <c r="G5076" s="42">
        <v>10</v>
      </c>
      <c r="H5076" s="42">
        <f t="shared" si="1"/>
        <v>9.3840899999999987</v>
      </c>
    </row>
    <row r="5077" spans="1:8" s="15" customFormat="1" ht="16.5" hidden="1" customHeight="1" outlineLevel="1" x14ac:dyDescent="0.25">
      <c r="A5077" s="18">
        <v>4428</v>
      </c>
      <c r="B5077" s="4" t="s">
        <v>249</v>
      </c>
      <c r="C5077" s="38" t="s">
        <v>4456</v>
      </c>
      <c r="D5077" s="18">
        <v>2022</v>
      </c>
      <c r="E5077" s="18" t="s">
        <v>0</v>
      </c>
      <c r="F5077" s="4">
        <v>1</v>
      </c>
      <c r="G5077" s="42">
        <v>8</v>
      </c>
      <c r="H5077" s="42">
        <f>0.0093542*(1000)</f>
        <v>9.3542000000000005</v>
      </c>
    </row>
    <row r="5078" spans="1:8" s="15" customFormat="1" ht="16.5" hidden="1" customHeight="1" outlineLevel="1" x14ac:dyDescent="0.25">
      <c r="A5078" s="18">
        <v>4429</v>
      </c>
      <c r="B5078" s="4" t="s">
        <v>249</v>
      </c>
      <c r="C5078" s="38" t="s">
        <v>4457</v>
      </c>
      <c r="D5078" s="18">
        <v>2022</v>
      </c>
      <c r="E5078" s="18" t="s">
        <v>0</v>
      </c>
      <c r="F5078" s="4">
        <v>1</v>
      </c>
      <c r="G5078" s="42">
        <v>10</v>
      </c>
      <c r="H5078" s="42">
        <f>0.0093542*(1000)</f>
        <v>9.3542000000000005</v>
      </c>
    </row>
    <row r="5079" spans="1:8" s="15" customFormat="1" ht="16.5" hidden="1" customHeight="1" outlineLevel="1" x14ac:dyDescent="0.25">
      <c r="A5079" s="18">
        <v>4431</v>
      </c>
      <c r="B5079" s="4" t="s">
        <v>249</v>
      </c>
      <c r="C5079" s="38" t="s">
        <v>4458</v>
      </c>
      <c r="D5079" s="18">
        <v>2022</v>
      </c>
      <c r="E5079" s="18" t="s">
        <v>0</v>
      </c>
      <c r="F5079" s="4">
        <v>1</v>
      </c>
      <c r="G5079" s="42">
        <v>8</v>
      </c>
      <c r="H5079" s="42">
        <f t="shared" ref="H5079:H5084" si="2">0.00938409*(1000)</f>
        <v>9.3840899999999987</v>
      </c>
    </row>
    <row r="5080" spans="1:8" s="15" customFormat="1" ht="16.5" hidden="1" customHeight="1" outlineLevel="1" x14ac:dyDescent="0.25">
      <c r="A5080" s="18">
        <v>4434</v>
      </c>
      <c r="B5080" s="4" t="s">
        <v>249</v>
      </c>
      <c r="C5080" s="38" t="s">
        <v>4459</v>
      </c>
      <c r="D5080" s="18">
        <v>2022</v>
      </c>
      <c r="E5080" s="18" t="s">
        <v>0</v>
      </c>
      <c r="F5080" s="4">
        <v>1</v>
      </c>
      <c r="G5080" s="42">
        <v>8</v>
      </c>
      <c r="H5080" s="42">
        <f t="shared" si="2"/>
        <v>9.3840899999999987</v>
      </c>
    </row>
    <row r="5081" spans="1:8" s="15" customFormat="1" ht="16.5" hidden="1" customHeight="1" outlineLevel="1" x14ac:dyDescent="0.25">
      <c r="A5081" s="18">
        <v>4436</v>
      </c>
      <c r="B5081" s="4" t="s">
        <v>249</v>
      </c>
      <c r="C5081" s="38" t="s">
        <v>4460</v>
      </c>
      <c r="D5081" s="18">
        <v>2022</v>
      </c>
      <c r="E5081" s="18" t="s">
        <v>0</v>
      </c>
      <c r="F5081" s="4">
        <v>1</v>
      </c>
      <c r="G5081" s="42">
        <v>10</v>
      </c>
      <c r="H5081" s="42">
        <f t="shared" si="2"/>
        <v>9.3840899999999987</v>
      </c>
    </row>
    <row r="5082" spans="1:8" s="15" customFormat="1" ht="16.5" hidden="1" customHeight="1" outlineLevel="1" x14ac:dyDescent="0.25">
      <c r="A5082" s="18">
        <v>4437</v>
      </c>
      <c r="B5082" s="4" t="s">
        <v>249</v>
      </c>
      <c r="C5082" s="38" t="s">
        <v>4461</v>
      </c>
      <c r="D5082" s="18">
        <v>2022</v>
      </c>
      <c r="E5082" s="18" t="s">
        <v>0</v>
      </c>
      <c r="F5082" s="4">
        <v>1</v>
      </c>
      <c r="G5082" s="42">
        <v>10</v>
      </c>
      <c r="H5082" s="42">
        <f t="shared" si="2"/>
        <v>9.3840899999999987</v>
      </c>
    </row>
    <row r="5083" spans="1:8" s="15" customFormat="1" ht="16.5" hidden="1" customHeight="1" outlineLevel="1" x14ac:dyDescent="0.25">
      <c r="A5083" s="18">
        <v>4438</v>
      </c>
      <c r="B5083" s="4" t="s">
        <v>249</v>
      </c>
      <c r="C5083" s="38" t="s">
        <v>4462</v>
      </c>
      <c r="D5083" s="18">
        <v>2022</v>
      </c>
      <c r="E5083" s="18" t="s">
        <v>0</v>
      </c>
      <c r="F5083" s="4">
        <v>1</v>
      </c>
      <c r="G5083" s="42">
        <v>10</v>
      </c>
      <c r="H5083" s="42">
        <f t="shared" si="2"/>
        <v>9.3840899999999987</v>
      </c>
    </row>
    <row r="5084" spans="1:8" s="15" customFormat="1" ht="16.5" hidden="1" customHeight="1" outlineLevel="1" x14ac:dyDescent="0.25">
      <c r="A5084" s="18">
        <v>4439</v>
      </c>
      <c r="B5084" s="4" t="s">
        <v>249</v>
      </c>
      <c r="C5084" s="38" t="s">
        <v>4463</v>
      </c>
      <c r="D5084" s="18">
        <v>2022</v>
      </c>
      <c r="E5084" s="18" t="s">
        <v>0</v>
      </c>
      <c r="F5084" s="4">
        <v>1</v>
      </c>
      <c r="G5084" s="42">
        <v>8</v>
      </c>
      <c r="H5084" s="42">
        <f t="shared" si="2"/>
        <v>9.3840899999999987</v>
      </c>
    </row>
    <row r="5085" spans="1:8" s="15" customFormat="1" ht="16.5" hidden="1" customHeight="1" outlineLevel="1" x14ac:dyDescent="0.25">
      <c r="A5085" s="18">
        <v>4440</v>
      </c>
      <c r="B5085" s="4" t="s">
        <v>249</v>
      </c>
      <c r="C5085" s="38" t="s">
        <v>4464</v>
      </c>
      <c r="D5085" s="18">
        <v>2022</v>
      </c>
      <c r="E5085" s="18" t="s">
        <v>0</v>
      </c>
      <c r="F5085" s="4">
        <v>1</v>
      </c>
      <c r="G5085" s="42">
        <v>10</v>
      </c>
      <c r="H5085" s="42">
        <f>0.00938079*(1000)</f>
        <v>9.3807899999999993</v>
      </c>
    </row>
    <row r="5086" spans="1:8" s="15" customFormat="1" ht="16.5" hidden="1" customHeight="1" outlineLevel="1" x14ac:dyDescent="0.25">
      <c r="A5086" s="18">
        <v>4441</v>
      </c>
      <c r="B5086" s="4" t="s">
        <v>249</v>
      </c>
      <c r="C5086" s="38" t="s">
        <v>4465</v>
      </c>
      <c r="D5086" s="18">
        <v>2022</v>
      </c>
      <c r="E5086" s="18" t="s">
        <v>0</v>
      </c>
      <c r="F5086" s="4">
        <v>1</v>
      </c>
      <c r="G5086" s="42">
        <v>8</v>
      </c>
      <c r="H5086" s="42">
        <f t="shared" ref="H5086:H5097" si="3">0.00938409*(1000)</f>
        <v>9.3840899999999987</v>
      </c>
    </row>
    <row r="5087" spans="1:8" s="15" customFormat="1" ht="16.5" hidden="1" customHeight="1" outlineLevel="1" x14ac:dyDescent="0.25">
      <c r="A5087" s="18">
        <v>4443</v>
      </c>
      <c r="B5087" s="4" t="s">
        <v>249</v>
      </c>
      <c r="C5087" s="38" t="s">
        <v>4466</v>
      </c>
      <c r="D5087" s="18">
        <v>2022</v>
      </c>
      <c r="E5087" s="18" t="s">
        <v>0</v>
      </c>
      <c r="F5087" s="4">
        <v>1</v>
      </c>
      <c r="G5087" s="42">
        <v>8</v>
      </c>
      <c r="H5087" s="42">
        <f t="shared" si="3"/>
        <v>9.3840899999999987</v>
      </c>
    </row>
    <row r="5088" spans="1:8" s="15" customFormat="1" ht="16.5" hidden="1" customHeight="1" outlineLevel="1" x14ac:dyDescent="0.25">
      <c r="A5088" s="18">
        <v>4445</v>
      </c>
      <c r="B5088" s="4" t="s">
        <v>249</v>
      </c>
      <c r="C5088" s="38" t="s">
        <v>4467</v>
      </c>
      <c r="D5088" s="18">
        <v>2022</v>
      </c>
      <c r="E5088" s="18" t="s">
        <v>0</v>
      </c>
      <c r="F5088" s="4">
        <v>1</v>
      </c>
      <c r="G5088" s="42">
        <v>8</v>
      </c>
      <c r="H5088" s="42">
        <f t="shared" si="3"/>
        <v>9.3840899999999987</v>
      </c>
    </row>
    <row r="5089" spans="1:8" s="15" customFormat="1" ht="16.5" hidden="1" customHeight="1" outlineLevel="1" x14ac:dyDescent="0.25">
      <c r="A5089" s="18">
        <v>4447</v>
      </c>
      <c r="B5089" s="4" t="s">
        <v>249</v>
      </c>
      <c r="C5089" s="38" t="s">
        <v>4468</v>
      </c>
      <c r="D5089" s="18">
        <v>2022</v>
      </c>
      <c r="E5089" s="18" t="s">
        <v>0</v>
      </c>
      <c r="F5089" s="4">
        <v>1</v>
      </c>
      <c r="G5089" s="42">
        <v>10</v>
      </c>
      <c r="H5089" s="42">
        <f t="shared" si="3"/>
        <v>9.3840899999999987</v>
      </c>
    </row>
    <row r="5090" spans="1:8" s="15" customFormat="1" ht="16.5" hidden="1" customHeight="1" outlineLevel="1" x14ac:dyDescent="0.25">
      <c r="A5090" s="18">
        <v>4448</v>
      </c>
      <c r="B5090" s="4" t="s">
        <v>249</v>
      </c>
      <c r="C5090" s="38" t="s">
        <v>4469</v>
      </c>
      <c r="D5090" s="18">
        <v>2022</v>
      </c>
      <c r="E5090" s="18" t="s">
        <v>0</v>
      </c>
      <c r="F5090" s="4">
        <v>1</v>
      </c>
      <c r="G5090" s="42">
        <v>5</v>
      </c>
      <c r="H5090" s="42">
        <f t="shared" si="3"/>
        <v>9.3840899999999987</v>
      </c>
    </row>
    <row r="5091" spans="1:8" s="15" customFormat="1" ht="16.5" hidden="1" customHeight="1" outlineLevel="1" x14ac:dyDescent="0.25">
      <c r="A5091" s="18">
        <v>4449</v>
      </c>
      <c r="B5091" s="4" t="s">
        <v>249</v>
      </c>
      <c r="C5091" s="38" t="s">
        <v>4470</v>
      </c>
      <c r="D5091" s="18">
        <v>2022</v>
      </c>
      <c r="E5091" s="18" t="s">
        <v>0</v>
      </c>
      <c r="F5091" s="4">
        <v>1</v>
      </c>
      <c r="G5091" s="42">
        <v>5</v>
      </c>
      <c r="H5091" s="42">
        <f t="shared" si="3"/>
        <v>9.3840899999999987</v>
      </c>
    </row>
    <row r="5092" spans="1:8" s="15" customFormat="1" ht="16.5" hidden="1" customHeight="1" outlineLevel="1" x14ac:dyDescent="0.25">
      <c r="A5092" s="18">
        <v>4450</v>
      </c>
      <c r="B5092" s="4" t="s">
        <v>249</v>
      </c>
      <c r="C5092" s="38" t="s">
        <v>4471</v>
      </c>
      <c r="D5092" s="18">
        <v>2022</v>
      </c>
      <c r="E5092" s="18" t="s">
        <v>0</v>
      </c>
      <c r="F5092" s="4">
        <v>1</v>
      </c>
      <c r="G5092" s="42">
        <v>10</v>
      </c>
      <c r="H5092" s="42">
        <f t="shared" si="3"/>
        <v>9.3840899999999987</v>
      </c>
    </row>
    <row r="5093" spans="1:8" s="15" customFormat="1" ht="16.5" hidden="1" customHeight="1" outlineLevel="1" x14ac:dyDescent="0.25">
      <c r="A5093" s="18">
        <v>4451</v>
      </c>
      <c r="B5093" s="4" t="s">
        <v>249</v>
      </c>
      <c r="C5093" s="38" t="s">
        <v>4472</v>
      </c>
      <c r="D5093" s="18">
        <v>2022</v>
      </c>
      <c r="E5093" s="18" t="s">
        <v>0</v>
      </c>
      <c r="F5093" s="4">
        <v>1</v>
      </c>
      <c r="G5093" s="42">
        <v>8</v>
      </c>
      <c r="H5093" s="42">
        <f t="shared" si="3"/>
        <v>9.3840899999999987</v>
      </c>
    </row>
    <row r="5094" spans="1:8" s="15" customFormat="1" ht="16.5" hidden="1" customHeight="1" outlineLevel="1" x14ac:dyDescent="0.25">
      <c r="A5094" s="18">
        <v>4452</v>
      </c>
      <c r="B5094" s="4" t="s">
        <v>249</v>
      </c>
      <c r="C5094" s="38" t="s">
        <v>4473</v>
      </c>
      <c r="D5094" s="18">
        <v>2022</v>
      </c>
      <c r="E5094" s="18" t="s">
        <v>0</v>
      </c>
      <c r="F5094" s="4">
        <v>1</v>
      </c>
      <c r="G5094" s="42">
        <v>6</v>
      </c>
      <c r="H5094" s="42">
        <f t="shared" si="3"/>
        <v>9.3840899999999987</v>
      </c>
    </row>
    <row r="5095" spans="1:8" s="15" customFormat="1" ht="16.5" hidden="1" customHeight="1" outlineLevel="1" x14ac:dyDescent="0.25">
      <c r="A5095" s="18">
        <v>4453</v>
      </c>
      <c r="B5095" s="4" t="s">
        <v>249</v>
      </c>
      <c r="C5095" s="38" t="s">
        <v>4474</v>
      </c>
      <c r="D5095" s="18">
        <v>2022</v>
      </c>
      <c r="E5095" s="18" t="s">
        <v>0</v>
      </c>
      <c r="F5095" s="4">
        <v>1</v>
      </c>
      <c r="G5095" s="42">
        <v>10</v>
      </c>
      <c r="H5095" s="42">
        <f t="shared" si="3"/>
        <v>9.3840899999999987</v>
      </c>
    </row>
    <row r="5096" spans="1:8" s="15" customFormat="1" ht="16.5" hidden="1" customHeight="1" outlineLevel="1" x14ac:dyDescent="0.25">
      <c r="A5096" s="18">
        <v>4455</v>
      </c>
      <c r="B5096" s="4" t="s">
        <v>249</v>
      </c>
      <c r="C5096" s="38" t="s">
        <v>4475</v>
      </c>
      <c r="D5096" s="18">
        <v>2022</v>
      </c>
      <c r="E5096" s="18" t="s">
        <v>0</v>
      </c>
      <c r="F5096" s="4">
        <v>1</v>
      </c>
      <c r="G5096" s="42">
        <v>10</v>
      </c>
      <c r="H5096" s="42">
        <f t="shared" si="3"/>
        <v>9.3840899999999987</v>
      </c>
    </row>
    <row r="5097" spans="1:8" s="15" customFormat="1" ht="16.5" hidden="1" customHeight="1" outlineLevel="1" x14ac:dyDescent="0.25">
      <c r="A5097" s="18">
        <v>4457</v>
      </c>
      <c r="B5097" s="4" t="s">
        <v>249</v>
      </c>
      <c r="C5097" s="38" t="s">
        <v>4476</v>
      </c>
      <c r="D5097" s="18">
        <v>2022</v>
      </c>
      <c r="E5097" s="18" t="s">
        <v>0</v>
      </c>
      <c r="F5097" s="4">
        <v>1</v>
      </c>
      <c r="G5097" s="42">
        <v>5</v>
      </c>
      <c r="H5097" s="42">
        <f t="shared" si="3"/>
        <v>9.3840899999999987</v>
      </c>
    </row>
    <row r="5098" spans="1:8" s="15" customFormat="1" ht="16.5" hidden="1" customHeight="1" outlineLevel="1" x14ac:dyDescent="0.25">
      <c r="A5098" s="18">
        <v>4458</v>
      </c>
      <c r="B5098" s="4" t="s">
        <v>249</v>
      </c>
      <c r="C5098" s="38" t="s">
        <v>4477</v>
      </c>
      <c r="D5098" s="18">
        <v>2022</v>
      </c>
      <c r="E5098" s="18" t="s">
        <v>0</v>
      </c>
      <c r="F5098" s="4">
        <v>1</v>
      </c>
      <c r="G5098" s="42">
        <v>5</v>
      </c>
      <c r="H5098" s="42">
        <f>0.00935009*(1000)</f>
        <v>9.3500899999999998</v>
      </c>
    </row>
    <row r="5099" spans="1:8" s="15" customFormat="1" ht="16.5" hidden="1" customHeight="1" outlineLevel="1" x14ac:dyDescent="0.25">
      <c r="A5099" s="18">
        <v>4459</v>
      </c>
      <c r="B5099" s="4" t="s">
        <v>249</v>
      </c>
      <c r="C5099" s="38" t="s">
        <v>4478</v>
      </c>
      <c r="D5099" s="18">
        <v>2022</v>
      </c>
      <c r="E5099" s="18" t="s">
        <v>0</v>
      </c>
      <c r="F5099" s="4">
        <v>1</v>
      </c>
      <c r="G5099" s="42">
        <v>10</v>
      </c>
      <c r="H5099" s="42">
        <f>0.00938409*(1000)</f>
        <v>9.3840899999999987</v>
      </c>
    </row>
    <row r="5100" spans="1:8" s="15" customFormat="1" ht="16.5" hidden="1" customHeight="1" outlineLevel="1" x14ac:dyDescent="0.25">
      <c r="A5100" s="18">
        <v>4460</v>
      </c>
      <c r="B5100" s="4" t="s">
        <v>249</v>
      </c>
      <c r="C5100" s="38" t="s">
        <v>4479</v>
      </c>
      <c r="D5100" s="18">
        <v>2022</v>
      </c>
      <c r="E5100" s="18" t="s">
        <v>0</v>
      </c>
      <c r="F5100" s="4">
        <v>1</v>
      </c>
      <c r="G5100" s="42">
        <v>5</v>
      </c>
      <c r="H5100" s="42">
        <f>0.00935009*(1000)</f>
        <v>9.3500899999999998</v>
      </c>
    </row>
    <row r="5101" spans="1:8" s="15" customFormat="1" ht="16.5" hidden="1" customHeight="1" outlineLevel="1" x14ac:dyDescent="0.25">
      <c r="A5101" s="18">
        <v>4461</v>
      </c>
      <c r="B5101" s="4" t="s">
        <v>249</v>
      </c>
      <c r="C5101" s="38" t="s">
        <v>4480</v>
      </c>
      <c r="D5101" s="18">
        <v>2022</v>
      </c>
      <c r="E5101" s="18" t="s">
        <v>0</v>
      </c>
      <c r="F5101" s="4">
        <v>1</v>
      </c>
      <c r="G5101" s="42">
        <v>10</v>
      </c>
      <c r="H5101" s="42">
        <f>0.00938409*(1000)</f>
        <v>9.3840899999999987</v>
      </c>
    </row>
    <row r="5102" spans="1:8" s="15" customFormat="1" ht="16.5" hidden="1" customHeight="1" outlineLevel="1" x14ac:dyDescent="0.25">
      <c r="A5102" s="18">
        <v>4462</v>
      </c>
      <c r="B5102" s="4" t="s">
        <v>249</v>
      </c>
      <c r="C5102" s="38" t="s">
        <v>4481</v>
      </c>
      <c r="D5102" s="18">
        <v>2022</v>
      </c>
      <c r="E5102" s="18" t="s">
        <v>0</v>
      </c>
      <c r="F5102" s="4">
        <v>1</v>
      </c>
      <c r="G5102" s="42">
        <v>5</v>
      </c>
      <c r="H5102" s="42">
        <f>0.00935009*(1000)</f>
        <v>9.3500899999999998</v>
      </c>
    </row>
    <row r="5103" spans="1:8" s="15" customFormat="1" ht="16.5" hidden="1" customHeight="1" outlineLevel="1" x14ac:dyDescent="0.25">
      <c r="A5103" s="18">
        <v>4463</v>
      </c>
      <c r="B5103" s="4" t="s">
        <v>249</v>
      </c>
      <c r="C5103" s="38" t="s">
        <v>4482</v>
      </c>
      <c r="D5103" s="18">
        <v>2022</v>
      </c>
      <c r="E5103" s="18" t="s">
        <v>0</v>
      </c>
      <c r="F5103" s="4">
        <v>1</v>
      </c>
      <c r="G5103" s="42">
        <v>10</v>
      </c>
      <c r="H5103" s="42">
        <f>0.00938409*(1000)</f>
        <v>9.3840899999999987</v>
      </c>
    </row>
    <row r="5104" spans="1:8" s="15" customFormat="1" ht="16.5" hidden="1" customHeight="1" outlineLevel="1" x14ac:dyDescent="0.25">
      <c r="A5104" s="18">
        <v>4464</v>
      </c>
      <c r="B5104" s="4" t="s">
        <v>249</v>
      </c>
      <c r="C5104" s="38" t="s">
        <v>4483</v>
      </c>
      <c r="D5104" s="18">
        <v>2022</v>
      </c>
      <c r="E5104" s="18" t="s">
        <v>0</v>
      </c>
      <c r="F5104" s="4">
        <v>1</v>
      </c>
      <c r="G5104" s="42">
        <v>8</v>
      </c>
      <c r="H5104" s="42">
        <f>0.00935009*(1000)</f>
        <v>9.3500899999999998</v>
      </c>
    </row>
    <row r="5105" spans="1:8" s="15" customFormat="1" ht="16.5" hidden="1" customHeight="1" outlineLevel="1" x14ac:dyDescent="0.25">
      <c r="A5105" s="18">
        <v>4466</v>
      </c>
      <c r="B5105" s="4" t="s">
        <v>249</v>
      </c>
      <c r="C5105" s="38" t="s">
        <v>4484</v>
      </c>
      <c r="D5105" s="18">
        <v>2022</v>
      </c>
      <c r="E5105" s="18" t="s">
        <v>0</v>
      </c>
      <c r="F5105" s="4">
        <v>1</v>
      </c>
      <c r="G5105" s="42">
        <v>10</v>
      </c>
      <c r="H5105" s="42">
        <f>0.00935009*(1000)</f>
        <v>9.3500899999999998</v>
      </c>
    </row>
    <row r="5106" spans="1:8" s="15" customFormat="1" ht="16.5" hidden="1" customHeight="1" outlineLevel="1" x14ac:dyDescent="0.25">
      <c r="A5106" s="18">
        <v>4467</v>
      </c>
      <c r="B5106" s="4" t="s">
        <v>249</v>
      </c>
      <c r="C5106" s="38" t="s">
        <v>4485</v>
      </c>
      <c r="D5106" s="18">
        <v>2022</v>
      </c>
      <c r="E5106" s="18" t="s">
        <v>0</v>
      </c>
      <c r="F5106" s="4">
        <v>1</v>
      </c>
      <c r="G5106" s="42">
        <v>10</v>
      </c>
      <c r="H5106" s="42">
        <f>0.00938409*(1000)</f>
        <v>9.3840899999999987</v>
      </c>
    </row>
    <row r="5107" spans="1:8" s="15" customFormat="1" ht="16.5" hidden="1" customHeight="1" outlineLevel="1" x14ac:dyDescent="0.25">
      <c r="A5107" s="18">
        <v>4468</v>
      </c>
      <c r="B5107" s="4" t="s">
        <v>249</v>
      </c>
      <c r="C5107" s="38" t="s">
        <v>4486</v>
      </c>
      <c r="D5107" s="18">
        <v>2022</v>
      </c>
      <c r="E5107" s="18" t="s">
        <v>0</v>
      </c>
      <c r="F5107" s="4">
        <v>1</v>
      </c>
      <c r="G5107" s="42">
        <v>10</v>
      </c>
      <c r="H5107" s="42">
        <f>0.00945509*(1000)</f>
        <v>9.4550899999999984</v>
      </c>
    </row>
    <row r="5108" spans="1:8" s="15" customFormat="1" ht="16.5" hidden="1" customHeight="1" outlineLevel="1" x14ac:dyDescent="0.25">
      <c r="A5108" s="18">
        <v>4469</v>
      </c>
      <c r="B5108" s="4" t="s">
        <v>249</v>
      </c>
      <c r="C5108" s="38" t="s">
        <v>4487</v>
      </c>
      <c r="D5108" s="18">
        <v>2022</v>
      </c>
      <c r="E5108" s="18" t="s">
        <v>0</v>
      </c>
      <c r="F5108" s="4">
        <v>1</v>
      </c>
      <c r="G5108" s="42">
        <v>8</v>
      </c>
      <c r="H5108" s="42">
        <f>0.00938409*(1000)</f>
        <v>9.3840899999999987</v>
      </c>
    </row>
    <row r="5109" spans="1:8" s="15" customFormat="1" ht="16.5" hidden="1" customHeight="1" outlineLevel="1" x14ac:dyDescent="0.25">
      <c r="A5109" s="18">
        <v>4471</v>
      </c>
      <c r="B5109" s="4" t="s">
        <v>249</v>
      </c>
      <c r="C5109" s="38" t="s">
        <v>4488</v>
      </c>
      <c r="D5109" s="18">
        <v>2022</v>
      </c>
      <c r="E5109" s="18" t="s">
        <v>0</v>
      </c>
      <c r="F5109" s="4">
        <v>1</v>
      </c>
      <c r="G5109" s="42">
        <v>10</v>
      </c>
      <c r="H5109" s="42">
        <f>0.00928652*(1000)</f>
        <v>9.2865199999999994</v>
      </c>
    </row>
    <row r="5110" spans="1:8" s="15" customFormat="1" ht="16.5" hidden="1" customHeight="1" outlineLevel="1" x14ac:dyDescent="0.25">
      <c r="A5110" s="18">
        <v>4474</v>
      </c>
      <c r="B5110" s="4" t="s">
        <v>249</v>
      </c>
      <c r="C5110" s="38" t="s">
        <v>4489</v>
      </c>
      <c r="D5110" s="18">
        <v>2022</v>
      </c>
      <c r="E5110" s="18" t="s">
        <v>0</v>
      </c>
      <c r="F5110" s="4">
        <v>1</v>
      </c>
      <c r="G5110" s="42">
        <v>8</v>
      </c>
      <c r="H5110" s="42">
        <f>0.00925251*(1000)</f>
        <v>9.2525100000000009</v>
      </c>
    </row>
    <row r="5111" spans="1:8" s="15" customFormat="1" ht="16.5" hidden="1" customHeight="1" outlineLevel="1" x14ac:dyDescent="0.25">
      <c r="A5111" s="18">
        <v>4475</v>
      </c>
      <c r="B5111" s="4" t="s">
        <v>249</v>
      </c>
      <c r="C5111" s="38" t="s">
        <v>4490</v>
      </c>
      <c r="D5111" s="18">
        <v>2022</v>
      </c>
      <c r="E5111" s="18" t="s">
        <v>0</v>
      </c>
      <c r="F5111" s="4">
        <v>1</v>
      </c>
      <c r="G5111" s="42">
        <v>10</v>
      </c>
      <c r="H5111" s="42">
        <f>0.00911182*(1000)</f>
        <v>9.1118199999999998</v>
      </c>
    </row>
    <row r="5112" spans="1:8" s="15" customFormat="1" ht="16.5" hidden="1" customHeight="1" outlineLevel="1" x14ac:dyDescent="0.25">
      <c r="A5112" s="18">
        <v>4477</v>
      </c>
      <c r="B5112" s="4" t="s">
        <v>249</v>
      </c>
      <c r="C5112" s="38" t="s">
        <v>4491</v>
      </c>
      <c r="D5112" s="18">
        <v>2022</v>
      </c>
      <c r="E5112" s="18" t="s">
        <v>0</v>
      </c>
      <c r="F5112" s="4">
        <v>1</v>
      </c>
      <c r="G5112" s="42">
        <v>5</v>
      </c>
      <c r="H5112" s="42">
        <f>0.00911182*(1000)</f>
        <v>9.1118199999999998</v>
      </c>
    </row>
    <row r="5113" spans="1:8" s="15" customFormat="1" ht="16.5" hidden="1" customHeight="1" outlineLevel="1" x14ac:dyDescent="0.25">
      <c r="A5113" s="18">
        <v>4478</v>
      </c>
      <c r="B5113" s="4" t="s">
        <v>249</v>
      </c>
      <c r="C5113" s="38" t="s">
        <v>4492</v>
      </c>
      <c r="D5113" s="18">
        <v>2022</v>
      </c>
      <c r="E5113" s="18" t="s">
        <v>0</v>
      </c>
      <c r="F5113" s="4">
        <v>1</v>
      </c>
      <c r="G5113" s="42">
        <v>8</v>
      </c>
      <c r="H5113" s="42">
        <f>0.00925251*(1000)</f>
        <v>9.2525100000000009</v>
      </c>
    </row>
    <row r="5114" spans="1:8" s="15" customFormat="1" ht="16.5" hidden="1" customHeight="1" outlineLevel="1" x14ac:dyDescent="0.25">
      <c r="A5114" s="18">
        <v>4479</v>
      </c>
      <c r="B5114" s="4" t="s">
        <v>249</v>
      </c>
      <c r="C5114" s="38" t="s">
        <v>4493</v>
      </c>
      <c r="D5114" s="18">
        <v>2022</v>
      </c>
      <c r="E5114" s="18" t="s">
        <v>0</v>
      </c>
      <c r="F5114" s="4">
        <v>1</v>
      </c>
      <c r="G5114" s="42">
        <v>10</v>
      </c>
      <c r="H5114" s="42">
        <f>0.00911182*(1000)</f>
        <v>9.1118199999999998</v>
      </c>
    </row>
    <row r="5115" spans="1:8" s="15" customFormat="1" ht="16.5" hidden="1" customHeight="1" outlineLevel="1" x14ac:dyDescent="0.25">
      <c r="A5115" s="18">
        <v>4480</v>
      </c>
      <c r="B5115" s="4" t="s">
        <v>249</v>
      </c>
      <c r="C5115" s="38" t="s">
        <v>4494</v>
      </c>
      <c r="D5115" s="18">
        <v>2022</v>
      </c>
      <c r="E5115" s="18" t="s">
        <v>0</v>
      </c>
      <c r="F5115" s="4">
        <v>1</v>
      </c>
      <c r="G5115" s="42">
        <v>5</v>
      </c>
      <c r="H5115" s="42">
        <f>0.00925251*(1000)</f>
        <v>9.2525100000000009</v>
      </c>
    </row>
    <row r="5116" spans="1:8" s="15" customFormat="1" ht="16.5" hidden="1" customHeight="1" outlineLevel="1" x14ac:dyDescent="0.25">
      <c r="A5116" s="18">
        <v>4481</v>
      </c>
      <c r="B5116" s="4" t="s">
        <v>249</v>
      </c>
      <c r="C5116" s="38" t="s">
        <v>4495</v>
      </c>
      <c r="D5116" s="18">
        <v>2022</v>
      </c>
      <c r="E5116" s="18" t="s">
        <v>0</v>
      </c>
      <c r="F5116" s="4">
        <v>1</v>
      </c>
      <c r="G5116" s="42">
        <v>10</v>
      </c>
      <c r="H5116" s="42">
        <f>0.00911182*(1000)</f>
        <v>9.1118199999999998</v>
      </c>
    </row>
    <row r="5117" spans="1:8" s="15" customFormat="1" ht="16.5" hidden="1" customHeight="1" outlineLevel="1" x14ac:dyDescent="0.25">
      <c r="A5117" s="18">
        <v>4482</v>
      </c>
      <c r="B5117" s="4" t="s">
        <v>249</v>
      </c>
      <c r="C5117" s="38" t="s">
        <v>4496</v>
      </c>
      <c r="D5117" s="18">
        <v>2022</v>
      </c>
      <c r="E5117" s="18" t="s">
        <v>0</v>
      </c>
      <c r="F5117" s="4">
        <v>1</v>
      </c>
      <c r="G5117" s="42">
        <v>10</v>
      </c>
      <c r="H5117" s="42">
        <f>0.00925251*(1000)</f>
        <v>9.2525100000000009</v>
      </c>
    </row>
    <row r="5118" spans="1:8" s="15" customFormat="1" ht="16.5" hidden="1" customHeight="1" outlineLevel="1" x14ac:dyDescent="0.25">
      <c r="A5118" s="18">
        <v>4483</v>
      </c>
      <c r="B5118" s="4" t="s">
        <v>249</v>
      </c>
      <c r="C5118" s="38" t="s">
        <v>4497</v>
      </c>
      <c r="D5118" s="18">
        <v>2022</v>
      </c>
      <c r="E5118" s="18" t="s">
        <v>0</v>
      </c>
      <c r="F5118" s="4">
        <v>1</v>
      </c>
      <c r="G5118" s="42">
        <v>10</v>
      </c>
      <c r="H5118" s="42">
        <f>0.00911182*(1000)</f>
        <v>9.1118199999999998</v>
      </c>
    </row>
    <row r="5119" spans="1:8" s="15" customFormat="1" ht="16.5" hidden="1" customHeight="1" outlineLevel="1" x14ac:dyDescent="0.25">
      <c r="A5119" s="18">
        <v>4484</v>
      </c>
      <c r="B5119" s="4" t="s">
        <v>249</v>
      </c>
      <c r="C5119" s="38" t="s">
        <v>4498</v>
      </c>
      <c r="D5119" s="18">
        <v>2022</v>
      </c>
      <c r="E5119" s="18" t="s">
        <v>0</v>
      </c>
      <c r="F5119" s="4">
        <v>1</v>
      </c>
      <c r="G5119" s="42">
        <v>10</v>
      </c>
      <c r="H5119" s="42">
        <f>0.00925251*(1000)</f>
        <v>9.2525100000000009</v>
      </c>
    </row>
    <row r="5120" spans="1:8" s="15" customFormat="1" ht="16.5" hidden="1" customHeight="1" outlineLevel="1" x14ac:dyDescent="0.25">
      <c r="A5120" s="18">
        <v>4485</v>
      </c>
      <c r="B5120" s="4" t="s">
        <v>249</v>
      </c>
      <c r="C5120" s="38" t="s">
        <v>4499</v>
      </c>
      <c r="D5120" s="18">
        <v>2022</v>
      </c>
      <c r="E5120" s="18" t="s">
        <v>0</v>
      </c>
      <c r="F5120" s="4">
        <v>1</v>
      </c>
      <c r="G5120" s="42">
        <v>10</v>
      </c>
      <c r="H5120" s="42">
        <f>0.00911182*(1000)</f>
        <v>9.1118199999999998</v>
      </c>
    </row>
    <row r="5121" spans="1:8" s="15" customFormat="1" ht="16.5" hidden="1" customHeight="1" outlineLevel="1" x14ac:dyDescent="0.25">
      <c r="A5121" s="18">
        <v>4486</v>
      </c>
      <c r="B5121" s="4" t="s">
        <v>249</v>
      </c>
      <c r="C5121" s="38" t="s">
        <v>4500</v>
      </c>
      <c r="D5121" s="18">
        <v>2022</v>
      </c>
      <c r="E5121" s="18" t="s">
        <v>0</v>
      </c>
      <c r="F5121" s="4">
        <v>1</v>
      </c>
      <c r="G5121" s="42">
        <v>5</v>
      </c>
      <c r="H5121" s="42">
        <f>0.00925251*(1000)</f>
        <v>9.2525100000000009</v>
      </c>
    </row>
    <row r="5122" spans="1:8" s="15" customFormat="1" ht="16.5" hidden="1" customHeight="1" outlineLevel="1" x14ac:dyDescent="0.25">
      <c r="A5122" s="18">
        <v>4488</v>
      </c>
      <c r="B5122" s="4" t="s">
        <v>249</v>
      </c>
      <c r="C5122" s="38" t="s">
        <v>4501</v>
      </c>
      <c r="D5122" s="18">
        <v>2022</v>
      </c>
      <c r="E5122" s="18" t="s">
        <v>0</v>
      </c>
      <c r="F5122" s="4">
        <v>1</v>
      </c>
      <c r="G5122" s="42">
        <v>8</v>
      </c>
      <c r="H5122" s="42">
        <f>0.00925251*(1000)</f>
        <v>9.2525100000000009</v>
      </c>
    </row>
    <row r="5123" spans="1:8" s="15" customFormat="1" ht="16.5" hidden="1" customHeight="1" outlineLevel="1" x14ac:dyDescent="0.25">
      <c r="A5123" s="18">
        <v>4490</v>
      </c>
      <c r="B5123" s="4" t="s">
        <v>249</v>
      </c>
      <c r="C5123" s="38" t="s">
        <v>4502</v>
      </c>
      <c r="D5123" s="18">
        <v>2022</v>
      </c>
      <c r="E5123" s="18" t="s">
        <v>0</v>
      </c>
      <c r="F5123" s="4">
        <v>1</v>
      </c>
      <c r="G5123" s="42">
        <v>5</v>
      </c>
      <c r="H5123" s="42">
        <f>0.00925251*(1000)</f>
        <v>9.2525100000000009</v>
      </c>
    </row>
    <row r="5124" spans="1:8" s="15" customFormat="1" ht="16.5" hidden="1" customHeight="1" outlineLevel="1" x14ac:dyDescent="0.25">
      <c r="A5124" s="18">
        <v>4491</v>
      </c>
      <c r="B5124" s="4" t="s">
        <v>249</v>
      </c>
      <c r="C5124" s="38" t="s">
        <v>4503</v>
      </c>
      <c r="D5124" s="18">
        <v>2022</v>
      </c>
      <c r="E5124" s="18" t="s">
        <v>0</v>
      </c>
      <c r="F5124" s="4">
        <v>1</v>
      </c>
      <c r="G5124" s="42">
        <v>8</v>
      </c>
      <c r="H5124" s="42">
        <f>0.00911182*(1000)</f>
        <v>9.1118199999999998</v>
      </c>
    </row>
    <row r="5125" spans="1:8" s="15" customFormat="1" ht="16.5" hidden="1" customHeight="1" outlineLevel="1" x14ac:dyDescent="0.25">
      <c r="A5125" s="18">
        <v>4492</v>
      </c>
      <c r="B5125" s="4" t="s">
        <v>249</v>
      </c>
      <c r="C5125" s="38" t="s">
        <v>4504</v>
      </c>
      <c r="D5125" s="18">
        <v>2022</v>
      </c>
      <c r="E5125" s="18" t="s">
        <v>0</v>
      </c>
      <c r="F5125" s="4">
        <v>1</v>
      </c>
      <c r="G5125" s="42">
        <v>8</v>
      </c>
      <c r="H5125" s="42">
        <f>0.00925251*(1000)</f>
        <v>9.2525100000000009</v>
      </c>
    </row>
    <row r="5126" spans="1:8" s="15" customFormat="1" ht="16.5" hidden="1" customHeight="1" outlineLevel="1" x14ac:dyDescent="0.25">
      <c r="A5126" s="18">
        <v>4494</v>
      </c>
      <c r="B5126" s="4" t="s">
        <v>249</v>
      </c>
      <c r="C5126" s="38" t="s">
        <v>4505</v>
      </c>
      <c r="D5126" s="18">
        <v>2022</v>
      </c>
      <c r="E5126" s="18" t="s">
        <v>0</v>
      </c>
      <c r="F5126" s="4">
        <v>1</v>
      </c>
      <c r="G5126" s="42">
        <v>10</v>
      </c>
      <c r="H5126" s="42">
        <f>0.00925251*(1000)</f>
        <v>9.2525100000000009</v>
      </c>
    </row>
    <row r="5127" spans="1:8" s="15" customFormat="1" ht="16.5" hidden="1" customHeight="1" outlineLevel="1" x14ac:dyDescent="0.25">
      <c r="A5127" s="18">
        <v>4495</v>
      </c>
      <c r="B5127" s="4" t="s">
        <v>249</v>
      </c>
      <c r="C5127" s="38" t="s">
        <v>4506</v>
      </c>
      <c r="D5127" s="18">
        <v>2022</v>
      </c>
      <c r="E5127" s="18" t="s">
        <v>0</v>
      </c>
      <c r="F5127" s="4">
        <v>1</v>
      </c>
      <c r="G5127" s="42">
        <v>10</v>
      </c>
      <c r="H5127" s="42">
        <f>0.00911182*(1000)</f>
        <v>9.1118199999999998</v>
      </c>
    </row>
    <row r="5128" spans="1:8" s="15" customFormat="1" ht="16.5" hidden="1" customHeight="1" outlineLevel="1" x14ac:dyDescent="0.25">
      <c r="A5128" s="18">
        <v>4496</v>
      </c>
      <c r="B5128" s="4" t="s">
        <v>249</v>
      </c>
      <c r="C5128" s="38" t="s">
        <v>4507</v>
      </c>
      <c r="D5128" s="18">
        <v>2022</v>
      </c>
      <c r="E5128" s="18" t="s">
        <v>0</v>
      </c>
      <c r="F5128" s="4">
        <v>1</v>
      </c>
      <c r="G5128" s="42">
        <v>10</v>
      </c>
      <c r="H5128" s="42">
        <f>0.00925251*(1000)</f>
        <v>9.2525100000000009</v>
      </c>
    </row>
    <row r="5129" spans="1:8" s="15" customFormat="1" ht="16.5" hidden="1" customHeight="1" outlineLevel="1" x14ac:dyDescent="0.25">
      <c r="A5129" s="18">
        <v>4497</v>
      </c>
      <c r="B5129" s="4" t="s">
        <v>249</v>
      </c>
      <c r="C5129" s="38" t="s">
        <v>4508</v>
      </c>
      <c r="D5129" s="18">
        <v>2022</v>
      </c>
      <c r="E5129" s="18" t="s">
        <v>0</v>
      </c>
      <c r="F5129" s="4">
        <v>1</v>
      </c>
      <c r="G5129" s="42">
        <v>3</v>
      </c>
      <c r="H5129" s="42">
        <f>0.00911182*(1000)</f>
        <v>9.1118199999999998</v>
      </c>
    </row>
    <row r="5130" spans="1:8" s="15" customFormat="1" ht="16.5" hidden="1" customHeight="1" outlineLevel="1" x14ac:dyDescent="0.25">
      <c r="A5130" s="18">
        <v>4499</v>
      </c>
      <c r="B5130" s="4" t="s">
        <v>249</v>
      </c>
      <c r="C5130" s="38" t="s">
        <v>4509</v>
      </c>
      <c r="D5130" s="18">
        <v>2022</v>
      </c>
      <c r="E5130" s="18" t="s">
        <v>0</v>
      </c>
      <c r="F5130" s="4">
        <v>1</v>
      </c>
      <c r="G5130" s="42">
        <v>10</v>
      </c>
      <c r="H5130" s="42">
        <f>0.00911182*(1000)</f>
        <v>9.1118199999999998</v>
      </c>
    </row>
    <row r="5131" spans="1:8" s="15" customFormat="1" ht="16.5" hidden="1" customHeight="1" outlineLevel="1" x14ac:dyDescent="0.25">
      <c r="A5131" s="18">
        <v>4501</v>
      </c>
      <c r="B5131" s="4" t="s">
        <v>249</v>
      </c>
      <c r="C5131" s="38" t="s">
        <v>4510</v>
      </c>
      <c r="D5131" s="18">
        <v>2022</v>
      </c>
      <c r="E5131" s="18" t="s">
        <v>0</v>
      </c>
      <c r="F5131" s="4">
        <v>1</v>
      </c>
      <c r="G5131" s="42">
        <v>5</v>
      </c>
      <c r="H5131" s="42">
        <f>0.00911182*(1000)</f>
        <v>9.1118199999999998</v>
      </c>
    </row>
    <row r="5132" spans="1:8" s="15" customFormat="1" ht="16.5" hidden="1" customHeight="1" outlineLevel="1" x14ac:dyDescent="0.25">
      <c r="A5132" s="18">
        <v>4502</v>
      </c>
      <c r="B5132" s="4" t="s">
        <v>249</v>
      </c>
      <c r="C5132" s="38" t="s">
        <v>4511</v>
      </c>
      <c r="D5132" s="18">
        <v>2022</v>
      </c>
      <c r="E5132" s="18" t="s">
        <v>0</v>
      </c>
      <c r="F5132" s="4">
        <v>1</v>
      </c>
      <c r="G5132" s="42">
        <v>8</v>
      </c>
      <c r="H5132" s="42">
        <f>0.00925251*(1000)</f>
        <v>9.2525100000000009</v>
      </c>
    </row>
    <row r="5133" spans="1:8" s="15" customFormat="1" ht="16.5" hidden="1" customHeight="1" outlineLevel="1" x14ac:dyDescent="0.25">
      <c r="A5133" s="18">
        <v>4503</v>
      </c>
      <c r="B5133" s="4" t="s">
        <v>249</v>
      </c>
      <c r="C5133" s="38" t="s">
        <v>4512</v>
      </c>
      <c r="D5133" s="18">
        <v>2022</v>
      </c>
      <c r="E5133" s="18" t="s">
        <v>0</v>
      </c>
      <c r="F5133" s="4">
        <v>1</v>
      </c>
      <c r="G5133" s="42">
        <v>10</v>
      </c>
      <c r="H5133" s="42">
        <f>0.00911182*(1000)</f>
        <v>9.1118199999999998</v>
      </c>
    </row>
    <row r="5134" spans="1:8" s="15" customFormat="1" ht="16.5" hidden="1" customHeight="1" outlineLevel="1" x14ac:dyDescent="0.25">
      <c r="A5134" s="18">
        <v>4504</v>
      </c>
      <c r="B5134" s="4" t="s">
        <v>249</v>
      </c>
      <c r="C5134" s="38" t="s">
        <v>4513</v>
      </c>
      <c r="D5134" s="18">
        <v>2022</v>
      </c>
      <c r="E5134" s="18" t="s">
        <v>0</v>
      </c>
      <c r="F5134" s="4">
        <v>1</v>
      </c>
      <c r="G5134" s="42">
        <v>5</v>
      </c>
      <c r="H5134" s="42">
        <f>0.00925251*(1000)</f>
        <v>9.2525100000000009</v>
      </c>
    </row>
    <row r="5135" spans="1:8" s="15" customFormat="1" ht="16.5" hidden="1" customHeight="1" outlineLevel="1" x14ac:dyDescent="0.25">
      <c r="A5135" s="18">
        <v>4505</v>
      </c>
      <c r="B5135" s="4" t="s">
        <v>249</v>
      </c>
      <c r="C5135" s="38" t="s">
        <v>4514</v>
      </c>
      <c r="D5135" s="18">
        <v>2022</v>
      </c>
      <c r="E5135" s="18" t="s">
        <v>0</v>
      </c>
      <c r="F5135" s="4">
        <v>1</v>
      </c>
      <c r="G5135" s="42">
        <v>8</v>
      </c>
      <c r="H5135" s="42">
        <f>0.00911182*(1000)</f>
        <v>9.1118199999999998</v>
      </c>
    </row>
    <row r="5136" spans="1:8" s="15" customFormat="1" ht="16.5" hidden="1" customHeight="1" outlineLevel="1" x14ac:dyDescent="0.25">
      <c r="A5136" s="18">
        <v>4506</v>
      </c>
      <c r="B5136" s="4" t="s">
        <v>249</v>
      </c>
      <c r="C5136" s="38" t="s">
        <v>4515</v>
      </c>
      <c r="D5136" s="18">
        <v>2022</v>
      </c>
      <c r="E5136" s="18" t="s">
        <v>0</v>
      </c>
      <c r="F5136" s="4">
        <v>1</v>
      </c>
      <c r="G5136" s="42">
        <v>8</v>
      </c>
      <c r="H5136" s="42">
        <f>0.00925251*(1000)</f>
        <v>9.2525100000000009</v>
      </c>
    </row>
    <row r="5137" spans="1:8" s="15" customFormat="1" ht="16.5" hidden="1" customHeight="1" outlineLevel="1" x14ac:dyDescent="0.25">
      <c r="A5137" s="18">
        <v>4507</v>
      </c>
      <c r="B5137" s="4" t="s">
        <v>249</v>
      </c>
      <c r="C5137" s="38" t="s">
        <v>4516</v>
      </c>
      <c r="D5137" s="18">
        <v>2022</v>
      </c>
      <c r="E5137" s="18" t="s">
        <v>0</v>
      </c>
      <c r="F5137" s="4">
        <v>1</v>
      </c>
      <c r="G5137" s="42">
        <v>8</v>
      </c>
      <c r="H5137" s="42">
        <f>0.00911182*(1000)</f>
        <v>9.1118199999999998</v>
      </c>
    </row>
    <row r="5138" spans="1:8" s="15" customFormat="1" ht="16.5" hidden="1" customHeight="1" outlineLevel="1" x14ac:dyDescent="0.25">
      <c r="A5138" s="18">
        <v>4508</v>
      </c>
      <c r="B5138" s="4" t="s">
        <v>249</v>
      </c>
      <c r="C5138" s="38" t="s">
        <v>4517</v>
      </c>
      <c r="D5138" s="18">
        <v>2022</v>
      </c>
      <c r="E5138" s="18" t="s">
        <v>0</v>
      </c>
      <c r="F5138" s="4">
        <v>1</v>
      </c>
      <c r="G5138" s="42">
        <v>10</v>
      </c>
      <c r="H5138" s="42">
        <f>0.00925251*(1000)</f>
        <v>9.2525100000000009</v>
      </c>
    </row>
    <row r="5139" spans="1:8" s="15" customFormat="1" ht="16.5" hidden="1" customHeight="1" outlineLevel="1" x14ac:dyDescent="0.25">
      <c r="A5139" s="18">
        <v>4509</v>
      </c>
      <c r="B5139" s="4" t="s">
        <v>249</v>
      </c>
      <c r="C5139" s="38" t="s">
        <v>4518</v>
      </c>
      <c r="D5139" s="18">
        <v>2022</v>
      </c>
      <c r="E5139" s="18" t="s">
        <v>0</v>
      </c>
      <c r="F5139" s="4">
        <v>1</v>
      </c>
      <c r="G5139" s="42">
        <v>10</v>
      </c>
      <c r="H5139" s="42">
        <f>0.00911182*(1000)</f>
        <v>9.1118199999999998</v>
      </c>
    </row>
    <row r="5140" spans="1:8" s="15" customFormat="1" ht="16.5" hidden="1" customHeight="1" outlineLevel="1" x14ac:dyDescent="0.25">
      <c r="A5140" s="18">
        <v>4510</v>
      </c>
      <c r="B5140" s="4" t="s">
        <v>249</v>
      </c>
      <c r="C5140" s="38" t="s">
        <v>4519</v>
      </c>
      <c r="D5140" s="18">
        <v>2022</v>
      </c>
      <c r="E5140" s="18" t="s">
        <v>0</v>
      </c>
      <c r="F5140" s="4">
        <v>1</v>
      </c>
      <c r="G5140" s="42">
        <v>10</v>
      </c>
      <c r="H5140" s="42">
        <f>0.00925251*(1000)</f>
        <v>9.2525100000000009</v>
      </c>
    </row>
    <row r="5141" spans="1:8" s="15" customFormat="1" ht="16.5" hidden="1" customHeight="1" outlineLevel="1" x14ac:dyDescent="0.25">
      <c r="A5141" s="18">
        <v>4511</v>
      </c>
      <c r="B5141" s="4" t="s">
        <v>249</v>
      </c>
      <c r="C5141" s="38" t="s">
        <v>4520</v>
      </c>
      <c r="D5141" s="18">
        <v>2022</v>
      </c>
      <c r="E5141" s="18" t="s">
        <v>0</v>
      </c>
      <c r="F5141" s="4">
        <v>1</v>
      </c>
      <c r="G5141" s="42">
        <v>8</v>
      </c>
      <c r="H5141" s="42">
        <f>0.00911182*(1000)</f>
        <v>9.1118199999999998</v>
      </c>
    </row>
    <row r="5142" spans="1:8" s="15" customFormat="1" ht="16.5" hidden="1" customHeight="1" outlineLevel="1" x14ac:dyDescent="0.25">
      <c r="A5142" s="18">
        <v>4512</v>
      </c>
      <c r="B5142" s="4" t="s">
        <v>249</v>
      </c>
      <c r="C5142" s="38" t="s">
        <v>4521</v>
      </c>
      <c r="D5142" s="18">
        <v>2022</v>
      </c>
      <c r="E5142" s="18" t="s">
        <v>0</v>
      </c>
      <c r="F5142" s="4">
        <v>1</v>
      </c>
      <c r="G5142" s="42">
        <v>10</v>
      </c>
      <c r="H5142" s="42">
        <f>0.00925251*(1000)</f>
        <v>9.2525100000000009</v>
      </c>
    </row>
    <row r="5143" spans="1:8" s="15" customFormat="1" ht="16.5" hidden="1" customHeight="1" outlineLevel="1" x14ac:dyDescent="0.25">
      <c r="A5143" s="18">
        <v>4513</v>
      </c>
      <c r="B5143" s="4" t="s">
        <v>249</v>
      </c>
      <c r="C5143" s="38" t="s">
        <v>4522</v>
      </c>
      <c r="D5143" s="18">
        <v>2022</v>
      </c>
      <c r="E5143" s="18" t="s">
        <v>0</v>
      </c>
      <c r="F5143" s="4">
        <v>1</v>
      </c>
      <c r="G5143" s="42">
        <v>15</v>
      </c>
      <c r="H5143" s="42">
        <f>0.00911182*(1000)</f>
        <v>9.1118199999999998</v>
      </c>
    </row>
    <row r="5144" spans="1:8" s="15" customFormat="1" ht="16.5" hidden="1" customHeight="1" outlineLevel="1" x14ac:dyDescent="0.25">
      <c r="A5144" s="18">
        <v>4514</v>
      </c>
      <c r="B5144" s="4" t="s">
        <v>249</v>
      </c>
      <c r="C5144" s="38" t="s">
        <v>4523</v>
      </c>
      <c r="D5144" s="18">
        <v>2022</v>
      </c>
      <c r="E5144" s="18" t="s">
        <v>0</v>
      </c>
      <c r="F5144" s="4">
        <v>1</v>
      </c>
      <c r="G5144" s="42">
        <v>10</v>
      </c>
      <c r="H5144" s="42">
        <f>0.00925251*(1000)</f>
        <v>9.2525100000000009</v>
      </c>
    </row>
    <row r="5145" spans="1:8" s="15" customFormat="1" ht="16.5" hidden="1" customHeight="1" outlineLevel="1" x14ac:dyDescent="0.25">
      <c r="A5145" s="18">
        <v>4515</v>
      </c>
      <c r="B5145" s="4" t="s">
        <v>249</v>
      </c>
      <c r="C5145" s="38" t="s">
        <v>4524</v>
      </c>
      <c r="D5145" s="18">
        <v>2022</v>
      </c>
      <c r="E5145" s="18" t="s">
        <v>0</v>
      </c>
      <c r="F5145" s="4">
        <v>1</v>
      </c>
      <c r="G5145" s="42">
        <v>10</v>
      </c>
      <c r="H5145" s="42">
        <f>0.00911182*(1000)</f>
        <v>9.1118199999999998</v>
      </c>
    </row>
    <row r="5146" spans="1:8" s="15" customFormat="1" ht="16.5" hidden="1" customHeight="1" outlineLevel="1" x14ac:dyDescent="0.25">
      <c r="A5146" s="18">
        <v>4516</v>
      </c>
      <c r="B5146" s="4" t="s">
        <v>249</v>
      </c>
      <c r="C5146" s="38" t="s">
        <v>4525</v>
      </c>
      <c r="D5146" s="18">
        <v>2022</v>
      </c>
      <c r="E5146" s="18" t="s">
        <v>0</v>
      </c>
      <c r="F5146" s="4">
        <v>1</v>
      </c>
      <c r="G5146" s="42">
        <v>8</v>
      </c>
      <c r="H5146" s="42">
        <f>0.00925251*(1000)</f>
        <v>9.2525100000000009</v>
      </c>
    </row>
    <row r="5147" spans="1:8" s="15" customFormat="1" ht="16.5" hidden="1" customHeight="1" outlineLevel="1" x14ac:dyDescent="0.25">
      <c r="A5147" s="18">
        <v>4517</v>
      </c>
      <c r="B5147" s="4" t="s">
        <v>249</v>
      </c>
      <c r="C5147" s="38" t="s">
        <v>4526</v>
      </c>
      <c r="D5147" s="18">
        <v>2022</v>
      </c>
      <c r="E5147" s="18" t="s">
        <v>0</v>
      </c>
      <c r="F5147" s="4">
        <v>1</v>
      </c>
      <c r="G5147" s="42">
        <v>8</v>
      </c>
      <c r="H5147" s="42">
        <f>0.00911182*(1000)</f>
        <v>9.1118199999999998</v>
      </c>
    </row>
    <row r="5148" spans="1:8" s="15" customFormat="1" ht="16.5" hidden="1" customHeight="1" outlineLevel="1" x14ac:dyDescent="0.25">
      <c r="A5148" s="18">
        <v>4518</v>
      </c>
      <c r="B5148" s="4" t="s">
        <v>249</v>
      </c>
      <c r="C5148" s="38" t="s">
        <v>4527</v>
      </c>
      <c r="D5148" s="18">
        <v>2022</v>
      </c>
      <c r="E5148" s="18" t="s">
        <v>0</v>
      </c>
      <c r="F5148" s="4">
        <v>1</v>
      </c>
      <c r="G5148" s="42">
        <v>5</v>
      </c>
      <c r="H5148" s="42">
        <f>0.00925251*(1000)</f>
        <v>9.2525100000000009</v>
      </c>
    </row>
    <row r="5149" spans="1:8" s="15" customFormat="1" ht="16.5" hidden="1" customHeight="1" outlineLevel="1" x14ac:dyDescent="0.25">
      <c r="A5149" s="18">
        <v>4519</v>
      </c>
      <c r="B5149" s="4" t="s">
        <v>249</v>
      </c>
      <c r="C5149" s="38" t="s">
        <v>4528</v>
      </c>
      <c r="D5149" s="18">
        <v>2022</v>
      </c>
      <c r="E5149" s="18" t="s">
        <v>0</v>
      </c>
      <c r="F5149" s="4">
        <v>1</v>
      </c>
      <c r="G5149" s="42">
        <v>10</v>
      </c>
      <c r="H5149" s="42">
        <f>0.00911182*(1000)</f>
        <v>9.1118199999999998</v>
      </c>
    </row>
    <row r="5150" spans="1:8" s="15" customFormat="1" ht="16.5" hidden="1" customHeight="1" outlineLevel="1" x14ac:dyDescent="0.25">
      <c r="A5150" s="18">
        <v>4520</v>
      </c>
      <c r="B5150" s="4" t="s">
        <v>249</v>
      </c>
      <c r="C5150" s="38" t="s">
        <v>4529</v>
      </c>
      <c r="D5150" s="18">
        <v>2022</v>
      </c>
      <c r="E5150" s="18" t="s">
        <v>0</v>
      </c>
      <c r="F5150" s="4">
        <v>1</v>
      </c>
      <c r="G5150" s="42">
        <v>8</v>
      </c>
      <c r="H5150" s="42">
        <f>0.00925251*(1000)</f>
        <v>9.2525100000000009</v>
      </c>
    </row>
    <row r="5151" spans="1:8" s="15" customFormat="1" ht="16.5" hidden="1" customHeight="1" outlineLevel="1" x14ac:dyDescent="0.25">
      <c r="A5151" s="18">
        <v>4521</v>
      </c>
      <c r="B5151" s="4" t="s">
        <v>249</v>
      </c>
      <c r="C5151" s="38" t="s">
        <v>4530</v>
      </c>
      <c r="D5151" s="18">
        <v>2022</v>
      </c>
      <c r="E5151" s="18" t="s">
        <v>0</v>
      </c>
      <c r="F5151" s="4">
        <v>1</v>
      </c>
      <c r="G5151" s="42">
        <v>5</v>
      </c>
      <c r="H5151" s="42">
        <f>0.00911182*(1000)</f>
        <v>9.1118199999999998</v>
      </c>
    </row>
    <row r="5152" spans="1:8" s="15" customFormat="1" ht="16.5" hidden="1" customHeight="1" outlineLevel="1" x14ac:dyDescent="0.25">
      <c r="A5152" s="18">
        <v>4522</v>
      </c>
      <c r="B5152" s="4" t="s">
        <v>249</v>
      </c>
      <c r="C5152" s="38" t="s">
        <v>4531</v>
      </c>
      <c r="D5152" s="18">
        <v>2022</v>
      </c>
      <c r="E5152" s="18" t="s">
        <v>0</v>
      </c>
      <c r="F5152" s="4">
        <v>1</v>
      </c>
      <c r="G5152" s="42">
        <v>8</v>
      </c>
      <c r="H5152" s="42">
        <f>0.00925251*(1000)</f>
        <v>9.2525100000000009</v>
      </c>
    </row>
    <row r="5153" spans="1:8" s="15" customFormat="1" ht="16.5" hidden="1" customHeight="1" outlineLevel="1" x14ac:dyDescent="0.25">
      <c r="A5153" s="18">
        <v>4523</v>
      </c>
      <c r="B5153" s="4" t="s">
        <v>249</v>
      </c>
      <c r="C5153" s="38" t="s">
        <v>4532</v>
      </c>
      <c r="D5153" s="18">
        <v>2022</v>
      </c>
      <c r="E5153" s="18" t="s">
        <v>0</v>
      </c>
      <c r="F5153" s="4">
        <v>1</v>
      </c>
      <c r="G5153" s="42">
        <v>8</v>
      </c>
      <c r="H5153" s="42">
        <f>0.00911182*(1000)</f>
        <v>9.1118199999999998</v>
      </c>
    </row>
    <row r="5154" spans="1:8" s="15" customFormat="1" ht="16.5" hidden="1" customHeight="1" outlineLevel="1" x14ac:dyDescent="0.25">
      <c r="A5154" s="18">
        <v>4524</v>
      </c>
      <c r="B5154" s="4" t="s">
        <v>249</v>
      </c>
      <c r="C5154" s="38" t="s">
        <v>4533</v>
      </c>
      <c r="D5154" s="18">
        <v>2022</v>
      </c>
      <c r="E5154" s="18" t="s">
        <v>0</v>
      </c>
      <c r="F5154" s="4">
        <v>1</v>
      </c>
      <c r="G5154" s="42">
        <v>15</v>
      </c>
      <c r="H5154" s="42">
        <f>0.00925251*(1000)</f>
        <v>9.2525100000000009</v>
      </c>
    </row>
    <row r="5155" spans="1:8" s="15" customFormat="1" ht="16.5" hidden="1" customHeight="1" outlineLevel="1" x14ac:dyDescent="0.25">
      <c r="A5155" s="18">
        <v>4525</v>
      </c>
      <c r="B5155" s="4" t="s">
        <v>249</v>
      </c>
      <c r="C5155" s="38" t="s">
        <v>4534</v>
      </c>
      <c r="D5155" s="18">
        <v>2022</v>
      </c>
      <c r="E5155" s="18" t="s">
        <v>0</v>
      </c>
      <c r="F5155" s="4">
        <v>1</v>
      </c>
      <c r="G5155" s="42">
        <v>8</v>
      </c>
      <c r="H5155" s="42">
        <f>0.00911182*(1000)</f>
        <v>9.1118199999999998</v>
      </c>
    </row>
    <row r="5156" spans="1:8" s="15" customFormat="1" ht="16.5" hidden="1" customHeight="1" outlineLevel="1" x14ac:dyDescent="0.25">
      <c r="A5156" s="18">
        <v>4526</v>
      </c>
      <c r="B5156" s="4" t="s">
        <v>249</v>
      </c>
      <c r="C5156" s="38" t="s">
        <v>4535</v>
      </c>
      <c r="D5156" s="18">
        <v>2022</v>
      </c>
      <c r="E5156" s="18" t="s">
        <v>0</v>
      </c>
      <c r="F5156" s="4">
        <v>1</v>
      </c>
      <c r="G5156" s="42">
        <v>8</v>
      </c>
      <c r="H5156" s="42">
        <f>0.00925251*(1000)</f>
        <v>9.2525100000000009</v>
      </c>
    </row>
    <row r="5157" spans="1:8" s="15" customFormat="1" ht="16.5" hidden="1" customHeight="1" outlineLevel="1" x14ac:dyDescent="0.25">
      <c r="A5157" s="18">
        <v>4527</v>
      </c>
      <c r="B5157" s="4" t="s">
        <v>249</v>
      </c>
      <c r="C5157" s="38" t="s">
        <v>4536</v>
      </c>
      <c r="D5157" s="18">
        <v>2022</v>
      </c>
      <c r="E5157" s="18" t="s">
        <v>0</v>
      </c>
      <c r="F5157" s="4">
        <v>1</v>
      </c>
      <c r="G5157" s="42">
        <v>8</v>
      </c>
      <c r="H5157" s="42">
        <f>0.00911182*(1000)</f>
        <v>9.1118199999999998</v>
      </c>
    </row>
    <row r="5158" spans="1:8" s="15" customFormat="1" ht="16.5" hidden="1" customHeight="1" outlineLevel="1" x14ac:dyDescent="0.25">
      <c r="A5158" s="18">
        <v>4528</v>
      </c>
      <c r="B5158" s="4" t="s">
        <v>249</v>
      </c>
      <c r="C5158" s="38" t="s">
        <v>4537</v>
      </c>
      <c r="D5158" s="18">
        <v>2022</v>
      </c>
      <c r="E5158" s="18" t="s">
        <v>0</v>
      </c>
      <c r="F5158" s="4">
        <v>1</v>
      </c>
      <c r="G5158" s="42">
        <v>10</v>
      </c>
      <c r="H5158" s="42">
        <f>0.00925251*(1000)</f>
        <v>9.2525100000000009</v>
      </c>
    </row>
    <row r="5159" spans="1:8" s="15" customFormat="1" ht="16.5" hidden="1" customHeight="1" outlineLevel="1" x14ac:dyDescent="0.25">
      <c r="A5159" s="18">
        <v>4529</v>
      </c>
      <c r="B5159" s="4" t="s">
        <v>249</v>
      </c>
      <c r="C5159" s="38" t="s">
        <v>4538</v>
      </c>
      <c r="D5159" s="18">
        <v>2022</v>
      </c>
      <c r="E5159" s="18" t="s">
        <v>0</v>
      </c>
      <c r="F5159" s="4">
        <v>1</v>
      </c>
      <c r="G5159" s="42">
        <v>5</v>
      </c>
      <c r="H5159" s="42">
        <f>0.00911182*(1000)</f>
        <v>9.1118199999999998</v>
      </c>
    </row>
    <row r="5160" spans="1:8" s="15" customFormat="1" ht="16.5" hidden="1" customHeight="1" outlineLevel="1" x14ac:dyDescent="0.25">
      <c r="A5160" s="18">
        <v>4530</v>
      </c>
      <c r="B5160" s="4" t="s">
        <v>249</v>
      </c>
      <c r="C5160" s="38" t="s">
        <v>4539</v>
      </c>
      <c r="D5160" s="18">
        <v>2022</v>
      </c>
      <c r="E5160" s="18" t="s">
        <v>0</v>
      </c>
      <c r="F5160" s="4">
        <v>1</v>
      </c>
      <c r="G5160" s="42">
        <v>10</v>
      </c>
      <c r="H5160" s="42">
        <f>0.00925251*(1000)</f>
        <v>9.2525100000000009</v>
      </c>
    </row>
    <row r="5161" spans="1:8" s="15" customFormat="1" ht="16.5" hidden="1" customHeight="1" outlineLevel="1" x14ac:dyDescent="0.25">
      <c r="A5161" s="18">
        <v>4533</v>
      </c>
      <c r="B5161" s="4" t="s">
        <v>249</v>
      </c>
      <c r="C5161" s="38" t="s">
        <v>4540</v>
      </c>
      <c r="D5161" s="18">
        <v>2022</v>
      </c>
      <c r="E5161" s="18" t="s">
        <v>0</v>
      </c>
      <c r="F5161" s="4">
        <v>1</v>
      </c>
      <c r="G5161" s="42">
        <v>10</v>
      </c>
      <c r="H5161" s="42">
        <f>0.00911182*(1000)</f>
        <v>9.1118199999999998</v>
      </c>
    </row>
    <row r="5162" spans="1:8" s="15" customFormat="1" ht="16.5" hidden="1" customHeight="1" outlineLevel="1" x14ac:dyDescent="0.25">
      <c r="A5162" s="18">
        <v>4535</v>
      </c>
      <c r="B5162" s="4" t="s">
        <v>249</v>
      </c>
      <c r="C5162" s="38" t="s">
        <v>4541</v>
      </c>
      <c r="D5162" s="18">
        <v>2022</v>
      </c>
      <c r="E5162" s="18" t="s">
        <v>0</v>
      </c>
      <c r="F5162" s="4">
        <v>1</v>
      </c>
      <c r="G5162" s="42">
        <v>15</v>
      </c>
      <c r="H5162" s="42">
        <f>0.00925251*(1000)</f>
        <v>9.2525100000000009</v>
      </c>
    </row>
    <row r="5163" spans="1:8" s="15" customFormat="1" ht="16.5" hidden="1" customHeight="1" outlineLevel="1" x14ac:dyDescent="0.25">
      <c r="A5163" s="18">
        <v>4536</v>
      </c>
      <c r="B5163" s="4" t="s">
        <v>249</v>
      </c>
      <c r="C5163" s="38" t="s">
        <v>4542</v>
      </c>
      <c r="D5163" s="18">
        <v>2022</v>
      </c>
      <c r="E5163" s="18" t="s">
        <v>0</v>
      </c>
      <c r="F5163" s="4">
        <v>1</v>
      </c>
      <c r="G5163" s="42">
        <v>10</v>
      </c>
      <c r="H5163" s="42">
        <f>0.00911182*(1000)</f>
        <v>9.1118199999999998</v>
      </c>
    </row>
    <row r="5164" spans="1:8" s="15" customFormat="1" ht="16.5" hidden="1" customHeight="1" outlineLevel="1" x14ac:dyDescent="0.25">
      <c r="A5164" s="18">
        <v>4537</v>
      </c>
      <c r="B5164" s="4" t="s">
        <v>249</v>
      </c>
      <c r="C5164" s="38" t="s">
        <v>4543</v>
      </c>
      <c r="D5164" s="18">
        <v>2022</v>
      </c>
      <c r="E5164" s="18" t="s">
        <v>0</v>
      </c>
      <c r="F5164" s="4">
        <v>1</v>
      </c>
      <c r="G5164" s="42">
        <v>8</v>
      </c>
      <c r="H5164" s="42">
        <f>0.00911182*(1000)</f>
        <v>9.1118199999999998</v>
      </c>
    </row>
    <row r="5165" spans="1:8" s="15" customFormat="1" ht="16.5" hidden="1" customHeight="1" outlineLevel="1" x14ac:dyDescent="0.25">
      <c r="A5165" s="18">
        <v>4538</v>
      </c>
      <c r="B5165" s="4" t="s">
        <v>249</v>
      </c>
      <c r="C5165" s="38" t="s">
        <v>4544</v>
      </c>
      <c r="D5165" s="18">
        <v>2022</v>
      </c>
      <c r="E5165" s="18" t="s">
        <v>0</v>
      </c>
      <c r="F5165" s="4">
        <v>1</v>
      </c>
      <c r="G5165" s="42">
        <v>5</v>
      </c>
      <c r="H5165" s="42">
        <f>0.00911182*(1000)</f>
        <v>9.1118199999999998</v>
      </c>
    </row>
    <row r="5166" spans="1:8" s="15" customFormat="1" ht="16.5" hidden="1" customHeight="1" outlineLevel="1" x14ac:dyDescent="0.25">
      <c r="A5166" s="18">
        <v>2792</v>
      </c>
      <c r="B5166" s="4" t="s">
        <v>249</v>
      </c>
      <c r="C5166" s="38" t="s">
        <v>4545</v>
      </c>
      <c r="D5166" s="18">
        <v>2022</v>
      </c>
      <c r="E5166" s="18" t="s">
        <v>0</v>
      </c>
      <c r="F5166" s="4">
        <v>2</v>
      </c>
      <c r="G5166" s="42">
        <v>5</v>
      </c>
      <c r="H5166" s="42">
        <f>0.034756*(1000)</f>
        <v>34.756</v>
      </c>
    </row>
    <row r="5167" spans="1:8" s="15" customFormat="1" ht="16.5" hidden="1" customHeight="1" outlineLevel="1" x14ac:dyDescent="0.25">
      <c r="A5167" s="18">
        <v>2928</v>
      </c>
      <c r="B5167" s="4" t="s">
        <v>249</v>
      </c>
      <c r="C5167" s="38" t="s">
        <v>4546</v>
      </c>
      <c r="D5167" s="18">
        <v>2022</v>
      </c>
      <c r="E5167" s="18" t="s">
        <v>0</v>
      </c>
      <c r="F5167" s="4">
        <v>2</v>
      </c>
      <c r="G5167" s="42">
        <v>11</v>
      </c>
      <c r="H5167" s="42">
        <f>0.03285479*(1000)</f>
        <v>32.854790000000001</v>
      </c>
    </row>
    <row r="5168" spans="1:8" s="15" customFormat="1" ht="16.5" hidden="1" customHeight="1" outlineLevel="1" x14ac:dyDescent="0.25">
      <c r="A5168" s="18">
        <v>2964</v>
      </c>
      <c r="B5168" s="4" t="s">
        <v>249</v>
      </c>
      <c r="C5168" s="38" t="s">
        <v>4547</v>
      </c>
      <c r="D5168" s="18">
        <v>2022</v>
      </c>
      <c r="E5168" s="18" t="s">
        <v>0</v>
      </c>
      <c r="F5168" s="4">
        <v>1</v>
      </c>
      <c r="G5168" s="42">
        <v>6</v>
      </c>
      <c r="H5168" s="42">
        <f>0.01686292*(1000)</f>
        <v>16.862919999999999</v>
      </c>
    </row>
    <row r="5169" spans="1:8" s="15" customFormat="1" ht="16.5" hidden="1" customHeight="1" outlineLevel="1" x14ac:dyDescent="0.25">
      <c r="A5169" s="18">
        <v>3010</v>
      </c>
      <c r="B5169" s="4" t="s">
        <v>249</v>
      </c>
      <c r="C5169" s="38" t="s">
        <v>4548</v>
      </c>
      <c r="D5169" s="18">
        <v>2022</v>
      </c>
      <c r="E5169" s="18" t="s">
        <v>0</v>
      </c>
      <c r="F5169" s="4">
        <v>1</v>
      </c>
      <c r="G5169" s="42">
        <v>6</v>
      </c>
      <c r="H5169" s="42">
        <f>0.01290448*(1000)</f>
        <v>12.90448</v>
      </c>
    </row>
    <row r="5170" spans="1:8" s="15" customFormat="1" ht="16.5" hidden="1" customHeight="1" outlineLevel="1" x14ac:dyDescent="0.25">
      <c r="A5170" s="18">
        <v>2735</v>
      </c>
      <c r="B5170" s="4" t="s">
        <v>249</v>
      </c>
      <c r="C5170" s="38" t="s">
        <v>4549</v>
      </c>
      <c r="D5170" s="18">
        <v>2022</v>
      </c>
      <c r="E5170" s="18" t="s">
        <v>0</v>
      </c>
      <c r="F5170" s="4">
        <v>1</v>
      </c>
      <c r="G5170" s="42">
        <v>5</v>
      </c>
      <c r="H5170" s="42">
        <f>0.02012642*(1000)</f>
        <v>20.12642</v>
      </c>
    </row>
    <row r="5171" spans="1:8" s="15" customFormat="1" ht="16.5" hidden="1" customHeight="1" outlineLevel="1" x14ac:dyDescent="0.25">
      <c r="A5171" s="18">
        <v>2738</v>
      </c>
      <c r="B5171" s="4" t="s">
        <v>249</v>
      </c>
      <c r="C5171" s="38" t="s">
        <v>4550</v>
      </c>
      <c r="D5171" s="18">
        <v>2022</v>
      </c>
      <c r="E5171" s="18" t="s">
        <v>0</v>
      </c>
      <c r="F5171" s="4">
        <v>3</v>
      </c>
      <c r="G5171" s="42">
        <v>10</v>
      </c>
      <c r="H5171" s="42">
        <f>0.06622622*(1000)</f>
        <v>66.226219999999998</v>
      </c>
    </row>
    <row r="5172" spans="1:8" s="15" customFormat="1" ht="16.5" hidden="1" customHeight="1" outlineLevel="1" x14ac:dyDescent="0.25">
      <c r="A5172" s="18">
        <v>2741</v>
      </c>
      <c r="B5172" s="4" t="s">
        <v>249</v>
      </c>
      <c r="C5172" s="38" t="s">
        <v>4551</v>
      </c>
      <c r="D5172" s="18">
        <v>2022</v>
      </c>
      <c r="E5172" s="18" t="s">
        <v>0</v>
      </c>
      <c r="F5172" s="4">
        <v>2</v>
      </c>
      <c r="G5172" s="42">
        <v>13</v>
      </c>
      <c r="H5172" s="42">
        <f>0.04042219*(1000)</f>
        <v>40.422189999999993</v>
      </c>
    </row>
    <row r="5173" spans="1:8" s="15" customFormat="1" ht="16.5" hidden="1" customHeight="1" outlineLevel="1" x14ac:dyDescent="0.25">
      <c r="A5173" s="18">
        <v>2743</v>
      </c>
      <c r="B5173" s="4" t="s">
        <v>249</v>
      </c>
      <c r="C5173" s="38" t="s">
        <v>4552</v>
      </c>
      <c r="D5173" s="18">
        <v>2022</v>
      </c>
      <c r="E5173" s="18" t="s">
        <v>0</v>
      </c>
      <c r="F5173" s="4">
        <v>2</v>
      </c>
      <c r="G5173" s="42">
        <v>20</v>
      </c>
      <c r="H5173" s="42">
        <f>0.04534787*(1000)</f>
        <v>45.34787</v>
      </c>
    </row>
    <row r="5174" spans="1:8" s="15" customFormat="1" ht="16.5" hidden="1" customHeight="1" outlineLevel="1" x14ac:dyDescent="0.25">
      <c r="A5174" s="18">
        <v>2752</v>
      </c>
      <c r="B5174" s="4" t="s">
        <v>249</v>
      </c>
      <c r="C5174" s="38" t="s">
        <v>4553</v>
      </c>
      <c r="D5174" s="18">
        <v>2022</v>
      </c>
      <c r="E5174" s="18" t="s">
        <v>0</v>
      </c>
      <c r="F5174" s="4">
        <v>4</v>
      </c>
      <c r="G5174" s="42">
        <v>32</v>
      </c>
      <c r="H5174" s="42">
        <f>0.10095843*(1000)</f>
        <v>100.95843000000001</v>
      </c>
    </row>
    <row r="5175" spans="1:8" s="15" customFormat="1" ht="16.5" hidden="1" customHeight="1" outlineLevel="1" x14ac:dyDescent="0.25">
      <c r="A5175" s="18">
        <v>2772</v>
      </c>
      <c r="B5175" s="4" t="s">
        <v>249</v>
      </c>
      <c r="C5175" s="38" t="s">
        <v>4554</v>
      </c>
      <c r="D5175" s="18">
        <v>2022</v>
      </c>
      <c r="E5175" s="18" t="s">
        <v>0</v>
      </c>
      <c r="F5175" s="4">
        <v>2</v>
      </c>
      <c r="G5175" s="42">
        <v>23</v>
      </c>
      <c r="H5175" s="42">
        <f>0.05912875*(1000)</f>
        <v>59.128750000000004</v>
      </c>
    </row>
    <row r="5176" spans="1:8" s="15" customFormat="1" ht="16.5" hidden="1" customHeight="1" outlineLevel="1" x14ac:dyDescent="0.25">
      <c r="A5176" s="18">
        <v>2788</v>
      </c>
      <c r="B5176" s="4" t="s">
        <v>249</v>
      </c>
      <c r="C5176" s="38" t="s">
        <v>4555</v>
      </c>
      <c r="D5176" s="18">
        <v>2022</v>
      </c>
      <c r="E5176" s="18" t="s">
        <v>0</v>
      </c>
      <c r="F5176" s="4">
        <v>1</v>
      </c>
      <c r="G5176" s="42">
        <v>10</v>
      </c>
      <c r="H5176" s="42">
        <f>0.02765034*(1000)</f>
        <v>27.65034</v>
      </c>
    </row>
    <row r="5177" spans="1:8" s="15" customFormat="1" ht="16.5" hidden="1" customHeight="1" outlineLevel="1" x14ac:dyDescent="0.25">
      <c r="A5177" s="18">
        <v>2793</v>
      </c>
      <c r="B5177" s="4" t="s">
        <v>249</v>
      </c>
      <c r="C5177" s="38" t="s">
        <v>4556</v>
      </c>
      <c r="D5177" s="18">
        <v>2022</v>
      </c>
      <c r="E5177" s="18" t="s">
        <v>0</v>
      </c>
      <c r="F5177" s="4">
        <v>1</v>
      </c>
      <c r="G5177" s="42">
        <v>11</v>
      </c>
      <c r="H5177" s="42">
        <f>0.01804342*(1000)</f>
        <v>18.043420000000001</v>
      </c>
    </row>
    <row r="5178" spans="1:8" s="15" customFormat="1" ht="16.5" hidden="1" customHeight="1" outlineLevel="1" x14ac:dyDescent="0.25">
      <c r="A5178" s="18">
        <v>2816</v>
      </c>
      <c r="B5178" s="4" t="s">
        <v>249</v>
      </c>
      <c r="C5178" s="38" t="s">
        <v>4557</v>
      </c>
      <c r="D5178" s="18">
        <v>2022</v>
      </c>
      <c r="E5178" s="18" t="s">
        <v>0</v>
      </c>
      <c r="F5178" s="4">
        <v>1</v>
      </c>
      <c r="G5178" s="42">
        <v>12</v>
      </c>
      <c r="H5178" s="42">
        <f>0.01953348*(1000)</f>
        <v>19.533479999999997</v>
      </c>
    </row>
    <row r="5179" spans="1:8" s="15" customFormat="1" ht="16.5" hidden="1" customHeight="1" outlineLevel="1" x14ac:dyDescent="0.25">
      <c r="A5179" s="18">
        <v>2824</v>
      </c>
      <c r="B5179" s="4" t="s">
        <v>249</v>
      </c>
      <c r="C5179" s="38" t="s">
        <v>4558</v>
      </c>
      <c r="D5179" s="18">
        <v>2022</v>
      </c>
      <c r="E5179" s="18" t="s">
        <v>0</v>
      </c>
      <c r="F5179" s="4">
        <v>1</v>
      </c>
      <c r="G5179" s="42">
        <v>50</v>
      </c>
      <c r="H5179" s="42">
        <f>0.03073352*(1000)</f>
        <v>30.733519999999999</v>
      </c>
    </row>
    <row r="5180" spans="1:8" s="15" customFormat="1" ht="16.5" hidden="1" customHeight="1" outlineLevel="1" x14ac:dyDescent="0.25">
      <c r="A5180" s="18">
        <v>2831</v>
      </c>
      <c r="B5180" s="4" t="s">
        <v>249</v>
      </c>
      <c r="C5180" s="38" t="s">
        <v>4559</v>
      </c>
      <c r="D5180" s="18">
        <v>2022</v>
      </c>
      <c r="E5180" s="18" t="s">
        <v>0</v>
      </c>
      <c r="F5180" s="4">
        <v>1</v>
      </c>
      <c r="G5180" s="42">
        <v>10</v>
      </c>
      <c r="H5180" s="42">
        <f>0.01108466*(1000)</f>
        <v>11.08466</v>
      </c>
    </row>
    <row r="5181" spans="1:8" s="15" customFormat="1" ht="16.5" hidden="1" customHeight="1" outlineLevel="1" x14ac:dyDescent="0.25">
      <c r="A5181" s="18">
        <v>2837</v>
      </c>
      <c r="B5181" s="4" t="s">
        <v>249</v>
      </c>
      <c r="C5181" s="38" t="s">
        <v>4560</v>
      </c>
      <c r="D5181" s="18">
        <v>2022</v>
      </c>
      <c r="E5181" s="18" t="s">
        <v>0</v>
      </c>
      <c r="F5181" s="4">
        <v>1</v>
      </c>
      <c r="G5181" s="42">
        <v>1</v>
      </c>
      <c r="H5181" s="42">
        <f>0.01777071*(1000)</f>
        <v>17.770709999999998</v>
      </c>
    </row>
    <row r="5182" spans="1:8" s="15" customFormat="1" ht="16.5" hidden="1" customHeight="1" outlineLevel="1" x14ac:dyDescent="0.25">
      <c r="A5182" s="18">
        <v>2853</v>
      </c>
      <c r="B5182" s="4" t="s">
        <v>249</v>
      </c>
      <c r="C5182" s="38" t="s">
        <v>4561</v>
      </c>
      <c r="D5182" s="18">
        <v>2022</v>
      </c>
      <c r="E5182" s="18" t="s">
        <v>0</v>
      </c>
      <c r="F5182" s="4">
        <v>1</v>
      </c>
      <c r="G5182" s="42">
        <v>7</v>
      </c>
      <c r="H5182" s="42">
        <f>0.01768438*(1000)</f>
        <v>17.684380000000001</v>
      </c>
    </row>
    <row r="5183" spans="1:8" s="15" customFormat="1" ht="16.5" hidden="1" customHeight="1" outlineLevel="1" x14ac:dyDescent="0.25">
      <c r="A5183" s="18">
        <v>2855</v>
      </c>
      <c r="B5183" s="4" t="s">
        <v>249</v>
      </c>
      <c r="C5183" s="38" t="s">
        <v>4562</v>
      </c>
      <c r="D5183" s="18">
        <v>2022</v>
      </c>
      <c r="E5183" s="18" t="s">
        <v>0</v>
      </c>
      <c r="F5183" s="4">
        <v>1</v>
      </c>
      <c r="G5183" s="42">
        <v>11</v>
      </c>
      <c r="H5183" s="42">
        <f>0.01771752*(1000)</f>
        <v>17.71752</v>
      </c>
    </row>
    <row r="5184" spans="1:8" s="15" customFormat="1" ht="16.5" hidden="1" customHeight="1" outlineLevel="1" x14ac:dyDescent="0.25">
      <c r="A5184" s="18">
        <v>2876</v>
      </c>
      <c r="B5184" s="4" t="s">
        <v>249</v>
      </c>
      <c r="C5184" s="38" t="s">
        <v>4563</v>
      </c>
      <c r="D5184" s="18">
        <v>2022</v>
      </c>
      <c r="E5184" s="18" t="s">
        <v>0</v>
      </c>
      <c r="F5184" s="4">
        <v>1</v>
      </c>
      <c r="G5184" s="42">
        <v>7</v>
      </c>
      <c r="H5184" s="42">
        <f>0.01785364*(1000)</f>
        <v>17.853640000000002</v>
      </c>
    </row>
    <row r="5185" spans="1:8" s="15" customFormat="1" ht="16.5" hidden="1" customHeight="1" outlineLevel="1" x14ac:dyDescent="0.25">
      <c r="A5185" s="18">
        <v>2878</v>
      </c>
      <c r="B5185" s="4" t="s">
        <v>249</v>
      </c>
      <c r="C5185" s="38" t="s">
        <v>4564</v>
      </c>
      <c r="D5185" s="18">
        <v>2022</v>
      </c>
      <c r="E5185" s="18" t="s">
        <v>0</v>
      </c>
      <c r="F5185" s="4">
        <v>1</v>
      </c>
      <c r="G5185" s="42">
        <v>15</v>
      </c>
      <c r="H5185" s="42">
        <f>0.01775138*(1000)</f>
        <v>17.751380000000001</v>
      </c>
    </row>
    <row r="5186" spans="1:8" s="15" customFormat="1" ht="16.5" hidden="1" customHeight="1" outlineLevel="1" x14ac:dyDescent="0.25">
      <c r="A5186" s="18">
        <v>2879</v>
      </c>
      <c r="B5186" s="4" t="s">
        <v>249</v>
      </c>
      <c r="C5186" s="38" t="s">
        <v>4565</v>
      </c>
      <c r="D5186" s="18">
        <v>2022</v>
      </c>
      <c r="E5186" s="18" t="s">
        <v>0</v>
      </c>
      <c r="F5186" s="4">
        <v>7</v>
      </c>
      <c r="G5186" s="42">
        <v>42</v>
      </c>
      <c r="H5186" s="42">
        <f>0.09328817*(1000)</f>
        <v>93.288170000000008</v>
      </c>
    </row>
    <row r="5187" spans="1:8" s="15" customFormat="1" ht="16.5" hidden="1" customHeight="1" outlineLevel="1" x14ac:dyDescent="0.25">
      <c r="A5187" s="18">
        <v>2889</v>
      </c>
      <c r="B5187" s="4" t="s">
        <v>249</v>
      </c>
      <c r="C5187" s="38" t="s">
        <v>4566</v>
      </c>
      <c r="D5187" s="18">
        <v>2022</v>
      </c>
      <c r="E5187" s="18" t="s">
        <v>0</v>
      </c>
      <c r="F5187" s="4">
        <v>2</v>
      </c>
      <c r="G5187" s="42">
        <v>10</v>
      </c>
      <c r="H5187" s="42">
        <f>0.03051354*(1000)</f>
        <v>30.513539999999999</v>
      </c>
    </row>
    <row r="5188" spans="1:8" s="15" customFormat="1" ht="16.5" hidden="1" customHeight="1" outlineLevel="1" x14ac:dyDescent="0.25">
      <c r="A5188" s="18">
        <v>2890</v>
      </c>
      <c r="B5188" s="4" t="s">
        <v>249</v>
      </c>
      <c r="C5188" s="38" t="s">
        <v>4567</v>
      </c>
      <c r="D5188" s="18">
        <v>2022</v>
      </c>
      <c r="E5188" s="18" t="s">
        <v>0</v>
      </c>
      <c r="F5188" s="4">
        <v>2</v>
      </c>
      <c r="G5188" s="42">
        <v>6</v>
      </c>
      <c r="H5188" s="42">
        <f>0.03037642*(1000)</f>
        <v>30.37642</v>
      </c>
    </row>
    <row r="5189" spans="1:8" s="15" customFormat="1" ht="16.5" hidden="1" customHeight="1" outlineLevel="1" x14ac:dyDescent="0.25">
      <c r="A5189" s="18">
        <v>2897</v>
      </c>
      <c r="B5189" s="4" t="s">
        <v>249</v>
      </c>
      <c r="C5189" s="38" t="s">
        <v>4568</v>
      </c>
      <c r="D5189" s="18">
        <v>2022</v>
      </c>
      <c r="E5189" s="18" t="s">
        <v>0</v>
      </c>
      <c r="F5189" s="4">
        <v>2</v>
      </c>
      <c r="G5189" s="42">
        <v>11</v>
      </c>
      <c r="H5189" s="42">
        <f>0.03040159*(1000)</f>
        <v>30.401589999999999</v>
      </c>
    </row>
    <row r="5190" spans="1:8" s="15" customFormat="1" ht="16.5" hidden="1" customHeight="1" outlineLevel="1" x14ac:dyDescent="0.25">
      <c r="A5190" s="18">
        <v>2906</v>
      </c>
      <c r="B5190" s="4" t="s">
        <v>249</v>
      </c>
      <c r="C5190" s="38" t="s">
        <v>4569</v>
      </c>
      <c r="D5190" s="18">
        <v>2022</v>
      </c>
      <c r="E5190" s="18" t="s">
        <v>0</v>
      </c>
      <c r="F5190" s="4">
        <v>1</v>
      </c>
      <c r="G5190" s="42">
        <v>10</v>
      </c>
      <c r="H5190" s="42">
        <f>0.02492991*(1000)</f>
        <v>24.92991</v>
      </c>
    </row>
    <row r="5191" spans="1:8" s="15" customFormat="1" ht="16.5" hidden="1" customHeight="1" outlineLevel="1" x14ac:dyDescent="0.25">
      <c r="A5191" s="18">
        <v>2939</v>
      </c>
      <c r="B5191" s="4" t="s">
        <v>249</v>
      </c>
      <c r="C5191" s="38" t="s">
        <v>4570</v>
      </c>
      <c r="D5191" s="18">
        <v>2022</v>
      </c>
      <c r="E5191" s="18" t="s">
        <v>0</v>
      </c>
      <c r="F5191" s="4">
        <v>2</v>
      </c>
      <c r="G5191" s="42">
        <v>20</v>
      </c>
      <c r="H5191" s="42">
        <f>0.04201027*(1000)</f>
        <v>42.010270000000006</v>
      </c>
    </row>
    <row r="5192" spans="1:8" s="15" customFormat="1" ht="16.5" hidden="1" customHeight="1" outlineLevel="1" x14ac:dyDescent="0.25">
      <c r="A5192" s="18">
        <v>2944</v>
      </c>
      <c r="B5192" s="4" t="s">
        <v>249</v>
      </c>
      <c r="C5192" s="38" t="s">
        <v>4571</v>
      </c>
      <c r="D5192" s="18">
        <v>2022</v>
      </c>
      <c r="E5192" s="18" t="s">
        <v>0</v>
      </c>
      <c r="F5192" s="4">
        <v>1</v>
      </c>
      <c r="G5192" s="42">
        <v>11</v>
      </c>
      <c r="H5192" s="42">
        <f>0.02398998*(1000)</f>
        <v>23.989980000000003</v>
      </c>
    </row>
    <row r="5193" spans="1:8" s="15" customFormat="1" ht="16.5" hidden="1" customHeight="1" outlineLevel="1" x14ac:dyDescent="0.25">
      <c r="A5193" s="18">
        <v>2952</v>
      </c>
      <c r="B5193" s="4" t="s">
        <v>249</v>
      </c>
      <c r="C5193" s="38" t="s">
        <v>4572</v>
      </c>
      <c r="D5193" s="18">
        <v>2022</v>
      </c>
      <c r="E5193" s="18" t="s">
        <v>0</v>
      </c>
      <c r="F5193" s="4">
        <v>2</v>
      </c>
      <c r="G5193" s="42">
        <v>20</v>
      </c>
      <c r="H5193" s="42">
        <f>0.02492339*(1000)</f>
        <v>24.923390000000001</v>
      </c>
    </row>
    <row r="5194" spans="1:8" s="15" customFormat="1" ht="16.5" hidden="1" customHeight="1" outlineLevel="1" x14ac:dyDescent="0.25">
      <c r="A5194" s="18">
        <v>2954</v>
      </c>
      <c r="B5194" s="4" t="s">
        <v>249</v>
      </c>
      <c r="C5194" s="38" t="s">
        <v>4573</v>
      </c>
      <c r="D5194" s="18">
        <v>2022</v>
      </c>
      <c r="E5194" s="18" t="s">
        <v>0</v>
      </c>
      <c r="F5194" s="4">
        <v>2</v>
      </c>
      <c r="G5194" s="42">
        <v>23</v>
      </c>
      <c r="H5194" s="42">
        <f>0.0437935*(1000)</f>
        <v>43.793500000000002</v>
      </c>
    </row>
    <row r="5195" spans="1:8" s="15" customFormat="1" ht="16.5" hidden="1" customHeight="1" outlineLevel="1" x14ac:dyDescent="0.25">
      <c r="A5195" s="18">
        <v>2955</v>
      </c>
      <c r="B5195" s="4" t="s">
        <v>249</v>
      </c>
      <c r="C5195" s="38" t="s">
        <v>4574</v>
      </c>
      <c r="D5195" s="18">
        <v>2022</v>
      </c>
      <c r="E5195" s="18" t="s">
        <v>0</v>
      </c>
      <c r="F5195" s="4">
        <v>1</v>
      </c>
      <c r="G5195" s="42">
        <v>10</v>
      </c>
      <c r="H5195" s="42">
        <f>0.01421702*(1000)</f>
        <v>14.21702</v>
      </c>
    </row>
    <row r="5196" spans="1:8" s="15" customFormat="1" ht="16.5" hidden="1" customHeight="1" outlineLevel="1" x14ac:dyDescent="0.25">
      <c r="A5196" s="18">
        <v>2957</v>
      </c>
      <c r="B5196" s="4" t="s">
        <v>249</v>
      </c>
      <c r="C5196" s="38" t="s">
        <v>4575</v>
      </c>
      <c r="D5196" s="18">
        <v>2022</v>
      </c>
      <c r="E5196" s="18" t="s">
        <v>0</v>
      </c>
      <c r="F5196" s="4">
        <v>3</v>
      </c>
      <c r="G5196" s="42">
        <v>30</v>
      </c>
      <c r="H5196" s="42">
        <f>0.03566795*(1000)</f>
        <v>35.667949999999998</v>
      </c>
    </row>
    <row r="5197" spans="1:8" s="15" customFormat="1" ht="16.5" hidden="1" customHeight="1" outlineLevel="1" x14ac:dyDescent="0.25">
      <c r="A5197" s="18">
        <v>2958</v>
      </c>
      <c r="B5197" s="4" t="s">
        <v>249</v>
      </c>
      <c r="C5197" s="38" t="s">
        <v>4576</v>
      </c>
      <c r="D5197" s="18">
        <v>2022</v>
      </c>
      <c r="E5197" s="18" t="s">
        <v>0</v>
      </c>
      <c r="F5197" s="4">
        <v>3</v>
      </c>
      <c r="G5197" s="42">
        <v>30</v>
      </c>
      <c r="H5197" s="42">
        <f>0.03872782*(1000)</f>
        <v>38.727820000000001</v>
      </c>
    </row>
    <row r="5198" spans="1:8" s="15" customFormat="1" ht="16.5" hidden="1" customHeight="1" outlineLevel="1" x14ac:dyDescent="0.25">
      <c r="A5198" s="18">
        <v>2959</v>
      </c>
      <c r="B5198" s="4" t="s">
        <v>249</v>
      </c>
      <c r="C5198" s="38" t="s">
        <v>4577</v>
      </c>
      <c r="D5198" s="18">
        <v>2022</v>
      </c>
      <c r="E5198" s="18" t="s">
        <v>0</v>
      </c>
      <c r="F5198" s="4">
        <v>1</v>
      </c>
      <c r="G5198" s="42">
        <v>11</v>
      </c>
      <c r="H5198" s="42">
        <f>0.02272444*(1000)</f>
        <v>22.724439999999998</v>
      </c>
    </row>
    <row r="5199" spans="1:8" s="15" customFormat="1" ht="16.5" hidden="1" customHeight="1" outlineLevel="1" x14ac:dyDescent="0.25">
      <c r="A5199" s="18">
        <v>2962</v>
      </c>
      <c r="B5199" s="4" t="s">
        <v>249</v>
      </c>
      <c r="C5199" s="38" t="s">
        <v>4578</v>
      </c>
      <c r="D5199" s="18">
        <v>2022</v>
      </c>
      <c r="E5199" s="18" t="s">
        <v>0</v>
      </c>
      <c r="F5199" s="4">
        <v>1</v>
      </c>
      <c r="G5199" s="42">
        <v>5</v>
      </c>
      <c r="H5199" s="42">
        <f>0.014522*(1000)</f>
        <v>14.522</v>
      </c>
    </row>
    <row r="5200" spans="1:8" s="15" customFormat="1" ht="16.5" hidden="1" customHeight="1" outlineLevel="1" x14ac:dyDescent="0.25">
      <c r="A5200" s="18">
        <v>2968</v>
      </c>
      <c r="B5200" s="4" t="s">
        <v>249</v>
      </c>
      <c r="C5200" s="38" t="s">
        <v>4579</v>
      </c>
      <c r="D5200" s="18">
        <v>2022</v>
      </c>
      <c r="E5200" s="18" t="s">
        <v>0</v>
      </c>
      <c r="F5200" s="4">
        <v>1</v>
      </c>
      <c r="G5200" s="42">
        <v>10</v>
      </c>
      <c r="H5200" s="42">
        <f>0.01414133*(1000)</f>
        <v>14.14133</v>
      </c>
    </row>
    <row r="5201" spans="1:8" s="15" customFormat="1" ht="16.5" hidden="1" customHeight="1" outlineLevel="1" x14ac:dyDescent="0.25">
      <c r="A5201" s="18">
        <v>3020</v>
      </c>
      <c r="B5201" s="4" t="s">
        <v>249</v>
      </c>
      <c r="C5201" s="38" t="s">
        <v>4580</v>
      </c>
      <c r="D5201" s="18">
        <v>2022</v>
      </c>
      <c r="E5201" s="18" t="s">
        <v>0</v>
      </c>
      <c r="F5201" s="4">
        <v>1</v>
      </c>
      <c r="G5201" s="42">
        <v>2.5</v>
      </c>
      <c r="H5201" s="42">
        <f>0.01034996*(1000)</f>
        <v>10.349959999999999</v>
      </c>
    </row>
    <row r="5202" spans="1:8" s="15" customFormat="1" ht="16.5" hidden="1" customHeight="1" outlineLevel="1" x14ac:dyDescent="0.25">
      <c r="A5202" s="18">
        <v>3021</v>
      </c>
      <c r="B5202" s="4" t="s">
        <v>249</v>
      </c>
      <c r="C5202" s="38" t="s">
        <v>4581</v>
      </c>
      <c r="D5202" s="18">
        <v>2022</v>
      </c>
      <c r="E5202" s="18" t="s">
        <v>0</v>
      </c>
      <c r="F5202" s="4">
        <v>1</v>
      </c>
      <c r="G5202" s="42">
        <v>7</v>
      </c>
      <c r="H5202" s="42">
        <f>0.01029295*(1000)</f>
        <v>10.292950000000001</v>
      </c>
    </row>
    <row r="5203" spans="1:8" s="15" customFormat="1" ht="16.5" hidden="1" customHeight="1" outlineLevel="1" x14ac:dyDescent="0.25">
      <c r="A5203" s="18">
        <v>3022</v>
      </c>
      <c r="B5203" s="4" t="s">
        <v>249</v>
      </c>
      <c r="C5203" s="38" t="s">
        <v>4582</v>
      </c>
      <c r="D5203" s="18">
        <v>2022</v>
      </c>
      <c r="E5203" s="18" t="s">
        <v>0</v>
      </c>
      <c r="F5203" s="4">
        <v>2</v>
      </c>
      <c r="G5203" s="42">
        <v>10</v>
      </c>
      <c r="H5203" s="42">
        <f>0.02045422*(1000)</f>
        <v>20.454219999999999</v>
      </c>
    </row>
    <row r="5204" spans="1:8" s="15" customFormat="1" ht="16.5" hidden="1" customHeight="1" outlineLevel="1" x14ac:dyDescent="0.25">
      <c r="A5204" s="18">
        <v>3023</v>
      </c>
      <c r="B5204" s="4" t="s">
        <v>249</v>
      </c>
      <c r="C5204" s="38" t="s">
        <v>4583</v>
      </c>
      <c r="D5204" s="18">
        <v>2022</v>
      </c>
      <c r="E5204" s="18" t="s">
        <v>0</v>
      </c>
      <c r="F5204" s="4">
        <v>2</v>
      </c>
      <c r="G5204" s="42">
        <v>10</v>
      </c>
      <c r="H5204" s="42">
        <f>0.02045421*(1000)</f>
        <v>20.45421</v>
      </c>
    </row>
    <row r="5205" spans="1:8" s="15" customFormat="1" ht="16.5" hidden="1" customHeight="1" outlineLevel="1" x14ac:dyDescent="0.25">
      <c r="A5205" s="18">
        <v>3028</v>
      </c>
      <c r="B5205" s="4" t="s">
        <v>249</v>
      </c>
      <c r="C5205" s="38" t="s">
        <v>4584</v>
      </c>
      <c r="D5205" s="18">
        <v>2022</v>
      </c>
      <c r="E5205" s="18" t="s">
        <v>0</v>
      </c>
      <c r="F5205" s="4">
        <v>1</v>
      </c>
      <c r="G5205" s="42">
        <v>10</v>
      </c>
      <c r="H5205" s="42">
        <f>0.01057995*(1000)</f>
        <v>10.57995</v>
      </c>
    </row>
    <row r="5206" spans="1:8" s="15" customFormat="1" ht="16.5" hidden="1" customHeight="1" outlineLevel="1" x14ac:dyDescent="0.25">
      <c r="A5206" s="18">
        <v>3035</v>
      </c>
      <c r="B5206" s="4" t="s">
        <v>249</v>
      </c>
      <c r="C5206" s="38" t="s">
        <v>4585</v>
      </c>
      <c r="D5206" s="18">
        <v>2022</v>
      </c>
      <c r="E5206" s="18" t="s">
        <v>0</v>
      </c>
      <c r="F5206" s="4">
        <v>1</v>
      </c>
      <c r="G5206" s="42">
        <v>5</v>
      </c>
      <c r="H5206" s="42">
        <f t="shared" ref="H5206:H5211" si="4">0.01034996*(1000)</f>
        <v>10.349959999999999</v>
      </c>
    </row>
    <row r="5207" spans="1:8" s="15" customFormat="1" ht="16.5" hidden="1" customHeight="1" outlineLevel="1" x14ac:dyDescent="0.25">
      <c r="A5207" s="18">
        <v>3036</v>
      </c>
      <c r="B5207" s="4" t="s">
        <v>249</v>
      </c>
      <c r="C5207" s="38" t="s">
        <v>4586</v>
      </c>
      <c r="D5207" s="18">
        <v>2022</v>
      </c>
      <c r="E5207" s="18" t="s">
        <v>0</v>
      </c>
      <c r="F5207" s="4">
        <v>1</v>
      </c>
      <c r="G5207" s="42">
        <v>5</v>
      </c>
      <c r="H5207" s="42">
        <f t="shared" si="4"/>
        <v>10.349959999999999</v>
      </c>
    </row>
    <row r="5208" spans="1:8" s="15" customFormat="1" ht="16.5" hidden="1" customHeight="1" outlineLevel="1" x14ac:dyDescent="0.25">
      <c r="A5208" s="18">
        <v>3039</v>
      </c>
      <c r="B5208" s="4" t="s">
        <v>249</v>
      </c>
      <c r="C5208" s="38" t="s">
        <v>4587</v>
      </c>
      <c r="D5208" s="18">
        <v>2022</v>
      </c>
      <c r="E5208" s="18" t="s">
        <v>0</v>
      </c>
      <c r="F5208" s="4">
        <v>1</v>
      </c>
      <c r="G5208" s="42">
        <v>8</v>
      </c>
      <c r="H5208" s="42">
        <f t="shared" si="4"/>
        <v>10.349959999999999</v>
      </c>
    </row>
    <row r="5209" spans="1:8" s="15" customFormat="1" ht="16.5" hidden="1" customHeight="1" outlineLevel="1" x14ac:dyDescent="0.25">
      <c r="A5209" s="18">
        <v>3042</v>
      </c>
      <c r="B5209" s="4" t="s">
        <v>249</v>
      </c>
      <c r="C5209" s="38" t="s">
        <v>4588</v>
      </c>
      <c r="D5209" s="18">
        <v>2022</v>
      </c>
      <c r="E5209" s="18" t="s">
        <v>0</v>
      </c>
      <c r="F5209" s="4">
        <v>1</v>
      </c>
      <c r="G5209" s="42">
        <v>7</v>
      </c>
      <c r="H5209" s="42">
        <f t="shared" si="4"/>
        <v>10.349959999999999</v>
      </c>
    </row>
    <row r="5210" spans="1:8" s="15" customFormat="1" ht="16.5" hidden="1" customHeight="1" outlineLevel="1" x14ac:dyDescent="0.25">
      <c r="A5210" s="18">
        <v>3043</v>
      </c>
      <c r="B5210" s="4" t="s">
        <v>249</v>
      </c>
      <c r="C5210" s="38" t="s">
        <v>4589</v>
      </c>
      <c r="D5210" s="18">
        <v>2022</v>
      </c>
      <c r="E5210" s="18" t="s">
        <v>0</v>
      </c>
      <c r="F5210" s="4">
        <v>1</v>
      </c>
      <c r="G5210" s="42">
        <v>6</v>
      </c>
      <c r="H5210" s="42">
        <f t="shared" si="4"/>
        <v>10.349959999999999</v>
      </c>
    </row>
    <row r="5211" spans="1:8" s="15" customFormat="1" ht="16.5" hidden="1" customHeight="1" outlineLevel="1" x14ac:dyDescent="0.25">
      <c r="A5211" s="18">
        <v>3044</v>
      </c>
      <c r="B5211" s="4" t="s">
        <v>249</v>
      </c>
      <c r="C5211" s="38" t="s">
        <v>4590</v>
      </c>
      <c r="D5211" s="18">
        <v>2022</v>
      </c>
      <c r="E5211" s="18" t="s">
        <v>0</v>
      </c>
      <c r="F5211" s="4">
        <v>1</v>
      </c>
      <c r="G5211" s="42">
        <v>5</v>
      </c>
      <c r="H5211" s="42">
        <f t="shared" si="4"/>
        <v>10.349959999999999</v>
      </c>
    </row>
    <row r="5212" spans="1:8" s="15" customFormat="1" ht="16.5" hidden="1" customHeight="1" outlineLevel="1" x14ac:dyDescent="0.25">
      <c r="A5212" s="18">
        <v>3055</v>
      </c>
      <c r="B5212" s="4" t="s">
        <v>249</v>
      </c>
      <c r="C5212" s="38" t="s">
        <v>4591</v>
      </c>
      <c r="D5212" s="18">
        <v>2022</v>
      </c>
      <c r="E5212" s="18" t="s">
        <v>0</v>
      </c>
      <c r="F5212" s="4">
        <v>1</v>
      </c>
      <c r="G5212" s="42">
        <v>3.7</v>
      </c>
      <c r="H5212" s="42">
        <f>0.01024185*(1000)</f>
        <v>10.241849999999999</v>
      </c>
    </row>
    <row r="5213" spans="1:8" s="15" customFormat="1" ht="16.5" hidden="1" customHeight="1" outlineLevel="1" x14ac:dyDescent="0.25">
      <c r="A5213" s="18">
        <v>3061</v>
      </c>
      <c r="B5213" s="4" t="s">
        <v>249</v>
      </c>
      <c r="C5213" s="38" t="s">
        <v>4592</v>
      </c>
      <c r="D5213" s="18">
        <v>2022</v>
      </c>
      <c r="E5213" s="18" t="s">
        <v>0</v>
      </c>
      <c r="F5213" s="4">
        <v>1</v>
      </c>
      <c r="G5213" s="42">
        <v>6</v>
      </c>
      <c r="H5213" s="42">
        <f>0.01024185*(1000)</f>
        <v>10.241849999999999</v>
      </c>
    </row>
    <row r="5214" spans="1:8" s="15" customFormat="1" ht="16.5" hidden="1" customHeight="1" outlineLevel="1" x14ac:dyDescent="0.25">
      <c r="A5214" s="18">
        <v>3063</v>
      </c>
      <c r="B5214" s="4" t="s">
        <v>249</v>
      </c>
      <c r="C5214" s="38" t="s">
        <v>4593</v>
      </c>
      <c r="D5214" s="18">
        <v>2022</v>
      </c>
      <c r="E5214" s="18" t="s">
        <v>0</v>
      </c>
      <c r="F5214" s="4">
        <v>1</v>
      </c>
      <c r="G5214" s="42">
        <v>7</v>
      </c>
      <c r="H5214" s="42">
        <f>0.01024185*(1000)</f>
        <v>10.241849999999999</v>
      </c>
    </row>
    <row r="5215" spans="1:8" s="15" customFormat="1" ht="16.5" hidden="1" customHeight="1" outlineLevel="1" x14ac:dyDescent="0.25">
      <c r="A5215" s="18">
        <v>3069</v>
      </c>
      <c r="B5215" s="4" t="s">
        <v>249</v>
      </c>
      <c r="C5215" s="38" t="s">
        <v>4594</v>
      </c>
      <c r="D5215" s="18">
        <v>2022</v>
      </c>
      <c r="E5215" s="18" t="s">
        <v>0</v>
      </c>
      <c r="F5215" s="4">
        <v>1</v>
      </c>
      <c r="G5215" s="42">
        <v>12</v>
      </c>
      <c r="H5215" s="42">
        <f>0.01024185*(1000)</f>
        <v>10.241849999999999</v>
      </c>
    </row>
    <row r="5216" spans="1:8" s="15" customFormat="1" ht="16.5" hidden="1" customHeight="1" outlineLevel="1" x14ac:dyDescent="0.25">
      <c r="A5216" s="18">
        <v>3071</v>
      </c>
      <c r="B5216" s="4" t="s">
        <v>249</v>
      </c>
      <c r="C5216" s="38" t="s">
        <v>4595</v>
      </c>
      <c r="D5216" s="18">
        <v>2022</v>
      </c>
      <c r="E5216" s="18" t="s">
        <v>0</v>
      </c>
      <c r="F5216" s="4">
        <v>1</v>
      </c>
      <c r="G5216" s="42">
        <v>6</v>
      </c>
      <c r="H5216" s="42">
        <f>0.01024185*(1000)</f>
        <v>10.241849999999999</v>
      </c>
    </row>
    <row r="5217" spans="1:8" s="15" customFormat="1" ht="16.5" hidden="1" customHeight="1" outlineLevel="1" x14ac:dyDescent="0.25">
      <c r="A5217" s="18">
        <v>3077</v>
      </c>
      <c r="B5217" s="4" t="s">
        <v>249</v>
      </c>
      <c r="C5217" s="38" t="s">
        <v>4596</v>
      </c>
      <c r="D5217" s="18">
        <v>2022</v>
      </c>
      <c r="E5217" s="18" t="s">
        <v>0</v>
      </c>
      <c r="F5217" s="4">
        <v>1</v>
      </c>
      <c r="G5217" s="42">
        <v>7</v>
      </c>
      <c r="H5217" s="42">
        <f>0.01024184*(1000)</f>
        <v>10.24184</v>
      </c>
    </row>
    <row r="5218" spans="1:8" s="15" customFormat="1" ht="16.5" hidden="1" customHeight="1" outlineLevel="1" x14ac:dyDescent="0.25">
      <c r="A5218" s="18">
        <v>3082</v>
      </c>
      <c r="B5218" s="4" t="s">
        <v>249</v>
      </c>
      <c r="C5218" s="38" t="s">
        <v>4597</v>
      </c>
      <c r="D5218" s="18">
        <v>2022</v>
      </c>
      <c r="E5218" s="18" t="s">
        <v>0</v>
      </c>
      <c r="F5218" s="4">
        <v>1</v>
      </c>
      <c r="G5218" s="42">
        <v>5</v>
      </c>
      <c r="H5218" s="42">
        <f>0.01024184*(1000)</f>
        <v>10.24184</v>
      </c>
    </row>
    <row r="5219" spans="1:8" s="15" customFormat="1" ht="16.5" hidden="1" customHeight="1" outlineLevel="1" x14ac:dyDescent="0.25">
      <c r="A5219" s="18">
        <v>3084</v>
      </c>
      <c r="B5219" s="4" t="s">
        <v>249</v>
      </c>
      <c r="C5219" s="38" t="s">
        <v>4598</v>
      </c>
      <c r="D5219" s="18">
        <v>2022</v>
      </c>
      <c r="E5219" s="18" t="s">
        <v>0</v>
      </c>
      <c r="F5219" s="4">
        <v>1</v>
      </c>
      <c r="G5219" s="42">
        <v>6</v>
      </c>
      <c r="H5219" s="42">
        <f>0.01024184*(1000)</f>
        <v>10.24184</v>
      </c>
    </row>
    <row r="5220" spans="1:8" s="15" customFormat="1" ht="16.5" hidden="1" customHeight="1" outlineLevel="1" x14ac:dyDescent="0.25">
      <c r="A5220" s="18">
        <v>3085</v>
      </c>
      <c r="B5220" s="4" t="s">
        <v>249</v>
      </c>
      <c r="C5220" s="38" t="s">
        <v>4599</v>
      </c>
      <c r="D5220" s="18">
        <v>2022</v>
      </c>
      <c r="E5220" s="18" t="s">
        <v>0</v>
      </c>
      <c r="F5220" s="4">
        <v>1</v>
      </c>
      <c r="G5220" s="42">
        <v>6</v>
      </c>
      <c r="H5220" s="42">
        <f>0.01024185*(1000)</f>
        <v>10.241849999999999</v>
      </c>
    </row>
    <row r="5221" spans="1:8" s="15" customFormat="1" ht="16.5" hidden="1" customHeight="1" outlineLevel="1" x14ac:dyDescent="0.25">
      <c r="A5221" s="18">
        <v>3086</v>
      </c>
      <c r="B5221" s="4" t="s">
        <v>249</v>
      </c>
      <c r="C5221" s="38" t="s">
        <v>4600</v>
      </c>
      <c r="D5221" s="18">
        <v>2022</v>
      </c>
      <c r="E5221" s="18" t="s">
        <v>0</v>
      </c>
      <c r="F5221" s="4">
        <v>1</v>
      </c>
      <c r="G5221" s="42">
        <v>6</v>
      </c>
      <c r="H5221" s="42">
        <f>0.01024184*(1000)</f>
        <v>10.24184</v>
      </c>
    </row>
    <row r="5222" spans="1:8" s="15" customFormat="1" ht="16.5" hidden="1" customHeight="1" outlineLevel="1" x14ac:dyDescent="0.25">
      <c r="A5222" s="18">
        <v>3090</v>
      </c>
      <c r="B5222" s="4" t="s">
        <v>249</v>
      </c>
      <c r="C5222" s="38" t="s">
        <v>4601</v>
      </c>
      <c r="D5222" s="18">
        <v>2022</v>
      </c>
      <c r="E5222" s="18" t="s">
        <v>0</v>
      </c>
      <c r="F5222" s="4">
        <v>1</v>
      </c>
      <c r="G5222" s="42">
        <v>6</v>
      </c>
      <c r="H5222" s="42">
        <f>0.01024184*(1000)</f>
        <v>10.24184</v>
      </c>
    </row>
    <row r="5223" spans="1:8" s="15" customFormat="1" ht="16.5" hidden="1" customHeight="1" outlineLevel="1" x14ac:dyDescent="0.25">
      <c r="A5223" s="18">
        <v>3091</v>
      </c>
      <c r="B5223" s="4" t="s">
        <v>249</v>
      </c>
      <c r="C5223" s="38" t="s">
        <v>4602</v>
      </c>
      <c r="D5223" s="18">
        <v>2022</v>
      </c>
      <c r="E5223" s="18" t="s">
        <v>0</v>
      </c>
      <c r="F5223" s="4">
        <v>1</v>
      </c>
      <c r="G5223" s="42">
        <v>6</v>
      </c>
      <c r="H5223" s="42">
        <f>0.01024185*(1000)</f>
        <v>10.241849999999999</v>
      </c>
    </row>
    <row r="5224" spans="1:8" s="15" customFormat="1" ht="16.5" hidden="1" customHeight="1" outlineLevel="1" x14ac:dyDescent="0.25">
      <c r="A5224" s="18">
        <v>3096</v>
      </c>
      <c r="B5224" s="4" t="s">
        <v>249</v>
      </c>
      <c r="C5224" s="38" t="s">
        <v>4603</v>
      </c>
      <c r="D5224" s="18">
        <v>2022</v>
      </c>
      <c r="E5224" s="18" t="s">
        <v>0</v>
      </c>
      <c r="F5224" s="4">
        <v>1</v>
      </c>
      <c r="G5224" s="42">
        <v>6</v>
      </c>
      <c r="H5224" s="42">
        <f>0.01024184*(1000)</f>
        <v>10.24184</v>
      </c>
    </row>
    <row r="5225" spans="1:8" s="15" customFormat="1" ht="16.5" hidden="1" customHeight="1" outlineLevel="1" x14ac:dyDescent="0.25">
      <c r="A5225" s="18">
        <v>3100</v>
      </c>
      <c r="B5225" s="4" t="s">
        <v>249</v>
      </c>
      <c r="C5225" s="38" t="s">
        <v>4604</v>
      </c>
      <c r="D5225" s="18">
        <v>2022</v>
      </c>
      <c r="E5225" s="18" t="s">
        <v>0</v>
      </c>
      <c r="F5225" s="4">
        <v>1</v>
      </c>
      <c r="G5225" s="42">
        <v>5</v>
      </c>
      <c r="H5225" s="42">
        <f>0.01024183*(1000)</f>
        <v>10.24183</v>
      </c>
    </row>
    <row r="5226" spans="1:8" s="15" customFormat="1" ht="16.5" hidden="1" customHeight="1" outlineLevel="1" x14ac:dyDescent="0.25">
      <c r="A5226" s="18">
        <v>3101</v>
      </c>
      <c r="B5226" s="4" t="s">
        <v>249</v>
      </c>
      <c r="C5226" s="38" t="s">
        <v>4605</v>
      </c>
      <c r="D5226" s="18">
        <v>2022</v>
      </c>
      <c r="E5226" s="18" t="s">
        <v>0</v>
      </c>
      <c r="F5226" s="4">
        <v>1</v>
      </c>
      <c r="G5226" s="42">
        <v>7</v>
      </c>
      <c r="H5226" s="42">
        <f>0.01024185*(1000)</f>
        <v>10.241849999999999</v>
      </c>
    </row>
    <row r="5227" spans="1:8" s="15" customFormat="1" ht="16.5" hidden="1" customHeight="1" outlineLevel="1" x14ac:dyDescent="0.25">
      <c r="A5227" s="18">
        <v>3102</v>
      </c>
      <c r="B5227" s="4" t="s">
        <v>249</v>
      </c>
      <c r="C5227" s="38" t="s">
        <v>4606</v>
      </c>
      <c r="D5227" s="18">
        <v>2022</v>
      </c>
      <c r="E5227" s="18" t="s">
        <v>0</v>
      </c>
      <c r="F5227" s="4">
        <v>1</v>
      </c>
      <c r="G5227" s="42">
        <v>6</v>
      </c>
      <c r="H5227" s="42">
        <f>0.01023995*(1000)</f>
        <v>10.239949999999999</v>
      </c>
    </row>
    <row r="5228" spans="1:8" s="15" customFormat="1" ht="16.5" hidden="1" customHeight="1" outlineLevel="1" x14ac:dyDescent="0.25">
      <c r="A5228" s="18">
        <v>3105</v>
      </c>
      <c r="B5228" s="4" t="s">
        <v>249</v>
      </c>
      <c r="C5228" s="38" t="s">
        <v>4607</v>
      </c>
      <c r="D5228" s="18">
        <v>2022</v>
      </c>
      <c r="E5228" s="18" t="s">
        <v>0</v>
      </c>
      <c r="F5228" s="4">
        <v>1</v>
      </c>
      <c r="G5228" s="42">
        <v>5</v>
      </c>
      <c r="H5228" s="42">
        <f>0.01011881*(1000)</f>
        <v>10.11881</v>
      </c>
    </row>
    <row r="5229" spans="1:8" s="15" customFormat="1" ht="16.5" hidden="1" customHeight="1" outlineLevel="1" x14ac:dyDescent="0.25">
      <c r="A5229" s="18">
        <v>3110</v>
      </c>
      <c r="B5229" s="4" t="s">
        <v>249</v>
      </c>
      <c r="C5229" s="38" t="s">
        <v>4608</v>
      </c>
      <c r="D5229" s="18">
        <v>2022</v>
      </c>
      <c r="E5229" s="18" t="s">
        <v>0</v>
      </c>
      <c r="F5229" s="4">
        <v>1</v>
      </c>
      <c r="G5229" s="42">
        <v>5</v>
      </c>
      <c r="H5229" s="42">
        <f>0.01011882*(1000)</f>
        <v>10.118820000000001</v>
      </c>
    </row>
    <row r="5230" spans="1:8" s="15" customFormat="1" ht="16.5" hidden="1" customHeight="1" outlineLevel="1" x14ac:dyDescent="0.25">
      <c r="A5230" s="18">
        <v>3119</v>
      </c>
      <c r="B5230" s="4" t="s">
        <v>249</v>
      </c>
      <c r="C5230" s="38" t="s">
        <v>4609</v>
      </c>
      <c r="D5230" s="18">
        <v>2022</v>
      </c>
      <c r="E5230" s="18" t="s">
        <v>0</v>
      </c>
      <c r="F5230" s="4">
        <v>1</v>
      </c>
      <c r="G5230" s="42">
        <v>6</v>
      </c>
      <c r="H5230" s="42">
        <f>0.01024184*(1000)</f>
        <v>10.24184</v>
      </c>
    </row>
    <row r="5231" spans="1:8" s="15" customFormat="1" ht="16.5" hidden="1" customHeight="1" outlineLevel="1" x14ac:dyDescent="0.25">
      <c r="A5231" s="18">
        <v>3122</v>
      </c>
      <c r="B5231" s="4" t="s">
        <v>249</v>
      </c>
      <c r="C5231" s="38" t="s">
        <v>4610</v>
      </c>
      <c r="D5231" s="18">
        <v>2022</v>
      </c>
      <c r="E5231" s="18" t="s">
        <v>0</v>
      </c>
      <c r="F5231" s="4">
        <v>1</v>
      </c>
      <c r="G5231" s="42">
        <v>6</v>
      </c>
      <c r="H5231" s="42">
        <f>0.01024175*(1000)</f>
        <v>10.241750000000001</v>
      </c>
    </row>
    <row r="5232" spans="1:8" s="15" customFormat="1" ht="16.5" hidden="1" customHeight="1" outlineLevel="1" x14ac:dyDescent="0.25">
      <c r="A5232" s="18">
        <v>3124</v>
      </c>
      <c r="B5232" s="4" t="s">
        <v>249</v>
      </c>
      <c r="C5232" s="38" t="s">
        <v>4611</v>
      </c>
      <c r="D5232" s="18">
        <v>2022</v>
      </c>
      <c r="E5232" s="18" t="s">
        <v>0</v>
      </c>
      <c r="F5232" s="4">
        <v>1</v>
      </c>
      <c r="G5232" s="42">
        <v>7</v>
      </c>
      <c r="H5232" s="42">
        <f>0.01024175*(1000)</f>
        <v>10.241750000000001</v>
      </c>
    </row>
    <row r="5233" spans="1:8" s="15" customFormat="1" ht="16.5" hidden="1" customHeight="1" outlineLevel="1" x14ac:dyDescent="0.25">
      <c r="A5233" s="18">
        <v>3135</v>
      </c>
      <c r="B5233" s="4" t="s">
        <v>249</v>
      </c>
      <c r="C5233" s="38" t="s">
        <v>4612</v>
      </c>
      <c r="D5233" s="18">
        <v>2022</v>
      </c>
      <c r="E5233" s="18" t="s">
        <v>0</v>
      </c>
      <c r="F5233" s="4">
        <v>1</v>
      </c>
      <c r="G5233" s="42">
        <v>5</v>
      </c>
      <c r="H5233" s="42">
        <f>0.01011871*(1000)</f>
        <v>10.11871</v>
      </c>
    </row>
    <row r="5234" spans="1:8" s="15" customFormat="1" ht="16.5" hidden="1" customHeight="1" outlineLevel="1" x14ac:dyDescent="0.25">
      <c r="A5234" s="18">
        <v>3137</v>
      </c>
      <c r="B5234" s="4" t="s">
        <v>249</v>
      </c>
      <c r="C5234" s="38" t="s">
        <v>4613</v>
      </c>
      <c r="D5234" s="18">
        <v>2022</v>
      </c>
      <c r="E5234" s="18" t="s">
        <v>0</v>
      </c>
      <c r="F5234" s="4">
        <v>1</v>
      </c>
      <c r="G5234" s="42">
        <v>7</v>
      </c>
      <c r="H5234" s="42">
        <f>0.01011871*(1000)</f>
        <v>10.11871</v>
      </c>
    </row>
    <row r="5235" spans="1:8" s="15" customFormat="1" ht="16.5" hidden="1" customHeight="1" outlineLevel="1" x14ac:dyDescent="0.25">
      <c r="A5235" s="18">
        <v>3138</v>
      </c>
      <c r="B5235" s="4" t="s">
        <v>249</v>
      </c>
      <c r="C5235" s="38" t="s">
        <v>4614</v>
      </c>
      <c r="D5235" s="18">
        <v>2022</v>
      </c>
      <c r="E5235" s="18" t="s">
        <v>0</v>
      </c>
      <c r="F5235" s="4">
        <v>1</v>
      </c>
      <c r="G5235" s="42">
        <v>3</v>
      </c>
      <c r="H5235" s="42">
        <f>0.01011872*(1000)</f>
        <v>10.11872</v>
      </c>
    </row>
    <row r="5236" spans="1:8" s="15" customFormat="1" ht="16.5" hidden="1" customHeight="1" outlineLevel="1" x14ac:dyDescent="0.25">
      <c r="A5236" s="18">
        <v>3140</v>
      </c>
      <c r="B5236" s="4" t="s">
        <v>249</v>
      </c>
      <c r="C5236" s="38" t="s">
        <v>4615</v>
      </c>
      <c r="D5236" s="18">
        <v>2022</v>
      </c>
      <c r="E5236" s="18" t="s">
        <v>0</v>
      </c>
      <c r="F5236" s="4">
        <v>1</v>
      </c>
      <c r="G5236" s="42">
        <v>7</v>
      </c>
      <c r="H5236" s="42">
        <f>0.01011872*(1000)</f>
        <v>10.11872</v>
      </c>
    </row>
    <row r="5237" spans="1:8" s="15" customFormat="1" ht="16.5" hidden="1" customHeight="1" outlineLevel="1" x14ac:dyDescent="0.25">
      <c r="A5237" s="18">
        <v>3141</v>
      </c>
      <c r="B5237" s="4" t="s">
        <v>249</v>
      </c>
      <c r="C5237" s="38" t="s">
        <v>4616</v>
      </c>
      <c r="D5237" s="18">
        <v>2022</v>
      </c>
      <c r="E5237" s="18" t="s">
        <v>0</v>
      </c>
      <c r="F5237" s="4">
        <v>1</v>
      </c>
      <c r="G5237" s="42">
        <v>5</v>
      </c>
      <c r="H5237" s="42">
        <f>0.01011871*(1000)</f>
        <v>10.11871</v>
      </c>
    </row>
    <row r="5238" spans="1:8" s="15" customFormat="1" ht="16.5" hidden="1" customHeight="1" outlineLevel="1" x14ac:dyDescent="0.25">
      <c r="A5238" s="18">
        <v>3142</v>
      </c>
      <c r="B5238" s="4" t="s">
        <v>249</v>
      </c>
      <c r="C5238" s="38" t="s">
        <v>4617</v>
      </c>
      <c r="D5238" s="18">
        <v>2022</v>
      </c>
      <c r="E5238" s="18" t="s">
        <v>0</v>
      </c>
      <c r="F5238" s="4">
        <v>1</v>
      </c>
      <c r="G5238" s="42">
        <v>5</v>
      </c>
      <c r="H5238" s="42">
        <f>0.01011872*(1000)</f>
        <v>10.11872</v>
      </c>
    </row>
    <row r="5239" spans="1:8" s="15" customFormat="1" ht="16.5" hidden="1" customHeight="1" outlineLevel="1" x14ac:dyDescent="0.25">
      <c r="A5239" s="18">
        <v>3145</v>
      </c>
      <c r="B5239" s="4" t="s">
        <v>249</v>
      </c>
      <c r="C5239" s="38" t="s">
        <v>4618</v>
      </c>
      <c r="D5239" s="18">
        <v>2022</v>
      </c>
      <c r="E5239" s="18" t="s">
        <v>0</v>
      </c>
      <c r="F5239" s="4">
        <v>1</v>
      </c>
      <c r="G5239" s="42">
        <v>6</v>
      </c>
      <c r="H5239" s="42">
        <f>0.01011871*(1000)</f>
        <v>10.11871</v>
      </c>
    </row>
    <row r="5240" spans="1:8" s="15" customFormat="1" ht="16.5" hidden="1" customHeight="1" outlineLevel="1" x14ac:dyDescent="0.25">
      <c r="A5240" s="18">
        <v>3153</v>
      </c>
      <c r="B5240" s="4" t="s">
        <v>249</v>
      </c>
      <c r="C5240" s="38" t="s">
        <v>4619</v>
      </c>
      <c r="D5240" s="18">
        <v>2022</v>
      </c>
      <c r="E5240" s="18" t="s">
        <v>0</v>
      </c>
      <c r="F5240" s="4">
        <v>1</v>
      </c>
      <c r="G5240" s="42">
        <v>6</v>
      </c>
      <c r="H5240" s="42">
        <f>0.01011871*(1000)</f>
        <v>10.11871</v>
      </c>
    </row>
    <row r="5241" spans="1:8" s="15" customFormat="1" ht="16.5" hidden="1" customHeight="1" outlineLevel="1" x14ac:dyDescent="0.25">
      <c r="A5241" s="18">
        <v>3156</v>
      </c>
      <c r="B5241" s="4" t="s">
        <v>249</v>
      </c>
      <c r="C5241" s="38" t="s">
        <v>4620</v>
      </c>
      <c r="D5241" s="18">
        <v>2022</v>
      </c>
      <c r="E5241" s="18" t="s">
        <v>0</v>
      </c>
      <c r="F5241" s="4">
        <v>1</v>
      </c>
      <c r="G5241" s="42">
        <v>5</v>
      </c>
      <c r="H5241" s="42">
        <f>0.01011752*(1000)</f>
        <v>10.117519999999999</v>
      </c>
    </row>
    <row r="5242" spans="1:8" s="15" customFormat="1" ht="16.5" hidden="1" customHeight="1" outlineLevel="1" x14ac:dyDescent="0.25">
      <c r="A5242" s="18">
        <v>3158</v>
      </c>
      <c r="B5242" s="4" t="s">
        <v>249</v>
      </c>
      <c r="C5242" s="38" t="s">
        <v>4621</v>
      </c>
      <c r="D5242" s="18">
        <v>2022</v>
      </c>
      <c r="E5242" s="18" t="s">
        <v>0</v>
      </c>
      <c r="F5242" s="4">
        <v>1</v>
      </c>
      <c r="G5242" s="42">
        <v>10</v>
      </c>
      <c r="H5242" s="42">
        <f>0.01026643*(1000)</f>
        <v>10.26643</v>
      </c>
    </row>
    <row r="5243" spans="1:8" s="15" customFormat="1" ht="16.5" hidden="1" customHeight="1" outlineLevel="1" x14ac:dyDescent="0.25">
      <c r="A5243" s="18">
        <v>3159</v>
      </c>
      <c r="B5243" s="4" t="s">
        <v>249</v>
      </c>
      <c r="C5243" s="38" t="s">
        <v>4622</v>
      </c>
      <c r="D5243" s="18">
        <v>2022</v>
      </c>
      <c r="E5243" s="18" t="s">
        <v>0</v>
      </c>
      <c r="F5243" s="4">
        <v>3</v>
      </c>
      <c r="G5243" s="42">
        <v>30</v>
      </c>
      <c r="H5243" s="42">
        <f>0.03072011*(1000)</f>
        <v>30.720109999999998</v>
      </c>
    </row>
    <row r="5244" spans="1:8" s="15" customFormat="1" ht="16.5" hidden="1" customHeight="1" outlineLevel="1" x14ac:dyDescent="0.25">
      <c r="A5244" s="18">
        <v>3161</v>
      </c>
      <c r="B5244" s="4" t="s">
        <v>249</v>
      </c>
      <c r="C5244" s="38" t="s">
        <v>4623</v>
      </c>
      <c r="D5244" s="18">
        <v>2022</v>
      </c>
      <c r="E5244" s="18" t="s">
        <v>0</v>
      </c>
      <c r="F5244" s="4">
        <v>1</v>
      </c>
      <c r="G5244" s="42">
        <v>10</v>
      </c>
      <c r="H5244" s="42">
        <f>0.01777905*(1000)</f>
        <v>17.779050000000002</v>
      </c>
    </row>
    <row r="5245" spans="1:8" s="15" customFormat="1" ht="16.5" hidden="1" customHeight="1" outlineLevel="1" x14ac:dyDescent="0.25">
      <c r="A5245" s="18">
        <v>3165</v>
      </c>
      <c r="B5245" s="4" t="s">
        <v>249</v>
      </c>
      <c r="C5245" s="38" t="s">
        <v>4624</v>
      </c>
      <c r="D5245" s="18">
        <v>2022</v>
      </c>
      <c r="E5245" s="18" t="s">
        <v>0</v>
      </c>
      <c r="F5245" s="4">
        <v>4</v>
      </c>
      <c r="G5245" s="42">
        <v>44</v>
      </c>
      <c r="H5245" s="42">
        <f>0.04076683*(1000)</f>
        <v>40.766829999999999</v>
      </c>
    </row>
    <row r="5246" spans="1:8" s="15" customFormat="1" ht="16.5" hidden="1" customHeight="1" outlineLevel="1" x14ac:dyDescent="0.25">
      <c r="A5246" s="18">
        <v>3185</v>
      </c>
      <c r="B5246" s="4" t="s">
        <v>249</v>
      </c>
      <c r="C5246" s="38" t="s">
        <v>4625</v>
      </c>
      <c r="D5246" s="18">
        <v>2022</v>
      </c>
      <c r="E5246" s="18" t="s">
        <v>0</v>
      </c>
      <c r="F5246" s="4">
        <v>3</v>
      </c>
      <c r="G5246" s="42">
        <v>30</v>
      </c>
      <c r="H5246" s="42">
        <f>0.04632445*(1000)</f>
        <v>46.324450000000006</v>
      </c>
    </row>
    <row r="5247" spans="1:8" s="15" customFormat="1" ht="16.5" hidden="1" customHeight="1" outlineLevel="1" x14ac:dyDescent="0.25">
      <c r="A5247" s="18">
        <v>3193</v>
      </c>
      <c r="B5247" s="4" t="s">
        <v>249</v>
      </c>
      <c r="C5247" s="38" t="s">
        <v>4626</v>
      </c>
      <c r="D5247" s="18">
        <v>2022</v>
      </c>
      <c r="E5247" s="18" t="s">
        <v>0</v>
      </c>
      <c r="F5247" s="4">
        <v>1</v>
      </c>
      <c r="G5247" s="42">
        <v>10</v>
      </c>
      <c r="H5247" s="42">
        <f>0.01092855*(1000)</f>
        <v>10.92855</v>
      </c>
    </row>
    <row r="5248" spans="1:8" s="15" customFormat="1" ht="16.5" hidden="1" customHeight="1" outlineLevel="1" x14ac:dyDescent="0.25">
      <c r="A5248" s="18">
        <v>3197</v>
      </c>
      <c r="B5248" s="4" t="s">
        <v>249</v>
      </c>
      <c r="C5248" s="38" t="s">
        <v>4627</v>
      </c>
      <c r="D5248" s="18">
        <v>2022</v>
      </c>
      <c r="E5248" s="18" t="s">
        <v>0</v>
      </c>
      <c r="F5248" s="4">
        <v>3</v>
      </c>
      <c r="G5248" s="42">
        <v>30</v>
      </c>
      <c r="H5248" s="42">
        <f>0.0312199*(1000)</f>
        <v>31.219899999999999</v>
      </c>
    </row>
    <row r="5249" spans="1:8" s="15" customFormat="1" ht="16.5" hidden="1" customHeight="1" outlineLevel="1" x14ac:dyDescent="0.25">
      <c r="A5249" s="18">
        <v>3198</v>
      </c>
      <c r="B5249" s="4" t="s">
        <v>249</v>
      </c>
      <c r="C5249" s="38" t="s">
        <v>4628</v>
      </c>
      <c r="D5249" s="18">
        <v>2022</v>
      </c>
      <c r="E5249" s="18" t="s">
        <v>0</v>
      </c>
      <c r="F5249" s="4">
        <v>1</v>
      </c>
      <c r="G5249" s="42">
        <v>10</v>
      </c>
      <c r="H5249" s="42">
        <f>0.00970572*(1000)</f>
        <v>9.7057199999999995</v>
      </c>
    </row>
    <row r="5250" spans="1:8" s="15" customFormat="1" ht="16.5" hidden="1" customHeight="1" outlineLevel="1" x14ac:dyDescent="0.25">
      <c r="A5250" s="18">
        <v>3202</v>
      </c>
      <c r="B5250" s="4" t="s">
        <v>249</v>
      </c>
      <c r="C5250" s="38" t="s">
        <v>4629</v>
      </c>
      <c r="D5250" s="18">
        <v>2022</v>
      </c>
      <c r="E5250" s="18" t="s">
        <v>0</v>
      </c>
      <c r="F5250" s="4">
        <v>1</v>
      </c>
      <c r="G5250" s="42">
        <v>10</v>
      </c>
      <c r="H5250" s="42">
        <f t="shared" ref="H5250:H5255" si="5">0.00969518*(1000)</f>
        <v>9.6951799999999988</v>
      </c>
    </row>
    <row r="5251" spans="1:8" s="15" customFormat="1" ht="16.5" hidden="1" customHeight="1" outlineLevel="1" x14ac:dyDescent="0.25">
      <c r="A5251" s="18">
        <v>3206</v>
      </c>
      <c r="B5251" s="4" t="s">
        <v>249</v>
      </c>
      <c r="C5251" s="38" t="s">
        <v>4630</v>
      </c>
      <c r="D5251" s="18">
        <v>2022</v>
      </c>
      <c r="E5251" s="18" t="s">
        <v>0</v>
      </c>
      <c r="F5251" s="4">
        <v>1</v>
      </c>
      <c r="G5251" s="42">
        <v>10</v>
      </c>
      <c r="H5251" s="42">
        <f t="shared" si="5"/>
        <v>9.6951799999999988</v>
      </c>
    </row>
    <row r="5252" spans="1:8" s="15" customFormat="1" ht="16.5" hidden="1" customHeight="1" outlineLevel="1" x14ac:dyDescent="0.25">
      <c r="A5252" s="18">
        <v>3207</v>
      </c>
      <c r="B5252" s="4" t="s">
        <v>249</v>
      </c>
      <c r="C5252" s="38" t="s">
        <v>4631</v>
      </c>
      <c r="D5252" s="18">
        <v>2022</v>
      </c>
      <c r="E5252" s="18" t="s">
        <v>0</v>
      </c>
      <c r="F5252" s="4">
        <v>1</v>
      </c>
      <c r="G5252" s="42">
        <v>10</v>
      </c>
      <c r="H5252" s="42">
        <f t="shared" si="5"/>
        <v>9.6951799999999988</v>
      </c>
    </row>
    <row r="5253" spans="1:8" s="15" customFormat="1" ht="16.5" hidden="1" customHeight="1" outlineLevel="1" x14ac:dyDescent="0.25">
      <c r="A5253" s="18">
        <v>3211</v>
      </c>
      <c r="B5253" s="4" t="s">
        <v>249</v>
      </c>
      <c r="C5253" s="38" t="s">
        <v>4632</v>
      </c>
      <c r="D5253" s="18">
        <v>2022</v>
      </c>
      <c r="E5253" s="18" t="s">
        <v>0</v>
      </c>
      <c r="F5253" s="4">
        <v>1</v>
      </c>
      <c r="G5253" s="42">
        <v>10</v>
      </c>
      <c r="H5253" s="42">
        <f t="shared" si="5"/>
        <v>9.6951799999999988</v>
      </c>
    </row>
    <row r="5254" spans="1:8" s="15" customFormat="1" ht="16.5" hidden="1" customHeight="1" outlineLevel="1" x14ac:dyDescent="0.25">
      <c r="A5254" s="18">
        <v>3216</v>
      </c>
      <c r="B5254" s="4" t="s">
        <v>249</v>
      </c>
      <c r="C5254" s="38" t="s">
        <v>4633</v>
      </c>
      <c r="D5254" s="18">
        <v>2022</v>
      </c>
      <c r="E5254" s="18" t="s">
        <v>0</v>
      </c>
      <c r="F5254" s="4">
        <v>1</v>
      </c>
      <c r="G5254" s="42">
        <v>10</v>
      </c>
      <c r="H5254" s="42">
        <f t="shared" si="5"/>
        <v>9.6951799999999988</v>
      </c>
    </row>
    <row r="5255" spans="1:8" s="15" customFormat="1" ht="16.5" hidden="1" customHeight="1" outlineLevel="1" x14ac:dyDescent="0.25">
      <c r="A5255" s="18">
        <v>3217</v>
      </c>
      <c r="B5255" s="4" t="s">
        <v>249</v>
      </c>
      <c r="C5255" s="38" t="s">
        <v>4634</v>
      </c>
      <c r="D5255" s="18">
        <v>2022</v>
      </c>
      <c r="E5255" s="18" t="s">
        <v>0</v>
      </c>
      <c r="F5255" s="4">
        <v>1</v>
      </c>
      <c r="G5255" s="42">
        <v>10</v>
      </c>
      <c r="H5255" s="42">
        <f t="shared" si="5"/>
        <v>9.6951799999999988</v>
      </c>
    </row>
    <row r="5256" spans="1:8" s="15" customFormat="1" ht="16.5" hidden="1" customHeight="1" outlineLevel="1" x14ac:dyDescent="0.25">
      <c r="A5256" s="18">
        <v>3220</v>
      </c>
      <c r="B5256" s="4" t="s">
        <v>249</v>
      </c>
      <c r="C5256" s="38" t="s">
        <v>4635</v>
      </c>
      <c r="D5256" s="18">
        <v>2022</v>
      </c>
      <c r="E5256" s="18" t="s">
        <v>0</v>
      </c>
      <c r="F5256" s="4">
        <v>1</v>
      </c>
      <c r="G5256" s="42">
        <v>10</v>
      </c>
      <c r="H5256" s="42">
        <f>0.00971642*(1000)</f>
        <v>9.7164199999999994</v>
      </c>
    </row>
    <row r="5257" spans="1:8" s="15" customFormat="1" ht="16.5" hidden="1" customHeight="1" outlineLevel="1" x14ac:dyDescent="0.25">
      <c r="A5257" s="18">
        <v>3222</v>
      </c>
      <c r="B5257" s="4" t="s">
        <v>249</v>
      </c>
      <c r="C5257" s="38" t="s">
        <v>4636</v>
      </c>
      <c r="D5257" s="18">
        <v>2022</v>
      </c>
      <c r="E5257" s="18" t="s">
        <v>0</v>
      </c>
      <c r="F5257" s="4">
        <v>1</v>
      </c>
      <c r="G5257" s="42">
        <v>10</v>
      </c>
      <c r="H5257" s="42">
        <f>0.00971642*(1000)</f>
        <v>9.7164199999999994</v>
      </c>
    </row>
    <row r="5258" spans="1:8" s="15" customFormat="1" ht="16.5" hidden="1" customHeight="1" outlineLevel="1" x14ac:dyDescent="0.25">
      <c r="A5258" s="18">
        <v>3225</v>
      </c>
      <c r="B5258" s="4" t="s">
        <v>249</v>
      </c>
      <c r="C5258" s="38" t="s">
        <v>4637</v>
      </c>
      <c r="D5258" s="18">
        <v>2022</v>
      </c>
      <c r="E5258" s="18" t="s">
        <v>0</v>
      </c>
      <c r="F5258" s="4">
        <v>1</v>
      </c>
      <c r="G5258" s="42">
        <v>10</v>
      </c>
      <c r="H5258" s="42">
        <f>0.00971642*(1000)</f>
        <v>9.7164199999999994</v>
      </c>
    </row>
    <row r="5259" spans="1:8" s="15" customFormat="1" ht="16.5" hidden="1" customHeight="1" outlineLevel="1" x14ac:dyDescent="0.25">
      <c r="A5259" s="18">
        <v>3227</v>
      </c>
      <c r="B5259" s="4" t="s">
        <v>249</v>
      </c>
      <c r="C5259" s="38" t="s">
        <v>4638</v>
      </c>
      <c r="D5259" s="18">
        <v>2022</v>
      </c>
      <c r="E5259" s="18" t="s">
        <v>0</v>
      </c>
      <c r="F5259" s="4">
        <v>1</v>
      </c>
      <c r="G5259" s="42">
        <v>10</v>
      </c>
      <c r="H5259" s="42">
        <f>0.01789794*(1000)</f>
        <v>17.897940000000002</v>
      </c>
    </row>
    <row r="5260" spans="1:8" s="15" customFormat="1" ht="16.5" hidden="1" customHeight="1" outlineLevel="1" x14ac:dyDescent="0.25">
      <c r="A5260" s="18">
        <v>3231</v>
      </c>
      <c r="B5260" s="4" t="s">
        <v>249</v>
      </c>
      <c r="C5260" s="38" t="s">
        <v>4639</v>
      </c>
      <c r="D5260" s="18">
        <v>2022</v>
      </c>
      <c r="E5260" s="18" t="s">
        <v>0</v>
      </c>
      <c r="F5260" s="4">
        <v>1</v>
      </c>
      <c r="G5260" s="42">
        <v>10</v>
      </c>
      <c r="H5260" s="42">
        <f>0.00971642*(1000)</f>
        <v>9.7164199999999994</v>
      </c>
    </row>
    <row r="5261" spans="1:8" s="15" customFormat="1" ht="16.5" hidden="1" customHeight="1" outlineLevel="1" x14ac:dyDescent="0.25">
      <c r="A5261" s="18">
        <v>3232</v>
      </c>
      <c r="B5261" s="4" t="s">
        <v>249</v>
      </c>
      <c r="C5261" s="38" t="s">
        <v>4640</v>
      </c>
      <c r="D5261" s="18">
        <v>2022</v>
      </c>
      <c r="E5261" s="18" t="s">
        <v>0</v>
      </c>
      <c r="F5261" s="4">
        <v>1</v>
      </c>
      <c r="G5261" s="42">
        <v>10</v>
      </c>
      <c r="H5261" s="42">
        <f>0.00971642*(1000)</f>
        <v>9.7164199999999994</v>
      </c>
    </row>
    <row r="5262" spans="1:8" s="15" customFormat="1" ht="16.5" hidden="1" customHeight="1" outlineLevel="1" x14ac:dyDescent="0.25">
      <c r="A5262" s="18">
        <v>3233</v>
      </c>
      <c r="B5262" s="4" t="s">
        <v>249</v>
      </c>
      <c r="C5262" s="38" t="s">
        <v>4641</v>
      </c>
      <c r="D5262" s="18">
        <v>2022</v>
      </c>
      <c r="E5262" s="18" t="s">
        <v>0</v>
      </c>
      <c r="F5262" s="4">
        <v>1</v>
      </c>
      <c r="G5262" s="42">
        <v>10</v>
      </c>
      <c r="H5262" s="42">
        <f>0.00971642*(1000)</f>
        <v>9.7164199999999994</v>
      </c>
    </row>
    <row r="5263" spans="1:8" s="15" customFormat="1" ht="16.5" hidden="1" customHeight="1" outlineLevel="1" x14ac:dyDescent="0.25">
      <c r="A5263" s="18">
        <v>3234</v>
      </c>
      <c r="B5263" s="4" t="s">
        <v>249</v>
      </c>
      <c r="C5263" s="38" t="s">
        <v>4642</v>
      </c>
      <c r="D5263" s="18">
        <v>2022</v>
      </c>
      <c r="E5263" s="18" t="s">
        <v>0</v>
      </c>
      <c r="F5263" s="4">
        <v>1</v>
      </c>
      <c r="G5263" s="42">
        <v>10</v>
      </c>
      <c r="H5263" s="42">
        <f>0.00971642*(1000)</f>
        <v>9.7164199999999994</v>
      </c>
    </row>
    <row r="5264" spans="1:8" s="15" customFormat="1" ht="16.5" hidden="1" customHeight="1" outlineLevel="1" x14ac:dyDescent="0.25">
      <c r="A5264" s="18">
        <v>3235</v>
      </c>
      <c r="B5264" s="4" t="s">
        <v>249</v>
      </c>
      <c r="C5264" s="38" t="s">
        <v>4643</v>
      </c>
      <c r="D5264" s="18">
        <v>2022</v>
      </c>
      <c r="E5264" s="18" t="s">
        <v>0</v>
      </c>
      <c r="F5264" s="4">
        <v>1</v>
      </c>
      <c r="G5264" s="42">
        <v>5</v>
      </c>
      <c r="H5264" s="42">
        <f>0.00965925*(1000)</f>
        <v>9.6592500000000001</v>
      </c>
    </row>
    <row r="5265" spans="1:8" s="15" customFormat="1" ht="16.5" hidden="1" customHeight="1" outlineLevel="1" x14ac:dyDescent="0.25">
      <c r="A5265" s="18">
        <v>3236</v>
      </c>
      <c r="B5265" s="4" t="s">
        <v>249</v>
      </c>
      <c r="C5265" s="38" t="s">
        <v>4644</v>
      </c>
      <c r="D5265" s="18">
        <v>2022</v>
      </c>
      <c r="E5265" s="18" t="s">
        <v>0</v>
      </c>
      <c r="F5265" s="4">
        <v>1</v>
      </c>
      <c r="G5265" s="42">
        <v>5</v>
      </c>
      <c r="H5265" s="42">
        <f>0.01066824*(1000)</f>
        <v>10.668240000000001</v>
      </c>
    </row>
    <row r="5266" spans="1:8" s="15" customFormat="1" ht="16.5" hidden="1" customHeight="1" outlineLevel="1" x14ac:dyDescent="0.25">
      <c r="A5266" s="18">
        <v>3238</v>
      </c>
      <c r="B5266" s="4" t="s">
        <v>249</v>
      </c>
      <c r="C5266" s="38" t="s">
        <v>4645</v>
      </c>
      <c r="D5266" s="18">
        <v>2022</v>
      </c>
      <c r="E5266" s="18" t="s">
        <v>0</v>
      </c>
      <c r="F5266" s="4">
        <v>1</v>
      </c>
      <c r="G5266" s="42">
        <v>10</v>
      </c>
      <c r="H5266" s="42">
        <f>0.00971642*(1000)</f>
        <v>9.7164199999999994</v>
      </c>
    </row>
    <row r="5267" spans="1:8" s="15" customFormat="1" ht="16.5" hidden="1" customHeight="1" outlineLevel="1" x14ac:dyDescent="0.25">
      <c r="A5267" s="18">
        <v>3239</v>
      </c>
      <c r="B5267" s="4" t="s">
        <v>249</v>
      </c>
      <c r="C5267" s="38" t="s">
        <v>4646</v>
      </c>
      <c r="D5267" s="18">
        <v>2022</v>
      </c>
      <c r="E5267" s="18" t="s">
        <v>0</v>
      </c>
      <c r="F5267" s="4">
        <v>1</v>
      </c>
      <c r="G5267" s="42">
        <v>11</v>
      </c>
      <c r="H5267" s="42">
        <f>0.00971642*(1000)</f>
        <v>9.7164199999999994</v>
      </c>
    </row>
    <row r="5268" spans="1:8" s="15" customFormat="1" ht="16.5" hidden="1" customHeight="1" outlineLevel="1" x14ac:dyDescent="0.25">
      <c r="A5268" s="18">
        <v>3244</v>
      </c>
      <c r="B5268" s="4" t="s">
        <v>249</v>
      </c>
      <c r="C5268" s="38" t="s">
        <v>4647</v>
      </c>
      <c r="D5268" s="18">
        <v>2022</v>
      </c>
      <c r="E5268" s="18" t="s">
        <v>0</v>
      </c>
      <c r="F5268" s="4">
        <v>1</v>
      </c>
      <c r="G5268" s="42">
        <v>10</v>
      </c>
      <c r="H5268" s="42">
        <f>0.00971641*(1000)</f>
        <v>9.7164099999999998</v>
      </c>
    </row>
    <row r="5269" spans="1:8" s="15" customFormat="1" ht="16.5" hidden="1" customHeight="1" outlineLevel="1" x14ac:dyDescent="0.25">
      <c r="A5269" s="18">
        <v>3245</v>
      </c>
      <c r="B5269" s="4" t="s">
        <v>249</v>
      </c>
      <c r="C5269" s="38" t="s">
        <v>4648</v>
      </c>
      <c r="D5269" s="18">
        <v>2022</v>
      </c>
      <c r="E5269" s="18" t="s">
        <v>0</v>
      </c>
      <c r="F5269" s="4">
        <v>1</v>
      </c>
      <c r="G5269" s="42">
        <v>10</v>
      </c>
      <c r="H5269" s="42">
        <f>0.00971642*(1000)</f>
        <v>9.7164199999999994</v>
      </c>
    </row>
    <row r="5270" spans="1:8" s="15" customFormat="1" ht="16.5" hidden="1" customHeight="1" outlineLevel="1" x14ac:dyDescent="0.25">
      <c r="A5270" s="18">
        <v>3246</v>
      </c>
      <c r="B5270" s="4" t="s">
        <v>249</v>
      </c>
      <c r="C5270" s="38" t="s">
        <v>4649</v>
      </c>
      <c r="D5270" s="18">
        <v>2022</v>
      </c>
      <c r="E5270" s="18" t="s">
        <v>0</v>
      </c>
      <c r="F5270" s="4">
        <v>1</v>
      </c>
      <c r="G5270" s="42">
        <v>10</v>
      </c>
      <c r="H5270" s="42">
        <f>0.00971641*(1000)</f>
        <v>9.7164099999999998</v>
      </c>
    </row>
    <row r="5271" spans="1:8" s="15" customFormat="1" ht="16.5" hidden="1" customHeight="1" outlineLevel="1" x14ac:dyDescent="0.25">
      <c r="A5271" s="18">
        <v>3247</v>
      </c>
      <c r="B5271" s="4" t="s">
        <v>249</v>
      </c>
      <c r="C5271" s="38" t="s">
        <v>4650</v>
      </c>
      <c r="D5271" s="18">
        <v>2022</v>
      </c>
      <c r="E5271" s="18" t="s">
        <v>0</v>
      </c>
      <c r="F5271" s="4">
        <v>1</v>
      </c>
      <c r="G5271" s="42">
        <v>10</v>
      </c>
      <c r="H5271" s="42">
        <f>0.00971642*(1000)</f>
        <v>9.7164199999999994</v>
      </c>
    </row>
    <row r="5272" spans="1:8" s="15" customFormat="1" ht="16.5" hidden="1" customHeight="1" outlineLevel="1" x14ac:dyDescent="0.25">
      <c r="A5272" s="18">
        <v>3250</v>
      </c>
      <c r="B5272" s="4" t="s">
        <v>249</v>
      </c>
      <c r="C5272" s="38" t="s">
        <v>4651</v>
      </c>
      <c r="D5272" s="18">
        <v>2022</v>
      </c>
      <c r="E5272" s="18" t="s">
        <v>0</v>
      </c>
      <c r="F5272" s="4">
        <v>1</v>
      </c>
      <c r="G5272" s="42">
        <v>10</v>
      </c>
      <c r="H5272" s="42">
        <f>0.00971641*(1000)</f>
        <v>9.7164099999999998</v>
      </c>
    </row>
    <row r="5273" spans="1:8" s="15" customFormat="1" ht="16.5" hidden="1" customHeight="1" outlineLevel="1" x14ac:dyDescent="0.25">
      <c r="A5273" s="18">
        <v>3252</v>
      </c>
      <c r="B5273" s="4" t="s">
        <v>249</v>
      </c>
      <c r="C5273" s="38" t="s">
        <v>4652</v>
      </c>
      <c r="D5273" s="18">
        <v>2022</v>
      </c>
      <c r="E5273" s="18" t="s">
        <v>0</v>
      </c>
      <c r="F5273" s="4">
        <v>1</v>
      </c>
      <c r="G5273" s="42">
        <v>10</v>
      </c>
      <c r="H5273" s="42">
        <f>0.00971641*(1000)</f>
        <v>9.7164099999999998</v>
      </c>
    </row>
    <row r="5274" spans="1:8" s="15" customFormat="1" ht="16.5" hidden="1" customHeight="1" outlineLevel="1" x14ac:dyDescent="0.25">
      <c r="A5274" s="18">
        <v>3253</v>
      </c>
      <c r="B5274" s="4" t="s">
        <v>249</v>
      </c>
      <c r="C5274" s="38" t="s">
        <v>4653</v>
      </c>
      <c r="D5274" s="18">
        <v>2022</v>
      </c>
      <c r="E5274" s="18" t="s">
        <v>0</v>
      </c>
      <c r="F5274" s="4">
        <v>1</v>
      </c>
      <c r="G5274" s="42">
        <v>10</v>
      </c>
      <c r="H5274" s="42">
        <f>0.00971642*(1000)</f>
        <v>9.7164199999999994</v>
      </c>
    </row>
    <row r="5275" spans="1:8" s="15" customFormat="1" ht="16.5" hidden="1" customHeight="1" outlineLevel="1" x14ac:dyDescent="0.25">
      <c r="A5275" s="18">
        <v>3255</v>
      </c>
      <c r="B5275" s="4" t="s">
        <v>249</v>
      </c>
      <c r="C5275" s="38" t="s">
        <v>4654</v>
      </c>
      <c r="D5275" s="18">
        <v>2022</v>
      </c>
      <c r="E5275" s="18" t="s">
        <v>0</v>
      </c>
      <c r="F5275" s="4">
        <v>1</v>
      </c>
      <c r="G5275" s="42">
        <v>10</v>
      </c>
      <c r="H5275" s="42">
        <f>0.00971642*(1000)</f>
        <v>9.7164199999999994</v>
      </c>
    </row>
    <row r="5276" spans="1:8" s="15" customFormat="1" ht="16.5" hidden="1" customHeight="1" outlineLevel="1" x14ac:dyDescent="0.25">
      <c r="A5276" s="18">
        <v>3256</v>
      </c>
      <c r="B5276" s="4" t="s">
        <v>249</v>
      </c>
      <c r="C5276" s="38" t="s">
        <v>4655</v>
      </c>
      <c r="D5276" s="18">
        <v>2022</v>
      </c>
      <c r="E5276" s="18" t="s">
        <v>0</v>
      </c>
      <c r="F5276" s="4">
        <v>1</v>
      </c>
      <c r="G5276" s="42">
        <v>10</v>
      </c>
      <c r="H5276" s="42">
        <f>0.00971641*(1000)</f>
        <v>9.7164099999999998</v>
      </c>
    </row>
    <row r="5277" spans="1:8" s="15" customFormat="1" ht="16.5" hidden="1" customHeight="1" outlineLevel="1" x14ac:dyDescent="0.25">
      <c r="A5277" s="18">
        <v>3260</v>
      </c>
      <c r="B5277" s="4" t="s">
        <v>249</v>
      </c>
      <c r="C5277" s="38" t="s">
        <v>4656</v>
      </c>
      <c r="D5277" s="18">
        <v>2022</v>
      </c>
      <c r="E5277" s="18" t="s">
        <v>0</v>
      </c>
      <c r="F5277" s="4">
        <v>1</v>
      </c>
      <c r="G5277" s="42">
        <v>10</v>
      </c>
      <c r="H5277" s="42">
        <f>0.00971641*(1000)</f>
        <v>9.7164099999999998</v>
      </c>
    </row>
    <row r="5278" spans="1:8" s="15" customFormat="1" ht="16.5" hidden="1" customHeight="1" outlineLevel="1" x14ac:dyDescent="0.25">
      <c r="A5278" s="18">
        <v>3263</v>
      </c>
      <c r="B5278" s="4" t="s">
        <v>249</v>
      </c>
      <c r="C5278" s="38" t="s">
        <v>4657</v>
      </c>
      <c r="D5278" s="18">
        <v>2022</v>
      </c>
      <c r="E5278" s="18" t="s">
        <v>0</v>
      </c>
      <c r="F5278" s="4">
        <v>1</v>
      </c>
      <c r="G5278" s="42">
        <v>10</v>
      </c>
      <c r="H5278" s="42">
        <f>0.00971642*(1000)</f>
        <v>9.7164199999999994</v>
      </c>
    </row>
    <row r="5279" spans="1:8" s="15" customFormat="1" ht="16.5" hidden="1" customHeight="1" outlineLevel="1" x14ac:dyDescent="0.25">
      <c r="A5279" s="18">
        <v>3264</v>
      </c>
      <c r="B5279" s="4" t="s">
        <v>249</v>
      </c>
      <c r="C5279" s="38" t="s">
        <v>4658</v>
      </c>
      <c r="D5279" s="18">
        <v>2022</v>
      </c>
      <c r="E5279" s="18" t="s">
        <v>0</v>
      </c>
      <c r="F5279" s="4">
        <v>1</v>
      </c>
      <c r="G5279" s="42">
        <v>10</v>
      </c>
      <c r="H5279" s="42">
        <f>0.01789793*(1000)</f>
        <v>17.897929999999999</v>
      </c>
    </row>
    <row r="5280" spans="1:8" s="15" customFormat="1" ht="16.5" hidden="1" customHeight="1" outlineLevel="1" x14ac:dyDescent="0.25">
      <c r="A5280" s="18">
        <v>3267</v>
      </c>
      <c r="B5280" s="4" t="s">
        <v>249</v>
      </c>
      <c r="C5280" s="38" t="s">
        <v>4659</v>
      </c>
      <c r="D5280" s="18">
        <v>2022</v>
      </c>
      <c r="E5280" s="18" t="s">
        <v>0</v>
      </c>
      <c r="F5280" s="4">
        <v>1</v>
      </c>
      <c r="G5280" s="42">
        <v>10</v>
      </c>
      <c r="H5280" s="42">
        <f>0.00971642*(1000)</f>
        <v>9.7164199999999994</v>
      </c>
    </row>
    <row r="5281" spans="1:8" s="15" customFormat="1" ht="16.5" hidden="1" customHeight="1" outlineLevel="1" x14ac:dyDescent="0.25">
      <c r="A5281" s="18">
        <v>3268</v>
      </c>
      <c r="B5281" s="4" t="s">
        <v>249</v>
      </c>
      <c r="C5281" s="38" t="s">
        <v>4660</v>
      </c>
      <c r="D5281" s="18">
        <v>2022</v>
      </c>
      <c r="E5281" s="18" t="s">
        <v>0</v>
      </c>
      <c r="F5281" s="4">
        <v>1</v>
      </c>
      <c r="G5281" s="42">
        <v>15</v>
      </c>
      <c r="H5281" s="42">
        <f>0.01088753*(1000)</f>
        <v>10.88753</v>
      </c>
    </row>
    <row r="5282" spans="1:8" s="15" customFormat="1" ht="16.5" hidden="1" customHeight="1" outlineLevel="1" x14ac:dyDescent="0.25">
      <c r="A5282" s="18">
        <v>3272</v>
      </c>
      <c r="B5282" s="4" t="s">
        <v>249</v>
      </c>
      <c r="C5282" s="38" t="s">
        <v>4661</v>
      </c>
      <c r="D5282" s="18">
        <v>2022</v>
      </c>
      <c r="E5282" s="18" t="s">
        <v>0</v>
      </c>
      <c r="F5282" s="4">
        <v>1</v>
      </c>
      <c r="G5282" s="42">
        <v>10</v>
      </c>
      <c r="H5282" s="42">
        <f>0.01031901*(1000)</f>
        <v>10.31901</v>
      </c>
    </row>
    <row r="5283" spans="1:8" s="15" customFormat="1" ht="16.5" hidden="1" customHeight="1" outlineLevel="1" x14ac:dyDescent="0.25">
      <c r="A5283" s="18">
        <v>3273</v>
      </c>
      <c r="B5283" s="4" t="s">
        <v>249</v>
      </c>
      <c r="C5283" s="38" t="s">
        <v>4662</v>
      </c>
      <c r="D5283" s="18">
        <v>2022</v>
      </c>
      <c r="E5283" s="18" t="s">
        <v>0</v>
      </c>
      <c r="F5283" s="4">
        <v>1</v>
      </c>
      <c r="G5283" s="42">
        <v>10</v>
      </c>
      <c r="H5283" s="42">
        <f>0.01031901*(1000)</f>
        <v>10.31901</v>
      </c>
    </row>
    <row r="5284" spans="1:8" s="15" customFormat="1" ht="16.5" hidden="1" customHeight="1" outlineLevel="1" x14ac:dyDescent="0.25">
      <c r="A5284" s="18">
        <v>3274</v>
      </c>
      <c r="B5284" s="4" t="s">
        <v>249</v>
      </c>
      <c r="C5284" s="38" t="s">
        <v>4663</v>
      </c>
      <c r="D5284" s="18">
        <v>2022</v>
      </c>
      <c r="E5284" s="18" t="s">
        <v>0</v>
      </c>
      <c r="F5284" s="4">
        <v>1</v>
      </c>
      <c r="G5284" s="42">
        <v>10</v>
      </c>
      <c r="H5284" s="42">
        <f>0.01047567*(1000)</f>
        <v>10.475669999999999</v>
      </c>
    </row>
    <row r="5285" spans="1:8" s="15" customFormat="1" ht="16.5" hidden="1" customHeight="1" outlineLevel="1" x14ac:dyDescent="0.25">
      <c r="A5285" s="18">
        <v>3276</v>
      </c>
      <c r="B5285" s="4" t="s">
        <v>249</v>
      </c>
      <c r="C5285" s="38" t="s">
        <v>4664</v>
      </c>
      <c r="D5285" s="18">
        <v>2022</v>
      </c>
      <c r="E5285" s="18" t="s">
        <v>0</v>
      </c>
      <c r="F5285" s="4">
        <v>1</v>
      </c>
      <c r="G5285" s="42">
        <v>11</v>
      </c>
      <c r="H5285" s="42">
        <f>0.01047566*(1000)</f>
        <v>10.47566</v>
      </c>
    </row>
    <row r="5286" spans="1:8" s="15" customFormat="1" ht="16.5" hidden="1" customHeight="1" outlineLevel="1" x14ac:dyDescent="0.25">
      <c r="A5286" s="18">
        <v>3279</v>
      </c>
      <c r="B5286" s="4" t="s">
        <v>249</v>
      </c>
      <c r="C5286" s="38" t="s">
        <v>4665</v>
      </c>
      <c r="D5286" s="18">
        <v>2022</v>
      </c>
      <c r="E5286" s="18" t="s">
        <v>0</v>
      </c>
      <c r="F5286" s="4">
        <v>1</v>
      </c>
      <c r="G5286" s="42">
        <v>10</v>
      </c>
      <c r="H5286" s="42">
        <f>0.01047569*(1000)</f>
        <v>10.47569</v>
      </c>
    </row>
    <row r="5287" spans="1:8" s="15" customFormat="1" ht="16.5" hidden="1" customHeight="1" outlineLevel="1" x14ac:dyDescent="0.25">
      <c r="A5287" s="18">
        <v>3280</v>
      </c>
      <c r="B5287" s="4" t="s">
        <v>249</v>
      </c>
      <c r="C5287" s="38" t="s">
        <v>4666</v>
      </c>
      <c r="D5287" s="18">
        <v>2022</v>
      </c>
      <c r="E5287" s="18" t="s">
        <v>0</v>
      </c>
      <c r="F5287" s="4">
        <v>1</v>
      </c>
      <c r="G5287" s="42">
        <v>10</v>
      </c>
      <c r="H5287" s="42">
        <f>0.01865717*(1000)</f>
        <v>18.657170000000001</v>
      </c>
    </row>
    <row r="5288" spans="1:8" s="15" customFormat="1" ht="16.5" hidden="1" customHeight="1" outlineLevel="1" x14ac:dyDescent="0.25">
      <c r="A5288" s="18">
        <v>3281</v>
      </c>
      <c r="B5288" s="4" t="s">
        <v>249</v>
      </c>
      <c r="C5288" s="38" t="s">
        <v>4667</v>
      </c>
      <c r="D5288" s="18">
        <v>2022</v>
      </c>
      <c r="E5288" s="18" t="s">
        <v>0</v>
      </c>
      <c r="F5288" s="4">
        <v>1</v>
      </c>
      <c r="G5288" s="42">
        <v>15</v>
      </c>
      <c r="H5288" s="42">
        <f>0.00971642*(1000)</f>
        <v>9.7164199999999994</v>
      </c>
    </row>
    <row r="5289" spans="1:8" s="15" customFormat="1" ht="16.5" hidden="1" customHeight="1" outlineLevel="1" x14ac:dyDescent="0.25">
      <c r="A5289" s="18">
        <v>3283</v>
      </c>
      <c r="B5289" s="4" t="s">
        <v>249</v>
      </c>
      <c r="C5289" s="38" t="s">
        <v>4668</v>
      </c>
      <c r="D5289" s="18">
        <v>2022</v>
      </c>
      <c r="E5289" s="18" t="s">
        <v>0</v>
      </c>
      <c r="F5289" s="4">
        <v>1</v>
      </c>
      <c r="G5289" s="42">
        <v>10</v>
      </c>
      <c r="H5289" s="42">
        <f>0.00971642*(1000)</f>
        <v>9.7164199999999994</v>
      </c>
    </row>
    <row r="5290" spans="1:8" s="15" customFormat="1" ht="16.5" hidden="1" customHeight="1" outlineLevel="1" x14ac:dyDescent="0.25">
      <c r="A5290" s="18">
        <v>3285</v>
      </c>
      <c r="B5290" s="4" t="s">
        <v>249</v>
      </c>
      <c r="C5290" s="38" t="s">
        <v>4669</v>
      </c>
      <c r="D5290" s="18">
        <v>2022</v>
      </c>
      <c r="E5290" s="18" t="s">
        <v>0</v>
      </c>
      <c r="F5290" s="4">
        <v>1</v>
      </c>
      <c r="G5290" s="42">
        <v>10</v>
      </c>
      <c r="H5290" s="42">
        <f>0.00971642*(1000)</f>
        <v>9.7164199999999994</v>
      </c>
    </row>
    <row r="5291" spans="1:8" s="15" customFormat="1" ht="16.5" hidden="1" customHeight="1" outlineLevel="1" x14ac:dyDescent="0.25">
      <c r="A5291" s="18">
        <v>3289</v>
      </c>
      <c r="B5291" s="4" t="s">
        <v>249</v>
      </c>
      <c r="C5291" s="38" t="s">
        <v>4670</v>
      </c>
      <c r="D5291" s="18">
        <v>2022</v>
      </c>
      <c r="E5291" s="18" t="s">
        <v>0</v>
      </c>
      <c r="F5291" s="4">
        <v>1</v>
      </c>
      <c r="G5291" s="42">
        <v>10</v>
      </c>
      <c r="H5291" s="42">
        <f>0.00971642*(1000)</f>
        <v>9.7164199999999994</v>
      </c>
    </row>
    <row r="5292" spans="1:8" s="15" customFormat="1" ht="16.5" hidden="1" customHeight="1" outlineLevel="1" x14ac:dyDescent="0.25">
      <c r="A5292" s="18">
        <v>3290</v>
      </c>
      <c r="B5292" s="4" t="s">
        <v>249</v>
      </c>
      <c r="C5292" s="38" t="s">
        <v>4671</v>
      </c>
      <c r="D5292" s="18">
        <v>2022</v>
      </c>
      <c r="E5292" s="18" t="s">
        <v>0</v>
      </c>
      <c r="F5292" s="4">
        <v>1</v>
      </c>
      <c r="G5292" s="42">
        <v>10</v>
      </c>
      <c r="H5292" s="42">
        <f>0.00971641*(1000)</f>
        <v>9.7164099999999998</v>
      </c>
    </row>
    <row r="5293" spans="1:8" s="15" customFormat="1" ht="16.5" hidden="1" customHeight="1" outlineLevel="1" x14ac:dyDescent="0.25">
      <c r="A5293" s="18">
        <v>3291</v>
      </c>
      <c r="B5293" s="4" t="s">
        <v>249</v>
      </c>
      <c r="C5293" s="38" t="s">
        <v>4672</v>
      </c>
      <c r="D5293" s="18">
        <v>2022</v>
      </c>
      <c r="E5293" s="18" t="s">
        <v>0</v>
      </c>
      <c r="F5293" s="4">
        <v>1</v>
      </c>
      <c r="G5293" s="42">
        <v>10</v>
      </c>
      <c r="H5293" s="42">
        <f>0.01021683*(1000)</f>
        <v>10.21683</v>
      </c>
    </row>
    <row r="5294" spans="1:8" s="15" customFormat="1" ht="16.5" hidden="1" customHeight="1" outlineLevel="1" x14ac:dyDescent="0.25">
      <c r="A5294" s="18">
        <v>3292</v>
      </c>
      <c r="B5294" s="4" t="s">
        <v>249</v>
      </c>
      <c r="C5294" s="38" t="s">
        <v>4673</v>
      </c>
      <c r="D5294" s="18">
        <v>2022</v>
      </c>
      <c r="E5294" s="18" t="s">
        <v>0</v>
      </c>
      <c r="F5294" s="4">
        <v>1</v>
      </c>
      <c r="G5294" s="42">
        <v>10</v>
      </c>
      <c r="H5294" s="42">
        <f>0.01039317*(1000)</f>
        <v>10.39317</v>
      </c>
    </row>
    <row r="5295" spans="1:8" s="15" customFormat="1" ht="16.5" hidden="1" customHeight="1" outlineLevel="1" x14ac:dyDescent="0.25">
      <c r="A5295" s="18">
        <v>3294</v>
      </c>
      <c r="B5295" s="4" t="s">
        <v>249</v>
      </c>
      <c r="C5295" s="38" t="s">
        <v>4674</v>
      </c>
      <c r="D5295" s="18">
        <v>2022</v>
      </c>
      <c r="E5295" s="18" t="s">
        <v>0</v>
      </c>
      <c r="F5295" s="4">
        <v>1</v>
      </c>
      <c r="G5295" s="42">
        <v>10</v>
      </c>
      <c r="H5295" s="42">
        <f>0.01039317*(1000)</f>
        <v>10.39317</v>
      </c>
    </row>
    <row r="5296" spans="1:8" s="15" customFormat="1" ht="16.5" hidden="1" customHeight="1" outlineLevel="1" x14ac:dyDescent="0.25">
      <c r="A5296" s="18">
        <v>3296</v>
      </c>
      <c r="B5296" s="4" t="s">
        <v>249</v>
      </c>
      <c r="C5296" s="38" t="s">
        <v>4675</v>
      </c>
      <c r="D5296" s="18">
        <v>2022</v>
      </c>
      <c r="E5296" s="18" t="s">
        <v>0</v>
      </c>
      <c r="F5296" s="4">
        <v>1</v>
      </c>
      <c r="G5296" s="42">
        <v>10</v>
      </c>
      <c r="H5296" s="42">
        <f>0.01039174*(1000)</f>
        <v>10.39174</v>
      </c>
    </row>
    <row r="5297" spans="1:8" s="15" customFormat="1" ht="16.5" hidden="1" customHeight="1" outlineLevel="1" x14ac:dyDescent="0.25">
      <c r="A5297" s="18">
        <v>3297</v>
      </c>
      <c r="B5297" s="4" t="s">
        <v>249</v>
      </c>
      <c r="C5297" s="38" t="s">
        <v>4676</v>
      </c>
      <c r="D5297" s="18">
        <v>2022</v>
      </c>
      <c r="E5297" s="18" t="s">
        <v>0</v>
      </c>
      <c r="F5297" s="4">
        <v>1</v>
      </c>
      <c r="G5297" s="42">
        <v>10</v>
      </c>
      <c r="H5297" s="42">
        <f>0.00971642*(1000)</f>
        <v>9.7164199999999994</v>
      </c>
    </row>
    <row r="5298" spans="1:8" s="15" customFormat="1" ht="16.5" hidden="1" customHeight="1" outlineLevel="1" x14ac:dyDescent="0.25">
      <c r="A5298" s="18">
        <v>3300</v>
      </c>
      <c r="B5298" s="4" t="s">
        <v>249</v>
      </c>
      <c r="C5298" s="38" t="s">
        <v>4677</v>
      </c>
      <c r="D5298" s="18">
        <v>2022</v>
      </c>
      <c r="E5298" s="18" t="s">
        <v>0</v>
      </c>
      <c r="F5298" s="4">
        <v>1</v>
      </c>
      <c r="G5298" s="42">
        <v>11</v>
      </c>
      <c r="H5298" s="42">
        <f>0.01152294*(1000)</f>
        <v>11.52294</v>
      </c>
    </row>
    <row r="5299" spans="1:8" s="15" customFormat="1" ht="16.5" hidden="1" customHeight="1" outlineLevel="1" x14ac:dyDescent="0.25">
      <c r="A5299" s="18">
        <v>3302</v>
      </c>
      <c r="B5299" s="4" t="s">
        <v>249</v>
      </c>
      <c r="C5299" s="38" t="s">
        <v>4678</v>
      </c>
      <c r="D5299" s="18">
        <v>2022</v>
      </c>
      <c r="E5299" s="18" t="s">
        <v>0</v>
      </c>
      <c r="F5299" s="4">
        <v>1</v>
      </c>
      <c r="G5299" s="42">
        <v>10</v>
      </c>
      <c r="H5299" s="42">
        <f>0.01152293*(1000)</f>
        <v>11.522930000000001</v>
      </c>
    </row>
    <row r="5300" spans="1:8" s="15" customFormat="1" ht="16.5" hidden="1" customHeight="1" outlineLevel="1" x14ac:dyDescent="0.25">
      <c r="A5300" s="18">
        <v>3303</v>
      </c>
      <c r="B5300" s="4" t="s">
        <v>249</v>
      </c>
      <c r="C5300" s="38" t="s">
        <v>4679</v>
      </c>
      <c r="D5300" s="18">
        <v>2022</v>
      </c>
      <c r="E5300" s="18" t="s">
        <v>0</v>
      </c>
      <c r="F5300" s="4">
        <v>1</v>
      </c>
      <c r="G5300" s="42">
        <v>10</v>
      </c>
      <c r="H5300" s="42">
        <f>0.01013164*(1000)</f>
        <v>10.131640000000001</v>
      </c>
    </row>
    <row r="5301" spans="1:8" s="15" customFormat="1" ht="16.5" hidden="1" customHeight="1" outlineLevel="1" x14ac:dyDescent="0.25">
      <c r="A5301" s="18">
        <v>3304</v>
      </c>
      <c r="B5301" s="4" t="s">
        <v>249</v>
      </c>
      <c r="C5301" s="38" t="s">
        <v>4680</v>
      </c>
      <c r="D5301" s="18">
        <v>2022</v>
      </c>
      <c r="E5301" s="18" t="s">
        <v>0</v>
      </c>
      <c r="F5301" s="4">
        <v>1</v>
      </c>
      <c r="G5301" s="42">
        <v>10</v>
      </c>
      <c r="H5301" s="42">
        <f>0.01003923*(1000)</f>
        <v>10.03923</v>
      </c>
    </row>
    <row r="5302" spans="1:8" s="15" customFormat="1" ht="16.5" hidden="1" customHeight="1" outlineLevel="1" x14ac:dyDescent="0.25">
      <c r="A5302" s="18">
        <v>3305</v>
      </c>
      <c r="B5302" s="4" t="s">
        <v>249</v>
      </c>
      <c r="C5302" s="38" t="s">
        <v>4681</v>
      </c>
      <c r="D5302" s="18">
        <v>2022</v>
      </c>
      <c r="E5302" s="18" t="s">
        <v>0</v>
      </c>
      <c r="F5302" s="4">
        <v>1</v>
      </c>
      <c r="G5302" s="42">
        <v>15</v>
      </c>
      <c r="H5302" s="42">
        <f>0.01873326*(1000)</f>
        <v>18.733260000000001</v>
      </c>
    </row>
    <row r="5303" spans="1:8" s="15" customFormat="1" ht="16.5" hidden="1" customHeight="1" outlineLevel="1" x14ac:dyDescent="0.25">
      <c r="A5303" s="18">
        <v>3309</v>
      </c>
      <c r="B5303" s="4" t="s">
        <v>249</v>
      </c>
      <c r="C5303" s="38" t="s">
        <v>4682</v>
      </c>
      <c r="D5303" s="18">
        <v>2022</v>
      </c>
      <c r="E5303" s="18" t="s">
        <v>0</v>
      </c>
      <c r="F5303" s="4">
        <v>1</v>
      </c>
      <c r="G5303" s="42">
        <v>10</v>
      </c>
      <c r="H5303" s="42">
        <f>0.01003924*(1000)</f>
        <v>10.039239999999999</v>
      </c>
    </row>
    <row r="5304" spans="1:8" s="15" customFormat="1" ht="16.5" hidden="1" customHeight="1" outlineLevel="1" x14ac:dyDescent="0.25">
      <c r="A5304" s="18">
        <v>3310</v>
      </c>
      <c r="B5304" s="4" t="s">
        <v>249</v>
      </c>
      <c r="C5304" s="38" t="s">
        <v>4683</v>
      </c>
      <c r="D5304" s="18">
        <v>2022</v>
      </c>
      <c r="E5304" s="18" t="s">
        <v>0</v>
      </c>
      <c r="F5304" s="4">
        <v>1</v>
      </c>
      <c r="G5304" s="42">
        <v>15</v>
      </c>
      <c r="H5304" s="42">
        <f>0.01003923*(1000)</f>
        <v>10.03923</v>
      </c>
    </row>
    <row r="5305" spans="1:8" s="15" customFormat="1" ht="16.5" hidden="1" customHeight="1" outlineLevel="1" x14ac:dyDescent="0.25">
      <c r="A5305" s="18">
        <v>3312</v>
      </c>
      <c r="B5305" s="4" t="s">
        <v>249</v>
      </c>
      <c r="C5305" s="38" t="s">
        <v>4684</v>
      </c>
      <c r="D5305" s="18">
        <v>2022</v>
      </c>
      <c r="E5305" s="18" t="s">
        <v>0</v>
      </c>
      <c r="F5305" s="4">
        <v>1</v>
      </c>
      <c r="G5305" s="42">
        <v>10</v>
      </c>
      <c r="H5305" s="42">
        <f>0.01003923*(1000)</f>
        <v>10.03923</v>
      </c>
    </row>
    <row r="5306" spans="1:8" s="15" customFormat="1" ht="16.5" hidden="1" customHeight="1" outlineLevel="1" x14ac:dyDescent="0.25">
      <c r="A5306" s="18">
        <v>3313</v>
      </c>
      <c r="B5306" s="4" t="s">
        <v>249</v>
      </c>
      <c r="C5306" s="38" t="s">
        <v>4685</v>
      </c>
      <c r="D5306" s="18">
        <v>2022</v>
      </c>
      <c r="E5306" s="18" t="s">
        <v>0</v>
      </c>
      <c r="F5306" s="4">
        <v>1</v>
      </c>
      <c r="G5306" s="42">
        <v>10</v>
      </c>
      <c r="H5306" s="42">
        <f>0.01003924*(1000)</f>
        <v>10.039239999999999</v>
      </c>
    </row>
    <row r="5307" spans="1:8" s="15" customFormat="1" ht="16.5" hidden="1" customHeight="1" outlineLevel="1" x14ac:dyDescent="0.25">
      <c r="A5307" s="18">
        <v>3314</v>
      </c>
      <c r="B5307" s="4" t="s">
        <v>249</v>
      </c>
      <c r="C5307" s="38" t="s">
        <v>4686</v>
      </c>
      <c r="D5307" s="18">
        <v>2022</v>
      </c>
      <c r="E5307" s="18" t="s">
        <v>0</v>
      </c>
      <c r="F5307" s="4">
        <v>1</v>
      </c>
      <c r="G5307" s="42">
        <v>10</v>
      </c>
      <c r="H5307" s="42">
        <f>0.01003923*(1000)</f>
        <v>10.03923</v>
      </c>
    </row>
    <row r="5308" spans="1:8" s="15" customFormat="1" ht="16.5" hidden="1" customHeight="1" outlineLevel="1" x14ac:dyDescent="0.25">
      <c r="A5308" s="18">
        <v>3315</v>
      </c>
      <c r="B5308" s="4" t="s">
        <v>249</v>
      </c>
      <c r="C5308" s="38" t="s">
        <v>4687</v>
      </c>
      <c r="D5308" s="18">
        <v>2022</v>
      </c>
      <c r="E5308" s="18" t="s">
        <v>0</v>
      </c>
      <c r="F5308" s="4">
        <v>1</v>
      </c>
      <c r="G5308" s="42">
        <v>10</v>
      </c>
      <c r="H5308" s="42">
        <f>0.01003924*(1000)</f>
        <v>10.039239999999999</v>
      </c>
    </row>
    <row r="5309" spans="1:8" s="15" customFormat="1" ht="16.5" hidden="1" customHeight="1" outlineLevel="1" x14ac:dyDescent="0.25">
      <c r="A5309" s="18">
        <v>3317</v>
      </c>
      <c r="B5309" s="4" t="s">
        <v>249</v>
      </c>
      <c r="C5309" s="38" t="s">
        <v>4688</v>
      </c>
      <c r="D5309" s="18">
        <v>2022</v>
      </c>
      <c r="E5309" s="18" t="s">
        <v>0</v>
      </c>
      <c r="F5309" s="4">
        <v>1</v>
      </c>
      <c r="G5309" s="42">
        <v>10</v>
      </c>
      <c r="H5309" s="42">
        <f>0.01022565*(1000)</f>
        <v>10.22565</v>
      </c>
    </row>
    <row r="5310" spans="1:8" s="15" customFormat="1" ht="16.5" hidden="1" customHeight="1" outlineLevel="1" x14ac:dyDescent="0.25">
      <c r="A5310" s="18">
        <v>3318</v>
      </c>
      <c r="B5310" s="4" t="s">
        <v>249</v>
      </c>
      <c r="C5310" s="38" t="s">
        <v>4689</v>
      </c>
      <c r="D5310" s="18">
        <v>2022</v>
      </c>
      <c r="E5310" s="18" t="s">
        <v>0</v>
      </c>
      <c r="F5310" s="4">
        <v>1</v>
      </c>
      <c r="G5310" s="42">
        <v>10</v>
      </c>
      <c r="H5310" s="42">
        <f>0.01022565*(1000)</f>
        <v>10.22565</v>
      </c>
    </row>
    <row r="5311" spans="1:8" s="15" customFormat="1" ht="16.5" hidden="1" customHeight="1" outlineLevel="1" x14ac:dyDescent="0.25">
      <c r="A5311" s="18">
        <v>3319</v>
      </c>
      <c r="B5311" s="4" t="s">
        <v>249</v>
      </c>
      <c r="C5311" s="38" t="s">
        <v>4690</v>
      </c>
      <c r="D5311" s="18">
        <v>2022</v>
      </c>
      <c r="E5311" s="18" t="s">
        <v>0</v>
      </c>
      <c r="F5311" s="4">
        <v>1</v>
      </c>
      <c r="G5311" s="42">
        <v>10</v>
      </c>
      <c r="H5311" s="42">
        <f>0.01022565*(1000)</f>
        <v>10.22565</v>
      </c>
    </row>
    <row r="5312" spans="1:8" s="15" customFormat="1" ht="16.5" hidden="1" customHeight="1" outlineLevel="1" x14ac:dyDescent="0.25">
      <c r="A5312" s="18">
        <v>3320</v>
      </c>
      <c r="B5312" s="4" t="s">
        <v>249</v>
      </c>
      <c r="C5312" s="38" t="s">
        <v>4691</v>
      </c>
      <c r="D5312" s="18">
        <v>2022</v>
      </c>
      <c r="E5312" s="18" t="s">
        <v>0</v>
      </c>
      <c r="F5312" s="4">
        <v>1</v>
      </c>
      <c r="G5312" s="42">
        <v>10</v>
      </c>
      <c r="H5312" s="42">
        <f>0.00984714*(1000)</f>
        <v>9.8471400000000013</v>
      </c>
    </row>
    <row r="5313" spans="1:8" s="15" customFormat="1" ht="16.5" hidden="1" customHeight="1" outlineLevel="1" x14ac:dyDescent="0.25">
      <c r="A5313" s="18">
        <v>3321</v>
      </c>
      <c r="B5313" s="4" t="s">
        <v>249</v>
      </c>
      <c r="C5313" s="38" t="s">
        <v>4692</v>
      </c>
      <c r="D5313" s="18">
        <v>2022</v>
      </c>
      <c r="E5313" s="18" t="s">
        <v>0</v>
      </c>
      <c r="F5313" s="4">
        <v>1</v>
      </c>
      <c r="G5313" s="42">
        <v>10</v>
      </c>
      <c r="H5313" s="42">
        <f>0.01016852*(1000)</f>
        <v>10.168520000000001</v>
      </c>
    </row>
    <row r="5314" spans="1:8" s="15" customFormat="1" ht="16.5" hidden="1" customHeight="1" outlineLevel="1" x14ac:dyDescent="0.25">
      <c r="A5314" s="18">
        <v>3327</v>
      </c>
      <c r="B5314" s="4" t="s">
        <v>249</v>
      </c>
      <c r="C5314" s="38" t="s">
        <v>4693</v>
      </c>
      <c r="D5314" s="18">
        <v>2022</v>
      </c>
      <c r="E5314" s="18" t="s">
        <v>0</v>
      </c>
      <c r="F5314" s="4">
        <v>1</v>
      </c>
      <c r="G5314" s="42">
        <v>10</v>
      </c>
      <c r="H5314" s="42">
        <f>0.01016852*(1000)</f>
        <v>10.168520000000001</v>
      </c>
    </row>
    <row r="5315" spans="1:8" s="15" customFormat="1" ht="16.5" hidden="1" customHeight="1" outlineLevel="1" x14ac:dyDescent="0.25">
      <c r="A5315" s="18">
        <v>3328</v>
      </c>
      <c r="B5315" s="4" t="s">
        <v>249</v>
      </c>
      <c r="C5315" s="38" t="s">
        <v>4694</v>
      </c>
      <c r="D5315" s="18">
        <v>2022</v>
      </c>
      <c r="E5315" s="18" t="s">
        <v>0</v>
      </c>
      <c r="F5315" s="4">
        <v>1</v>
      </c>
      <c r="G5315" s="42">
        <v>10</v>
      </c>
      <c r="H5315" s="42">
        <f>0.00984714*(1000)</f>
        <v>9.8471400000000013</v>
      </c>
    </row>
    <row r="5316" spans="1:8" s="15" customFormat="1" ht="16.5" hidden="1" customHeight="1" outlineLevel="1" x14ac:dyDescent="0.25">
      <c r="A5316" s="18">
        <v>3331</v>
      </c>
      <c r="B5316" s="4" t="s">
        <v>249</v>
      </c>
      <c r="C5316" s="38" t="s">
        <v>4695</v>
      </c>
      <c r="D5316" s="18">
        <v>2022</v>
      </c>
      <c r="E5316" s="18" t="s">
        <v>0</v>
      </c>
      <c r="F5316" s="4">
        <v>1</v>
      </c>
      <c r="G5316" s="42">
        <v>10</v>
      </c>
      <c r="H5316" s="42">
        <f>0.00984567*(1000)</f>
        <v>9.8456700000000001</v>
      </c>
    </row>
    <row r="5317" spans="1:8" s="15" customFormat="1" ht="16.5" hidden="1" customHeight="1" outlineLevel="1" x14ac:dyDescent="0.25">
      <c r="A5317" s="18">
        <v>3332</v>
      </c>
      <c r="B5317" s="4" t="s">
        <v>249</v>
      </c>
      <c r="C5317" s="38" t="s">
        <v>4696</v>
      </c>
      <c r="D5317" s="18">
        <v>2022</v>
      </c>
      <c r="E5317" s="18" t="s">
        <v>0</v>
      </c>
      <c r="F5317" s="4">
        <v>1</v>
      </c>
      <c r="G5317" s="42">
        <v>10</v>
      </c>
      <c r="H5317" s="42">
        <f>0.00984567*(1000)</f>
        <v>9.8456700000000001</v>
      </c>
    </row>
    <row r="5318" spans="1:8" s="15" customFormat="1" ht="16.5" hidden="1" customHeight="1" outlineLevel="1" x14ac:dyDescent="0.25">
      <c r="A5318" s="18">
        <v>3333</v>
      </c>
      <c r="B5318" s="4" t="s">
        <v>249</v>
      </c>
      <c r="C5318" s="38" t="s">
        <v>4697</v>
      </c>
      <c r="D5318" s="18">
        <v>2022</v>
      </c>
      <c r="E5318" s="18" t="s">
        <v>0</v>
      </c>
      <c r="F5318" s="4">
        <v>1</v>
      </c>
      <c r="G5318" s="42">
        <v>12</v>
      </c>
      <c r="H5318" s="42">
        <f>0.00984567*(1000)</f>
        <v>9.8456700000000001</v>
      </c>
    </row>
    <row r="5319" spans="1:8" s="15" customFormat="1" ht="16.5" hidden="1" customHeight="1" outlineLevel="1" x14ac:dyDescent="0.25">
      <c r="A5319" s="18">
        <v>3334</v>
      </c>
      <c r="B5319" s="4" t="s">
        <v>249</v>
      </c>
      <c r="C5319" s="38" t="s">
        <v>4698</v>
      </c>
      <c r="D5319" s="18">
        <v>2022</v>
      </c>
      <c r="E5319" s="18" t="s">
        <v>0</v>
      </c>
      <c r="F5319" s="4">
        <v>1</v>
      </c>
      <c r="G5319" s="42">
        <v>10</v>
      </c>
      <c r="H5319" s="42">
        <f>0.00984567*(1000)</f>
        <v>9.8456700000000001</v>
      </c>
    </row>
    <row r="5320" spans="1:8" s="15" customFormat="1" ht="16.5" hidden="1" customHeight="1" outlineLevel="1" x14ac:dyDescent="0.25">
      <c r="A5320" s="18">
        <v>3335</v>
      </c>
      <c r="B5320" s="4" t="s">
        <v>249</v>
      </c>
      <c r="C5320" s="38" t="s">
        <v>4699</v>
      </c>
      <c r="D5320" s="18">
        <v>2022</v>
      </c>
      <c r="E5320" s="18" t="s">
        <v>0</v>
      </c>
      <c r="F5320" s="4">
        <v>1</v>
      </c>
      <c r="G5320" s="42">
        <v>10</v>
      </c>
      <c r="H5320" s="42">
        <f>0.01857891*(1000)</f>
        <v>18.57891</v>
      </c>
    </row>
    <row r="5321" spans="1:8" s="15" customFormat="1" ht="16.5" hidden="1" customHeight="1" outlineLevel="1" x14ac:dyDescent="0.25">
      <c r="A5321" s="18">
        <v>3336</v>
      </c>
      <c r="B5321" s="4" t="s">
        <v>249</v>
      </c>
      <c r="C5321" s="38" t="s">
        <v>4700</v>
      </c>
      <c r="D5321" s="18">
        <v>2022</v>
      </c>
      <c r="E5321" s="18" t="s">
        <v>0</v>
      </c>
      <c r="F5321" s="4">
        <v>1</v>
      </c>
      <c r="G5321" s="42">
        <v>10</v>
      </c>
      <c r="H5321" s="42">
        <f>0.00984567*(1000)</f>
        <v>9.8456700000000001</v>
      </c>
    </row>
    <row r="5322" spans="1:8" s="15" customFormat="1" ht="16.5" hidden="1" customHeight="1" outlineLevel="1" x14ac:dyDescent="0.25">
      <c r="A5322" s="18">
        <v>3337</v>
      </c>
      <c r="B5322" s="4" t="s">
        <v>249</v>
      </c>
      <c r="C5322" s="38" t="s">
        <v>4701</v>
      </c>
      <c r="D5322" s="18">
        <v>2022</v>
      </c>
      <c r="E5322" s="18" t="s">
        <v>0</v>
      </c>
      <c r="F5322" s="4">
        <v>1</v>
      </c>
      <c r="G5322" s="42">
        <v>10</v>
      </c>
      <c r="H5322" s="42">
        <f>0.00984569*(1000)</f>
        <v>9.8456900000000012</v>
      </c>
    </row>
    <row r="5323" spans="1:8" s="15" customFormat="1" ht="16.5" hidden="1" customHeight="1" outlineLevel="1" x14ac:dyDescent="0.25">
      <c r="A5323" s="18">
        <v>3340</v>
      </c>
      <c r="B5323" s="4" t="s">
        <v>249</v>
      </c>
      <c r="C5323" s="38" t="s">
        <v>4702</v>
      </c>
      <c r="D5323" s="18">
        <v>2022</v>
      </c>
      <c r="E5323" s="18" t="s">
        <v>0</v>
      </c>
      <c r="F5323" s="4">
        <v>1</v>
      </c>
      <c r="G5323" s="42">
        <v>12</v>
      </c>
      <c r="H5323" s="42">
        <f>0.00984567*(1000)</f>
        <v>9.8456700000000001</v>
      </c>
    </row>
    <row r="5324" spans="1:8" s="15" customFormat="1" ht="16.5" hidden="1" customHeight="1" outlineLevel="1" x14ac:dyDescent="0.25">
      <c r="A5324" s="18">
        <v>3341</v>
      </c>
      <c r="B5324" s="4" t="s">
        <v>249</v>
      </c>
      <c r="C5324" s="38" t="s">
        <v>4703</v>
      </c>
      <c r="D5324" s="18">
        <v>2022</v>
      </c>
      <c r="E5324" s="18" t="s">
        <v>0</v>
      </c>
      <c r="F5324" s="4">
        <v>1</v>
      </c>
      <c r="G5324" s="42">
        <v>10</v>
      </c>
      <c r="H5324" s="42">
        <f>0.0173583*(1000)</f>
        <v>17.3583</v>
      </c>
    </row>
    <row r="5325" spans="1:8" s="15" customFormat="1" ht="16.5" hidden="1" customHeight="1" outlineLevel="1" x14ac:dyDescent="0.25">
      <c r="A5325" s="18">
        <v>3343</v>
      </c>
      <c r="B5325" s="4" t="s">
        <v>249</v>
      </c>
      <c r="C5325" s="38" t="s">
        <v>4704</v>
      </c>
      <c r="D5325" s="18">
        <v>2022</v>
      </c>
      <c r="E5325" s="18" t="s">
        <v>0</v>
      </c>
      <c r="F5325" s="4">
        <v>1</v>
      </c>
      <c r="G5325" s="42">
        <v>10</v>
      </c>
      <c r="H5325" s="42">
        <f t="shared" ref="H5325:H5330" si="6">0.01020711*(1000)</f>
        <v>10.20711</v>
      </c>
    </row>
    <row r="5326" spans="1:8" s="15" customFormat="1" ht="16.5" hidden="1" customHeight="1" outlineLevel="1" x14ac:dyDescent="0.25">
      <c r="A5326" s="18">
        <v>3344</v>
      </c>
      <c r="B5326" s="4" t="s">
        <v>249</v>
      </c>
      <c r="C5326" s="38" t="s">
        <v>4705</v>
      </c>
      <c r="D5326" s="18">
        <v>2022</v>
      </c>
      <c r="E5326" s="18" t="s">
        <v>0</v>
      </c>
      <c r="F5326" s="4">
        <v>1</v>
      </c>
      <c r="G5326" s="42">
        <v>10</v>
      </c>
      <c r="H5326" s="42">
        <f t="shared" si="6"/>
        <v>10.20711</v>
      </c>
    </row>
    <row r="5327" spans="1:8" s="15" customFormat="1" ht="16.5" hidden="1" customHeight="1" outlineLevel="1" x14ac:dyDescent="0.25">
      <c r="A5327" s="18">
        <v>3345</v>
      </c>
      <c r="B5327" s="4" t="s">
        <v>249</v>
      </c>
      <c r="C5327" s="38" t="s">
        <v>4706</v>
      </c>
      <c r="D5327" s="18">
        <v>2022</v>
      </c>
      <c r="E5327" s="18" t="s">
        <v>0</v>
      </c>
      <c r="F5327" s="4">
        <v>1</v>
      </c>
      <c r="G5327" s="42">
        <v>10</v>
      </c>
      <c r="H5327" s="42">
        <f t="shared" si="6"/>
        <v>10.20711</v>
      </c>
    </row>
    <row r="5328" spans="1:8" s="15" customFormat="1" ht="16.5" hidden="1" customHeight="1" outlineLevel="1" x14ac:dyDescent="0.25">
      <c r="A5328" s="18">
        <v>3346</v>
      </c>
      <c r="B5328" s="4" t="s">
        <v>249</v>
      </c>
      <c r="C5328" s="38" t="s">
        <v>4707</v>
      </c>
      <c r="D5328" s="18">
        <v>2022</v>
      </c>
      <c r="E5328" s="18" t="s">
        <v>0</v>
      </c>
      <c r="F5328" s="4">
        <v>1</v>
      </c>
      <c r="G5328" s="42">
        <v>10</v>
      </c>
      <c r="H5328" s="42">
        <f t="shared" si="6"/>
        <v>10.20711</v>
      </c>
    </row>
    <row r="5329" spans="1:8" s="15" customFormat="1" ht="16.5" hidden="1" customHeight="1" outlineLevel="1" x14ac:dyDescent="0.25">
      <c r="A5329" s="18">
        <v>3347</v>
      </c>
      <c r="B5329" s="4" t="s">
        <v>249</v>
      </c>
      <c r="C5329" s="38" t="s">
        <v>4708</v>
      </c>
      <c r="D5329" s="18">
        <v>2022</v>
      </c>
      <c r="E5329" s="18" t="s">
        <v>0</v>
      </c>
      <c r="F5329" s="4">
        <v>1</v>
      </c>
      <c r="G5329" s="42">
        <v>10</v>
      </c>
      <c r="H5329" s="42">
        <f t="shared" si="6"/>
        <v>10.20711</v>
      </c>
    </row>
    <row r="5330" spans="1:8" s="15" customFormat="1" ht="16.5" hidden="1" customHeight="1" outlineLevel="1" x14ac:dyDescent="0.25">
      <c r="A5330" s="18">
        <v>3348</v>
      </c>
      <c r="B5330" s="4" t="s">
        <v>249</v>
      </c>
      <c r="C5330" s="38" t="s">
        <v>4709</v>
      </c>
      <c r="D5330" s="18">
        <v>2022</v>
      </c>
      <c r="E5330" s="18" t="s">
        <v>0</v>
      </c>
      <c r="F5330" s="4">
        <v>1</v>
      </c>
      <c r="G5330" s="42">
        <v>10</v>
      </c>
      <c r="H5330" s="42">
        <f t="shared" si="6"/>
        <v>10.20711</v>
      </c>
    </row>
    <row r="5331" spans="1:8" s="15" customFormat="1" ht="16.5" hidden="1" customHeight="1" outlineLevel="1" x14ac:dyDescent="0.25">
      <c r="A5331" s="18">
        <v>3350</v>
      </c>
      <c r="B5331" s="4" t="s">
        <v>249</v>
      </c>
      <c r="C5331" s="38" t="s">
        <v>4710</v>
      </c>
      <c r="D5331" s="18">
        <v>2022</v>
      </c>
      <c r="E5331" s="18" t="s">
        <v>0</v>
      </c>
      <c r="F5331" s="4">
        <v>1</v>
      </c>
      <c r="G5331" s="42">
        <v>10</v>
      </c>
      <c r="H5331" s="42">
        <f>0.01852276*(1000)</f>
        <v>18.522759999999998</v>
      </c>
    </row>
    <row r="5332" spans="1:8" s="15" customFormat="1" ht="16.5" hidden="1" customHeight="1" outlineLevel="1" x14ac:dyDescent="0.25">
      <c r="A5332" s="18">
        <v>3352</v>
      </c>
      <c r="B5332" s="4" t="s">
        <v>249</v>
      </c>
      <c r="C5332" s="38" t="s">
        <v>4711</v>
      </c>
      <c r="D5332" s="18">
        <v>2022</v>
      </c>
      <c r="E5332" s="18" t="s">
        <v>0</v>
      </c>
      <c r="F5332" s="4">
        <v>1</v>
      </c>
      <c r="G5332" s="42">
        <v>10</v>
      </c>
      <c r="H5332" s="42">
        <f>0.01741746*(1000)</f>
        <v>17.417459999999998</v>
      </c>
    </row>
    <row r="5333" spans="1:8" s="15" customFormat="1" ht="16.5" hidden="1" customHeight="1" outlineLevel="1" x14ac:dyDescent="0.25">
      <c r="A5333" s="18">
        <v>3354</v>
      </c>
      <c r="B5333" s="4" t="s">
        <v>249</v>
      </c>
      <c r="C5333" s="38" t="s">
        <v>4712</v>
      </c>
      <c r="D5333" s="18">
        <v>2022</v>
      </c>
      <c r="E5333" s="18" t="s">
        <v>0</v>
      </c>
      <c r="F5333" s="4">
        <v>1</v>
      </c>
      <c r="G5333" s="42">
        <v>10</v>
      </c>
      <c r="H5333" s="42">
        <f>0.01020711*(1000)</f>
        <v>10.20711</v>
      </c>
    </row>
    <row r="5334" spans="1:8" s="15" customFormat="1" ht="16.5" hidden="1" customHeight="1" outlineLevel="1" x14ac:dyDescent="0.25">
      <c r="A5334" s="18">
        <v>3357</v>
      </c>
      <c r="B5334" s="4" t="s">
        <v>249</v>
      </c>
      <c r="C5334" s="38" t="s">
        <v>4713</v>
      </c>
      <c r="D5334" s="18">
        <v>2022</v>
      </c>
      <c r="E5334" s="18" t="s">
        <v>0</v>
      </c>
      <c r="F5334" s="4">
        <v>1</v>
      </c>
      <c r="G5334" s="42">
        <v>10</v>
      </c>
      <c r="H5334" s="42">
        <f>0.01020711*(1000)</f>
        <v>10.20711</v>
      </c>
    </row>
    <row r="5335" spans="1:8" s="15" customFormat="1" ht="16.5" hidden="1" customHeight="1" outlineLevel="1" x14ac:dyDescent="0.25">
      <c r="A5335" s="18">
        <v>3359</v>
      </c>
      <c r="B5335" s="4" t="s">
        <v>249</v>
      </c>
      <c r="C5335" s="38" t="s">
        <v>4714</v>
      </c>
      <c r="D5335" s="18">
        <v>2022</v>
      </c>
      <c r="E5335" s="18" t="s">
        <v>0</v>
      </c>
      <c r="F5335" s="4">
        <v>1</v>
      </c>
      <c r="G5335" s="42">
        <v>10</v>
      </c>
      <c r="H5335" s="42">
        <f>0.01020711*(1000)</f>
        <v>10.20711</v>
      </c>
    </row>
    <row r="5336" spans="1:8" s="15" customFormat="1" ht="16.5" hidden="1" customHeight="1" outlineLevel="1" x14ac:dyDescent="0.25">
      <c r="A5336" s="18">
        <v>3360</v>
      </c>
      <c r="B5336" s="4" t="s">
        <v>249</v>
      </c>
      <c r="C5336" s="38" t="s">
        <v>4715</v>
      </c>
      <c r="D5336" s="18">
        <v>2022</v>
      </c>
      <c r="E5336" s="18" t="s">
        <v>0</v>
      </c>
      <c r="F5336" s="4">
        <v>1</v>
      </c>
      <c r="G5336" s="42">
        <v>10</v>
      </c>
      <c r="H5336" s="42">
        <f>0.01020711*(1000)</f>
        <v>10.20711</v>
      </c>
    </row>
    <row r="5337" spans="1:8" s="15" customFormat="1" ht="16.5" hidden="1" customHeight="1" outlineLevel="1" x14ac:dyDescent="0.25">
      <c r="A5337" s="18">
        <v>3361</v>
      </c>
      <c r="B5337" s="4" t="s">
        <v>249</v>
      </c>
      <c r="C5337" s="38" t="s">
        <v>4716</v>
      </c>
      <c r="D5337" s="18">
        <v>2022</v>
      </c>
      <c r="E5337" s="18" t="s">
        <v>0</v>
      </c>
      <c r="F5337" s="4">
        <v>1</v>
      </c>
      <c r="G5337" s="42">
        <v>10</v>
      </c>
      <c r="H5337" s="42">
        <f>0.01741746*(1000)</f>
        <v>17.417459999999998</v>
      </c>
    </row>
    <row r="5338" spans="1:8" s="15" customFormat="1" ht="16.5" hidden="1" customHeight="1" outlineLevel="1" x14ac:dyDescent="0.25">
      <c r="A5338" s="18">
        <v>3365</v>
      </c>
      <c r="B5338" s="4" t="s">
        <v>249</v>
      </c>
      <c r="C5338" s="38" t="s">
        <v>4717</v>
      </c>
      <c r="D5338" s="18">
        <v>2022</v>
      </c>
      <c r="E5338" s="18" t="s">
        <v>0</v>
      </c>
      <c r="F5338" s="4">
        <v>1</v>
      </c>
      <c r="G5338" s="42">
        <v>10</v>
      </c>
      <c r="H5338" s="42">
        <f>0.01019395*(1000)</f>
        <v>10.193950000000001</v>
      </c>
    </row>
    <row r="5339" spans="1:8" s="15" customFormat="1" ht="16.5" hidden="1" customHeight="1" outlineLevel="1" x14ac:dyDescent="0.25">
      <c r="A5339" s="18">
        <v>3367</v>
      </c>
      <c r="B5339" s="4" t="s">
        <v>249</v>
      </c>
      <c r="C5339" s="38" t="s">
        <v>4718</v>
      </c>
      <c r="D5339" s="18">
        <v>2022</v>
      </c>
      <c r="E5339" s="18" t="s">
        <v>0</v>
      </c>
      <c r="F5339" s="4">
        <v>1</v>
      </c>
      <c r="G5339" s="42">
        <v>12</v>
      </c>
      <c r="H5339" s="42">
        <f>0.01019395*(1000)</f>
        <v>10.193950000000001</v>
      </c>
    </row>
    <row r="5340" spans="1:8" s="15" customFormat="1" ht="16.5" hidden="1" customHeight="1" outlineLevel="1" x14ac:dyDescent="0.25">
      <c r="A5340" s="18">
        <v>3368</v>
      </c>
      <c r="B5340" s="4" t="s">
        <v>249</v>
      </c>
      <c r="C5340" s="38" t="s">
        <v>4719</v>
      </c>
      <c r="D5340" s="18">
        <v>2022</v>
      </c>
      <c r="E5340" s="18" t="s">
        <v>0</v>
      </c>
      <c r="F5340" s="4">
        <v>1</v>
      </c>
      <c r="G5340" s="42">
        <v>10</v>
      </c>
      <c r="H5340" s="42">
        <f>0.01020711*(1000)</f>
        <v>10.20711</v>
      </c>
    </row>
    <row r="5341" spans="1:8" s="15" customFormat="1" ht="16.5" hidden="1" customHeight="1" outlineLevel="1" x14ac:dyDescent="0.25">
      <c r="A5341" s="18">
        <v>3373</v>
      </c>
      <c r="B5341" s="4" t="s">
        <v>249</v>
      </c>
      <c r="C5341" s="38" t="s">
        <v>4720</v>
      </c>
      <c r="D5341" s="18">
        <v>2022</v>
      </c>
      <c r="E5341" s="18" t="s">
        <v>0</v>
      </c>
      <c r="F5341" s="4">
        <v>1</v>
      </c>
      <c r="G5341" s="42">
        <v>10</v>
      </c>
      <c r="H5341" s="42">
        <f>0.01020711*(1000)</f>
        <v>10.20711</v>
      </c>
    </row>
    <row r="5342" spans="1:8" s="15" customFormat="1" ht="16.5" hidden="1" customHeight="1" outlineLevel="1" x14ac:dyDescent="0.25">
      <c r="A5342" s="18">
        <v>3389</v>
      </c>
      <c r="B5342" s="4" t="s">
        <v>249</v>
      </c>
      <c r="C5342" s="38" t="s">
        <v>4721</v>
      </c>
      <c r="D5342" s="18">
        <v>2022</v>
      </c>
      <c r="E5342" s="18" t="s">
        <v>0</v>
      </c>
      <c r="F5342" s="4">
        <v>1</v>
      </c>
      <c r="G5342" s="42">
        <v>10</v>
      </c>
      <c r="H5342" s="42">
        <f>0.01845652*(1000)</f>
        <v>18.456520000000001</v>
      </c>
    </row>
    <row r="5343" spans="1:8" s="15" customFormat="1" ht="16.5" hidden="1" customHeight="1" outlineLevel="1" x14ac:dyDescent="0.25">
      <c r="A5343" s="18">
        <v>3393</v>
      </c>
      <c r="B5343" s="4" t="s">
        <v>249</v>
      </c>
      <c r="C5343" s="38" t="s">
        <v>4722</v>
      </c>
      <c r="D5343" s="18">
        <v>2022</v>
      </c>
      <c r="E5343" s="18" t="s">
        <v>0</v>
      </c>
      <c r="F5343" s="4">
        <v>1</v>
      </c>
      <c r="G5343" s="42">
        <v>12</v>
      </c>
      <c r="H5343" s="42">
        <f>0.01845652*(1000)</f>
        <v>18.456520000000001</v>
      </c>
    </row>
    <row r="5344" spans="1:8" s="15" customFormat="1" ht="16.5" hidden="1" customHeight="1" outlineLevel="1" x14ac:dyDescent="0.25">
      <c r="A5344" s="18">
        <v>3399</v>
      </c>
      <c r="B5344" s="4" t="s">
        <v>249</v>
      </c>
      <c r="C5344" s="38" t="s">
        <v>4723</v>
      </c>
      <c r="D5344" s="18">
        <v>2022</v>
      </c>
      <c r="E5344" s="18" t="s">
        <v>0</v>
      </c>
      <c r="F5344" s="4">
        <v>1</v>
      </c>
      <c r="G5344" s="42">
        <v>12</v>
      </c>
      <c r="H5344" s="42">
        <f>0.010275*(1000)</f>
        <v>10.274999999999999</v>
      </c>
    </row>
    <row r="5345" spans="1:8" s="15" customFormat="1" ht="16.5" hidden="1" customHeight="1" outlineLevel="1" x14ac:dyDescent="0.25">
      <c r="A5345" s="18">
        <v>3410</v>
      </c>
      <c r="B5345" s="4" t="s">
        <v>249</v>
      </c>
      <c r="C5345" s="38" t="s">
        <v>4724</v>
      </c>
      <c r="D5345" s="18">
        <v>2022</v>
      </c>
      <c r="E5345" s="18" t="s">
        <v>0</v>
      </c>
      <c r="F5345" s="4">
        <v>1</v>
      </c>
      <c r="G5345" s="42">
        <v>10</v>
      </c>
      <c r="H5345" s="42">
        <f>0.010275*(1000)</f>
        <v>10.274999999999999</v>
      </c>
    </row>
    <row r="5346" spans="1:8" s="15" customFormat="1" ht="16.5" hidden="1" customHeight="1" outlineLevel="1" x14ac:dyDescent="0.25">
      <c r="A5346" s="18">
        <v>3419</v>
      </c>
      <c r="B5346" s="4" t="s">
        <v>249</v>
      </c>
      <c r="C5346" s="38" t="s">
        <v>4725</v>
      </c>
      <c r="D5346" s="18">
        <v>2022</v>
      </c>
      <c r="E5346" s="18" t="s">
        <v>0</v>
      </c>
      <c r="F5346" s="4">
        <v>1</v>
      </c>
      <c r="G5346" s="42">
        <v>10</v>
      </c>
      <c r="H5346" s="42">
        <f>0.010275*(1000)</f>
        <v>10.274999999999999</v>
      </c>
    </row>
    <row r="5347" spans="1:8" s="15" customFormat="1" ht="16.5" hidden="1" customHeight="1" outlineLevel="1" x14ac:dyDescent="0.25">
      <c r="A5347" s="18">
        <v>3421</v>
      </c>
      <c r="B5347" s="4" t="s">
        <v>249</v>
      </c>
      <c r="C5347" s="38" t="s">
        <v>4726</v>
      </c>
      <c r="D5347" s="18">
        <v>2022</v>
      </c>
      <c r="E5347" s="18" t="s">
        <v>0</v>
      </c>
      <c r="F5347" s="4">
        <v>1</v>
      </c>
      <c r="G5347" s="42">
        <v>10</v>
      </c>
      <c r="H5347" s="42">
        <f>0.010275*(1000)</f>
        <v>10.274999999999999</v>
      </c>
    </row>
    <row r="5348" spans="1:8" s="15" customFormat="1" ht="16.5" hidden="1" customHeight="1" outlineLevel="1" x14ac:dyDescent="0.25">
      <c r="A5348" s="18">
        <v>3424</v>
      </c>
      <c r="B5348" s="4" t="s">
        <v>249</v>
      </c>
      <c r="C5348" s="38" t="s">
        <v>4727</v>
      </c>
      <c r="D5348" s="18">
        <v>2022</v>
      </c>
      <c r="E5348" s="18" t="s">
        <v>0</v>
      </c>
      <c r="F5348" s="4">
        <v>1</v>
      </c>
      <c r="G5348" s="42">
        <v>11</v>
      </c>
      <c r="H5348" s="42">
        <f>0.01845652*(1000)</f>
        <v>18.456520000000001</v>
      </c>
    </row>
    <row r="5349" spans="1:8" s="15" customFormat="1" ht="16.5" hidden="1" customHeight="1" outlineLevel="1" x14ac:dyDescent="0.25">
      <c r="A5349" s="18">
        <v>3427</v>
      </c>
      <c r="B5349" s="4" t="s">
        <v>249</v>
      </c>
      <c r="C5349" s="38" t="s">
        <v>4728</v>
      </c>
      <c r="D5349" s="18">
        <v>2022</v>
      </c>
      <c r="E5349" s="18" t="s">
        <v>0</v>
      </c>
      <c r="F5349" s="4">
        <v>1</v>
      </c>
      <c r="G5349" s="42">
        <v>10</v>
      </c>
      <c r="H5349" s="42">
        <f>0.010275*(1000)</f>
        <v>10.274999999999999</v>
      </c>
    </row>
    <row r="5350" spans="1:8" s="15" customFormat="1" ht="16.5" hidden="1" customHeight="1" outlineLevel="1" x14ac:dyDescent="0.25">
      <c r="A5350" s="18">
        <v>3428</v>
      </c>
      <c r="B5350" s="4" t="s">
        <v>249</v>
      </c>
      <c r="C5350" s="38" t="s">
        <v>4729</v>
      </c>
      <c r="D5350" s="18">
        <v>2022</v>
      </c>
      <c r="E5350" s="18" t="s">
        <v>0</v>
      </c>
      <c r="F5350" s="4">
        <v>1</v>
      </c>
      <c r="G5350" s="42">
        <v>10</v>
      </c>
      <c r="H5350" s="42">
        <f>0.01027501*(1000)</f>
        <v>10.27501</v>
      </c>
    </row>
    <row r="5351" spans="1:8" s="15" customFormat="1" ht="16.5" hidden="1" customHeight="1" outlineLevel="1" x14ac:dyDescent="0.25">
      <c r="A5351" s="18">
        <v>3429</v>
      </c>
      <c r="B5351" s="4" t="s">
        <v>249</v>
      </c>
      <c r="C5351" s="38" t="s">
        <v>4730</v>
      </c>
      <c r="D5351" s="18">
        <v>2022</v>
      </c>
      <c r="E5351" s="18" t="s">
        <v>0</v>
      </c>
      <c r="F5351" s="4">
        <v>1</v>
      </c>
      <c r="G5351" s="42">
        <v>10</v>
      </c>
      <c r="H5351" s="42">
        <f>0.010275*(1000)</f>
        <v>10.274999999999999</v>
      </c>
    </row>
    <row r="5352" spans="1:8" s="15" customFormat="1" ht="16.5" hidden="1" customHeight="1" outlineLevel="1" x14ac:dyDescent="0.25">
      <c r="A5352" s="18">
        <v>3430</v>
      </c>
      <c r="B5352" s="4" t="s">
        <v>249</v>
      </c>
      <c r="C5352" s="38" t="s">
        <v>4731</v>
      </c>
      <c r="D5352" s="18">
        <v>2022</v>
      </c>
      <c r="E5352" s="18" t="s">
        <v>0</v>
      </c>
      <c r="F5352" s="4">
        <v>1</v>
      </c>
      <c r="G5352" s="42">
        <v>3</v>
      </c>
      <c r="H5352" s="42">
        <f>0.01027501*(1000)</f>
        <v>10.27501</v>
      </c>
    </row>
    <row r="5353" spans="1:8" s="15" customFormat="1" ht="16.5" hidden="1" customHeight="1" outlineLevel="1" x14ac:dyDescent="0.25">
      <c r="A5353" s="18">
        <v>3439</v>
      </c>
      <c r="B5353" s="4" t="s">
        <v>249</v>
      </c>
      <c r="C5353" s="38" t="s">
        <v>4732</v>
      </c>
      <c r="D5353" s="18">
        <v>2022</v>
      </c>
      <c r="E5353" s="18" t="s">
        <v>0</v>
      </c>
      <c r="F5353" s="4">
        <v>1</v>
      </c>
      <c r="G5353" s="42">
        <v>12</v>
      </c>
      <c r="H5353" s="42">
        <f>0.010275*(1000)</f>
        <v>10.274999999999999</v>
      </c>
    </row>
    <row r="5354" spans="1:8" s="15" customFormat="1" ht="16.5" hidden="1" customHeight="1" outlineLevel="1" x14ac:dyDescent="0.25">
      <c r="A5354" s="18">
        <v>3451</v>
      </c>
      <c r="B5354" s="4" t="s">
        <v>249</v>
      </c>
      <c r="C5354" s="38" t="s">
        <v>4733</v>
      </c>
      <c r="D5354" s="18">
        <v>2022</v>
      </c>
      <c r="E5354" s="18" t="s">
        <v>0</v>
      </c>
      <c r="F5354" s="4">
        <v>1</v>
      </c>
      <c r="G5354" s="42">
        <v>10</v>
      </c>
      <c r="H5354" s="42">
        <f>0.01027501*(1000)</f>
        <v>10.27501</v>
      </c>
    </row>
    <row r="5355" spans="1:8" s="15" customFormat="1" ht="16.5" hidden="1" customHeight="1" outlineLevel="1" x14ac:dyDescent="0.25">
      <c r="A5355" s="18">
        <v>3455</v>
      </c>
      <c r="B5355" s="4" t="s">
        <v>249</v>
      </c>
      <c r="C5355" s="38" t="s">
        <v>4734</v>
      </c>
      <c r="D5355" s="18">
        <v>2022</v>
      </c>
      <c r="E5355" s="18" t="s">
        <v>0</v>
      </c>
      <c r="F5355" s="4">
        <v>1</v>
      </c>
      <c r="G5355" s="42">
        <v>6</v>
      </c>
      <c r="H5355" s="42">
        <f>0.01731807*(1000)</f>
        <v>17.318070000000002</v>
      </c>
    </row>
    <row r="5356" spans="1:8" s="15" customFormat="1" ht="16.5" hidden="1" customHeight="1" outlineLevel="1" x14ac:dyDescent="0.25">
      <c r="A5356" s="18">
        <v>3461</v>
      </c>
      <c r="B5356" s="4" t="s">
        <v>249</v>
      </c>
      <c r="C5356" s="38" t="s">
        <v>4735</v>
      </c>
      <c r="D5356" s="18">
        <v>2022</v>
      </c>
      <c r="E5356" s="18" t="s">
        <v>0</v>
      </c>
      <c r="F5356" s="4">
        <v>1</v>
      </c>
      <c r="G5356" s="42">
        <v>10</v>
      </c>
      <c r="H5356" s="42">
        <f>0.01845652*(1000)</f>
        <v>18.456520000000001</v>
      </c>
    </row>
    <row r="5357" spans="1:8" s="15" customFormat="1" ht="16.5" hidden="1" customHeight="1" outlineLevel="1" x14ac:dyDescent="0.25">
      <c r="A5357" s="18">
        <v>3474</v>
      </c>
      <c r="B5357" s="4" t="s">
        <v>249</v>
      </c>
      <c r="C5357" s="38" t="s">
        <v>4736</v>
      </c>
      <c r="D5357" s="18">
        <v>2022</v>
      </c>
      <c r="E5357" s="18" t="s">
        <v>0</v>
      </c>
      <c r="F5357" s="4">
        <v>1</v>
      </c>
      <c r="G5357" s="42">
        <v>10</v>
      </c>
      <c r="H5357" s="42">
        <f>0.01027501*(1000)</f>
        <v>10.27501</v>
      </c>
    </row>
    <row r="5358" spans="1:8" s="15" customFormat="1" ht="16.5" hidden="1" customHeight="1" outlineLevel="1" x14ac:dyDescent="0.25">
      <c r="A5358" s="18">
        <v>3475</v>
      </c>
      <c r="B5358" s="4" t="s">
        <v>249</v>
      </c>
      <c r="C5358" s="38" t="s">
        <v>4737</v>
      </c>
      <c r="D5358" s="18">
        <v>2022</v>
      </c>
      <c r="E5358" s="18" t="s">
        <v>0</v>
      </c>
      <c r="F5358" s="4">
        <v>1</v>
      </c>
      <c r="G5358" s="42">
        <v>10</v>
      </c>
      <c r="H5358" s="42">
        <f>0.01027502*(1000)</f>
        <v>10.27502</v>
      </c>
    </row>
    <row r="5359" spans="1:8" s="15" customFormat="1" ht="16.5" hidden="1" customHeight="1" outlineLevel="1" x14ac:dyDescent="0.25">
      <c r="A5359" s="18">
        <v>3478</v>
      </c>
      <c r="B5359" s="4" t="s">
        <v>249</v>
      </c>
      <c r="C5359" s="38" t="s">
        <v>4738</v>
      </c>
      <c r="D5359" s="18">
        <v>2022</v>
      </c>
      <c r="E5359" s="18" t="s">
        <v>0</v>
      </c>
      <c r="F5359" s="4">
        <v>1</v>
      </c>
      <c r="G5359" s="42">
        <v>10</v>
      </c>
      <c r="H5359" s="42">
        <f>0.01731807*(1000)</f>
        <v>17.318070000000002</v>
      </c>
    </row>
    <row r="5360" spans="1:8" s="15" customFormat="1" ht="16.5" hidden="1" customHeight="1" outlineLevel="1" x14ac:dyDescent="0.25">
      <c r="A5360" s="18">
        <v>3479</v>
      </c>
      <c r="B5360" s="4" t="s">
        <v>249</v>
      </c>
      <c r="C5360" s="38" t="s">
        <v>4739</v>
      </c>
      <c r="D5360" s="18">
        <v>2022</v>
      </c>
      <c r="E5360" s="18" t="s">
        <v>0</v>
      </c>
      <c r="F5360" s="4">
        <v>1</v>
      </c>
      <c r="G5360" s="42">
        <v>10</v>
      </c>
      <c r="H5360" s="42">
        <f>0.01731809*(1000)</f>
        <v>17.318090000000002</v>
      </c>
    </row>
    <row r="5361" spans="1:8" s="15" customFormat="1" ht="16.5" hidden="1" customHeight="1" outlineLevel="1" x14ac:dyDescent="0.25">
      <c r="A5361" s="18">
        <v>3480</v>
      </c>
      <c r="B5361" s="4" t="s">
        <v>249</v>
      </c>
      <c r="C5361" s="38" t="s">
        <v>4740</v>
      </c>
      <c r="D5361" s="18">
        <v>2022</v>
      </c>
      <c r="E5361" s="18" t="s">
        <v>0</v>
      </c>
      <c r="F5361" s="4">
        <v>1</v>
      </c>
      <c r="G5361" s="42">
        <v>10</v>
      </c>
      <c r="H5361" s="42">
        <f>0.01027501*(1000)</f>
        <v>10.27501</v>
      </c>
    </row>
    <row r="5362" spans="1:8" s="15" customFormat="1" ht="16.5" hidden="1" customHeight="1" outlineLevel="1" x14ac:dyDescent="0.25">
      <c r="A5362" s="18">
        <v>3482</v>
      </c>
      <c r="B5362" s="4" t="s">
        <v>249</v>
      </c>
      <c r="C5362" s="38" t="s">
        <v>4741</v>
      </c>
      <c r="D5362" s="18">
        <v>2022</v>
      </c>
      <c r="E5362" s="18" t="s">
        <v>0</v>
      </c>
      <c r="F5362" s="4">
        <v>1</v>
      </c>
      <c r="G5362" s="42">
        <v>10</v>
      </c>
      <c r="H5362" s="42">
        <f>0.01028005*(1000)</f>
        <v>10.280050000000001</v>
      </c>
    </row>
    <row r="5363" spans="1:8" s="15" customFormat="1" ht="16.5" hidden="1" customHeight="1" outlineLevel="1" x14ac:dyDescent="0.25">
      <c r="A5363" s="18">
        <v>3484</v>
      </c>
      <c r="B5363" s="4" t="s">
        <v>249</v>
      </c>
      <c r="C5363" s="38" t="s">
        <v>4742</v>
      </c>
      <c r="D5363" s="18">
        <v>2022</v>
      </c>
      <c r="E5363" s="18" t="s">
        <v>0</v>
      </c>
      <c r="F5363" s="4">
        <v>1</v>
      </c>
      <c r="G5363" s="42">
        <v>10</v>
      </c>
      <c r="H5363" s="42">
        <f>0.01028005*(1000)</f>
        <v>10.280050000000001</v>
      </c>
    </row>
    <row r="5364" spans="1:8" s="15" customFormat="1" ht="16.5" hidden="1" customHeight="1" outlineLevel="1" x14ac:dyDescent="0.25">
      <c r="A5364" s="18">
        <v>3486</v>
      </c>
      <c r="B5364" s="4" t="s">
        <v>249</v>
      </c>
      <c r="C5364" s="38" t="s">
        <v>4743</v>
      </c>
      <c r="D5364" s="18">
        <v>2022</v>
      </c>
      <c r="E5364" s="18" t="s">
        <v>0</v>
      </c>
      <c r="F5364" s="4">
        <v>1</v>
      </c>
      <c r="G5364" s="42">
        <v>11</v>
      </c>
      <c r="H5364" s="42">
        <f>0.01028005*(1000)</f>
        <v>10.280050000000001</v>
      </c>
    </row>
    <row r="5365" spans="1:8" s="15" customFormat="1" ht="16.5" hidden="1" customHeight="1" outlineLevel="1" x14ac:dyDescent="0.25">
      <c r="A5365" s="18">
        <v>3487</v>
      </c>
      <c r="B5365" s="4" t="s">
        <v>249</v>
      </c>
      <c r="C5365" s="38" t="s">
        <v>4744</v>
      </c>
      <c r="D5365" s="18">
        <v>2022</v>
      </c>
      <c r="E5365" s="18" t="s">
        <v>0</v>
      </c>
      <c r="F5365" s="4">
        <v>1</v>
      </c>
      <c r="G5365" s="42">
        <v>10</v>
      </c>
      <c r="H5365" s="42">
        <f>0.01028006*(1000)</f>
        <v>10.280060000000001</v>
      </c>
    </row>
    <row r="5366" spans="1:8" s="15" customFormat="1" ht="16.5" hidden="1" customHeight="1" outlineLevel="1" x14ac:dyDescent="0.25">
      <c r="A5366" s="18">
        <v>3491</v>
      </c>
      <c r="B5366" s="4" t="s">
        <v>249</v>
      </c>
      <c r="C5366" s="38" t="s">
        <v>4745</v>
      </c>
      <c r="D5366" s="18">
        <v>2022</v>
      </c>
      <c r="E5366" s="18" t="s">
        <v>0</v>
      </c>
      <c r="F5366" s="4">
        <v>1</v>
      </c>
      <c r="G5366" s="42">
        <v>11</v>
      </c>
      <c r="H5366" s="42">
        <f>0.01028006*(1000)</f>
        <v>10.280060000000001</v>
      </c>
    </row>
    <row r="5367" spans="1:8" s="15" customFormat="1" ht="16.5" hidden="1" customHeight="1" outlineLevel="1" x14ac:dyDescent="0.25">
      <c r="A5367" s="18">
        <v>3492</v>
      </c>
      <c r="B5367" s="4" t="s">
        <v>249</v>
      </c>
      <c r="C5367" s="38" t="s">
        <v>4746</v>
      </c>
      <c r="D5367" s="18">
        <v>2022</v>
      </c>
      <c r="E5367" s="18" t="s">
        <v>0</v>
      </c>
      <c r="F5367" s="4">
        <v>1</v>
      </c>
      <c r="G5367" s="42">
        <v>10</v>
      </c>
      <c r="H5367" s="42">
        <f>0.01732312*(1000)</f>
        <v>17.323119999999999</v>
      </c>
    </row>
    <row r="5368" spans="1:8" s="15" customFormat="1" ht="16.5" hidden="1" customHeight="1" outlineLevel="1" x14ac:dyDescent="0.25">
      <c r="A5368" s="18">
        <v>3493</v>
      </c>
      <c r="B5368" s="4" t="s">
        <v>249</v>
      </c>
      <c r="C5368" s="38" t="s">
        <v>4747</v>
      </c>
      <c r="D5368" s="18">
        <v>2022</v>
      </c>
      <c r="E5368" s="18" t="s">
        <v>0</v>
      </c>
      <c r="F5368" s="4">
        <v>1</v>
      </c>
      <c r="G5368" s="42">
        <v>11</v>
      </c>
      <c r="H5368" s="42">
        <f>0.01028006*(1000)</f>
        <v>10.280060000000001</v>
      </c>
    </row>
    <row r="5369" spans="1:8" s="15" customFormat="1" ht="16.5" hidden="1" customHeight="1" outlineLevel="1" x14ac:dyDescent="0.25">
      <c r="A5369" s="18">
        <v>3499</v>
      </c>
      <c r="B5369" s="4" t="s">
        <v>249</v>
      </c>
      <c r="C5369" s="38" t="s">
        <v>4748</v>
      </c>
      <c r="D5369" s="18">
        <v>2022</v>
      </c>
      <c r="E5369" s="18" t="s">
        <v>0</v>
      </c>
      <c r="F5369" s="4">
        <v>1</v>
      </c>
      <c r="G5369" s="42">
        <v>12</v>
      </c>
      <c r="H5369" s="42">
        <f>0.01028006*(1000)</f>
        <v>10.280060000000001</v>
      </c>
    </row>
    <row r="5370" spans="1:8" s="15" customFormat="1" ht="16.5" hidden="1" customHeight="1" outlineLevel="1" x14ac:dyDescent="0.25">
      <c r="A5370" s="18">
        <v>3500</v>
      </c>
      <c r="B5370" s="4" t="s">
        <v>249</v>
      </c>
      <c r="C5370" s="38" t="s">
        <v>4749</v>
      </c>
      <c r="D5370" s="18">
        <v>2022</v>
      </c>
      <c r="E5370" s="18" t="s">
        <v>0</v>
      </c>
      <c r="F5370" s="4">
        <v>1</v>
      </c>
      <c r="G5370" s="42">
        <v>11</v>
      </c>
      <c r="H5370" s="42">
        <f>0.01028005*(1000)</f>
        <v>10.280050000000001</v>
      </c>
    </row>
    <row r="5371" spans="1:8" s="15" customFormat="1" ht="16.5" hidden="1" customHeight="1" outlineLevel="1" x14ac:dyDescent="0.25">
      <c r="A5371" s="18">
        <v>3501</v>
      </c>
      <c r="B5371" s="4" t="s">
        <v>249</v>
      </c>
      <c r="C5371" s="38" t="s">
        <v>4750</v>
      </c>
      <c r="D5371" s="18">
        <v>2022</v>
      </c>
      <c r="E5371" s="18" t="s">
        <v>0</v>
      </c>
      <c r="F5371" s="4">
        <v>1</v>
      </c>
      <c r="G5371" s="42">
        <v>10</v>
      </c>
      <c r="H5371" s="42">
        <f>0.01028006*(1000)</f>
        <v>10.280060000000001</v>
      </c>
    </row>
    <row r="5372" spans="1:8" s="15" customFormat="1" ht="16.5" hidden="1" customHeight="1" outlineLevel="1" x14ac:dyDescent="0.25">
      <c r="A5372" s="18">
        <v>3502</v>
      </c>
      <c r="B5372" s="4" t="s">
        <v>249</v>
      </c>
      <c r="C5372" s="38" t="s">
        <v>4751</v>
      </c>
      <c r="D5372" s="18">
        <v>2022</v>
      </c>
      <c r="E5372" s="18" t="s">
        <v>0</v>
      </c>
      <c r="F5372" s="4">
        <v>1</v>
      </c>
      <c r="G5372" s="42">
        <v>11</v>
      </c>
      <c r="H5372" s="42">
        <f>0.01846155*(1000)</f>
        <v>18.461549999999999</v>
      </c>
    </row>
    <row r="5373" spans="1:8" s="15" customFormat="1" ht="16.5" hidden="1" customHeight="1" outlineLevel="1" x14ac:dyDescent="0.25">
      <c r="A5373" s="18">
        <v>3507</v>
      </c>
      <c r="B5373" s="4" t="s">
        <v>249</v>
      </c>
      <c r="C5373" s="38" t="s">
        <v>4752</v>
      </c>
      <c r="D5373" s="18">
        <v>2022</v>
      </c>
      <c r="E5373" s="18" t="s">
        <v>0</v>
      </c>
      <c r="F5373" s="4">
        <v>1</v>
      </c>
      <c r="G5373" s="42">
        <v>11</v>
      </c>
      <c r="H5373" s="42">
        <f>0.01028006*(1000)</f>
        <v>10.280060000000001</v>
      </c>
    </row>
    <row r="5374" spans="1:8" s="15" customFormat="1" ht="16.5" hidden="1" customHeight="1" outlineLevel="1" x14ac:dyDescent="0.25">
      <c r="A5374" s="18">
        <v>3509</v>
      </c>
      <c r="B5374" s="4" t="s">
        <v>249</v>
      </c>
      <c r="C5374" s="38" t="s">
        <v>4753</v>
      </c>
      <c r="D5374" s="18">
        <v>2022</v>
      </c>
      <c r="E5374" s="18" t="s">
        <v>0</v>
      </c>
      <c r="F5374" s="4">
        <v>1</v>
      </c>
      <c r="G5374" s="42">
        <v>11</v>
      </c>
      <c r="H5374" s="42">
        <f>0.01028006*(1000)</f>
        <v>10.280060000000001</v>
      </c>
    </row>
    <row r="5375" spans="1:8" s="15" customFormat="1" ht="16.5" hidden="1" customHeight="1" outlineLevel="1" x14ac:dyDescent="0.25">
      <c r="A5375" s="18">
        <v>3511</v>
      </c>
      <c r="B5375" s="4" t="s">
        <v>249</v>
      </c>
      <c r="C5375" s="38" t="s">
        <v>4754</v>
      </c>
      <c r="D5375" s="18">
        <v>2022</v>
      </c>
      <c r="E5375" s="18" t="s">
        <v>0</v>
      </c>
      <c r="F5375" s="4">
        <v>1</v>
      </c>
      <c r="G5375" s="42">
        <v>10</v>
      </c>
      <c r="H5375" s="42">
        <f>0.01028005*(1000)</f>
        <v>10.280050000000001</v>
      </c>
    </row>
    <row r="5376" spans="1:8" s="15" customFormat="1" ht="16.5" hidden="1" customHeight="1" outlineLevel="1" x14ac:dyDescent="0.25">
      <c r="A5376" s="18">
        <v>3515</v>
      </c>
      <c r="B5376" s="4" t="s">
        <v>249</v>
      </c>
      <c r="C5376" s="38" t="s">
        <v>4755</v>
      </c>
      <c r="D5376" s="18">
        <v>2022</v>
      </c>
      <c r="E5376" s="18" t="s">
        <v>0</v>
      </c>
      <c r="F5376" s="4">
        <v>1</v>
      </c>
      <c r="G5376" s="42">
        <v>12</v>
      </c>
      <c r="H5376" s="42">
        <f>0.01028005*(1000)</f>
        <v>10.280050000000001</v>
      </c>
    </row>
    <row r="5377" spans="1:8" s="15" customFormat="1" ht="16.5" hidden="1" customHeight="1" outlineLevel="1" x14ac:dyDescent="0.25">
      <c r="A5377" s="18">
        <v>3516</v>
      </c>
      <c r="B5377" s="4" t="s">
        <v>249</v>
      </c>
      <c r="C5377" s="38" t="s">
        <v>4756</v>
      </c>
      <c r="D5377" s="18">
        <v>2022</v>
      </c>
      <c r="E5377" s="18" t="s">
        <v>0</v>
      </c>
      <c r="F5377" s="4">
        <v>1</v>
      </c>
      <c r="G5377" s="42">
        <v>12</v>
      </c>
      <c r="H5377" s="42">
        <f>0.01028003*(1000)</f>
        <v>10.28003</v>
      </c>
    </row>
    <row r="5378" spans="1:8" s="15" customFormat="1" ht="16.5" hidden="1" customHeight="1" outlineLevel="1" x14ac:dyDescent="0.25">
      <c r="A5378" s="18">
        <v>3520</v>
      </c>
      <c r="B5378" s="4" t="s">
        <v>249</v>
      </c>
      <c r="C5378" s="38" t="s">
        <v>4757</v>
      </c>
      <c r="D5378" s="18">
        <v>2022</v>
      </c>
      <c r="E5378" s="18" t="s">
        <v>0</v>
      </c>
      <c r="F5378" s="4">
        <v>1</v>
      </c>
      <c r="G5378" s="42">
        <v>11</v>
      </c>
      <c r="H5378" s="42">
        <f>0.01028004*(1000)</f>
        <v>10.280040000000001</v>
      </c>
    </row>
    <row r="5379" spans="1:8" s="15" customFormat="1" ht="16.5" hidden="1" customHeight="1" outlineLevel="1" x14ac:dyDescent="0.25">
      <c r="A5379" s="18">
        <v>3521</v>
      </c>
      <c r="B5379" s="4" t="s">
        <v>249</v>
      </c>
      <c r="C5379" s="38" t="s">
        <v>4758</v>
      </c>
      <c r="D5379" s="18">
        <v>2022</v>
      </c>
      <c r="E5379" s="18" t="s">
        <v>0</v>
      </c>
      <c r="F5379" s="4">
        <v>1</v>
      </c>
      <c r="G5379" s="42">
        <v>10</v>
      </c>
      <c r="H5379" s="42">
        <f>0.01028006*(1000)</f>
        <v>10.280060000000001</v>
      </c>
    </row>
    <row r="5380" spans="1:8" s="15" customFormat="1" ht="16.5" hidden="1" customHeight="1" outlineLevel="1" x14ac:dyDescent="0.25">
      <c r="A5380" s="18">
        <v>3522</v>
      </c>
      <c r="B5380" s="4" t="s">
        <v>249</v>
      </c>
      <c r="C5380" s="38" t="s">
        <v>4759</v>
      </c>
      <c r="D5380" s="18">
        <v>2022</v>
      </c>
      <c r="E5380" s="18" t="s">
        <v>0</v>
      </c>
      <c r="F5380" s="4">
        <v>1</v>
      </c>
      <c r="G5380" s="42">
        <v>11</v>
      </c>
      <c r="H5380" s="42">
        <f>0.01028003*(1000)</f>
        <v>10.28003</v>
      </c>
    </row>
    <row r="5381" spans="1:8" s="15" customFormat="1" ht="16.5" hidden="1" customHeight="1" outlineLevel="1" x14ac:dyDescent="0.25">
      <c r="A5381" s="18">
        <v>3526</v>
      </c>
      <c r="B5381" s="4" t="s">
        <v>249</v>
      </c>
      <c r="C5381" s="38" t="s">
        <v>4760</v>
      </c>
      <c r="D5381" s="18">
        <v>2022</v>
      </c>
      <c r="E5381" s="18" t="s">
        <v>0</v>
      </c>
      <c r="F5381" s="4">
        <v>1</v>
      </c>
      <c r="G5381" s="42">
        <v>10</v>
      </c>
      <c r="H5381" s="42">
        <f>0.01024924*(1000)</f>
        <v>10.24924</v>
      </c>
    </row>
    <row r="5382" spans="1:8" s="15" customFormat="1" ht="16.5" hidden="1" customHeight="1" outlineLevel="1" x14ac:dyDescent="0.25">
      <c r="A5382" s="18">
        <v>3528</v>
      </c>
      <c r="B5382" s="4" t="s">
        <v>249</v>
      </c>
      <c r="C5382" s="38" t="s">
        <v>4761</v>
      </c>
      <c r="D5382" s="18">
        <v>2022</v>
      </c>
      <c r="E5382" s="18" t="s">
        <v>0</v>
      </c>
      <c r="F5382" s="4">
        <v>1</v>
      </c>
      <c r="G5382" s="42">
        <v>12</v>
      </c>
      <c r="H5382" s="42">
        <f>0.01024925*(1000)</f>
        <v>10.24925</v>
      </c>
    </row>
    <row r="5383" spans="1:8" s="15" customFormat="1" ht="16.5" hidden="1" customHeight="1" outlineLevel="1" x14ac:dyDescent="0.25">
      <c r="A5383" s="18">
        <v>3529</v>
      </c>
      <c r="B5383" s="4" t="s">
        <v>249</v>
      </c>
      <c r="C5383" s="38" t="s">
        <v>4762</v>
      </c>
      <c r="D5383" s="18">
        <v>2022</v>
      </c>
      <c r="E5383" s="18" t="s">
        <v>0</v>
      </c>
      <c r="F5383" s="4">
        <v>1</v>
      </c>
      <c r="G5383" s="42">
        <v>10</v>
      </c>
      <c r="H5383" s="42">
        <f>0.01024927*(1000)</f>
        <v>10.249269999999999</v>
      </c>
    </row>
    <row r="5384" spans="1:8" s="15" customFormat="1" ht="16.5" hidden="1" customHeight="1" outlineLevel="1" x14ac:dyDescent="0.25">
      <c r="A5384" s="18">
        <v>3532</v>
      </c>
      <c r="B5384" s="4" t="s">
        <v>249</v>
      </c>
      <c r="C5384" s="38" t="s">
        <v>4763</v>
      </c>
      <c r="D5384" s="18">
        <v>2022</v>
      </c>
      <c r="E5384" s="18" t="s">
        <v>0</v>
      </c>
      <c r="F5384" s="4">
        <v>1</v>
      </c>
      <c r="G5384" s="42">
        <v>12</v>
      </c>
      <c r="H5384" s="42">
        <f>0.01024925*(1000)</f>
        <v>10.24925</v>
      </c>
    </row>
    <row r="5385" spans="1:8" s="15" customFormat="1" ht="16.5" hidden="1" customHeight="1" outlineLevel="1" x14ac:dyDescent="0.25">
      <c r="A5385" s="18">
        <v>3533</v>
      </c>
      <c r="B5385" s="4" t="s">
        <v>249</v>
      </c>
      <c r="C5385" s="38" t="s">
        <v>4764</v>
      </c>
      <c r="D5385" s="18">
        <v>2022</v>
      </c>
      <c r="E5385" s="18" t="s">
        <v>0</v>
      </c>
      <c r="F5385" s="4">
        <v>1</v>
      </c>
      <c r="G5385" s="42">
        <v>10</v>
      </c>
      <c r="H5385" s="42">
        <f>0.01024927*(1000)</f>
        <v>10.249269999999999</v>
      </c>
    </row>
    <row r="5386" spans="1:8" s="15" customFormat="1" ht="16.5" hidden="1" customHeight="1" outlineLevel="1" x14ac:dyDescent="0.25">
      <c r="A5386" s="18">
        <v>3536</v>
      </c>
      <c r="B5386" s="4" t="s">
        <v>249</v>
      </c>
      <c r="C5386" s="38" t="s">
        <v>4765</v>
      </c>
      <c r="D5386" s="18">
        <v>2022</v>
      </c>
      <c r="E5386" s="18" t="s">
        <v>0</v>
      </c>
      <c r="F5386" s="4">
        <v>1</v>
      </c>
      <c r="G5386" s="42">
        <v>10</v>
      </c>
      <c r="H5386" s="42">
        <f>0.01024925*(1000)</f>
        <v>10.24925</v>
      </c>
    </row>
    <row r="5387" spans="1:8" s="15" customFormat="1" ht="16.5" hidden="1" customHeight="1" outlineLevel="1" x14ac:dyDescent="0.25">
      <c r="A5387" s="18">
        <v>3537</v>
      </c>
      <c r="B5387" s="4" t="s">
        <v>249</v>
      </c>
      <c r="C5387" s="38" t="s">
        <v>4766</v>
      </c>
      <c r="D5387" s="18">
        <v>2022</v>
      </c>
      <c r="E5387" s="18" t="s">
        <v>0</v>
      </c>
      <c r="F5387" s="4">
        <v>1</v>
      </c>
      <c r="G5387" s="42">
        <v>10</v>
      </c>
      <c r="H5387" s="42">
        <f>0.01024927*(1000)</f>
        <v>10.249269999999999</v>
      </c>
    </row>
    <row r="5388" spans="1:8" s="15" customFormat="1" ht="16.5" hidden="1" customHeight="1" outlineLevel="1" x14ac:dyDescent="0.25">
      <c r="A5388" s="18">
        <v>3543</v>
      </c>
      <c r="B5388" s="4" t="s">
        <v>249</v>
      </c>
      <c r="C5388" s="38" t="s">
        <v>4767</v>
      </c>
      <c r="D5388" s="18">
        <v>2022</v>
      </c>
      <c r="E5388" s="18" t="s">
        <v>0</v>
      </c>
      <c r="F5388" s="4">
        <v>1</v>
      </c>
      <c r="G5388" s="42">
        <v>12</v>
      </c>
      <c r="H5388" s="42">
        <f>0.01047979*(1000)</f>
        <v>10.479789999999999</v>
      </c>
    </row>
    <row r="5389" spans="1:8" s="15" customFormat="1" ht="16.5" hidden="1" customHeight="1" outlineLevel="1" x14ac:dyDescent="0.25">
      <c r="A5389" s="18">
        <v>3544</v>
      </c>
      <c r="B5389" s="4" t="s">
        <v>249</v>
      </c>
      <c r="C5389" s="38" t="s">
        <v>4768</v>
      </c>
      <c r="D5389" s="18">
        <v>2022</v>
      </c>
      <c r="E5389" s="18" t="s">
        <v>0</v>
      </c>
      <c r="F5389" s="4">
        <v>1</v>
      </c>
      <c r="G5389" s="42">
        <v>1.5</v>
      </c>
      <c r="H5389" s="42">
        <f>0.01028379*(1000)</f>
        <v>10.28379</v>
      </c>
    </row>
    <row r="5390" spans="1:8" s="15" customFormat="1" ht="16.5" hidden="1" customHeight="1" outlineLevel="1" x14ac:dyDescent="0.25">
      <c r="A5390" s="18">
        <v>3545</v>
      </c>
      <c r="B5390" s="4" t="s">
        <v>249</v>
      </c>
      <c r="C5390" s="38" t="s">
        <v>4769</v>
      </c>
      <c r="D5390" s="18">
        <v>2022</v>
      </c>
      <c r="E5390" s="18" t="s">
        <v>0</v>
      </c>
      <c r="F5390" s="4">
        <v>1</v>
      </c>
      <c r="G5390" s="42">
        <v>12</v>
      </c>
      <c r="H5390" s="42">
        <f>0.0102927*(1000)</f>
        <v>10.2927</v>
      </c>
    </row>
    <row r="5391" spans="1:8" s="15" customFormat="1" ht="16.5" hidden="1" customHeight="1" outlineLevel="1" x14ac:dyDescent="0.25">
      <c r="A5391" s="18">
        <v>3546</v>
      </c>
      <c r="B5391" s="4" t="s">
        <v>249</v>
      </c>
      <c r="C5391" s="38" t="s">
        <v>4770</v>
      </c>
      <c r="D5391" s="18">
        <v>2022</v>
      </c>
      <c r="E5391" s="18" t="s">
        <v>0</v>
      </c>
      <c r="F5391" s="4">
        <v>1</v>
      </c>
      <c r="G5391" s="42">
        <v>10</v>
      </c>
      <c r="H5391" s="42">
        <f>0.01029269*(1000)</f>
        <v>10.29269</v>
      </c>
    </row>
    <row r="5392" spans="1:8" s="15" customFormat="1" ht="16.5" hidden="1" customHeight="1" outlineLevel="1" x14ac:dyDescent="0.25">
      <c r="A5392" s="18">
        <v>3550</v>
      </c>
      <c r="B5392" s="4" t="s">
        <v>249</v>
      </c>
      <c r="C5392" s="38" t="s">
        <v>4771</v>
      </c>
      <c r="D5392" s="18">
        <v>2022</v>
      </c>
      <c r="E5392" s="18" t="s">
        <v>0</v>
      </c>
      <c r="F5392" s="4">
        <v>1</v>
      </c>
      <c r="G5392" s="42">
        <v>10</v>
      </c>
      <c r="H5392" s="42">
        <f>0.01029269*(1000)</f>
        <v>10.29269</v>
      </c>
    </row>
    <row r="5393" spans="1:8" s="15" customFormat="1" ht="16.5" hidden="1" customHeight="1" outlineLevel="1" x14ac:dyDescent="0.25">
      <c r="A5393" s="18">
        <v>3551</v>
      </c>
      <c r="B5393" s="4" t="s">
        <v>249</v>
      </c>
      <c r="C5393" s="38" t="s">
        <v>4772</v>
      </c>
      <c r="D5393" s="18">
        <v>2022</v>
      </c>
      <c r="E5393" s="18" t="s">
        <v>0</v>
      </c>
      <c r="F5393" s="4">
        <v>1</v>
      </c>
      <c r="G5393" s="42">
        <v>11</v>
      </c>
      <c r="H5393" s="42">
        <f>0.0102927*(1000)</f>
        <v>10.2927</v>
      </c>
    </row>
    <row r="5394" spans="1:8" s="15" customFormat="1" ht="16.5" hidden="1" customHeight="1" outlineLevel="1" x14ac:dyDescent="0.25">
      <c r="A5394" s="18">
        <v>3552</v>
      </c>
      <c r="B5394" s="4" t="s">
        <v>249</v>
      </c>
      <c r="C5394" s="38" t="s">
        <v>4773</v>
      </c>
      <c r="D5394" s="18">
        <v>2022</v>
      </c>
      <c r="E5394" s="18" t="s">
        <v>0</v>
      </c>
      <c r="F5394" s="4">
        <v>1</v>
      </c>
      <c r="G5394" s="42">
        <v>11</v>
      </c>
      <c r="H5394" s="42">
        <f>0.01029269*(1000)</f>
        <v>10.29269</v>
      </c>
    </row>
    <row r="5395" spans="1:8" s="15" customFormat="1" ht="16.5" hidden="1" customHeight="1" outlineLevel="1" x14ac:dyDescent="0.25">
      <c r="A5395" s="18">
        <v>3554</v>
      </c>
      <c r="B5395" s="4" t="s">
        <v>249</v>
      </c>
      <c r="C5395" s="38" t="s">
        <v>4774</v>
      </c>
      <c r="D5395" s="18">
        <v>2022</v>
      </c>
      <c r="E5395" s="18" t="s">
        <v>0</v>
      </c>
      <c r="F5395" s="4">
        <v>1</v>
      </c>
      <c r="G5395" s="42">
        <v>10</v>
      </c>
      <c r="H5395" s="42">
        <f>0.01029269*(1000)</f>
        <v>10.29269</v>
      </c>
    </row>
    <row r="5396" spans="1:8" s="15" customFormat="1" ht="16.5" hidden="1" customHeight="1" outlineLevel="1" x14ac:dyDescent="0.25">
      <c r="A5396" s="18">
        <v>3555</v>
      </c>
      <c r="B5396" s="4" t="s">
        <v>249</v>
      </c>
      <c r="C5396" s="38" t="s">
        <v>4775</v>
      </c>
      <c r="D5396" s="18">
        <v>2022</v>
      </c>
      <c r="E5396" s="18" t="s">
        <v>0</v>
      </c>
      <c r="F5396" s="4">
        <v>1</v>
      </c>
      <c r="G5396" s="42">
        <v>10</v>
      </c>
      <c r="H5396" s="42">
        <f>0.0102927*(1000)</f>
        <v>10.2927</v>
      </c>
    </row>
    <row r="5397" spans="1:8" s="15" customFormat="1" ht="16.5" hidden="1" customHeight="1" outlineLevel="1" x14ac:dyDescent="0.25">
      <c r="A5397" s="18">
        <v>3556</v>
      </c>
      <c r="B5397" s="4" t="s">
        <v>249</v>
      </c>
      <c r="C5397" s="38" t="s">
        <v>4776</v>
      </c>
      <c r="D5397" s="18">
        <v>2022</v>
      </c>
      <c r="E5397" s="18" t="s">
        <v>0</v>
      </c>
      <c r="F5397" s="4">
        <v>1</v>
      </c>
      <c r="G5397" s="42">
        <v>15</v>
      </c>
      <c r="H5397" s="42">
        <f>0.01029269*(1000)</f>
        <v>10.29269</v>
      </c>
    </row>
    <row r="5398" spans="1:8" s="15" customFormat="1" ht="16.5" hidden="1" customHeight="1" outlineLevel="1" x14ac:dyDescent="0.25">
      <c r="A5398" s="18">
        <v>3562</v>
      </c>
      <c r="B5398" s="4" t="s">
        <v>249</v>
      </c>
      <c r="C5398" s="38" t="s">
        <v>4777</v>
      </c>
      <c r="D5398" s="18">
        <v>2022</v>
      </c>
      <c r="E5398" s="18" t="s">
        <v>0</v>
      </c>
      <c r="F5398" s="4">
        <v>1</v>
      </c>
      <c r="G5398" s="42">
        <v>5</v>
      </c>
      <c r="H5398" s="42">
        <f>0.01029269*(1000)</f>
        <v>10.29269</v>
      </c>
    </row>
    <row r="5399" spans="1:8" s="15" customFormat="1" ht="16.5" hidden="1" customHeight="1" outlineLevel="1" x14ac:dyDescent="0.25">
      <c r="A5399" s="18">
        <v>3566</v>
      </c>
      <c r="B5399" s="4" t="s">
        <v>249</v>
      </c>
      <c r="C5399" s="38" t="s">
        <v>4778</v>
      </c>
      <c r="D5399" s="18">
        <v>2022</v>
      </c>
      <c r="E5399" s="18" t="s">
        <v>0</v>
      </c>
      <c r="F5399" s="4">
        <v>1</v>
      </c>
      <c r="G5399" s="42">
        <v>10</v>
      </c>
      <c r="H5399" s="42">
        <f>0.01044191*(1000)</f>
        <v>10.44191</v>
      </c>
    </row>
    <row r="5400" spans="1:8" s="15" customFormat="1" ht="16.5" hidden="1" customHeight="1" outlineLevel="1" x14ac:dyDescent="0.25">
      <c r="A5400" s="18">
        <v>3567</v>
      </c>
      <c r="B5400" s="4" t="s">
        <v>249</v>
      </c>
      <c r="C5400" s="38" t="s">
        <v>4779</v>
      </c>
      <c r="D5400" s="18">
        <v>2022</v>
      </c>
      <c r="E5400" s="18" t="s">
        <v>0</v>
      </c>
      <c r="F5400" s="4">
        <v>1</v>
      </c>
      <c r="G5400" s="42">
        <v>15</v>
      </c>
      <c r="H5400" s="42">
        <f>0.01847421*(1000)</f>
        <v>18.474210000000003</v>
      </c>
    </row>
    <row r="5401" spans="1:8" s="15" customFormat="1" ht="16.5" hidden="1" customHeight="1" outlineLevel="1" x14ac:dyDescent="0.25">
      <c r="A5401" s="18">
        <v>3568</v>
      </c>
      <c r="B5401" s="4" t="s">
        <v>249</v>
      </c>
      <c r="C5401" s="38" t="s">
        <v>4780</v>
      </c>
      <c r="D5401" s="18">
        <v>2022</v>
      </c>
      <c r="E5401" s="18" t="s">
        <v>0</v>
      </c>
      <c r="F5401" s="4">
        <v>1</v>
      </c>
      <c r="G5401" s="42">
        <v>10</v>
      </c>
      <c r="H5401" s="42">
        <f>0.0102927*(1000)</f>
        <v>10.2927</v>
      </c>
    </row>
    <row r="5402" spans="1:8" s="15" customFormat="1" ht="16.5" hidden="1" customHeight="1" outlineLevel="1" x14ac:dyDescent="0.25">
      <c r="A5402" s="18">
        <v>3569</v>
      </c>
      <c r="B5402" s="4" t="s">
        <v>249</v>
      </c>
      <c r="C5402" s="38" t="s">
        <v>4781</v>
      </c>
      <c r="D5402" s="18">
        <v>2022</v>
      </c>
      <c r="E5402" s="18" t="s">
        <v>0</v>
      </c>
      <c r="F5402" s="4">
        <v>1</v>
      </c>
      <c r="G5402" s="42">
        <v>7</v>
      </c>
      <c r="H5402" s="42">
        <f>0.01029269*(1000)</f>
        <v>10.29269</v>
      </c>
    </row>
    <row r="5403" spans="1:8" s="15" customFormat="1" ht="16.5" hidden="1" customHeight="1" outlineLevel="1" x14ac:dyDescent="0.25">
      <c r="A5403" s="18">
        <v>3570</v>
      </c>
      <c r="B5403" s="4" t="s">
        <v>249</v>
      </c>
      <c r="C5403" s="38" t="s">
        <v>4782</v>
      </c>
      <c r="D5403" s="18">
        <v>2022</v>
      </c>
      <c r="E5403" s="18" t="s">
        <v>0</v>
      </c>
      <c r="F5403" s="4">
        <v>1</v>
      </c>
      <c r="G5403" s="42">
        <v>5</v>
      </c>
      <c r="H5403" s="42">
        <f>0.0102927*(1000)</f>
        <v>10.2927</v>
      </c>
    </row>
    <row r="5404" spans="1:8" s="15" customFormat="1" ht="16.5" hidden="1" customHeight="1" outlineLevel="1" x14ac:dyDescent="0.25">
      <c r="A5404" s="18">
        <v>3571</v>
      </c>
      <c r="B5404" s="4" t="s">
        <v>249</v>
      </c>
      <c r="C5404" s="38" t="s">
        <v>4783</v>
      </c>
      <c r="D5404" s="18">
        <v>2022</v>
      </c>
      <c r="E5404" s="18" t="s">
        <v>0</v>
      </c>
      <c r="F5404" s="4">
        <v>1</v>
      </c>
      <c r="G5404" s="42">
        <v>14</v>
      </c>
      <c r="H5404" s="42">
        <f>0.01029269*(1000)</f>
        <v>10.29269</v>
      </c>
    </row>
    <row r="5405" spans="1:8" s="15" customFormat="1" ht="16.5" hidden="1" customHeight="1" outlineLevel="1" x14ac:dyDescent="0.25">
      <c r="A5405" s="18">
        <v>3574</v>
      </c>
      <c r="B5405" s="4" t="s">
        <v>249</v>
      </c>
      <c r="C5405" s="38" t="s">
        <v>4784</v>
      </c>
      <c r="D5405" s="18">
        <v>2022</v>
      </c>
      <c r="E5405" s="18" t="s">
        <v>0</v>
      </c>
      <c r="F5405" s="4">
        <v>1</v>
      </c>
      <c r="G5405" s="42">
        <v>5</v>
      </c>
      <c r="H5405" s="42">
        <f>0.01847422*(1000)</f>
        <v>18.474219999999999</v>
      </c>
    </row>
    <row r="5406" spans="1:8" s="15" customFormat="1" ht="16.5" hidden="1" customHeight="1" outlineLevel="1" x14ac:dyDescent="0.25">
      <c r="A5406" s="18">
        <v>3575</v>
      </c>
      <c r="B5406" s="4" t="s">
        <v>249</v>
      </c>
      <c r="C5406" s="38" t="s">
        <v>4785</v>
      </c>
      <c r="D5406" s="18">
        <v>2022</v>
      </c>
      <c r="E5406" s="18" t="s">
        <v>0</v>
      </c>
      <c r="F5406" s="4">
        <v>1</v>
      </c>
      <c r="G5406" s="42">
        <v>11</v>
      </c>
      <c r="H5406" s="42">
        <f>0.01029269*(1000)</f>
        <v>10.29269</v>
      </c>
    </row>
    <row r="5407" spans="1:8" s="15" customFormat="1" ht="16.5" hidden="1" customHeight="1" outlineLevel="1" x14ac:dyDescent="0.25">
      <c r="A5407" s="18">
        <v>3580</v>
      </c>
      <c r="B5407" s="4" t="s">
        <v>249</v>
      </c>
      <c r="C5407" s="38" t="s">
        <v>4786</v>
      </c>
      <c r="D5407" s="18">
        <v>2022</v>
      </c>
      <c r="E5407" s="18" t="s">
        <v>0</v>
      </c>
      <c r="F5407" s="4">
        <v>1</v>
      </c>
      <c r="G5407" s="42">
        <v>15</v>
      </c>
      <c r="H5407" s="42">
        <f>0.01027189*(1000)</f>
        <v>10.271890000000001</v>
      </c>
    </row>
    <row r="5408" spans="1:8" s="15" customFormat="1" ht="16.5" hidden="1" customHeight="1" outlineLevel="1" x14ac:dyDescent="0.25">
      <c r="A5408" s="18">
        <v>3581</v>
      </c>
      <c r="B5408" s="4" t="s">
        <v>249</v>
      </c>
      <c r="C5408" s="38" t="s">
        <v>4787</v>
      </c>
      <c r="D5408" s="18">
        <v>2022</v>
      </c>
      <c r="E5408" s="18" t="s">
        <v>0</v>
      </c>
      <c r="F5408" s="4">
        <v>1</v>
      </c>
      <c r="G5408" s="42">
        <v>14</v>
      </c>
      <c r="H5408" s="42">
        <f>0.01845341*(1000)</f>
        <v>18.453410000000002</v>
      </c>
    </row>
    <row r="5409" spans="1:8" s="15" customFormat="1" ht="16.5" hidden="1" customHeight="1" outlineLevel="1" x14ac:dyDescent="0.25">
      <c r="A5409" s="18">
        <v>3582</v>
      </c>
      <c r="B5409" s="4" t="s">
        <v>249</v>
      </c>
      <c r="C5409" s="38" t="s">
        <v>4788</v>
      </c>
      <c r="D5409" s="18">
        <v>2022</v>
      </c>
      <c r="E5409" s="18" t="s">
        <v>0</v>
      </c>
      <c r="F5409" s="4">
        <v>1</v>
      </c>
      <c r="G5409" s="42">
        <v>14</v>
      </c>
      <c r="H5409" s="42">
        <f>0.01027189*(1000)</f>
        <v>10.271890000000001</v>
      </c>
    </row>
    <row r="5410" spans="1:8" s="15" customFormat="1" ht="16.5" hidden="1" customHeight="1" outlineLevel="1" x14ac:dyDescent="0.25">
      <c r="A5410" s="18">
        <v>3583</v>
      </c>
      <c r="B5410" s="4" t="s">
        <v>249</v>
      </c>
      <c r="C5410" s="38" t="s">
        <v>4789</v>
      </c>
      <c r="D5410" s="18">
        <v>2022</v>
      </c>
      <c r="E5410" s="18" t="s">
        <v>0</v>
      </c>
      <c r="F5410" s="4">
        <v>1</v>
      </c>
      <c r="G5410" s="42">
        <v>14</v>
      </c>
      <c r="H5410" s="42">
        <f>0.0102719*(1000)</f>
        <v>10.2719</v>
      </c>
    </row>
    <row r="5411" spans="1:8" s="15" customFormat="1" ht="16.5" hidden="1" customHeight="1" outlineLevel="1" x14ac:dyDescent="0.25">
      <c r="A5411" s="18">
        <v>3584</v>
      </c>
      <c r="B5411" s="4" t="s">
        <v>249</v>
      </c>
      <c r="C5411" s="38" t="s">
        <v>4790</v>
      </c>
      <c r="D5411" s="18">
        <v>2022</v>
      </c>
      <c r="E5411" s="18" t="s">
        <v>0</v>
      </c>
      <c r="F5411" s="4">
        <v>1</v>
      </c>
      <c r="G5411" s="42">
        <v>14</v>
      </c>
      <c r="H5411" s="42">
        <f>0.01027189*(1000)</f>
        <v>10.271890000000001</v>
      </c>
    </row>
    <row r="5412" spans="1:8" s="15" customFormat="1" ht="16.5" hidden="1" customHeight="1" outlineLevel="1" x14ac:dyDescent="0.25">
      <c r="A5412" s="18">
        <v>3585</v>
      </c>
      <c r="B5412" s="4" t="s">
        <v>249</v>
      </c>
      <c r="C5412" s="38" t="s">
        <v>4791</v>
      </c>
      <c r="D5412" s="18">
        <v>2022</v>
      </c>
      <c r="E5412" s="18" t="s">
        <v>0</v>
      </c>
      <c r="F5412" s="4">
        <v>1</v>
      </c>
      <c r="G5412" s="42">
        <v>14</v>
      </c>
      <c r="H5412" s="42">
        <f>0.0102719*(1000)</f>
        <v>10.2719</v>
      </c>
    </row>
    <row r="5413" spans="1:8" s="15" customFormat="1" ht="16.5" hidden="1" customHeight="1" outlineLevel="1" x14ac:dyDescent="0.25">
      <c r="A5413" s="18">
        <v>3586</v>
      </c>
      <c r="B5413" s="4" t="s">
        <v>249</v>
      </c>
      <c r="C5413" s="38" t="s">
        <v>4792</v>
      </c>
      <c r="D5413" s="18">
        <v>2022</v>
      </c>
      <c r="E5413" s="18" t="s">
        <v>0</v>
      </c>
      <c r="F5413" s="4">
        <v>1</v>
      </c>
      <c r="G5413" s="42">
        <v>12</v>
      </c>
      <c r="H5413" s="42">
        <f>0.01027189*(1000)</f>
        <v>10.271890000000001</v>
      </c>
    </row>
    <row r="5414" spans="1:8" s="15" customFormat="1" ht="16.5" hidden="1" customHeight="1" outlineLevel="1" x14ac:dyDescent="0.25">
      <c r="A5414" s="18">
        <v>3587</v>
      </c>
      <c r="B5414" s="4" t="s">
        <v>249</v>
      </c>
      <c r="C5414" s="38" t="s">
        <v>4793</v>
      </c>
      <c r="D5414" s="18">
        <v>2022</v>
      </c>
      <c r="E5414" s="18" t="s">
        <v>0</v>
      </c>
      <c r="F5414" s="4">
        <v>1</v>
      </c>
      <c r="G5414" s="42">
        <v>12</v>
      </c>
      <c r="H5414" s="42">
        <f>0.0102719*(1000)</f>
        <v>10.2719</v>
      </c>
    </row>
    <row r="5415" spans="1:8" s="15" customFormat="1" ht="16.5" hidden="1" customHeight="1" outlineLevel="1" x14ac:dyDescent="0.25">
      <c r="A5415" s="18">
        <v>3588</v>
      </c>
      <c r="B5415" s="4" t="s">
        <v>249</v>
      </c>
      <c r="C5415" s="38" t="s">
        <v>4794</v>
      </c>
      <c r="D5415" s="18">
        <v>2022</v>
      </c>
      <c r="E5415" s="18" t="s">
        <v>0</v>
      </c>
      <c r="F5415" s="4">
        <v>1</v>
      </c>
      <c r="G5415" s="42">
        <v>1</v>
      </c>
      <c r="H5415" s="42">
        <f>0.01027189*(1000)</f>
        <v>10.271890000000001</v>
      </c>
    </row>
    <row r="5416" spans="1:8" s="15" customFormat="1" ht="16.5" hidden="1" customHeight="1" outlineLevel="1" x14ac:dyDescent="0.25">
      <c r="A5416" s="18">
        <v>3590</v>
      </c>
      <c r="B5416" s="4" t="s">
        <v>249</v>
      </c>
      <c r="C5416" s="38" t="s">
        <v>4795</v>
      </c>
      <c r="D5416" s="18">
        <v>2022</v>
      </c>
      <c r="E5416" s="18" t="s">
        <v>0</v>
      </c>
      <c r="F5416" s="4">
        <v>1</v>
      </c>
      <c r="G5416" s="42">
        <v>12</v>
      </c>
      <c r="H5416" s="42">
        <f>0.01027189*(1000)</f>
        <v>10.271890000000001</v>
      </c>
    </row>
    <row r="5417" spans="1:8" s="15" customFormat="1" ht="16.5" hidden="1" customHeight="1" outlineLevel="1" x14ac:dyDescent="0.25">
      <c r="A5417" s="18">
        <v>3592</v>
      </c>
      <c r="B5417" s="4" t="s">
        <v>249</v>
      </c>
      <c r="C5417" s="38" t="s">
        <v>4796</v>
      </c>
      <c r="D5417" s="18">
        <v>2022</v>
      </c>
      <c r="E5417" s="18" t="s">
        <v>0</v>
      </c>
      <c r="F5417" s="4">
        <v>1</v>
      </c>
      <c r="G5417" s="42">
        <v>12</v>
      </c>
      <c r="H5417" s="42">
        <f>0.0184534*(1000)</f>
        <v>18.453399999999998</v>
      </c>
    </row>
    <row r="5418" spans="1:8" s="15" customFormat="1" ht="16.5" hidden="1" customHeight="1" outlineLevel="1" x14ac:dyDescent="0.25">
      <c r="A5418" s="18">
        <v>3596</v>
      </c>
      <c r="B5418" s="4" t="s">
        <v>249</v>
      </c>
      <c r="C5418" s="38" t="s">
        <v>4797</v>
      </c>
      <c r="D5418" s="18">
        <v>2022</v>
      </c>
      <c r="E5418" s="18" t="s">
        <v>0</v>
      </c>
      <c r="F5418" s="4">
        <v>1</v>
      </c>
      <c r="G5418" s="42">
        <v>20</v>
      </c>
      <c r="H5418" s="42">
        <f>0.0102719*(1000)</f>
        <v>10.2719</v>
      </c>
    </row>
    <row r="5419" spans="1:8" s="15" customFormat="1" ht="16.5" hidden="1" customHeight="1" outlineLevel="1" x14ac:dyDescent="0.25">
      <c r="A5419" s="18">
        <v>3597</v>
      </c>
      <c r="B5419" s="4" t="s">
        <v>249</v>
      </c>
      <c r="C5419" s="38" t="s">
        <v>4798</v>
      </c>
      <c r="D5419" s="18">
        <v>2022</v>
      </c>
      <c r="E5419" s="18" t="s">
        <v>0</v>
      </c>
      <c r="F5419" s="4">
        <v>1</v>
      </c>
      <c r="G5419" s="42">
        <v>10</v>
      </c>
      <c r="H5419" s="42">
        <f>0.01027189*(1000)</f>
        <v>10.271890000000001</v>
      </c>
    </row>
    <row r="5420" spans="1:8" s="15" customFormat="1" ht="16.5" hidden="1" customHeight="1" outlineLevel="1" x14ac:dyDescent="0.25">
      <c r="A5420" s="18">
        <v>3599</v>
      </c>
      <c r="B5420" s="4" t="s">
        <v>249</v>
      </c>
      <c r="C5420" s="38" t="s">
        <v>4799</v>
      </c>
      <c r="D5420" s="18">
        <v>2022</v>
      </c>
      <c r="E5420" s="18" t="s">
        <v>0</v>
      </c>
      <c r="F5420" s="4">
        <v>1</v>
      </c>
      <c r="G5420" s="42">
        <v>10</v>
      </c>
      <c r="H5420" s="42">
        <f>0.01027189*(1000)</f>
        <v>10.271890000000001</v>
      </c>
    </row>
    <row r="5421" spans="1:8" s="15" customFormat="1" ht="16.5" hidden="1" customHeight="1" outlineLevel="1" x14ac:dyDescent="0.25">
      <c r="A5421" s="18">
        <v>3601</v>
      </c>
      <c r="B5421" s="4" t="s">
        <v>249</v>
      </c>
      <c r="C5421" s="38" t="s">
        <v>4800</v>
      </c>
      <c r="D5421" s="18">
        <v>2022</v>
      </c>
      <c r="E5421" s="18" t="s">
        <v>0</v>
      </c>
      <c r="F5421" s="4">
        <v>1</v>
      </c>
      <c r="G5421" s="42">
        <v>15</v>
      </c>
      <c r="H5421" s="42">
        <f>0.01027189*(1000)</f>
        <v>10.271890000000001</v>
      </c>
    </row>
    <row r="5422" spans="1:8" s="15" customFormat="1" ht="16.5" hidden="1" customHeight="1" outlineLevel="1" x14ac:dyDescent="0.25">
      <c r="A5422" s="18">
        <v>3602</v>
      </c>
      <c r="B5422" s="4" t="s">
        <v>249</v>
      </c>
      <c r="C5422" s="38" t="s">
        <v>4801</v>
      </c>
      <c r="D5422" s="18">
        <v>2022</v>
      </c>
      <c r="E5422" s="18" t="s">
        <v>0</v>
      </c>
      <c r="F5422" s="4">
        <v>1</v>
      </c>
      <c r="G5422" s="42">
        <v>6</v>
      </c>
      <c r="H5422" s="42">
        <f>0.0102719*(1000)</f>
        <v>10.2719</v>
      </c>
    </row>
    <row r="5423" spans="1:8" s="15" customFormat="1" ht="16.5" hidden="1" customHeight="1" outlineLevel="1" x14ac:dyDescent="0.25">
      <c r="A5423" s="18">
        <v>3606</v>
      </c>
      <c r="B5423" s="4" t="s">
        <v>249</v>
      </c>
      <c r="C5423" s="38" t="s">
        <v>4802</v>
      </c>
      <c r="D5423" s="18">
        <v>2022</v>
      </c>
      <c r="E5423" s="18" t="s">
        <v>0</v>
      </c>
      <c r="F5423" s="4">
        <v>1</v>
      </c>
      <c r="G5423" s="42">
        <v>10</v>
      </c>
      <c r="H5423" s="42">
        <f>0.01029268*(1000)</f>
        <v>10.292680000000001</v>
      </c>
    </row>
    <row r="5424" spans="1:8" s="15" customFormat="1" ht="16.5" hidden="1" customHeight="1" outlineLevel="1" x14ac:dyDescent="0.25">
      <c r="A5424" s="18">
        <v>3609</v>
      </c>
      <c r="B5424" s="4" t="s">
        <v>249</v>
      </c>
      <c r="C5424" s="38" t="s">
        <v>4803</v>
      </c>
      <c r="D5424" s="18">
        <v>2022</v>
      </c>
      <c r="E5424" s="18" t="s">
        <v>0</v>
      </c>
      <c r="F5424" s="4">
        <v>1</v>
      </c>
      <c r="G5424" s="42">
        <v>15</v>
      </c>
      <c r="H5424" s="42">
        <f>0.0102927*(1000)</f>
        <v>10.2927</v>
      </c>
    </row>
    <row r="5425" spans="1:8" s="15" customFormat="1" ht="16.5" hidden="1" customHeight="1" outlineLevel="1" x14ac:dyDescent="0.25">
      <c r="A5425" s="18">
        <v>3611</v>
      </c>
      <c r="B5425" s="4" t="s">
        <v>249</v>
      </c>
      <c r="C5425" s="38" t="s">
        <v>4804</v>
      </c>
      <c r="D5425" s="18">
        <v>2022</v>
      </c>
      <c r="E5425" s="18" t="s">
        <v>0</v>
      </c>
      <c r="F5425" s="4">
        <v>1</v>
      </c>
      <c r="G5425" s="42">
        <v>12</v>
      </c>
      <c r="H5425" s="42">
        <f>0.01029268*(1000)</f>
        <v>10.292680000000001</v>
      </c>
    </row>
    <row r="5426" spans="1:8" s="15" customFormat="1" ht="16.5" hidden="1" customHeight="1" outlineLevel="1" x14ac:dyDescent="0.25">
      <c r="A5426" s="18">
        <v>3612</v>
      </c>
      <c r="B5426" s="4" t="s">
        <v>249</v>
      </c>
      <c r="C5426" s="38" t="s">
        <v>4805</v>
      </c>
      <c r="D5426" s="18">
        <v>2022</v>
      </c>
      <c r="E5426" s="18" t="s">
        <v>0</v>
      </c>
      <c r="F5426" s="4">
        <v>1</v>
      </c>
      <c r="G5426" s="42">
        <v>12</v>
      </c>
      <c r="H5426" s="42">
        <f>0.0102927*(1000)</f>
        <v>10.2927</v>
      </c>
    </row>
    <row r="5427" spans="1:8" s="15" customFormat="1" ht="16.5" hidden="1" customHeight="1" outlineLevel="1" x14ac:dyDescent="0.25">
      <c r="A5427" s="18">
        <v>3613</v>
      </c>
      <c r="B5427" s="4" t="s">
        <v>249</v>
      </c>
      <c r="C5427" s="38" t="s">
        <v>4806</v>
      </c>
      <c r="D5427" s="18">
        <v>2022</v>
      </c>
      <c r="E5427" s="18" t="s">
        <v>0</v>
      </c>
      <c r="F5427" s="4">
        <v>1</v>
      </c>
      <c r="G5427" s="42">
        <v>10</v>
      </c>
      <c r="H5427" s="42">
        <f>0.01029269*(1000)</f>
        <v>10.29269</v>
      </c>
    </row>
    <row r="5428" spans="1:8" s="15" customFormat="1" ht="16.5" hidden="1" customHeight="1" outlineLevel="1" x14ac:dyDescent="0.25">
      <c r="A5428" s="18">
        <v>3616</v>
      </c>
      <c r="B5428" s="4" t="s">
        <v>249</v>
      </c>
      <c r="C5428" s="38" t="s">
        <v>4807</v>
      </c>
      <c r="D5428" s="18">
        <v>2022</v>
      </c>
      <c r="E5428" s="18" t="s">
        <v>0</v>
      </c>
      <c r="F5428" s="4">
        <v>1</v>
      </c>
      <c r="G5428" s="42">
        <v>14</v>
      </c>
      <c r="H5428" s="42">
        <f>0.0102927*(1000)</f>
        <v>10.2927</v>
      </c>
    </row>
    <row r="5429" spans="1:8" s="15" customFormat="1" ht="16.5" hidden="1" customHeight="1" outlineLevel="1" x14ac:dyDescent="0.25">
      <c r="A5429" s="18">
        <v>3618</v>
      </c>
      <c r="B5429" s="4" t="s">
        <v>249</v>
      </c>
      <c r="C5429" s="38" t="s">
        <v>4808</v>
      </c>
      <c r="D5429" s="18">
        <v>2022</v>
      </c>
      <c r="E5429" s="18" t="s">
        <v>0</v>
      </c>
      <c r="F5429" s="4">
        <v>1</v>
      </c>
      <c r="G5429" s="42">
        <v>8</v>
      </c>
      <c r="H5429" s="42">
        <f>0.01847422*(1000)</f>
        <v>18.474219999999999</v>
      </c>
    </row>
    <row r="5430" spans="1:8" s="15" customFormat="1" ht="16.5" hidden="1" customHeight="1" outlineLevel="1" x14ac:dyDescent="0.25">
      <c r="A5430" s="18">
        <v>3624</v>
      </c>
      <c r="B5430" s="4" t="s">
        <v>249</v>
      </c>
      <c r="C5430" s="38" t="s">
        <v>4809</v>
      </c>
      <c r="D5430" s="18">
        <v>2022</v>
      </c>
      <c r="E5430" s="18" t="s">
        <v>0</v>
      </c>
      <c r="F5430" s="4">
        <v>1</v>
      </c>
      <c r="G5430" s="42">
        <v>10</v>
      </c>
      <c r="H5430" s="42">
        <f>0.0102927*(1000)</f>
        <v>10.2927</v>
      </c>
    </row>
    <row r="5431" spans="1:8" s="15" customFormat="1" ht="16.5" hidden="1" customHeight="1" outlineLevel="1" x14ac:dyDescent="0.25">
      <c r="A5431" s="18">
        <v>3625</v>
      </c>
      <c r="B5431" s="4" t="s">
        <v>249</v>
      </c>
      <c r="C5431" s="38" t="s">
        <v>4810</v>
      </c>
      <c r="D5431" s="18">
        <v>2022</v>
      </c>
      <c r="E5431" s="18" t="s">
        <v>0</v>
      </c>
      <c r="F5431" s="4">
        <v>1</v>
      </c>
      <c r="G5431" s="42">
        <v>11</v>
      </c>
      <c r="H5431" s="42">
        <f>0.01029269*(1000)</f>
        <v>10.29269</v>
      </c>
    </row>
    <row r="5432" spans="1:8" s="15" customFormat="1" ht="16.5" hidden="1" customHeight="1" outlineLevel="1" x14ac:dyDescent="0.25">
      <c r="A5432" s="18">
        <v>3626</v>
      </c>
      <c r="B5432" s="4" t="s">
        <v>249</v>
      </c>
      <c r="C5432" s="38" t="s">
        <v>4811</v>
      </c>
      <c r="D5432" s="18">
        <v>2022</v>
      </c>
      <c r="E5432" s="18" t="s">
        <v>0</v>
      </c>
      <c r="F5432" s="4">
        <v>1</v>
      </c>
      <c r="G5432" s="42">
        <v>11</v>
      </c>
      <c r="H5432" s="42">
        <f>0.0102927*(1000)</f>
        <v>10.2927</v>
      </c>
    </row>
    <row r="5433" spans="1:8" s="15" customFormat="1" ht="16.5" hidden="1" customHeight="1" outlineLevel="1" x14ac:dyDescent="0.25">
      <c r="A5433" s="18">
        <v>3631</v>
      </c>
      <c r="B5433" s="4" t="s">
        <v>249</v>
      </c>
      <c r="C5433" s="38" t="s">
        <v>4812</v>
      </c>
      <c r="D5433" s="18">
        <v>2022</v>
      </c>
      <c r="E5433" s="18" t="s">
        <v>0</v>
      </c>
      <c r="F5433" s="4">
        <v>1</v>
      </c>
      <c r="G5433" s="42">
        <v>10</v>
      </c>
      <c r="H5433" s="42">
        <f>0.01029269*(1000)</f>
        <v>10.29269</v>
      </c>
    </row>
    <row r="5434" spans="1:8" s="15" customFormat="1" ht="16.5" hidden="1" customHeight="1" outlineLevel="1" x14ac:dyDescent="0.25">
      <c r="A5434" s="18">
        <v>3632</v>
      </c>
      <c r="B5434" s="4" t="s">
        <v>249</v>
      </c>
      <c r="C5434" s="38" t="s">
        <v>4813</v>
      </c>
      <c r="D5434" s="18">
        <v>2022</v>
      </c>
      <c r="E5434" s="18" t="s">
        <v>0</v>
      </c>
      <c r="F5434" s="4">
        <v>1</v>
      </c>
      <c r="G5434" s="42">
        <v>11</v>
      </c>
      <c r="H5434" s="42">
        <f>0.0102927*(1000)</f>
        <v>10.2927</v>
      </c>
    </row>
    <row r="5435" spans="1:8" s="15" customFormat="1" ht="16.5" hidden="1" customHeight="1" outlineLevel="1" x14ac:dyDescent="0.25">
      <c r="A5435" s="18">
        <v>3633</v>
      </c>
      <c r="B5435" s="4" t="s">
        <v>249</v>
      </c>
      <c r="C5435" s="38" t="s">
        <v>4814</v>
      </c>
      <c r="D5435" s="18">
        <v>2022</v>
      </c>
      <c r="E5435" s="18" t="s">
        <v>0</v>
      </c>
      <c r="F5435" s="4">
        <v>1</v>
      </c>
      <c r="G5435" s="42">
        <v>12</v>
      </c>
      <c r="H5435" s="42">
        <f>0.01029269*(1000)</f>
        <v>10.29269</v>
      </c>
    </row>
    <row r="5436" spans="1:8" s="15" customFormat="1" ht="16.5" hidden="1" customHeight="1" outlineLevel="1" x14ac:dyDescent="0.25">
      <c r="A5436" s="18">
        <v>3635</v>
      </c>
      <c r="B5436" s="4" t="s">
        <v>249</v>
      </c>
      <c r="C5436" s="38" t="s">
        <v>4815</v>
      </c>
      <c r="D5436" s="18">
        <v>2022</v>
      </c>
      <c r="E5436" s="18" t="s">
        <v>0</v>
      </c>
      <c r="F5436" s="4">
        <v>1</v>
      </c>
      <c r="G5436" s="42">
        <v>10</v>
      </c>
      <c r="H5436" s="42">
        <f>0.01029269*(1000)</f>
        <v>10.29269</v>
      </c>
    </row>
    <row r="5437" spans="1:8" s="15" customFormat="1" ht="16.5" hidden="1" customHeight="1" outlineLevel="1" x14ac:dyDescent="0.25">
      <c r="A5437" s="18">
        <v>3637</v>
      </c>
      <c r="B5437" s="4" t="s">
        <v>249</v>
      </c>
      <c r="C5437" s="38" t="s">
        <v>4816</v>
      </c>
      <c r="D5437" s="18">
        <v>2022</v>
      </c>
      <c r="E5437" s="18" t="s">
        <v>0</v>
      </c>
      <c r="F5437" s="4">
        <v>1</v>
      </c>
      <c r="G5437" s="42">
        <v>10</v>
      </c>
      <c r="H5437" s="42">
        <f>0.01029269*(1000)</f>
        <v>10.29269</v>
      </c>
    </row>
    <row r="5438" spans="1:8" s="15" customFormat="1" ht="16.5" hidden="1" customHeight="1" outlineLevel="1" x14ac:dyDescent="0.25">
      <c r="A5438" s="18">
        <v>3638</v>
      </c>
      <c r="B5438" s="4" t="s">
        <v>249</v>
      </c>
      <c r="C5438" s="38" t="s">
        <v>4817</v>
      </c>
      <c r="D5438" s="18">
        <v>2022</v>
      </c>
      <c r="E5438" s="18" t="s">
        <v>0</v>
      </c>
      <c r="F5438" s="4">
        <v>1</v>
      </c>
      <c r="G5438" s="42">
        <v>3</v>
      </c>
      <c r="H5438" s="42">
        <f>0.0102927*(1000)</f>
        <v>10.2927</v>
      </c>
    </row>
    <row r="5439" spans="1:8" s="15" customFormat="1" ht="16.5" hidden="1" customHeight="1" outlineLevel="1" x14ac:dyDescent="0.25">
      <c r="A5439" s="18">
        <v>3640</v>
      </c>
      <c r="B5439" s="4" t="s">
        <v>249</v>
      </c>
      <c r="C5439" s="38" t="s">
        <v>4818</v>
      </c>
      <c r="D5439" s="18">
        <v>2022</v>
      </c>
      <c r="E5439" s="18" t="s">
        <v>0</v>
      </c>
      <c r="F5439" s="4">
        <v>1</v>
      </c>
      <c r="G5439" s="42">
        <v>12</v>
      </c>
      <c r="H5439" s="42">
        <f>0.01029269*(1000)</f>
        <v>10.29269</v>
      </c>
    </row>
    <row r="5440" spans="1:8" s="15" customFormat="1" ht="16.5" hidden="1" customHeight="1" outlineLevel="1" x14ac:dyDescent="0.25">
      <c r="A5440" s="18">
        <v>3641</v>
      </c>
      <c r="B5440" s="4" t="s">
        <v>249</v>
      </c>
      <c r="C5440" s="38" t="s">
        <v>4819</v>
      </c>
      <c r="D5440" s="18">
        <v>2022</v>
      </c>
      <c r="E5440" s="18" t="s">
        <v>0</v>
      </c>
      <c r="F5440" s="4">
        <v>1</v>
      </c>
      <c r="G5440" s="42">
        <v>10</v>
      </c>
      <c r="H5440" s="42">
        <f>0.0102927*(1000)</f>
        <v>10.2927</v>
      </c>
    </row>
    <row r="5441" spans="1:8" s="15" customFormat="1" ht="16.5" hidden="1" customHeight="1" outlineLevel="1" x14ac:dyDescent="0.25">
      <c r="A5441" s="18">
        <v>3643</v>
      </c>
      <c r="B5441" s="4" t="s">
        <v>249</v>
      </c>
      <c r="C5441" s="38" t="s">
        <v>4820</v>
      </c>
      <c r="D5441" s="18">
        <v>2022</v>
      </c>
      <c r="E5441" s="18" t="s">
        <v>0</v>
      </c>
      <c r="F5441" s="4">
        <v>1</v>
      </c>
      <c r="G5441" s="42">
        <v>10</v>
      </c>
      <c r="H5441" s="42">
        <f>0.01029269*(1000)</f>
        <v>10.29269</v>
      </c>
    </row>
    <row r="5442" spans="1:8" s="15" customFormat="1" ht="16.5" hidden="1" customHeight="1" outlineLevel="1" x14ac:dyDescent="0.25">
      <c r="A5442" s="18">
        <v>3645</v>
      </c>
      <c r="B5442" s="4" t="s">
        <v>249</v>
      </c>
      <c r="C5442" s="38" t="s">
        <v>4821</v>
      </c>
      <c r="D5442" s="18">
        <v>2022</v>
      </c>
      <c r="E5442" s="18" t="s">
        <v>0</v>
      </c>
      <c r="F5442" s="4">
        <v>1</v>
      </c>
      <c r="G5442" s="42">
        <v>11</v>
      </c>
      <c r="H5442" s="42">
        <f>0.0102927*(1000)</f>
        <v>10.2927</v>
      </c>
    </row>
    <row r="5443" spans="1:8" s="15" customFormat="1" ht="16.5" hidden="1" customHeight="1" outlineLevel="1" x14ac:dyDescent="0.25">
      <c r="A5443" s="18">
        <v>3646</v>
      </c>
      <c r="B5443" s="4" t="s">
        <v>249</v>
      </c>
      <c r="C5443" s="38" t="s">
        <v>4822</v>
      </c>
      <c r="D5443" s="18">
        <v>2022</v>
      </c>
      <c r="E5443" s="18" t="s">
        <v>0</v>
      </c>
      <c r="F5443" s="4">
        <v>1</v>
      </c>
      <c r="G5443" s="42">
        <v>10</v>
      </c>
      <c r="H5443" s="42">
        <f>0.01029269*(1000)</f>
        <v>10.29269</v>
      </c>
    </row>
    <row r="5444" spans="1:8" s="15" customFormat="1" ht="16.5" hidden="1" customHeight="1" outlineLevel="1" x14ac:dyDescent="0.25">
      <c r="A5444" s="18">
        <v>3648</v>
      </c>
      <c r="B5444" s="4" t="s">
        <v>249</v>
      </c>
      <c r="C5444" s="38" t="s">
        <v>4823</v>
      </c>
      <c r="D5444" s="18">
        <v>2022</v>
      </c>
      <c r="E5444" s="18" t="s">
        <v>0</v>
      </c>
      <c r="F5444" s="4">
        <v>1</v>
      </c>
      <c r="G5444" s="42">
        <v>15</v>
      </c>
      <c r="H5444" s="42">
        <f>0.0102927*(1000)</f>
        <v>10.2927</v>
      </c>
    </row>
    <row r="5445" spans="1:8" s="15" customFormat="1" ht="16.5" hidden="1" customHeight="1" outlineLevel="1" x14ac:dyDescent="0.25">
      <c r="A5445" s="18">
        <v>3655</v>
      </c>
      <c r="B5445" s="4" t="s">
        <v>249</v>
      </c>
      <c r="C5445" s="38" t="s">
        <v>4824</v>
      </c>
      <c r="D5445" s="18">
        <v>2022</v>
      </c>
      <c r="E5445" s="18" t="s">
        <v>0</v>
      </c>
      <c r="F5445" s="4">
        <v>1</v>
      </c>
      <c r="G5445" s="42">
        <v>11</v>
      </c>
      <c r="H5445" s="42">
        <f>0.01029269*(1000)</f>
        <v>10.29269</v>
      </c>
    </row>
    <row r="5446" spans="1:8" s="15" customFormat="1" ht="16.5" hidden="1" customHeight="1" outlineLevel="1" x14ac:dyDescent="0.25">
      <c r="A5446" s="18">
        <v>3656</v>
      </c>
      <c r="B5446" s="4" t="s">
        <v>249</v>
      </c>
      <c r="C5446" s="38" t="s">
        <v>4825</v>
      </c>
      <c r="D5446" s="18">
        <v>2022</v>
      </c>
      <c r="E5446" s="18" t="s">
        <v>0</v>
      </c>
      <c r="F5446" s="4">
        <v>1</v>
      </c>
      <c r="G5446" s="42">
        <v>15</v>
      </c>
      <c r="H5446" s="42">
        <f>0.0102927*(1000)</f>
        <v>10.2927</v>
      </c>
    </row>
    <row r="5447" spans="1:8" s="15" customFormat="1" ht="16.5" hidden="1" customHeight="1" outlineLevel="1" x14ac:dyDescent="0.25">
      <c r="A5447" s="18">
        <v>3657</v>
      </c>
      <c r="B5447" s="4" t="s">
        <v>249</v>
      </c>
      <c r="C5447" s="38" t="s">
        <v>4826</v>
      </c>
      <c r="D5447" s="18">
        <v>2022</v>
      </c>
      <c r="E5447" s="18" t="s">
        <v>0</v>
      </c>
      <c r="F5447" s="4">
        <v>1</v>
      </c>
      <c r="G5447" s="42">
        <v>11</v>
      </c>
      <c r="H5447" s="42">
        <f>0.01029269*(1000)</f>
        <v>10.29269</v>
      </c>
    </row>
    <row r="5448" spans="1:8" s="15" customFormat="1" ht="16.5" hidden="1" customHeight="1" outlineLevel="1" x14ac:dyDescent="0.25">
      <c r="A5448" s="18">
        <v>3658</v>
      </c>
      <c r="B5448" s="4" t="s">
        <v>249</v>
      </c>
      <c r="C5448" s="38" t="s">
        <v>4827</v>
      </c>
      <c r="D5448" s="18">
        <v>2022</v>
      </c>
      <c r="E5448" s="18" t="s">
        <v>0</v>
      </c>
      <c r="F5448" s="4">
        <v>1</v>
      </c>
      <c r="G5448" s="42">
        <v>12</v>
      </c>
      <c r="H5448" s="42">
        <f>0.0102927*(1000)</f>
        <v>10.2927</v>
      </c>
    </row>
    <row r="5449" spans="1:8" s="15" customFormat="1" ht="16.5" hidden="1" customHeight="1" outlineLevel="1" x14ac:dyDescent="0.25">
      <c r="A5449" s="18">
        <v>3659</v>
      </c>
      <c r="B5449" s="4" t="s">
        <v>249</v>
      </c>
      <c r="C5449" s="38" t="s">
        <v>4828</v>
      </c>
      <c r="D5449" s="18">
        <v>2022</v>
      </c>
      <c r="E5449" s="18" t="s">
        <v>0</v>
      </c>
      <c r="F5449" s="4">
        <v>1</v>
      </c>
      <c r="G5449" s="42">
        <v>15</v>
      </c>
      <c r="H5449" s="42">
        <f>0.0102927*(1000)</f>
        <v>10.2927</v>
      </c>
    </row>
    <row r="5450" spans="1:8" s="15" customFormat="1" ht="16.5" hidden="1" customHeight="1" outlineLevel="1" x14ac:dyDescent="0.25">
      <c r="A5450" s="18">
        <v>3660</v>
      </c>
      <c r="B5450" s="4" t="s">
        <v>249</v>
      </c>
      <c r="C5450" s="38" t="s">
        <v>4829</v>
      </c>
      <c r="D5450" s="18">
        <v>2022</v>
      </c>
      <c r="E5450" s="18" t="s">
        <v>0</v>
      </c>
      <c r="F5450" s="4">
        <v>1</v>
      </c>
      <c r="G5450" s="42">
        <v>15</v>
      </c>
      <c r="H5450" s="42">
        <f>0.01029271*(1000)</f>
        <v>10.29271</v>
      </c>
    </row>
    <row r="5451" spans="1:8" s="15" customFormat="1" ht="16.5" hidden="1" customHeight="1" outlineLevel="1" x14ac:dyDescent="0.25">
      <c r="A5451" s="18">
        <v>3661</v>
      </c>
      <c r="B5451" s="4" t="s">
        <v>249</v>
      </c>
      <c r="C5451" s="38" t="s">
        <v>4830</v>
      </c>
      <c r="D5451" s="18">
        <v>2022</v>
      </c>
      <c r="E5451" s="18" t="s">
        <v>0</v>
      </c>
      <c r="F5451" s="4">
        <v>1</v>
      </c>
      <c r="G5451" s="42">
        <v>12</v>
      </c>
      <c r="H5451" s="42">
        <f>0.0102927*(1000)</f>
        <v>10.2927</v>
      </c>
    </row>
    <row r="5452" spans="1:8" s="15" customFormat="1" ht="16.5" hidden="1" customHeight="1" outlineLevel="1" x14ac:dyDescent="0.25">
      <c r="A5452" s="18">
        <v>3664</v>
      </c>
      <c r="B5452" s="4" t="s">
        <v>249</v>
      </c>
      <c r="C5452" s="38" t="s">
        <v>4831</v>
      </c>
      <c r="D5452" s="18">
        <v>2022</v>
      </c>
      <c r="E5452" s="18" t="s">
        <v>0</v>
      </c>
      <c r="F5452" s="4">
        <v>1</v>
      </c>
      <c r="G5452" s="42">
        <v>10</v>
      </c>
      <c r="H5452" s="42">
        <f>0.0102838*(1000)</f>
        <v>10.283799999999999</v>
      </c>
    </row>
    <row r="5453" spans="1:8" s="15" customFormat="1" ht="16.5" hidden="1" customHeight="1" outlineLevel="1" x14ac:dyDescent="0.25">
      <c r="A5453" s="18">
        <v>3665</v>
      </c>
      <c r="B5453" s="4" t="s">
        <v>249</v>
      </c>
      <c r="C5453" s="38" t="s">
        <v>4832</v>
      </c>
      <c r="D5453" s="18">
        <v>2022</v>
      </c>
      <c r="E5453" s="18" t="s">
        <v>0</v>
      </c>
      <c r="F5453" s="4">
        <v>1</v>
      </c>
      <c r="G5453" s="42">
        <v>10</v>
      </c>
      <c r="H5453" s="42">
        <f>0.01142108*(1000)</f>
        <v>11.42108</v>
      </c>
    </row>
    <row r="5454" spans="1:8" s="15" customFormat="1" ht="16.5" hidden="1" customHeight="1" outlineLevel="1" x14ac:dyDescent="0.25">
      <c r="A5454" s="18">
        <v>3666</v>
      </c>
      <c r="B5454" s="4" t="s">
        <v>249</v>
      </c>
      <c r="C5454" s="38" t="s">
        <v>4833</v>
      </c>
      <c r="D5454" s="18">
        <v>2022</v>
      </c>
      <c r="E5454" s="18" t="s">
        <v>0</v>
      </c>
      <c r="F5454" s="4">
        <v>1</v>
      </c>
      <c r="G5454" s="42">
        <v>12</v>
      </c>
      <c r="H5454" s="42">
        <f>0.01160304*(1000)</f>
        <v>11.60304</v>
      </c>
    </row>
    <row r="5455" spans="1:8" s="15" customFormat="1" ht="16.5" hidden="1" customHeight="1" outlineLevel="1" x14ac:dyDescent="0.25">
      <c r="A5455" s="18">
        <v>3667</v>
      </c>
      <c r="B5455" s="4" t="s">
        <v>249</v>
      </c>
      <c r="C5455" s="38" t="s">
        <v>4834</v>
      </c>
      <c r="D5455" s="18">
        <v>2022</v>
      </c>
      <c r="E5455" s="18" t="s">
        <v>0</v>
      </c>
      <c r="F5455" s="4">
        <v>1</v>
      </c>
      <c r="G5455" s="42">
        <v>1.5</v>
      </c>
      <c r="H5455" s="42">
        <f>0.01160304*(1000)</f>
        <v>11.60304</v>
      </c>
    </row>
    <row r="5456" spans="1:8" s="15" customFormat="1" ht="16.5" hidden="1" customHeight="1" outlineLevel="1" x14ac:dyDescent="0.25">
      <c r="A5456" s="18">
        <v>3673</v>
      </c>
      <c r="B5456" s="4" t="s">
        <v>249</v>
      </c>
      <c r="C5456" s="38" t="s">
        <v>4835</v>
      </c>
      <c r="D5456" s="18">
        <v>2022</v>
      </c>
      <c r="E5456" s="18" t="s">
        <v>0</v>
      </c>
      <c r="F5456" s="4">
        <v>1</v>
      </c>
      <c r="G5456" s="42">
        <v>12</v>
      </c>
      <c r="H5456" s="42">
        <f>0.01160303*(1000)</f>
        <v>11.60303</v>
      </c>
    </row>
    <row r="5457" spans="1:8" s="15" customFormat="1" ht="16.5" hidden="1" customHeight="1" outlineLevel="1" x14ac:dyDescent="0.25">
      <c r="A5457" s="18">
        <v>3674</v>
      </c>
      <c r="B5457" s="4" t="s">
        <v>249</v>
      </c>
      <c r="C5457" s="38" t="s">
        <v>4836</v>
      </c>
      <c r="D5457" s="18">
        <v>2022</v>
      </c>
      <c r="E5457" s="18" t="s">
        <v>0</v>
      </c>
      <c r="F5457" s="4">
        <v>1</v>
      </c>
      <c r="G5457" s="42">
        <v>12</v>
      </c>
      <c r="H5457" s="42">
        <f>0.01160305*(1000)</f>
        <v>11.60305</v>
      </c>
    </row>
    <row r="5458" spans="1:8" s="15" customFormat="1" ht="16.5" hidden="1" customHeight="1" outlineLevel="1" x14ac:dyDescent="0.25">
      <c r="A5458" s="18">
        <v>3675</v>
      </c>
      <c r="B5458" s="4" t="s">
        <v>249</v>
      </c>
      <c r="C5458" s="38" t="s">
        <v>4837</v>
      </c>
      <c r="D5458" s="18">
        <v>2022</v>
      </c>
      <c r="E5458" s="18" t="s">
        <v>0</v>
      </c>
      <c r="F5458" s="4">
        <v>1</v>
      </c>
      <c r="G5458" s="42">
        <v>11</v>
      </c>
      <c r="H5458" s="42">
        <f>0.01979344*(1000)</f>
        <v>19.79344</v>
      </c>
    </row>
    <row r="5459" spans="1:8" s="15" customFormat="1" ht="16.5" hidden="1" customHeight="1" outlineLevel="1" x14ac:dyDescent="0.25">
      <c r="A5459" s="18">
        <v>3679</v>
      </c>
      <c r="B5459" s="4" t="s">
        <v>249</v>
      </c>
      <c r="C5459" s="38" t="s">
        <v>4838</v>
      </c>
      <c r="D5459" s="18">
        <v>2022</v>
      </c>
      <c r="E5459" s="18" t="s">
        <v>0</v>
      </c>
      <c r="F5459" s="4">
        <v>4</v>
      </c>
      <c r="G5459" s="42">
        <v>32</v>
      </c>
      <c r="H5459" s="42">
        <f>0.03948975*(1000)</f>
        <v>39.489749999999994</v>
      </c>
    </row>
    <row r="5460" spans="1:8" s="15" customFormat="1" ht="16.5" hidden="1" customHeight="1" outlineLevel="1" x14ac:dyDescent="0.25">
      <c r="A5460" s="18">
        <v>3681</v>
      </c>
      <c r="B5460" s="4" t="s">
        <v>249</v>
      </c>
      <c r="C5460" s="38" t="s">
        <v>4839</v>
      </c>
      <c r="D5460" s="18">
        <v>2022</v>
      </c>
      <c r="E5460" s="18" t="s">
        <v>0</v>
      </c>
      <c r="F5460" s="4">
        <v>1</v>
      </c>
      <c r="G5460" s="42">
        <v>6</v>
      </c>
      <c r="H5460" s="42">
        <f>0.00997337*(1000)</f>
        <v>9.973370000000001</v>
      </c>
    </row>
    <row r="5461" spans="1:8" s="15" customFormat="1" ht="16.5" hidden="1" customHeight="1" outlineLevel="1" x14ac:dyDescent="0.25">
      <c r="A5461" s="18">
        <v>3706</v>
      </c>
      <c r="B5461" s="4" t="s">
        <v>249</v>
      </c>
      <c r="C5461" s="38" t="s">
        <v>4840</v>
      </c>
      <c r="D5461" s="18">
        <v>2022</v>
      </c>
      <c r="E5461" s="18" t="s">
        <v>0</v>
      </c>
      <c r="F5461" s="4">
        <v>3</v>
      </c>
      <c r="G5461" s="42">
        <v>25</v>
      </c>
      <c r="H5461" s="42">
        <f>0.0297625*(1000)</f>
        <v>29.762499999999999</v>
      </c>
    </row>
    <row r="5462" spans="1:8" s="15" customFormat="1" ht="16.5" hidden="1" customHeight="1" outlineLevel="1" x14ac:dyDescent="0.25">
      <c r="A5462" s="18">
        <v>3709</v>
      </c>
      <c r="B5462" s="4" t="s">
        <v>249</v>
      </c>
      <c r="C5462" s="38" t="s">
        <v>4841</v>
      </c>
      <c r="D5462" s="18">
        <v>2022</v>
      </c>
      <c r="E5462" s="18" t="s">
        <v>0</v>
      </c>
      <c r="F5462" s="4">
        <v>1</v>
      </c>
      <c r="G5462" s="42">
        <v>8</v>
      </c>
      <c r="H5462" s="42">
        <f t="shared" ref="H5462:H5469" si="7">0.01005072*(1000)</f>
        <v>10.05072</v>
      </c>
    </row>
    <row r="5463" spans="1:8" s="15" customFormat="1" ht="16.5" hidden="1" customHeight="1" outlineLevel="1" x14ac:dyDescent="0.25">
      <c r="A5463" s="18">
        <v>3710</v>
      </c>
      <c r="B5463" s="4" t="s">
        <v>249</v>
      </c>
      <c r="C5463" s="38" t="s">
        <v>4842</v>
      </c>
      <c r="D5463" s="18">
        <v>2022</v>
      </c>
      <c r="E5463" s="18" t="s">
        <v>0</v>
      </c>
      <c r="F5463" s="4">
        <v>1</v>
      </c>
      <c r="G5463" s="42">
        <v>8</v>
      </c>
      <c r="H5463" s="42">
        <f t="shared" si="7"/>
        <v>10.05072</v>
      </c>
    </row>
    <row r="5464" spans="1:8" s="15" customFormat="1" ht="16.5" hidden="1" customHeight="1" outlineLevel="1" x14ac:dyDescent="0.25">
      <c r="A5464" s="18">
        <v>3711</v>
      </c>
      <c r="B5464" s="4" t="s">
        <v>249</v>
      </c>
      <c r="C5464" s="38" t="s">
        <v>4843</v>
      </c>
      <c r="D5464" s="18">
        <v>2022</v>
      </c>
      <c r="E5464" s="18" t="s">
        <v>0</v>
      </c>
      <c r="F5464" s="4">
        <v>1</v>
      </c>
      <c r="G5464" s="42">
        <v>10</v>
      </c>
      <c r="H5464" s="42">
        <f t="shared" si="7"/>
        <v>10.05072</v>
      </c>
    </row>
    <row r="5465" spans="1:8" s="15" customFormat="1" ht="16.5" hidden="1" customHeight="1" outlineLevel="1" x14ac:dyDescent="0.25">
      <c r="A5465" s="18">
        <v>3713</v>
      </c>
      <c r="B5465" s="4" t="s">
        <v>249</v>
      </c>
      <c r="C5465" s="38" t="s">
        <v>4844</v>
      </c>
      <c r="D5465" s="18">
        <v>2022</v>
      </c>
      <c r="E5465" s="18" t="s">
        <v>0</v>
      </c>
      <c r="F5465" s="4">
        <v>1</v>
      </c>
      <c r="G5465" s="42">
        <v>10</v>
      </c>
      <c r="H5465" s="42">
        <f t="shared" si="7"/>
        <v>10.05072</v>
      </c>
    </row>
    <row r="5466" spans="1:8" s="15" customFormat="1" ht="16.5" hidden="1" customHeight="1" outlineLevel="1" x14ac:dyDescent="0.25">
      <c r="A5466" s="18">
        <v>3714</v>
      </c>
      <c r="B5466" s="4" t="s">
        <v>249</v>
      </c>
      <c r="C5466" s="38" t="s">
        <v>4845</v>
      </c>
      <c r="D5466" s="18">
        <v>2022</v>
      </c>
      <c r="E5466" s="18" t="s">
        <v>0</v>
      </c>
      <c r="F5466" s="4">
        <v>1</v>
      </c>
      <c r="G5466" s="42">
        <v>10</v>
      </c>
      <c r="H5466" s="42">
        <f t="shared" si="7"/>
        <v>10.05072</v>
      </c>
    </row>
    <row r="5467" spans="1:8" s="15" customFormat="1" ht="16.5" hidden="1" customHeight="1" outlineLevel="1" x14ac:dyDescent="0.25">
      <c r="A5467" s="18">
        <v>3715</v>
      </c>
      <c r="B5467" s="4" t="s">
        <v>249</v>
      </c>
      <c r="C5467" s="38" t="s">
        <v>4846</v>
      </c>
      <c r="D5467" s="18">
        <v>2022</v>
      </c>
      <c r="E5467" s="18" t="s">
        <v>0</v>
      </c>
      <c r="F5467" s="4">
        <v>1</v>
      </c>
      <c r="G5467" s="42">
        <v>10</v>
      </c>
      <c r="H5467" s="42">
        <f t="shared" si="7"/>
        <v>10.05072</v>
      </c>
    </row>
    <row r="5468" spans="1:8" s="15" customFormat="1" ht="16.5" hidden="1" customHeight="1" outlineLevel="1" x14ac:dyDescent="0.25">
      <c r="A5468" s="18">
        <v>3716</v>
      </c>
      <c r="B5468" s="4" t="s">
        <v>249</v>
      </c>
      <c r="C5468" s="38" t="s">
        <v>4847</v>
      </c>
      <c r="D5468" s="18">
        <v>2022</v>
      </c>
      <c r="E5468" s="18" t="s">
        <v>0</v>
      </c>
      <c r="F5468" s="4">
        <v>1</v>
      </c>
      <c r="G5468" s="42">
        <v>8</v>
      </c>
      <c r="H5468" s="42">
        <f t="shared" si="7"/>
        <v>10.05072</v>
      </c>
    </row>
    <row r="5469" spans="1:8" s="15" customFormat="1" ht="16.5" hidden="1" customHeight="1" outlineLevel="1" x14ac:dyDescent="0.25">
      <c r="A5469" s="18">
        <v>3717</v>
      </c>
      <c r="B5469" s="4" t="s">
        <v>249</v>
      </c>
      <c r="C5469" s="38" t="s">
        <v>4848</v>
      </c>
      <c r="D5469" s="18">
        <v>2022</v>
      </c>
      <c r="E5469" s="18" t="s">
        <v>0</v>
      </c>
      <c r="F5469" s="4">
        <v>1</v>
      </c>
      <c r="G5469" s="42">
        <v>10</v>
      </c>
      <c r="H5469" s="42">
        <f t="shared" si="7"/>
        <v>10.05072</v>
      </c>
    </row>
    <row r="5470" spans="1:8" s="15" customFormat="1" ht="16.5" hidden="1" customHeight="1" outlineLevel="1" x14ac:dyDescent="0.25">
      <c r="A5470" s="18">
        <v>3720</v>
      </c>
      <c r="B5470" s="4" t="s">
        <v>249</v>
      </c>
      <c r="C5470" s="38" t="s">
        <v>4849</v>
      </c>
      <c r="D5470" s="18">
        <v>2022</v>
      </c>
      <c r="E5470" s="18" t="s">
        <v>0</v>
      </c>
      <c r="F5470" s="4">
        <v>1</v>
      </c>
      <c r="G5470" s="42">
        <v>8</v>
      </c>
      <c r="H5470" s="42">
        <f>0.00992767*(1000)</f>
        <v>9.9276699999999991</v>
      </c>
    </row>
    <row r="5471" spans="1:8" s="15" customFormat="1" ht="16.5" hidden="1" customHeight="1" outlineLevel="1" x14ac:dyDescent="0.25">
      <c r="A5471" s="18">
        <v>3723</v>
      </c>
      <c r="B5471" s="4" t="s">
        <v>249</v>
      </c>
      <c r="C5471" s="38" t="s">
        <v>4850</v>
      </c>
      <c r="D5471" s="18">
        <v>2022</v>
      </c>
      <c r="E5471" s="18" t="s">
        <v>0</v>
      </c>
      <c r="F5471" s="4">
        <v>1</v>
      </c>
      <c r="G5471" s="42">
        <v>8</v>
      </c>
      <c r="H5471" s="42">
        <f>0.01005072*(1000)</f>
        <v>10.05072</v>
      </c>
    </row>
    <row r="5472" spans="1:8" s="15" customFormat="1" ht="16.5" hidden="1" customHeight="1" outlineLevel="1" x14ac:dyDescent="0.25">
      <c r="A5472" s="18">
        <v>3725</v>
      </c>
      <c r="B5472" s="4" t="s">
        <v>249</v>
      </c>
      <c r="C5472" s="38" t="s">
        <v>4851</v>
      </c>
      <c r="D5472" s="18">
        <v>2022</v>
      </c>
      <c r="E5472" s="18" t="s">
        <v>0</v>
      </c>
      <c r="F5472" s="4">
        <v>1</v>
      </c>
      <c r="G5472" s="42">
        <v>8</v>
      </c>
      <c r="H5472" s="42">
        <f>0.01005072*(1000)</f>
        <v>10.05072</v>
      </c>
    </row>
    <row r="5473" spans="1:8" s="15" customFormat="1" ht="16.5" hidden="1" customHeight="1" outlineLevel="1" x14ac:dyDescent="0.25">
      <c r="A5473" s="18">
        <v>3726</v>
      </c>
      <c r="B5473" s="4" t="s">
        <v>249</v>
      </c>
      <c r="C5473" s="38" t="s">
        <v>4852</v>
      </c>
      <c r="D5473" s="18">
        <v>2022</v>
      </c>
      <c r="E5473" s="18" t="s">
        <v>0</v>
      </c>
      <c r="F5473" s="4">
        <v>1</v>
      </c>
      <c r="G5473" s="42">
        <v>6</v>
      </c>
      <c r="H5473" s="42">
        <f>0.01005072*(1000)</f>
        <v>10.05072</v>
      </c>
    </row>
    <row r="5474" spans="1:8" s="15" customFormat="1" ht="16.5" hidden="1" customHeight="1" outlineLevel="1" x14ac:dyDescent="0.25">
      <c r="A5474" s="18">
        <v>3727</v>
      </c>
      <c r="B5474" s="4" t="s">
        <v>249</v>
      </c>
      <c r="C5474" s="38" t="s">
        <v>4853</v>
      </c>
      <c r="D5474" s="18">
        <v>2022</v>
      </c>
      <c r="E5474" s="18" t="s">
        <v>0</v>
      </c>
      <c r="F5474" s="4">
        <v>1</v>
      </c>
      <c r="G5474" s="42">
        <v>10</v>
      </c>
      <c r="H5474" s="42">
        <f>0.01005072*(1000)</f>
        <v>10.05072</v>
      </c>
    </row>
    <row r="5475" spans="1:8" s="15" customFormat="1" ht="16.5" hidden="1" customHeight="1" outlineLevel="1" x14ac:dyDescent="0.25">
      <c r="A5475" s="18">
        <v>3728</v>
      </c>
      <c r="B5475" s="4" t="s">
        <v>249</v>
      </c>
      <c r="C5475" s="38" t="s">
        <v>4854</v>
      </c>
      <c r="D5475" s="18">
        <v>2022</v>
      </c>
      <c r="E5475" s="18" t="s">
        <v>0</v>
      </c>
      <c r="F5475" s="4">
        <v>1</v>
      </c>
      <c r="G5475" s="42">
        <v>10</v>
      </c>
      <c r="H5475" s="42">
        <f>0.01005072*(1000)</f>
        <v>10.05072</v>
      </c>
    </row>
    <row r="5476" spans="1:8" s="15" customFormat="1" ht="16.5" hidden="1" customHeight="1" outlineLevel="1" x14ac:dyDescent="0.25">
      <c r="A5476" s="18">
        <v>3731</v>
      </c>
      <c r="B5476" s="4" t="s">
        <v>249</v>
      </c>
      <c r="C5476" s="38" t="s">
        <v>4855</v>
      </c>
      <c r="D5476" s="18">
        <v>2022</v>
      </c>
      <c r="E5476" s="18" t="s">
        <v>0</v>
      </c>
      <c r="F5476" s="4">
        <v>1</v>
      </c>
      <c r="G5476" s="42">
        <v>10</v>
      </c>
      <c r="H5476" s="42">
        <f>0.00992767*(1000)</f>
        <v>9.9276699999999991</v>
      </c>
    </row>
    <row r="5477" spans="1:8" s="15" customFormat="1" ht="16.5" hidden="1" customHeight="1" outlineLevel="1" x14ac:dyDescent="0.25">
      <c r="A5477" s="18">
        <v>3733</v>
      </c>
      <c r="B5477" s="4" t="s">
        <v>249</v>
      </c>
      <c r="C5477" s="38" t="s">
        <v>4856</v>
      </c>
      <c r="D5477" s="18">
        <v>2022</v>
      </c>
      <c r="E5477" s="18" t="s">
        <v>0</v>
      </c>
      <c r="F5477" s="4">
        <v>1</v>
      </c>
      <c r="G5477" s="42">
        <v>10</v>
      </c>
      <c r="H5477" s="42">
        <f>0.00992767*(1000)</f>
        <v>9.9276699999999991</v>
      </c>
    </row>
    <row r="5478" spans="1:8" s="15" customFormat="1" ht="16.5" hidden="1" customHeight="1" outlineLevel="1" x14ac:dyDescent="0.25">
      <c r="A5478" s="18">
        <v>3735</v>
      </c>
      <c r="B5478" s="4" t="s">
        <v>249</v>
      </c>
      <c r="C5478" s="38" t="s">
        <v>4857</v>
      </c>
      <c r="D5478" s="18">
        <v>2022</v>
      </c>
      <c r="E5478" s="18" t="s">
        <v>0</v>
      </c>
      <c r="F5478" s="4">
        <v>1</v>
      </c>
      <c r="G5478" s="42">
        <v>10</v>
      </c>
      <c r="H5478" s="42">
        <f>0.00992767*(1000)</f>
        <v>9.9276699999999991</v>
      </c>
    </row>
    <row r="5479" spans="1:8" s="15" customFormat="1" ht="16.5" hidden="1" customHeight="1" outlineLevel="1" x14ac:dyDescent="0.25">
      <c r="A5479" s="18">
        <v>3736</v>
      </c>
      <c r="B5479" s="4" t="s">
        <v>249</v>
      </c>
      <c r="C5479" s="38" t="s">
        <v>4858</v>
      </c>
      <c r="D5479" s="18">
        <v>2022</v>
      </c>
      <c r="E5479" s="18" t="s">
        <v>0</v>
      </c>
      <c r="F5479" s="4">
        <v>1</v>
      </c>
      <c r="G5479" s="42">
        <v>8</v>
      </c>
      <c r="H5479" s="42">
        <f>0.00992767*(1000)</f>
        <v>9.9276699999999991</v>
      </c>
    </row>
    <row r="5480" spans="1:8" s="15" customFormat="1" ht="16.5" hidden="1" customHeight="1" outlineLevel="1" x14ac:dyDescent="0.25">
      <c r="A5480" s="18">
        <v>3737</v>
      </c>
      <c r="B5480" s="4" t="s">
        <v>249</v>
      </c>
      <c r="C5480" s="38" t="s">
        <v>4859</v>
      </c>
      <c r="D5480" s="18">
        <v>2022</v>
      </c>
      <c r="E5480" s="18" t="s">
        <v>0</v>
      </c>
      <c r="F5480" s="4">
        <v>2</v>
      </c>
      <c r="G5480" s="42">
        <v>10</v>
      </c>
      <c r="H5480" s="42">
        <f>0.01973227*(1000)</f>
        <v>19.73227</v>
      </c>
    </row>
    <row r="5481" spans="1:8" s="15" customFormat="1" ht="16.5" hidden="1" customHeight="1" outlineLevel="1" x14ac:dyDescent="0.25">
      <c r="A5481" s="18">
        <v>3738</v>
      </c>
      <c r="B5481" s="4" t="s">
        <v>249</v>
      </c>
      <c r="C5481" s="38" t="s">
        <v>4860</v>
      </c>
      <c r="D5481" s="18">
        <v>2022</v>
      </c>
      <c r="E5481" s="18" t="s">
        <v>0</v>
      </c>
      <c r="F5481" s="4">
        <v>1</v>
      </c>
      <c r="G5481" s="42">
        <v>10</v>
      </c>
      <c r="H5481" s="42">
        <f>0.00992767*(1000)</f>
        <v>9.9276699999999991</v>
      </c>
    </row>
    <row r="5482" spans="1:8" s="15" customFormat="1" ht="16.5" hidden="1" customHeight="1" outlineLevel="1" x14ac:dyDescent="0.25">
      <c r="A5482" s="18">
        <v>3740</v>
      </c>
      <c r="B5482" s="4" t="s">
        <v>249</v>
      </c>
      <c r="C5482" s="38" t="s">
        <v>4861</v>
      </c>
      <c r="D5482" s="18">
        <v>2022</v>
      </c>
      <c r="E5482" s="18" t="s">
        <v>0</v>
      </c>
      <c r="F5482" s="4">
        <v>1</v>
      </c>
      <c r="G5482" s="42">
        <v>10</v>
      </c>
      <c r="H5482" s="42">
        <f>0.00992767*(1000)</f>
        <v>9.9276699999999991</v>
      </c>
    </row>
    <row r="5483" spans="1:8" s="15" customFormat="1" ht="16.5" hidden="1" customHeight="1" outlineLevel="1" x14ac:dyDescent="0.25">
      <c r="A5483" s="18">
        <v>3743</v>
      </c>
      <c r="B5483" s="4" t="s">
        <v>249</v>
      </c>
      <c r="C5483" s="38" t="s">
        <v>4862</v>
      </c>
      <c r="D5483" s="18">
        <v>2022</v>
      </c>
      <c r="E5483" s="18" t="s">
        <v>0</v>
      </c>
      <c r="F5483" s="4">
        <v>1</v>
      </c>
      <c r="G5483" s="42">
        <v>10</v>
      </c>
      <c r="H5483" s="42">
        <f>0.01005071*(1000)</f>
        <v>10.050709999999999</v>
      </c>
    </row>
    <row r="5484" spans="1:8" s="15" customFormat="1" ht="16.5" hidden="1" customHeight="1" outlineLevel="1" x14ac:dyDescent="0.25">
      <c r="A5484" s="18">
        <v>3744</v>
      </c>
      <c r="B5484" s="4" t="s">
        <v>249</v>
      </c>
      <c r="C5484" s="38" t="s">
        <v>4863</v>
      </c>
      <c r="D5484" s="18">
        <v>2022</v>
      </c>
      <c r="E5484" s="18" t="s">
        <v>0</v>
      </c>
      <c r="F5484" s="4">
        <v>1</v>
      </c>
      <c r="G5484" s="42">
        <v>10</v>
      </c>
      <c r="H5484" s="42">
        <f>0.01005072*(1000)</f>
        <v>10.05072</v>
      </c>
    </row>
    <row r="5485" spans="1:8" s="15" customFormat="1" ht="16.5" hidden="1" customHeight="1" outlineLevel="1" x14ac:dyDescent="0.25">
      <c r="A5485" s="18">
        <v>3745</v>
      </c>
      <c r="B5485" s="4" t="s">
        <v>249</v>
      </c>
      <c r="C5485" s="38" t="s">
        <v>4864</v>
      </c>
      <c r="D5485" s="18">
        <v>2022</v>
      </c>
      <c r="E5485" s="18" t="s">
        <v>0</v>
      </c>
      <c r="F5485" s="4">
        <v>1</v>
      </c>
      <c r="G5485" s="42">
        <v>10</v>
      </c>
      <c r="H5485" s="42">
        <f>0.01005071*(1000)</f>
        <v>10.050709999999999</v>
      </c>
    </row>
    <row r="5486" spans="1:8" s="15" customFormat="1" ht="16.5" hidden="1" customHeight="1" outlineLevel="1" x14ac:dyDescent="0.25">
      <c r="A5486" s="18">
        <v>3746</v>
      </c>
      <c r="B5486" s="4" t="s">
        <v>249</v>
      </c>
      <c r="C5486" s="38" t="s">
        <v>4865</v>
      </c>
      <c r="D5486" s="18">
        <v>2022</v>
      </c>
      <c r="E5486" s="18" t="s">
        <v>0</v>
      </c>
      <c r="F5486" s="4">
        <v>1</v>
      </c>
      <c r="G5486" s="42">
        <v>10</v>
      </c>
      <c r="H5486" s="42">
        <f>0.01005072*(1000)</f>
        <v>10.05072</v>
      </c>
    </row>
    <row r="5487" spans="1:8" s="15" customFormat="1" ht="16.5" hidden="1" customHeight="1" outlineLevel="1" x14ac:dyDescent="0.25">
      <c r="A5487" s="18">
        <v>3747</v>
      </c>
      <c r="B5487" s="4" t="s">
        <v>249</v>
      </c>
      <c r="C5487" s="38" t="s">
        <v>4866</v>
      </c>
      <c r="D5487" s="18">
        <v>2022</v>
      </c>
      <c r="E5487" s="18" t="s">
        <v>0</v>
      </c>
      <c r="F5487" s="4">
        <v>1</v>
      </c>
      <c r="G5487" s="42">
        <v>10</v>
      </c>
      <c r="H5487" s="42">
        <f>0.01005071*(1000)</f>
        <v>10.050709999999999</v>
      </c>
    </row>
    <row r="5488" spans="1:8" s="15" customFormat="1" ht="16.5" hidden="1" customHeight="1" outlineLevel="1" x14ac:dyDescent="0.25">
      <c r="A5488" s="18">
        <v>3750</v>
      </c>
      <c r="B5488" s="4" t="s">
        <v>249</v>
      </c>
      <c r="C5488" s="38" t="s">
        <v>4867</v>
      </c>
      <c r="D5488" s="18">
        <v>2022</v>
      </c>
      <c r="E5488" s="18" t="s">
        <v>0</v>
      </c>
      <c r="F5488" s="4">
        <v>1</v>
      </c>
      <c r="G5488" s="42">
        <v>10</v>
      </c>
      <c r="H5488" s="42">
        <f>0.01005072*(1000)</f>
        <v>10.05072</v>
      </c>
    </row>
    <row r="5489" spans="1:8" s="15" customFormat="1" ht="16.5" hidden="1" customHeight="1" outlineLevel="1" x14ac:dyDescent="0.25">
      <c r="A5489" s="18">
        <v>3751</v>
      </c>
      <c r="B5489" s="4" t="s">
        <v>249</v>
      </c>
      <c r="C5489" s="38" t="s">
        <v>4868</v>
      </c>
      <c r="D5489" s="18">
        <v>2022</v>
      </c>
      <c r="E5489" s="18" t="s">
        <v>0</v>
      </c>
      <c r="F5489" s="4">
        <v>1</v>
      </c>
      <c r="G5489" s="42">
        <v>8</v>
      </c>
      <c r="H5489" s="42">
        <f>0.01005071*(1000)</f>
        <v>10.050709999999999</v>
      </c>
    </row>
    <row r="5490" spans="1:8" s="15" customFormat="1" ht="16.5" hidden="1" customHeight="1" outlineLevel="1" x14ac:dyDescent="0.25">
      <c r="A5490" s="18">
        <v>3752</v>
      </c>
      <c r="B5490" s="4" t="s">
        <v>249</v>
      </c>
      <c r="C5490" s="38" t="s">
        <v>4869</v>
      </c>
      <c r="D5490" s="18">
        <v>2022</v>
      </c>
      <c r="E5490" s="18" t="s">
        <v>0</v>
      </c>
      <c r="F5490" s="4">
        <v>1</v>
      </c>
      <c r="G5490" s="42">
        <v>10</v>
      </c>
      <c r="H5490" s="42">
        <f>0.01005072*(1000)</f>
        <v>10.05072</v>
      </c>
    </row>
    <row r="5491" spans="1:8" s="15" customFormat="1" ht="16.5" hidden="1" customHeight="1" outlineLevel="1" x14ac:dyDescent="0.25">
      <c r="A5491" s="18">
        <v>3757</v>
      </c>
      <c r="B5491" s="4" t="s">
        <v>249</v>
      </c>
      <c r="C5491" s="38" t="s">
        <v>4870</v>
      </c>
      <c r="D5491" s="18">
        <v>2022</v>
      </c>
      <c r="E5491" s="18" t="s">
        <v>0</v>
      </c>
      <c r="F5491" s="4">
        <v>1</v>
      </c>
      <c r="G5491" s="42">
        <v>8</v>
      </c>
      <c r="H5491" s="42">
        <f>0.00992766*(1000)</f>
        <v>9.9276599999999995</v>
      </c>
    </row>
    <row r="5492" spans="1:8" s="15" customFormat="1" ht="16.5" hidden="1" customHeight="1" outlineLevel="1" x14ac:dyDescent="0.25">
      <c r="A5492" s="18">
        <v>3758</v>
      </c>
      <c r="B5492" s="4" t="s">
        <v>249</v>
      </c>
      <c r="C5492" s="38" t="s">
        <v>4871</v>
      </c>
      <c r="D5492" s="18">
        <v>2022</v>
      </c>
      <c r="E5492" s="18" t="s">
        <v>0</v>
      </c>
      <c r="F5492" s="4">
        <v>1</v>
      </c>
      <c r="G5492" s="42">
        <v>10</v>
      </c>
      <c r="H5492" s="42">
        <f>0.00992767*(1000)</f>
        <v>9.9276699999999991</v>
      </c>
    </row>
    <row r="5493" spans="1:8" s="15" customFormat="1" ht="16.5" hidden="1" customHeight="1" outlineLevel="1" x14ac:dyDescent="0.25">
      <c r="A5493" s="18">
        <v>3759</v>
      </c>
      <c r="B5493" s="4" t="s">
        <v>249</v>
      </c>
      <c r="C5493" s="38" t="s">
        <v>4872</v>
      </c>
      <c r="D5493" s="18">
        <v>2022</v>
      </c>
      <c r="E5493" s="18" t="s">
        <v>0</v>
      </c>
      <c r="F5493" s="4">
        <v>1</v>
      </c>
      <c r="G5493" s="42">
        <v>10</v>
      </c>
      <c r="H5493" s="42">
        <f>0.00992766*(1000)</f>
        <v>9.9276599999999995</v>
      </c>
    </row>
    <row r="5494" spans="1:8" s="15" customFormat="1" ht="16.5" hidden="1" customHeight="1" outlineLevel="1" x14ac:dyDescent="0.25">
      <c r="A5494" s="18">
        <v>3760</v>
      </c>
      <c r="B5494" s="4" t="s">
        <v>249</v>
      </c>
      <c r="C5494" s="38" t="s">
        <v>4873</v>
      </c>
      <c r="D5494" s="18">
        <v>2022</v>
      </c>
      <c r="E5494" s="18" t="s">
        <v>0</v>
      </c>
      <c r="F5494" s="4">
        <v>1</v>
      </c>
      <c r="G5494" s="42">
        <v>10</v>
      </c>
      <c r="H5494" s="42">
        <f>0.00996186*(1000)</f>
        <v>9.9618599999999997</v>
      </c>
    </row>
    <row r="5495" spans="1:8" s="15" customFormat="1" ht="16.5" hidden="1" customHeight="1" outlineLevel="1" x14ac:dyDescent="0.25">
      <c r="A5495" s="18">
        <v>3761</v>
      </c>
      <c r="B5495" s="4" t="s">
        <v>249</v>
      </c>
      <c r="C5495" s="38" t="s">
        <v>4874</v>
      </c>
      <c r="D5495" s="18">
        <v>2022</v>
      </c>
      <c r="E5495" s="18" t="s">
        <v>0</v>
      </c>
      <c r="F5495" s="4">
        <v>1</v>
      </c>
      <c r="G5495" s="42">
        <v>8</v>
      </c>
      <c r="H5495" s="42">
        <f>0.00996185*(1000)</f>
        <v>9.9618500000000001</v>
      </c>
    </row>
    <row r="5496" spans="1:8" s="15" customFormat="1" ht="16.5" hidden="1" customHeight="1" outlineLevel="1" x14ac:dyDescent="0.25">
      <c r="A5496" s="18">
        <v>3762</v>
      </c>
      <c r="B5496" s="4" t="s">
        <v>249</v>
      </c>
      <c r="C5496" s="38" t="s">
        <v>4875</v>
      </c>
      <c r="D5496" s="18">
        <v>2022</v>
      </c>
      <c r="E5496" s="18" t="s">
        <v>0</v>
      </c>
      <c r="F5496" s="4">
        <v>1</v>
      </c>
      <c r="G5496" s="42">
        <v>10</v>
      </c>
      <c r="H5496" s="42">
        <f>0.00996186*(1000)</f>
        <v>9.9618599999999997</v>
      </c>
    </row>
    <row r="5497" spans="1:8" s="15" customFormat="1" ht="16.5" hidden="1" customHeight="1" outlineLevel="1" x14ac:dyDescent="0.25">
      <c r="A5497" s="18">
        <v>3763</v>
      </c>
      <c r="B5497" s="4" t="s">
        <v>249</v>
      </c>
      <c r="C5497" s="38" t="s">
        <v>4876</v>
      </c>
      <c r="D5497" s="18">
        <v>2022</v>
      </c>
      <c r="E5497" s="18" t="s">
        <v>0</v>
      </c>
      <c r="F5497" s="4">
        <v>1</v>
      </c>
      <c r="G5497" s="42">
        <v>8</v>
      </c>
      <c r="H5497" s="42">
        <f>0.00996185*(1000)</f>
        <v>9.9618500000000001</v>
      </c>
    </row>
    <row r="5498" spans="1:8" s="15" customFormat="1" ht="16.5" hidden="1" customHeight="1" outlineLevel="1" x14ac:dyDescent="0.25">
      <c r="A5498" s="18">
        <v>3765</v>
      </c>
      <c r="B5498" s="4" t="s">
        <v>249</v>
      </c>
      <c r="C5498" s="38" t="s">
        <v>4877</v>
      </c>
      <c r="D5498" s="18">
        <v>2022</v>
      </c>
      <c r="E5498" s="18" t="s">
        <v>0</v>
      </c>
      <c r="F5498" s="4">
        <v>1</v>
      </c>
      <c r="G5498" s="42">
        <v>8</v>
      </c>
      <c r="H5498" s="42">
        <f>0.00996186*(1000)</f>
        <v>9.9618599999999997</v>
      </c>
    </row>
    <row r="5499" spans="1:8" s="15" customFormat="1" ht="16.5" hidden="1" customHeight="1" outlineLevel="1" x14ac:dyDescent="0.25">
      <c r="A5499" s="18">
        <v>3769</v>
      </c>
      <c r="B5499" s="4" t="s">
        <v>249</v>
      </c>
      <c r="C5499" s="38" t="s">
        <v>4878</v>
      </c>
      <c r="D5499" s="18">
        <v>2022</v>
      </c>
      <c r="E5499" s="18" t="s">
        <v>0</v>
      </c>
      <c r="F5499" s="4">
        <v>1</v>
      </c>
      <c r="G5499" s="42">
        <v>10</v>
      </c>
      <c r="H5499" s="42">
        <f>0.00996185*(1000)</f>
        <v>9.9618500000000001</v>
      </c>
    </row>
    <row r="5500" spans="1:8" s="15" customFormat="1" ht="16.5" hidden="1" customHeight="1" outlineLevel="1" x14ac:dyDescent="0.25">
      <c r="A5500" s="18">
        <v>3771</v>
      </c>
      <c r="B5500" s="4" t="s">
        <v>249</v>
      </c>
      <c r="C5500" s="38" t="s">
        <v>4879</v>
      </c>
      <c r="D5500" s="18">
        <v>2022</v>
      </c>
      <c r="E5500" s="18" t="s">
        <v>0</v>
      </c>
      <c r="F5500" s="4">
        <v>1</v>
      </c>
      <c r="G5500" s="42">
        <v>10</v>
      </c>
      <c r="H5500" s="42">
        <f>0.00996186*(1000)</f>
        <v>9.9618599999999997</v>
      </c>
    </row>
    <row r="5501" spans="1:8" s="15" customFormat="1" ht="16.5" hidden="1" customHeight="1" outlineLevel="1" x14ac:dyDescent="0.25">
      <c r="A5501" s="18">
        <v>3772</v>
      </c>
      <c r="B5501" s="4" t="s">
        <v>249</v>
      </c>
      <c r="C5501" s="38" t="s">
        <v>4880</v>
      </c>
      <c r="D5501" s="18">
        <v>2022</v>
      </c>
      <c r="E5501" s="18" t="s">
        <v>0</v>
      </c>
      <c r="F5501" s="4">
        <v>1</v>
      </c>
      <c r="G5501" s="42">
        <v>10</v>
      </c>
      <c r="H5501" s="42">
        <f>0.00996185*(1000)</f>
        <v>9.9618500000000001</v>
      </c>
    </row>
    <row r="5502" spans="1:8" s="15" customFormat="1" ht="16.5" hidden="1" customHeight="1" outlineLevel="1" x14ac:dyDescent="0.25">
      <c r="A5502" s="18">
        <v>3774</v>
      </c>
      <c r="B5502" s="4" t="s">
        <v>249</v>
      </c>
      <c r="C5502" s="38" t="s">
        <v>4881</v>
      </c>
      <c r="D5502" s="18">
        <v>2022</v>
      </c>
      <c r="E5502" s="18" t="s">
        <v>0</v>
      </c>
      <c r="F5502" s="4">
        <v>1</v>
      </c>
      <c r="G5502" s="42">
        <v>10</v>
      </c>
      <c r="H5502" s="42">
        <f>0.00996186*(1000)</f>
        <v>9.9618599999999997</v>
      </c>
    </row>
    <row r="5503" spans="1:8" s="15" customFormat="1" ht="16.5" hidden="1" customHeight="1" outlineLevel="1" x14ac:dyDescent="0.25">
      <c r="A5503" s="18">
        <v>3775</v>
      </c>
      <c r="B5503" s="4" t="s">
        <v>249</v>
      </c>
      <c r="C5503" s="38" t="s">
        <v>4882</v>
      </c>
      <c r="D5503" s="18">
        <v>2022</v>
      </c>
      <c r="E5503" s="18" t="s">
        <v>0</v>
      </c>
      <c r="F5503" s="4">
        <v>1</v>
      </c>
      <c r="G5503" s="42">
        <v>10</v>
      </c>
      <c r="H5503" s="42">
        <f>0.00996185*(1000)</f>
        <v>9.9618500000000001</v>
      </c>
    </row>
    <row r="5504" spans="1:8" s="15" customFormat="1" ht="16.5" hidden="1" customHeight="1" outlineLevel="1" x14ac:dyDescent="0.25">
      <c r="A5504" s="18">
        <v>3777</v>
      </c>
      <c r="B5504" s="4" t="s">
        <v>249</v>
      </c>
      <c r="C5504" s="38" t="s">
        <v>4883</v>
      </c>
      <c r="D5504" s="18">
        <v>2022</v>
      </c>
      <c r="E5504" s="18" t="s">
        <v>0</v>
      </c>
      <c r="F5504" s="4">
        <v>1</v>
      </c>
      <c r="G5504" s="42">
        <v>10</v>
      </c>
      <c r="H5504" s="42">
        <f>0.00996186*(1000)</f>
        <v>9.9618599999999997</v>
      </c>
    </row>
    <row r="5505" spans="1:8" s="15" customFormat="1" ht="16.5" hidden="1" customHeight="1" outlineLevel="1" x14ac:dyDescent="0.25">
      <c r="A5505" s="18">
        <v>3778</v>
      </c>
      <c r="B5505" s="4" t="s">
        <v>249</v>
      </c>
      <c r="C5505" s="38" t="s">
        <v>4884</v>
      </c>
      <c r="D5505" s="18">
        <v>2022</v>
      </c>
      <c r="E5505" s="18" t="s">
        <v>0</v>
      </c>
      <c r="F5505" s="4">
        <v>1</v>
      </c>
      <c r="G5505" s="42">
        <v>10</v>
      </c>
      <c r="H5505" s="42">
        <f>0.00996185*(1000)</f>
        <v>9.9618500000000001</v>
      </c>
    </row>
    <row r="5506" spans="1:8" s="15" customFormat="1" ht="16.5" hidden="1" customHeight="1" outlineLevel="1" x14ac:dyDescent="0.25">
      <c r="A5506" s="18">
        <v>3781</v>
      </c>
      <c r="B5506" s="4" t="s">
        <v>249</v>
      </c>
      <c r="C5506" s="38" t="s">
        <v>4885</v>
      </c>
      <c r="D5506" s="18">
        <v>2022</v>
      </c>
      <c r="E5506" s="18" t="s">
        <v>0</v>
      </c>
      <c r="F5506" s="4">
        <v>1</v>
      </c>
      <c r="G5506" s="42">
        <v>10</v>
      </c>
      <c r="H5506" s="42">
        <f>0.00996186*(1000)</f>
        <v>9.9618599999999997</v>
      </c>
    </row>
    <row r="5507" spans="1:8" s="15" customFormat="1" ht="16.5" hidden="1" customHeight="1" outlineLevel="1" x14ac:dyDescent="0.25">
      <c r="A5507" s="18">
        <v>3782</v>
      </c>
      <c r="B5507" s="4" t="s">
        <v>249</v>
      </c>
      <c r="C5507" s="38" t="s">
        <v>4886</v>
      </c>
      <c r="D5507" s="18">
        <v>2022</v>
      </c>
      <c r="E5507" s="18" t="s">
        <v>0</v>
      </c>
      <c r="F5507" s="4">
        <v>1</v>
      </c>
      <c r="G5507" s="42">
        <v>8</v>
      </c>
      <c r="H5507" s="42">
        <f>0.00996185*(1000)</f>
        <v>9.9618500000000001</v>
      </c>
    </row>
    <row r="5508" spans="1:8" s="15" customFormat="1" ht="16.5" hidden="1" customHeight="1" outlineLevel="1" x14ac:dyDescent="0.25">
      <c r="A5508" s="18">
        <v>3785</v>
      </c>
      <c r="B5508" s="4" t="s">
        <v>249</v>
      </c>
      <c r="C5508" s="38" t="s">
        <v>4887</v>
      </c>
      <c r="D5508" s="18">
        <v>2022</v>
      </c>
      <c r="E5508" s="18" t="s">
        <v>0</v>
      </c>
      <c r="F5508" s="4">
        <v>1</v>
      </c>
      <c r="G5508" s="42">
        <v>8</v>
      </c>
      <c r="H5508" s="42">
        <f>0.00996186*(1000)</f>
        <v>9.9618599999999997</v>
      </c>
    </row>
    <row r="5509" spans="1:8" s="15" customFormat="1" ht="16.5" hidden="1" customHeight="1" outlineLevel="1" x14ac:dyDescent="0.25">
      <c r="A5509" s="18">
        <v>3786</v>
      </c>
      <c r="B5509" s="4" t="s">
        <v>249</v>
      </c>
      <c r="C5509" s="38" t="s">
        <v>4888</v>
      </c>
      <c r="D5509" s="18">
        <v>2022</v>
      </c>
      <c r="E5509" s="18" t="s">
        <v>0</v>
      </c>
      <c r="F5509" s="4">
        <v>1</v>
      </c>
      <c r="G5509" s="42">
        <v>8</v>
      </c>
      <c r="H5509" s="42">
        <f>0.00996185*(1000)</f>
        <v>9.9618500000000001</v>
      </c>
    </row>
    <row r="5510" spans="1:8" s="15" customFormat="1" ht="16.5" hidden="1" customHeight="1" outlineLevel="1" x14ac:dyDescent="0.25">
      <c r="A5510" s="18">
        <v>3788</v>
      </c>
      <c r="B5510" s="4" t="s">
        <v>249</v>
      </c>
      <c r="C5510" s="38" t="s">
        <v>4889</v>
      </c>
      <c r="D5510" s="18">
        <v>2022</v>
      </c>
      <c r="E5510" s="18" t="s">
        <v>0</v>
      </c>
      <c r="F5510" s="4">
        <v>1</v>
      </c>
      <c r="G5510" s="42">
        <v>10</v>
      </c>
      <c r="H5510" s="42">
        <f>0.00996186*(1000)</f>
        <v>9.9618599999999997</v>
      </c>
    </row>
    <row r="5511" spans="1:8" s="15" customFormat="1" ht="16.5" hidden="1" customHeight="1" outlineLevel="1" x14ac:dyDescent="0.25">
      <c r="A5511" s="18">
        <v>3791</v>
      </c>
      <c r="B5511" s="4" t="s">
        <v>249</v>
      </c>
      <c r="C5511" s="38" t="s">
        <v>4890</v>
      </c>
      <c r="D5511" s="18">
        <v>2022</v>
      </c>
      <c r="E5511" s="18" t="s">
        <v>0</v>
      </c>
      <c r="F5511" s="4">
        <v>1</v>
      </c>
      <c r="G5511" s="42">
        <v>10</v>
      </c>
      <c r="H5511" s="42">
        <f>0.00997076*(1000)</f>
        <v>9.9707600000000003</v>
      </c>
    </row>
    <row r="5512" spans="1:8" s="15" customFormat="1" ht="16.5" hidden="1" customHeight="1" outlineLevel="1" x14ac:dyDescent="0.25">
      <c r="A5512" s="18">
        <v>3792</v>
      </c>
      <c r="B5512" s="4" t="s">
        <v>249</v>
      </c>
      <c r="C5512" s="38" t="s">
        <v>4891</v>
      </c>
      <c r="D5512" s="18">
        <v>2022</v>
      </c>
      <c r="E5512" s="18" t="s">
        <v>0</v>
      </c>
      <c r="F5512" s="4">
        <v>1</v>
      </c>
      <c r="G5512" s="42">
        <v>10</v>
      </c>
      <c r="H5512" s="42">
        <f>0.00997077*(1000)</f>
        <v>9.9707699999999999</v>
      </c>
    </row>
    <row r="5513" spans="1:8" s="15" customFormat="1" ht="16.5" hidden="1" customHeight="1" outlineLevel="1" x14ac:dyDescent="0.25">
      <c r="A5513" s="18">
        <v>3794</v>
      </c>
      <c r="B5513" s="4" t="s">
        <v>249</v>
      </c>
      <c r="C5513" s="38" t="s">
        <v>4892</v>
      </c>
      <c r="D5513" s="18">
        <v>2022</v>
      </c>
      <c r="E5513" s="18" t="s">
        <v>0</v>
      </c>
      <c r="F5513" s="4">
        <v>1</v>
      </c>
      <c r="G5513" s="42">
        <v>8</v>
      </c>
      <c r="H5513" s="42">
        <f>0.00997076*(1000)</f>
        <v>9.9707600000000003</v>
      </c>
    </row>
    <row r="5514" spans="1:8" s="15" customFormat="1" ht="16.5" hidden="1" customHeight="1" outlineLevel="1" x14ac:dyDescent="0.25">
      <c r="A5514" s="18">
        <v>3795</v>
      </c>
      <c r="B5514" s="4" t="s">
        <v>249</v>
      </c>
      <c r="C5514" s="38" t="s">
        <v>4893</v>
      </c>
      <c r="D5514" s="18">
        <v>2022</v>
      </c>
      <c r="E5514" s="18" t="s">
        <v>0</v>
      </c>
      <c r="F5514" s="4">
        <v>1</v>
      </c>
      <c r="G5514" s="42">
        <v>10</v>
      </c>
      <c r="H5514" s="42">
        <f>0.00993708*(1000)</f>
        <v>9.9370799999999999</v>
      </c>
    </row>
    <row r="5515" spans="1:8" s="15" customFormat="1" ht="16.5" hidden="1" customHeight="1" outlineLevel="1" x14ac:dyDescent="0.25">
      <c r="A5515" s="18">
        <v>3796</v>
      </c>
      <c r="B5515" s="4" t="s">
        <v>249</v>
      </c>
      <c r="C5515" s="38" t="s">
        <v>4894</v>
      </c>
      <c r="D5515" s="18">
        <v>2022</v>
      </c>
      <c r="E5515" s="18" t="s">
        <v>0</v>
      </c>
      <c r="F5515" s="4">
        <v>1</v>
      </c>
      <c r="G5515" s="42">
        <v>10</v>
      </c>
      <c r="H5515" s="42">
        <f>0.00993707*(1000)</f>
        <v>9.9370699999999985</v>
      </c>
    </row>
    <row r="5516" spans="1:8" s="15" customFormat="1" ht="16.5" hidden="1" customHeight="1" outlineLevel="1" x14ac:dyDescent="0.25">
      <c r="A5516" s="18">
        <v>3797</v>
      </c>
      <c r="B5516" s="4" t="s">
        <v>249</v>
      </c>
      <c r="C5516" s="38" t="s">
        <v>4895</v>
      </c>
      <c r="D5516" s="18">
        <v>2022</v>
      </c>
      <c r="E5516" s="18" t="s">
        <v>0</v>
      </c>
      <c r="F5516" s="4">
        <v>1</v>
      </c>
      <c r="G5516" s="42">
        <v>10</v>
      </c>
      <c r="H5516" s="42">
        <f>0.01006905*(1000)</f>
        <v>10.069049999999999</v>
      </c>
    </row>
    <row r="5517" spans="1:8" s="15" customFormat="1" ht="16.5" hidden="1" customHeight="1" outlineLevel="1" x14ac:dyDescent="0.25">
      <c r="A5517" s="18">
        <v>3798</v>
      </c>
      <c r="B5517" s="4" t="s">
        <v>249</v>
      </c>
      <c r="C5517" s="38" t="s">
        <v>4896</v>
      </c>
      <c r="D5517" s="18">
        <v>2022</v>
      </c>
      <c r="E5517" s="18" t="s">
        <v>0</v>
      </c>
      <c r="F5517" s="4">
        <v>1</v>
      </c>
      <c r="G5517" s="42">
        <v>8</v>
      </c>
      <c r="H5517" s="42">
        <f>0.00993707*(1000)</f>
        <v>9.9370699999999985</v>
      </c>
    </row>
    <row r="5518" spans="1:8" s="15" customFormat="1" ht="16.5" hidden="1" customHeight="1" outlineLevel="1" x14ac:dyDescent="0.25">
      <c r="A5518" s="18">
        <v>3799</v>
      </c>
      <c r="B5518" s="4" t="s">
        <v>249</v>
      </c>
      <c r="C5518" s="38" t="s">
        <v>4897</v>
      </c>
      <c r="D5518" s="18">
        <v>2022</v>
      </c>
      <c r="E5518" s="18" t="s">
        <v>0</v>
      </c>
      <c r="F5518" s="4">
        <v>1</v>
      </c>
      <c r="G5518" s="42">
        <v>8</v>
      </c>
      <c r="H5518" s="42">
        <f>0.00993708*(1000)</f>
        <v>9.9370799999999999</v>
      </c>
    </row>
    <row r="5519" spans="1:8" s="15" customFormat="1" ht="16.5" hidden="1" customHeight="1" outlineLevel="1" x14ac:dyDescent="0.25">
      <c r="A5519" s="18">
        <v>3801</v>
      </c>
      <c r="B5519" s="4" t="s">
        <v>249</v>
      </c>
      <c r="C5519" s="38" t="s">
        <v>4898</v>
      </c>
      <c r="D5519" s="18">
        <v>2022</v>
      </c>
      <c r="E5519" s="18" t="s">
        <v>0</v>
      </c>
      <c r="F5519" s="4">
        <v>1</v>
      </c>
      <c r="G5519" s="42">
        <v>10</v>
      </c>
      <c r="H5519" s="42">
        <f>0.00993707*(1000)</f>
        <v>9.9370699999999985</v>
      </c>
    </row>
    <row r="5520" spans="1:8" s="15" customFormat="1" ht="16.5" hidden="1" customHeight="1" outlineLevel="1" x14ac:dyDescent="0.25">
      <c r="A5520" s="18">
        <v>3802</v>
      </c>
      <c r="B5520" s="4" t="s">
        <v>249</v>
      </c>
      <c r="C5520" s="38" t="s">
        <v>4899</v>
      </c>
      <c r="D5520" s="18">
        <v>2022</v>
      </c>
      <c r="E5520" s="18" t="s">
        <v>0</v>
      </c>
      <c r="F5520" s="4">
        <v>4</v>
      </c>
      <c r="G5520" s="42">
        <v>40</v>
      </c>
      <c r="H5520" s="42">
        <f>0.03935236*(1000)</f>
        <v>39.352360000000004</v>
      </c>
    </row>
    <row r="5521" spans="1:8" s="15" customFormat="1" ht="16.5" hidden="1" customHeight="1" outlineLevel="1" x14ac:dyDescent="0.25">
      <c r="A5521" s="18">
        <v>3803</v>
      </c>
      <c r="B5521" s="4" t="s">
        <v>249</v>
      </c>
      <c r="C5521" s="38" t="s">
        <v>4900</v>
      </c>
      <c r="D5521" s="18">
        <v>2022</v>
      </c>
      <c r="E5521" s="18" t="s">
        <v>0</v>
      </c>
      <c r="F5521" s="4">
        <v>1</v>
      </c>
      <c r="G5521" s="42">
        <v>8</v>
      </c>
      <c r="H5521" s="42">
        <f>0.00993708*(1000)</f>
        <v>9.9370799999999999</v>
      </c>
    </row>
    <row r="5522" spans="1:8" s="15" customFormat="1" ht="16.5" hidden="1" customHeight="1" outlineLevel="1" x14ac:dyDescent="0.25">
      <c r="A5522" s="18">
        <v>3804</v>
      </c>
      <c r="B5522" s="4" t="s">
        <v>249</v>
      </c>
      <c r="C5522" s="38" t="s">
        <v>4901</v>
      </c>
      <c r="D5522" s="18">
        <v>2022</v>
      </c>
      <c r="E5522" s="18" t="s">
        <v>0</v>
      </c>
      <c r="F5522" s="4">
        <v>1</v>
      </c>
      <c r="G5522" s="42">
        <v>10</v>
      </c>
      <c r="H5522" s="42">
        <f>0.00993707*(1000)</f>
        <v>9.9370699999999985</v>
      </c>
    </row>
    <row r="5523" spans="1:8" s="15" customFormat="1" ht="16.5" hidden="1" customHeight="1" outlineLevel="1" x14ac:dyDescent="0.25">
      <c r="A5523" s="18">
        <v>3805</v>
      </c>
      <c r="B5523" s="4" t="s">
        <v>249</v>
      </c>
      <c r="C5523" s="38" t="s">
        <v>4902</v>
      </c>
      <c r="D5523" s="18">
        <v>2022</v>
      </c>
      <c r="E5523" s="18" t="s">
        <v>0</v>
      </c>
      <c r="F5523" s="4">
        <v>1</v>
      </c>
      <c r="G5523" s="42">
        <v>10</v>
      </c>
      <c r="H5523" s="42">
        <f>0.00993708*(1000)</f>
        <v>9.9370799999999999</v>
      </c>
    </row>
    <row r="5524" spans="1:8" s="15" customFormat="1" ht="16.5" hidden="1" customHeight="1" outlineLevel="1" x14ac:dyDescent="0.25">
      <c r="A5524" s="18">
        <v>3808</v>
      </c>
      <c r="B5524" s="4" t="s">
        <v>249</v>
      </c>
      <c r="C5524" s="38" t="s">
        <v>4903</v>
      </c>
      <c r="D5524" s="18">
        <v>2022</v>
      </c>
      <c r="E5524" s="18" t="s">
        <v>0</v>
      </c>
      <c r="F5524" s="4">
        <v>1</v>
      </c>
      <c r="G5524" s="42">
        <v>8</v>
      </c>
      <c r="H5524" s="42">
        <f>0.00993707*(1000)</f>
        <v>9.9370699999999985</v>
      </c>
    </row>
    <row r="5525" spans="1:8" s="15" customFormat="1" ht="16.5" hidden="1" customHeight="1" outlineLevel="1" x14ac:dyDescent="0.25">
      <c r="A5525" s="18">
        <v>3809</v>
      </c>
      <c r="B5525" s="4" t="s">
        <v>249</v>
      </c>
      <c r="C5525" s="38" t="s">
        <v>4904</v>
      </c>
      <c r="D5525" s="18">
        <v>2022</v>
      </c>
      <c r="E5525" s="18" t="s">
        <v>0</v>
      </c>
      <c r="F5525" s="4">
        <v>1</v>
      </c>
      <c r="G5525" s="42">
        <v>10</v>
      </c>
      <c r="H5525" s="42">
        <f>0.00993708*(1000)</f>
        <v>9.9370799999999999</v>
      </c>
    </row>
    <row r="5526" spans="1:8" s="15" customFormat="1" ht="16.5" hidden="1" customHeight="1" outlineLevel="1" x14ac:dyDescent="0.25">
      <c r="A5526" s="18">
        <v>3810</v>
      </c>
      <c r="B5526" s="4" t="s">
        <v>249</v>
      </c>
      <c r="C5526" s="38" t="s">
        <v>4905</v>
      </c>
      <c r="D5526" s="18">
        <v>2022</v>
      </c>
      <c r="E5526" s="18" t="s">
        <v>0</v>
      </c>
      <c r="F5526" s="4">
        <v>1</v>
      </c>
      <c r="G5526" s="42">
        <v>10</v>
      </c>
      <c r="H5526" s="42">
        <f>0.00993707*(1000)</f>
        <v>9.9370699999999985</v>
      </c>
    </row>
    <row r="5527" spans="1:8" s="15" customFormat="1" ht="16.5" hidden="1" customHeight="1" outlineLevel="1" x14ac:dyDescent="0.25">
      <c r="A5527" s="18">
        <v>3812</v>
      </c>
      <c r="B5527" s="4" t="s">
        <v>249</v>
      </c>
      <c r="C5527" s="38" t="s">
        <v>4906</v>
      </c>
      <c r="D5527" s="18">
        <v>2022</v>
      </c>
      <c r="E5527" s="18" t="s">
        <v>0</v>
      </c>
      <c r="F5527" s="4">
        <v>1</v>
      </c>
      <c r="G5527" s="42">
        <v>8</v>
      </c>
      <c r="H5527" s="42">
        <f>0.00993708*(1000)</f>
        <v>9.9370799999999999</v>
      </c>
    </row>
    <row r="5528" spans="1:8" s="15" customFormat="1" ht="16.5" hidden="1" customHeight="1" outlineLevel="1" x14ac:dyDescent="0.25">
      <c r="A5528" s="18">
        <v>3813</v>
      </c>
      <c r="B5528" s="4" t="s">
        <v>249</v>
      </c>
      <c r="C5528" s="38" t="s">
        <v>4907</v>
      </c>
      <c r="D5528" s="18">
        <v>2022</v>
      </c>
      <c r="E5528" s="18" t="s">
        <v>0</v>
      </c>
      <c r="F5528" s="4">
        <v>1</v>
      </c>
      <c r="G5528" s="42">
        <v>8</v>
      </c>
      <c r="H5528" s="42">
        <f>0.00993707*(1000)</f>
        <v>9.9370699999999985</v>
      </c>
    </row>
    <row r="5529" spans="1:8" s="15" customFormat="1" ht="16.5" hidden="1" customHeight="1" outlineLevel="1" x14ac:dyDescent="0.25">
      <c r="A5529" s="18">
        <v>3816</v>
      </c>
      <c r="B5529" s="4" t="s">
        <v>249</v>
      </c>
      <c r="C5529" s="38" t="s">
        <v>4908</v>
      </c>
      <c r="D5529" s="18">
        <v>2022</v>
      </c>
      <c r="E5529" s="18" t="s">
        <v>0</v>
      </c>
      <c r="F5529" s="4">
        <v>1</v>
      </c>
      <c r="G5529" s="42">
        <v>10</v>
      </c>
      <c r="H5529" s="42">
        <f>0.00993708*(1000)</f>
        <v>9.9370799999999999</v>
      </c>
    </row>
    <row r="5530" spans="1:8" s="15" customFormat="1" ht="16.5" hidden="1" customHeight="1" outlineLevel="1" x14ac:dyDescent="0.25">
      <c r="A5530" s="18">
        <v>3820</v>
      </c>
      <c r="B5530" s="4" t="s">
        <v>249</v>
      </c>
      <c r="C5530" s="38" t="s">
        <v>4909</v>
      </c>
      <c r="D5530" s="18">
        <v>2022</v>
      </c>
      <c r="E5530" s="18" t="s">
        <v>0</v>
      </c>
      <c r="F5530" s="4">
        <v>1</v>
      </c>
      <c r="G5530" s="42">
        <v>8</v>
      </c>
      <c r="H5530" s="42">
        <f>0.00993707*(1000)</f>
        <v>9.9370699999999985</v>
      </c>
    </row>
    <row r="5531" spans="1:8" s="15" customFormat="1" ht="16.5" hidden="1" customHeight="1" outlineLevel="1" x14ac:dyDescent="0.25">
      <c r="A5531" s="18">
        <v>3824</v>
      </c>
      <c r="B5531" s="4" t="s">
        <v>249</v>
      </c>
      <c r="C5531" s="38" t="s">
        <v>4910</v>
      </c>
      <c r="D5531" s="18">
        <v>2022</v>
      </c>
      <c r="E5531" s="18" t="s">
        <v>0</v>
      </c>
      <c r="F5531" s="4">
        <v>1</v>
      </c>
      <c r="G5531" s="42">
        <v>8</v>
      </c>
      <c r="H5531" s="42">
        <f>0.00993708*(1000)</f>
        <v>9.9370799999999999</v>
      </c>
    </row>
    <row r="5532" spans="1:8" s="15" customFormat="1" ht="16.5" hidden="1" customHeight="1" outlineLevel="1" x14ac:dyDescent="0.25">
      <c r="A5532" s="18">
        <v>3825</v>
      </c>
      <c r="B5532" s="4" t="s">
        <v>249</v>
      </c>
      <c r="C5532" s="38" t="s">
        <v>4911</v>
      </c>
      <c r="D5532" s="18">
        <v>2022</v>
      </c>
      <c r="E5532" s="18" t="s">
        <v>0</v>
      </c>
      <c r="F5532" s="4">
        <v>1</v>
      </c>
      <c r="G5532" s="42">
        <v>10</v>
      </c>
      <c r="H5532" s="42">
        <f>0.00993707*(1000)</f>
        <v>9.9370699999999985</v>
      </c>
    </row>
    <row r="5533" spans="1:8" s="15" customFormat="1" ht="16.5" hidden="1" customHeight="1" outlineLevel="1" x14ac:dyDescent="0.25">
      <c r="A5533" s="18">
        <v>3826</v>
      </c>
      <c r="B5533" s="4" t="s">
        <v>249</v>
      </c>
      <c r="C5533" s="38" t="s">
        <v>4912</v>
      </c>
      <c r="D5533" s="18">
        <v>2022</v>
      </c>
      <c r="E5533" s="18" t="s">
        <v>0</v>
      </c>
      <c r="F5533" s="4">
        <v>1</v>
      </c>
      <c r="G5533" s="42">
        <v>8</v>
      </c>
      <c r="H5533" s="42">
        <f>0.00993708*(1000)</f>
        <v>9.9370799999999999</v>
      </c>
    </row>
    <row r="5534" spans="1:8" s="15" customFormat="1" ht="16.5" hidden="1" customHeight="1" outlineLevel="1" x14ac:dyDescent="0.25">
      <c r="A5534" s="18">
        <v>3827</v>
      </c>
      <c r="B5534" s="4" t="s">
        <v>249</v>
      </c>
      <c r="C5534" s="38" t="s">
        <v>4913</v>
      </c>
      <c r="D5534" s="18">
        <v>2022</v>
      </c>
      <c r="E5534" s="18" t="s">
        <v>0</v>
      </c>
      <c r="F5534" s="4">
        <v>1</v>
      </c>
      <c r="G5534" s="42">
        <v>8</v>
      </c>
      <c r="H5534" s="42">
        <f>0.00993707*(1000)</f>
        <v>9.9370699999999985</v>
      </c>
    </row>
    <row r="5535" spans="1:8" s="15" customFormat="1" ht="16.5" hidden="1" customHeight="1" outlineLevel="1" x14ac:dyDescent="0.25">
      <c r="A5535" s="18">
        <v>3828</v>
      </c>
      <c r="B5535" s="4" t="s">
        <v>249</v>
      </c>
      <c r="C5535" s="38" t="s">
        <v>4914</v>
      </c>
      <c r="D5535" s="18">
        <v>2022</v>
      </c>
      <c r="E5535" s="18" t="s">
        <v>0</v>
      </c>
      <c r="F5535" s="4">
        <v>1</v>
      </c>
      <c r="G5535" s="42">
        <v>10</v>
      </c>
      <c r="H5535" s="42">
        <f>0.00993708*(1000)</f>
        <v>9.9370799999999999</v>
      </c>
    </row>
    <row r="5536" spans="1:8" s="15" customFormat="1" ht="16.5" hidden="1" customHeight="1" outlineLevel="1" x14ac:dyDescent="0.25">
      <c r="A5536" s="18">
        <v>3829</v>
      </c>
      <c r="B5536" s="4" t="s">
        <v>249</v>
      </c>
      <c r="C5536" s="38" t="s">
        <v>4915</v>
      </c>
      <c r="D5536" s="18">
        <v>2022</v>
      </c>
      <c r="E5536" s="18" t="s">
        <v>0</v>
      </c>
      <c r="F5536" s="4">
        <v>1</v>
      </c>
      <c r="G5536" s="42">
        <v>10</v>
      </c>
      <c r="H5536" s="42">
        <f>0.00993707*(1000)</f>
        <v>9.9370699999999985</v>
      </c>
    </row>
    <row r="5537" spans="1:8" s="15" customFormat="1" ht="16.5" hidden="1" customHeight="1" outlineLevel="1" x14ac:dyDescent="0.25">
      <c r="A5537" s="18">
        <v>3830</v>
      </c>
      <c r="B5537" s="4" t="s">
        <v>249</v>
      </c>
      <c r="C5537" s="38" t="s">
        <v>4916</v>
      </c>
      <c r="D5537" s="18">
        <v>2022</v>
      </c>
      <c r="E5537" s="18" t="s">
        <v>0</v>
      </c>
      <c r="F5537" s="4">
        <v>1</v>
      </c>
      <c r="G5537" s="42">
        <v>8</v>
      </c>
      <c r="H5537" s="42">
        <f>0.00993708*(1000)</f>
        <v>9.9370799999999999</v>
      </c>
    </row>
    <row r="5538" spans="1:8" s="15" customFormat="1" ht="16.5" hidden="1" customHeight="1" outlineLevel="1" x14ac:dyDescent="0.25">
      <c r="A5538" s="18">
        <v>3831</v>
      </c>
      <c r="B5538" s="4" t="s">
        <v>249</v>
      </c>
      <c r="C5538" s="38" t="s">
        <v>4917</v>
      </c>
      <c r="D5538" s="18">
        <v>2022</v>
      </c>
      <c r="E5538" s="18" t="s">
        <v>0</v>
      </c>
      <c r="F5538" s="4">
        <v>1</v>
      </c>
      <c r="G5538" s="42">
        <v>10</v>
      </c>
      <c r="H5538" s="42">
        <f>0.00993707*(1000)</f>
        <v>9.9370699999999985</v>
      </c>
    </row>
    <row r="5539" spans="1:8" s="15" customFormat="1" ht="16.5" hidden="1" customHeight="1" outlineLevel="1" x14ac:dyDescent="0.25">
      <c r="A5539" s="18">
        <v>3832</v>
      </c>
      <c r="B5539" s="4" t="s">
        <v>249</v>
      </c>
      <c r="C5539" s="38" t="s">
        <v>4918</v>
      </c>
      <c r="D5539" s="18">
        <v>2022</v>
      </c>
      <c r="E5539" s="18" t="s">
        <v>0</v>
      </c>
      <c r="F5539" s="4">
        <v>1</v>
      </c>
      <c r="G5539" s="42">
        <v>10</v>
      </c>
      <c r="H5539" s="42">
        <f>0.00993708*(1000)</f>
        <v>9.9370799999999999</v>
      </c>
    </row>
    <row r="5540" spans="1:8" s="15" customFormat="1" ht="16.5" hidden="1" customHeight="1" outlineLevel="1" x14ac:dyDescent="0.25">
      <c r="A5540" s="18">
        <v>3835</v>
      </c>
      <c r="B5540" s="4" t="s">
        <v>249</v>
      </c>
      <c r="C5540" s="38" t="s">
        <v>4919</v>
      </c>
      <c r="D5540" s="18">
        <v>2022</v>
      </c>
      <c r="E5540" s="18" t="s">
        <v>0</v>
      </c>
      <c r="F5540" s="4">
        <v>1</v>
      </c>
      <c r="G5540" s="42">
        <v>10</v>
      </c>
      <c r="H5540" s="42">
        <f>0.00993707*(1000)</f>
        <v>9.9370699999999985</v>
      </c>
    </row>
    <row r="5541" spans="1:8" s="15" customFormat="1" ht="16.5" hidden="1" customHeight="1" outlineLevel="1" x14ac:dyDescent="0.25">
      <c r="A5541" s="18">
        <v>3836</v>
      </c>
      <c r="B5541" s="4" t="s">
        <v>249</v>
      </c>
      <c r="C5541" s="38" t="s">
        <v>4920</v>
      </c>
      <c r="D5541" s="18">
        <v>2022</v>
      </c>
      <c r="E5541" s="18" t="s">
        <v>0</v>
      </c>
      <c r="F5541" s="4">
        <v>1</v>
      </c>
      <c r="G5541" s="42">
        <v>8</v>
      </c>
      <c r="H5541" s="42">
        <f>0.00993708*(1000)</f>
        <v>9.9370799999999999</v>
      </c>
    </row>
    <row r="5542" spans="1:8" s="15" customFormat="1" ht="16.5" hidden="1" customHeight="1" outlineLevel="1" x14ac:dyDescent="0.25">
      <c r="A5542" s="18">
        <v>3837</v>
      </c>
      <c r="B5542" s="4" t="s">
        <v>249</v>
      </c>
      <c r="C5542" s="38" t="s">
        <v>4921</v>
      </c>
      <c r="D5542" s="18">
        <v>2022</v>
      </c>
      <c r="E5542" s="18" t="s">
        <v>0</v>
      </c>
      <c r="F5542" s="4">
        <v>1</v>
      </c>
      <c r="G5542" s="42">
        <v>8</v>
      </c>
      <c r="H5542" s="42">
        <f>0.00993707*(1000)</f>
        <v>9.9370699999999985</v>
      </c>
    </row>
    <row r="5543" spans="1:8" s="15" customFormat="1" ht="16.5" hidden="1" customHeight="1" outlineLevel="1" x14ac:dyDescent="0.25">
      <c r="A5543" s="18">
        <v>3838</v>
      </c>
      <c r="B5543" s="4" t="s">
        <v>249</v>
      </c>
      <c r="C5543" s="38" t="s">
        <v>4922</v>
      </c>
      <c r="D5543" s="18">
        <v>2022</v>
      </c>
      <c r="E5543" s="18" t="s">
        <v>0</v>
      </c>
      <c r="F5543" s="4">
        <v>1</v>
      </c>
      <c r="G5543" s="42">
        <v>8</v>
      </c>
      <c r="H5543" s="42">
        <f>0.00993708*(1000)</f>
        <v>9.9370799999999999</v>
      </c>
    </row>
    <row r="5544" spans="1:8" s="15" customFormat="1" ht="16.5" hidden="1" customHeight="1" outlineLevel="1" x14ac:dyDescent="0.25">
      <c r="A5544" s="18">
        <v>3840</v>
      </c>
      <c r="B5544" s="4" t="s">
        <v>249</v>
      </c>
      <c r="C5544" s="38" t="s">
        <v>4923</v>
      </c>
      <c r="D5544" s="18">
        <v>2022</v>
      </c>
      <c r="E5544" s="18" t="s">
        <v>0</v>
      </c>
      <c r="F5544" s="4">
        <v>1</v>
      </c>
      <c r="G5544" s="42">
        <v>5</v>
      </c>
      <c r="H5544" s="42">
        <f>0.00993707*(1000)</f>
        <v>9.9370699999999985</v>
      </c>
    </row>
    <row r="5545" spans="1:8" s="15" customFormat="1" ht="16.5" hidden="1" customHeight="1" outlineLevel="1" x14ac:dyDescent="0.25">
      <c r="A5545" s="18">
        <v>3841</v>
      </c>
      <c r="B5545" s="4" t="s">
        <v>249</v>
      </c>
      <c r="C5545" s="38" t="s">
        <v>4924</v>
      </c>
      <c r="D5545" s="18">
        <v>2022</v>
      </c>
      <c r="E5545" s="18" t="s">
        <v>0</v>
      </c>
      <c r="F5545" s="4">
        <v>1</v>
      </c>
      <c r="G5545" s="42">
        <v>5</v>
      </c>
      <c r="H5545" s="42">
        <f>0.00993708*(1000)</f>
        <v>9.9370799999999999</v>
      </c>
    </row>
    <row r="5546" spans="1:8" s="15" customFormat="1" ht="16.5" hidden="1" customHeight="1" outlineLevel="1" x14ac:dyDescent="0.25">
      <c r="A5546" s="18">
        <v>3842</v>
      </c>
      <c r="B5546" s="4" t="s">
        <v>249</v>
      </c>
      <c r="C5546" s="38" t="s">
        <v>4925</v>
      </c>
      <c r="D5546" s="18">
        <v>2022</v>
      </c>
      <c r="E5546" s="18" t="s">
        <v>0</v>
      </c>
      <c r="F5546" s="4">
        <v>1</v>
      </c>
      <c r="G5546" s="42">
        <v>5</v>
      </c>
      <c r="H5546" s="42">
        <f>0.00993707*(1000)</f>
        <v>9.9370699999999985</v>
      </c>
    </row>
    <row r="5547" spans="1:8" s="15" customFormat="1" ht="16.5" hidden="1" customHeight="1" outlineLevel="1" x14ac:dyDescent="0.25">
      <c r="A5547" s="18">
        <v>3843</v>
      </c>
      <c r="B5547" s="4" t="s">
        <v>249</v>
      </c>
      <c r="C5547" s="38" t="s">
        <v>4926</v>
      </c>
      <c r="D5547" s="18">
        <v>2022</v>
      </c>
      <c r="E5547" s="18" t="s">
        <v>0</v>
      </c>
      <c r="F5547" s="4">
        <v>1</v>
      </c>
      <c r="G5547" s="42">
        <v>5</v>
      </c>
      <c r="H5547" s="42">
        <f>0.00993708*(1000)</f>
        <v>9.9370799999999999</v>
      </c>
    </row>
    <row r="5548" spans="1:8" s="15" customFormat="1" ht="16.5" hidden="1" customHeight="1" outlineLevel="1" x14ac:dyDescent="0.25">
      <c r="A5548" s="18">
        <v>3844</v>
      </c>
      <c r="B5548" s="4" t="s">
        <v>249</v>
      </c>
      <c r="C5548" s="38" t="s">
        <v>4927</v>
      </c>
      <c r="D5548" s="18">
        <v>2022</v>
      </c>
      <c r="E5548" s="18" t="s">
        <v>0</v>
      </c>
      <c r="F5548" s="4">
        <v>1</v>
      </c>
      <c r="G5548" s="42">
        <v>8</v>
      </c>
      <c r="H5548" s="42">
        <f>0.00993707*(1000)</f>
        <v>9.9370699999999985</v>
      </c>
    </row>
    <row r="5549" spans="1:8" s="15" customFormat="1" ht="16.5" hidden="1" customHeight="1" outlineLevel="1" x14ac:dyDescent="0.25">
      <c r="A5549" s="18">
        <v>3845</v>
      </c>
      <c r="B5549" s="4" t="s">
        <v>249</v>
      </c>
      <c r="C5549" s="38" t="s">
        <v>4928</v>
      </c>
      <c r="D5549" s="18">
        <v>2022</v>
      </c>
      <c r="E5549" s="18" t="s">
        <v>0</v>
      </c>
      <c r="F5549" s="4">
        <v>1</v>
      </c>
      <c r="G5549" s="42">
        <v>10</v>
      </c>
      <c r="H5549" s="42">
        <f>0.00993708*(1000)</f>
        <v>9.9370799999999999</v>
      </c>
    </row>
    <row r="5550" spans="1:8" s="15" customFormat="1" ht="16.5" hidden="1" customHeight="1" outlineLevel="1" x14ac:dyDescent="0.25">
      <c r="A5550" s="18">
        <v>3846</v>
      </c>
      <c r="B5550" s="4" t="s">
        <v>249</v>
      </c>
      <c r="C5550" s="38" t="s">
        <v>4929</v>
      </c>
      <c r="D5550" s="18">
        <v>2022</v>
      </c>
      <c r="E5550" s="18" t="s">
        <v>0</v>
      </c>
      <c r="F5550" s="4">
        <v>1</v>
      </c>
      <c r="G5550" s="42">
        <v>10</v>
      </c>
      <c r="H5550" s="42">
        <f>0.00993707*(1000)</f>
        <v>9.9370699999999985</v>
      </c>
    </row>
    <row r="5551" spans="1:8" s="15" customFormat="1" ht="16.5" hidden="1" customHeight="1" outlineLevel="1" x14ac:dyDescent="0.25">
      <c r="A5551" s="18">
        <v>3848</v>
      </c>
      <c r="B5551" s="4" t="s">
        <v>249</v>
      </c>
      <c r="C5551" s="38" t="s">
        <v>4930</v>
      </c>
      <c r="D5551" s="18">
        <v>2022</v>
      </c>
      <c r="E5551" s="18" t="s">
        <v>0</v>
      </c>
      <c r="F5551" s="4">
        <v>1</v>
      </c>
      <c r="G5551" s="42">
        <v>10</v>
      </c>
      <c r="H5551" s="42">
        <f>0.00994767*(1000)</f>
        <v>9.9476700000000005</v>
      </c>
    </row>
    <row r="5552" spans="1:8" s="15" customFormat="1" ht="16.5" hidden="1" customHeight="1" outlineLevel="1" x14ac:dyDescent="0.25">
      <c r="A5552" s="18">
        <v>3849</v>
      </c>
      <c r="B5552" s="4" t="s">
        <v>249</v>
      </c>
      <c r="C5552" s="38" t="s">
        <v>4931</v>
      </c>
      <c r="D5552" s="18">
        <v>2022</v>
      </c>
      <c r="E5552" s="18" t="s">
        <v>0</v>
      </c>
      <c r="F5552" s="4">
        <v>1</v>
      </c>
      <c r="G5552" s="42">
        <v>10</v>
      </c>
      <c r="H5552" s="42">
        <f>0.00994766*(1000)</f>
        <v>9.9476600000000008</v>
      </c>
    </row>
    <row r="5553" spans="1:8" s="15" customFormat="1" ht="16.5" hidden="1" customHeight="1" outlineLevel="1" x14ac:dyDescent="0.25">
      <c r="A5553" s="18">
        <v>3850</v>
      </c>
      <c r="B5553" s="4" t="s">
        <v>249</v>
      </c>
      <c r="C5553" s="38" t="s">
        <v>4932</v>
      </c>
      <c r="D5553" s="18">
        <v>2022</v>
      </c>
      <c r="E5553" s="18" t="s">
        <v>0</v>
      </c>
      <c r="F5553" s="4">
        <v>1</v>
      </c>
      <c r="G5553" s="42">
        <v>10</v>
      </c>
      <c r="H5553" s="42">
        <f>0.00994767*(1000)</f>
        <v>9.9476700000000005</v>
      </c>
    </row>
    <row r="5554" spans="1:8" s="15" customFormat="1" ht="16.5" hidden="1" customHeight="1" outlineLevel="1" x14ac:dyDescent="0.25">
      <c r="A5554" s="18">
        <v>3854</v>
      </c>
      <c r="B5554" s="4" t="s">
        <v>249</v>
      </c>
      <c r="C5554" s="38" t="s">
        <v>4933</v>
      </c>
      <c r="D5554" s="18">
        <v>2022</v>
      </c>
      <c r="E5554" s="18" t="s">
        <v>0</v>
      </c>
      <c r="F5554" s="4">
        <v>1</v>
      </c>
      <c r="G5554" s="42">
        <v>8</v>
      </c>
      <c r="H5554" s="42">
        <f>0.00994766*(1000)</f>
        <v>9.9476600000000008</v>
      </c>
    </row>
    <row r="5555" spans="1:8" s="15" customFormat="1" ht="16.5" hidden="1" customHeight="1" outlineLevel="1" x14ac:dyDescent="0.25">
      <c r="A5555" s="18">
        <v>3855</v>
      </c>
      <c r="B5555" s="4" t="s">
        <v>249</v>
      </c>
      <c r="C5555" s="38" t="s">
        <v>4934</v>
      </c>
      <c r="D5555" s="18">
        <v>2022</v>
      </c>
      <c r="E5555" s="18" t="s">
        <v>0</v>
      </c>
      <c r="F5555" s="4">
        <v>1</v>
      </c>
      <c r="G5555" s="42">
        <v>8</v>
      </c>
      <c r="H5555" s="42">
        <f>0.00994767*(1000)</f>
        <v>9.9476700000000005</v>
      </c>
    </row>
    <row r="5556" spans="1:8" s="15" customFormat="1" ht="16.5" hidden="1" customHeight="1" outlineLevel="1" x14ac:dyDescent="0.25">
      <c r="A5556" s="18">
        <v>3856</v>
      </c>
      <c r="B5556" s="4" t="s">
        <v>249</v>
      </c>
      <c r="C5556" s="38" t="s">
        <v>4935</v>
      </c>
      <c r="D5556" s="18">
        <v>2022</v>
      </c>
      <c r="E5556" s="18" t="s">
        <v>0</v>
      </c>
      <c r="F5556" s="4">
        <v>1</v>
      </c>
      <c r="G5556" s="42">
        <v>8</v>
      </c>
      <c r="H5556" s="42">
        <f>0.00994766*(1000)</f>
        <v>9.9476600000000008</v>
      </c>
    </row>
    <row r="5557" spans="1:8" s="15" customFormat="1" ht="16.5" hidden="1" customHeight="1" outlineLevel="1" x14ac:dyDescent="0.25">
      <c r="A5557" s="18">
        <v>3857</v>
      </c>
      <c r="B5557" s="4" t="s">
        <v>249</v>
      </c>
      <c r="C5557" s="38" t="s">
        <v>4936</v>
      </c>
      <c r="D5557" s="18">
        <v>2022</v>
      </c>
      <c r="E5557" s="18" t="s">
        <v>0</v>
      </c>
      <c r="F5557" s="4">
        <v>1</v>
      </c>
      <c r="G5557" s="42">
        <v>8</v>
      </c>
      <c r="H5557" s="42">
        <f>0.00994767*(1000)</f>
        <v>9.9476700000000005</v>
      </c>
    </row>
    <row r="5558" spans="1:8" s="15" customFormat="1" ht="16.5" hidden="1" customHeight="1" outlineLevel="1" x14ac:dyDescent="0.25">
      <c r="A5558" s="18">
        <v>3858</v>
      </c>
      <c r="B5558" s="4" t="s">
        <v>249</v>
      </c>
      <c r="C5558" s="38" t="s">
        <v>4937</v>
      </c>
      <c r="D5558" s="18">
        <v>2022</v>
      </c>
      <c r="E5558" s="18" t="s">
        <v>0</v>
      </c>
      <c r="F5558" s="4">
        <v>1</v>
      </c>
      <c r="G5558" s="42">
        <v>6</v>
      </c>
      <c r="H5558" s="42">
        <f>0.00994766*(1000)</f>
        <v>9.9476600000000008</v>
      </c>
    </row>
    <row r="5559" spans="1:8" s="15" customFormat="1" ht="16.5" hidden="1" customHeight="1" outlineLevel="1" x14ac:dyDescent="0.25">
      <c r="A5559" s="18">
        <v>3859</v>
      </c>
      <c r="B5559" s="4" t="s">
        <v>249</v>
      </c>
      <c r="C5559" s="38" t="s">
        <v>4938</v>
      </c>
      <c r="D5559" s="18">
        <v>2022</v>
      </c>
      <c r="E5559" s="18" t="s">
        <v>0</v>
      </c>
      <c r="F5559" s="4">
        <v>1</v>
      </c>
      <c r="G5559" s="42">
        <v>10</v>
      </c>
      <c r="H5559" s="42">
        <f>0.00994767*(1000)</f>
        <v>9.9476700000000005</v>
      </c>
    </row>
    <row r="5560" spans="1:8" s="15" customFormat="1" ht="16.5" hidden="1" customHeight="1" outlineLevel="1" x14ac:dyDescent="0.25">
      <c r="A5560" s="18">
        <v>3861</v>
      </c>
      <c r="B5560" s="4" t="s">
        <v>249</v>
      </c>
      <c r="C5560" s="38" t="s">
        <v>4939</v>
      </c>
      <c r="D5560" s="18">
        <v>2022</v>
      </c>
      <c r="E5560" s="18" t="s">
        <v>0</v>
      </c>
      <c r="F5560" s="4">
        <v>1</v>
      </c>
      <c r="G5560" s="42">
        <v>8</v>
      </c>
      <c r="H5560" s="42">
        <f>0.00994766*(1000)</f>
        <v>9.9476600000000008</v>
      </c>
    </row>
    <row r="5561" spans="1:8" s="15" customFormat="1" ht="16.5" hidden="1" customHeight="1" outlineLevel="1" x14ac:dyDescent="0.25">
      <c r="A5561" s="18">
        <v>3863</v>
      </c>
      <c r="B5561" s="4" t="s">
        <v>249</v>
      </c>
      <c r="C5561" s="38" t="s">
        <v>4940</v>
      </c>
      <c r="D5561" s="18">
        <v>2022</v>
      </c>
      <c r="E5561" s="18" t="s">
        <v>0</v>
      </c>
      <c r="F5561" s="4">
        <v>1</v>
      </c>
      <c r="G5561" s="42">
        <v>10</v>
      </c>
      <c r="H5561" s="42">
        <f>0.01007967*(1000)</f>
        <v>10.07967</v>
      </c>
    </row>
    <row r="5562" spans="1:8" s="15" customFormat="1" ht="16.5" hidden="1" customHeight="1" outlineLevel="1" x14ac:dyDescent="0.25">
      <c r="A5562" s="18">
        <v>3865</v>
      </c>
      <c r="B5562" s="4" t="s">
        <v>249</v>
      </c>
      <c r="C5562" s="38" t="s">
        <v>4941</v>
      </c>
      <c r="D5562" s="18">
        <v>2022</v>
      </c>
      <c r="E5562" s="18" t="s">
        <v>0</v>
      </c>
      <c r="F5562" s="4">
        <v>1</v>
      </c>
      <c r="G5562" s="42">
        <v>10</v>
      </c>
      <c r="H5562" s="42">
        <f>0.00994766*(1000)</f>
        <v>9.9476600000000008</v>
      </c>
    </row>
    <row r="5563" spans="1:8" s="15" customFormat="1" ht="16.5" hidden="1" customHeight="1" outlineLevel="1" x14ac:dyDescent="0.25">
      <c r="A5563" s="18">
        <v>3866</v>
      </c>
      <c r="B5563" s="4" t="s">
        <v>249</v>
      </c>
      <c r="C5563" s="38" t="s">
        <v>4942</v>
      </c>
      <c r="D5563" s="18">
        <v>2022</v>
      </c>
      <c r="E5563" s="18" t="s">
        <v>0</v>
      </c>
      <c r="F5563" s="4">
        <v>1</v>
      </c>
      <c r="G5563" s="42">
        <v>15</v>
      </c>
      <c r="H5563" s="42">
        <f>0.00994767*(1000)</f>
        <v>9.9476700000000005</v>
      </c>
    </row>
    <row r="5564" spans="1:8" s="15" customFormat="1" ht="16.5" hidden="1" customHeight="1" outlineLevel="1" x14ac:dyDescent="0.25">
      <c r="A5564" s="18">
        <v>3867</v>
      </c>
      <c r="B5564" s="4" t="s">
        <v>249</v>
      </c>
      <c r="C5564" s="38" t="s">
        <v>4943</v>
      </c>
      <c r="D5564" s="18">
        <v>2022</v>
      </c>
      <c r="E5564" s="18" t="s">
        <v>0</v>
      </c>
      <c r="F5564" s="4">
        <v>1</v>
      </c>
      <c r="G5564" s="42">
        <v>10</v>
      </c>
      <c r="H5564" s="42">
        <f>0.00994766*(1000)</f>
        <v>9.9476600000000008</v>
      </c>
    </row>
    <row r="5565" spans="1:8" s="15" customFormat="1" ht="16.5" hidden="1" customHeight="1" outlineLevel="1" x14ac:dyDescent="0.25">
      <c r="A5565" s="18">
        <v>3868</v>
      </c>
      <c r="B5565" s="4" t="s">
        <v>249</v>
      </c>
      <c r="C5565" s="38" t="s">
        <v>4944</v>
      </c>
      <c r="D5565" s="18">
        <v>2022</v>
      </c>
      <c r="E5565" s="18" t="s">
        <v>0</v>
      </c>
      <c r="F5565" s="4">
        <v>1</v>
      </c>
      <c r="G5565" s="42">
        <v>8</v>
      </c>
      <c r="H5565" s="42">
        <f>0.00994767*(1000)</f>
        <v>9.9476700000000005</v>
      </c>
    </row>
    <row r="5566" spans="1:8" s="15" customFormat="1" ht="16.5" hidden="1" customHeight="1" outlineLevel="1" x14ac:dyDescent="0.25">
      <c r="A5566" s="18">
        <v>3870</v>
      </c>
      <c r="B5566" s="4" t="s">
        <v>249</v>
      </c>
      <c r="C5566" s="38" t="s">
        <v>4945</v>
      </c>
      <c r="D5566" s="18">
        <v>2022</v>
      </c>
      <c r="E5566" s="18" t="s">
        <v>0</v>
      </c>
      <c r="F5566" s="4">
        <v>1</v>
      </c>
      <c r="G5566" s="42">
        <v>8</v>
      </c>
      <c r="H5566" s="42">
        <f>0.00994766*(1000)</f>
        <v>9.9476600000000008</v>
      </c>
    </row>
    <row r="5567" spans="1:8" s="15" customFormat="1" ht="16.5" hidden="1" customHeight="1" outlineLevel="1" x14ac:dyDescent="0.25">
      <c r="A5567" s="18">
        <v>3871</v>
      </c>
      <c r="B5567" s="4" t="s">
        <v>249</v>
      </c>
      <c r="C5567" s="38" t="s">
        <v>4946</v>
      </c>
      <c r="D5567" s="18">
        <v>2022</v>
      </c>
      <c r="E5567" s="18" t="s">
        <v>0</v>
      </c>
      <c r="F5567" s="4">
        <v>1</v>
      </c>
      <c r="G5567" s="42">
        <v>10</v>
      </c>
      <c r="H5567" s="42">
        <f>0.00994767*(1000)</f>
        <v>9.9476700000000005</v>
      </c>
    </row>
    <row r="5568" spans="1:8" s="15" customFormat="1" ht="16.5" hidden="1" customHeight="1" outlineLevel="1" x14ac:dyDescent="0.25">
      <c r="A5568" s="18">
        <v>3872</v>
      </c>
      <c r="B5568" s="4" t="s">
        <v>249</v>
      </c>
      <c r="C5568" s="38" t="s">
        <v>4947</v>
      </c>
      <c r="D5568" s="18">
        <v>2022</v>
      </c>
      <c r="E5568" s="18" t="s">
        <v>0</v>
      </c>
      <c r="F5568" s="4">
        <v>1</v>
      </c>
      <c r="G5568" s="42">
        <v>10</v>
      </c>
      <c r="H5568" s="42">
        <f>0.00994765*(1000)</f>
        <v>9.9476500000000012</v>
      </c>
    </row>
    <row r="5569" spans="1:8" s="15" customFormat="1" ht="16.5" hidden="1" customHeight="1" outlineLevel="1" x14ac:dyDescent="0.25">
      <c r="A5569" s="18">
        <v>3873</v>
      </c>
      <c r="B5569" s="4" t="s">
        <v>249</v>
      </c>
      <c r="C5569" s="38" t="s">
        <v>4948</v>
      </c>
      <c r="D5569" s="18">
        <v>2022</v>
      </c>
      <c r="E5569" s="18" t="s">
        <v>0</v>
      </c>
      <c r="F5569" s="4">
        <v>1</v>
      </c>
      <c r="G5569" s="42">
        <v>14</v>
      </c>
      <c r="H5569" s="42">
        <f>0.00994767*(1000)</f>
        <v>9.9476700000000005</v>
      </c>
    </row>
    <row r="5570" spans="1:8" s="15" customFormat="1" ht="16.5" hidden="1" customHeight="1" outlineLevel="1" x14ac:dyDescent="0.25">
      <c r="A5570" s="18">
        <v>3875</v>
      </c>
      <c r="B5570" s="4" t="s">
        <v>249</v>
      </c>
      <c r="C5570" s="38" t="s">
        <v>4949</v>
      </c>
      <c r="D5570" s="18">
        <v>2022</v>
      </c>
      <c r="E5570" s="18" t="s">
        <v>0</v>
      </c>
      <c r="F5570" s="4">
        <v>1</v>
      </c>
      <c r="G5570" s="42">
        <v>8</v>
      </c>
      <c r="H5570" s="42">
        <f t="shared" ref="H5570:H5575" si="8">0.00994766*(1000)</f>
        <v>9.9476600000000008</v>
      </c>
    </row>
    <row r="5571" spans="1:8" s="15" customFormat="1" ht="16.5" hidden="1" customHeight="1" outlineLevel="1" x14ac:dyDescent="0.25">
      <c r="A5571" s="18">
        <v>3876</v>
      </c>
      <c r="B5571" s="4" t="s">
        <v>249</v>
      </c>
      <c r="C5571" s="38" t="s">
        <v>4950</v>
      </c>
      <c r="D5571" s="18">
        <v>2022</v>
      </c>
      <c r="E5571" s="18" t="s">
        <v>0</v>
      </c>
      <c r="F5571" s="4">
        <v>1</v>
      </c>
      <c r="G5571" s="42">
        <v>8</v>
      </c>
      <c r="H5571" s="42">
        <f t="shared" si="8"/>
        <v>9.9476600000000008</v>
      </c>
    </row>
    <row r="5572" spans="1:8" s="15" customFormat="1" ht="16.5" hidden="1" customHeight="1" outlineLevel="1" x14ac:dyDescent="0.25">
      <c r="A5572" s="18">
        <v>3878</v>
      </c>
      <c r="B5572" s="4" t="s">
        <v>249</v>
      </c>
      <c r="C5572" s="38" t="s">
        <v>4951</v>
      </c>
      <c r="D5572" s="18">
        <v>2022</v>
      </c>
      <c r="E5572" s="18" t="s">
        <v>0</v>
      </c>
      <c r="F5572" s="4">
        <v>1</v>
      </c>
      <c r="G5572" s="42">
        <v>10</v>
      </c>
      <c r="H5572" s="42">
        <f t="shared" si="8"/>
        <v>9.9476600000000008</v>
      </c>
    </row>
    <row r="5573" spans="1:8" s="15" customFormat="1" ht="16.5" hidden="1" customHeight="1" outlineLevel="1" x14ac:dyDescent="0.25">
      <c r="A5573" s="18">
        <v>3879</v>
      </c>
      <c r="B5573" s="4" t="s">
        <v>249</v>
      </c>
      <c r="C5573" s="38" t="s">
        <v>4952</v>
      </c>
      <c r="D5573" s="18">
        <v>2022</v>
      </c>
      <c r="E5573" s="18" t="s">
        <v>0</v>
      </c>
      <c r="F5573" s="4">
        <v>1</v>
      </c>
      <c r="G5573" s="42">
        <v>10</v>
      </c>
      <c r="H5573" s="42">
        <f t="shared" si="8"/>
        <v>9.9476600000000008</v>
      </c>
    </row>
    <row r="5574" spans="1:8" s="15" customFormat="1" ht="16.5" hidden="1" customHeight="1" outlineLevel="1" x14ac:dyDescent="0.25">
      <c r="A5574" s="18">
        <v>3880</v>
      </c>
      <c r="B5574" s="4" t="s">
        <v>249</v>
      </c>
      <c r="C5574" s="38" t="s">
        <v>4953</v>
      </c>
      <c r="D5574" s="18">
        <v>2022</v>
      </c>
      <c r="E5574" s="18" t="s">
        <v>0</v>
      </c>
      <c r="F5574" s="4">
        <v>1</v>
      </c>
      <c r="G5574" s="42">
        <v>8</v>
      </c>
      <c r="H5574" s="42">
        <f t="shared" si="8"/>
        <v>9.9476600000000008</v>
      </c>
    </row>
    <row r="5575" spans="1:8" s="15" customFormat="1" ht="16.5" hidden="1" customHeight="1" outlineLevel="1" x14ac:dyDescent="0.25">
      <c r="A5575" s="18">
        <v>3881</v>
      </c>
      <c r="B5575" s="4" t="s">
        <v>249</v>
      </c>
      <c r="C5575" s="38" t="s">
        <v>4954</v>
      </c>
      <c r="D5575" s="18">
        <v>2022</v>
      </c>
      <c r="E5575" s="18" t="s">
        <v>0</v>
      </c>
      <c r="F5575" s="4">
        <v>1</v>
      </c>
      <c r="G5575" s="42">
        <v>8</v>
      </c>
      <c r="H5575" s="42">
        <f t="shared" si="8"/>
        <v>9.9476600000000008</v>
      </c>
    </row>
    <row r="5576" spans="1:8" s="15" customFormat="1" ht="16.5" hidden="1" customHeight="1" outlineLevel="1" x14ac:dyDescent="0.25">
      <c r="A5576" s="18">
        <v>3884</v>
      </c>
      <c r="B5576" s="4" t="s">
        <v>249</v>
      </c>
      <c r="C5576" s="38" t="s">
        <v>4955</v>
      </c>
      <c r="D5576" s="18">
        <v>2022</v>
      </c>
      <c r="E5576" s="18" t="s">
        <v>0</v>
      </c>
      <c r="F5576" s="4">
        <v>1</v>
      </c>
      <c r="G5576" s="42">
        <v>10</v>
      </c>
      <c r="H5576" s="42">
        <f>0.01007966*(1000)</f>
        <v>10.079660000000001</v>
      </c>
    </row>
    <row r="5577" spans="1:8" s="15" customFormat="1" ht="16.5" hidden="1" customHeight="1" outlineLevel="1" x14ac:dyDescent="0.25">
      <c r="A5577" s="18">
        <v>3886</v>
      </c>
      <c r="B5577" s="4" t="s">
        <v>249</v>
      </c>
      <c r="C5577" s="38" t="s">
        <v>4956</v>
      </c>
      <c r="D5577" s="18">
        <v>2022</v>
      </c>
      <c r="E5577" s="18" t="s">
        <v>0</v>
      </c>
      <c r="F5577" s="4">
        <v>1</v>
      </c>
      <c r="G5577" s="42">
        <v>10</v>
      </c>
      <c r="H5577" s="42">
        <f>0.01007967*(1000)</f>
        <v>10.07967</v>
      </c>
    </row>
    <row r="5578" spans="1:8" s="15" customFormat="1" ht="16.5" hidden="1" customHeight="1" outlineLevel="1" x14ac:dyDescent="0.25">
      <c r="A5578" s="18">
        <v>3887</v>
      </c>
      <c r="B5578" s="4" t="s">
        <v>249</v>
      </c>
      <c r="C5578" s="38" t="s">
        <v>4957</v>
      </c>
      <c r="D5578" s="18">
        <v>2022</v>
      </c>
      <c r="E5578" s="18" t="s">
        <v>0</v>
      </c>
      <c r="F5578" s="4">
        <v>1</v>
      </c>
      <c r="G5578" s="42">
        <v>8</v>
      </c>
      <c r="H5578" s="42">
        <f>0.00994766*(1000)</f>
        <v>9.9476600000000008</v>
      </c>
    </row>
    <row r="5579" spans="1:8" s="15" customFormat="1" ht="16.5" hidden="1" customHeight="1" outlineLevel="1" x14ac:dyDescent="0.25">
      <c r="A5579" s="18">
        <v>3893</v>
      </c>
      <c r="B5579" s="4" t="s">
        <v>249</v>
      </c>
      <c r="C5579" s="38" t="s">
        <v>4958</v>
      </c>
      <c r="D5579" s="18">
        <v>2022</v>
      </c>
      <c r="E5579" s="18" t="s">
        <v>0</v>
      </c>
      <c r="F5579" s="4">
        <v>1</v>
      </c>
      <c r="G5579" s="42">
        <v>8</v>
      </c>
      <c r="H5579" s="42">
        <f>0.01007967*(1000)</f>
        <v>10.07967</v>
      </c>
    </row>
    <row r="5580" spans="1:8" s="15" customFormat="1" ht="16.5" hidden="1" customHeight="1" outlineLevel="1" x14ac:dyDescent="0.25">
      <c r="A5580" s="18">
        <v>3894</v>
      </c>
      <c r="B5580" s="4" t="s">
        <v>249</v>
      </c>
      <c r="C5580" s="38" t="s">
        <v>4959</v>
      </c>
      <c r="D5580" s="18">
        <v>2022</v>
      </c>
      <c r="E5580" s="18" t="s">
        <v>0</v>
      </c>
      <c r="F5580" s="4">
        <v>1</v>
      </c>
      <c r="G5580" s="42">
        <v>10</v>
      </c>
      <c r="H5580" s="42">
        <f>0.01007966*(1000)</f>
        <v>10.079660000000001</v>
      </c>
    </row>
    <row r="5581" spans="1:8" s="15" customFormat="1" ht="16.5" hidden="1" customHeight="1" outlineLevel="1" x14ac:dyDescent="0.25">
      <c r="A5581" s="18">
        <v>3896</v>
      </c>
      <c r="B5581" s="4" t="s">
        <v>249</v>
      </c>
      <c r="C5581" s="38" t="s">
        <v>4960</v>
      </c>
      <c r="D5581" s="18">
        <v>2022</v>
      </c>
      <c r="E5581" s="18" t="s">
        <v>0</v>
      </c>
      <c r="F5581" s="4">
        <v>1</v>
      </c>
      <c r="G5581" s="42">
        <v>10</v>
      </c>
      <c r="H5581" s="42">
        <f>0.00994767*(1000)</f>
        <v>9.9476700000000005</v>
      </c>
    </row>
    <row r="5582" spans="1:8" s="15" customFormat="1" ht="16.5" hidden="1" customHeight="1" outlineLevel="1" x14ac:dyDescent="0.25">
      <c r="A5582" s="18">
        <v>3897</v>
      </c>
      <c r="B5582" s="4" t="s">
        <v>249</v>
      </c>
      <c r="C5582" s="38" t="s">
        <v>4961</v>
      </c>
      <c r="D5582" s="18">
        <v>2022</v>
      </c>
      <c r="E5582" s="18" t="s">
        <v>0</v>
      </c>
      <c r="F5582" s="4">
        <v>1</v>
      </c>
      <c r="G5582" s="42">
        <v>10</v>
      </c>
      <c r="H5582" s="42">
        <f>0.01008192*(1000)</f>
        <v>10.08192</v>
      </c>
    </row>
    <row r="5583" spans="1:8" s="15" customFormat="1" ht="16.5" hidden="1" customHeight="1" outlineLevel="1" x14ac:dyDescent="0.25">
      <c r="A5583" s="18">
        <v>3898</v>
      </c>
      <c r="B5583" s="4" t="s">
        <v>249</v>
      </c>
      <c r="C5583" s="38" t="s">
        <v>4962</v>
      </c>
      <c r="D5583" s="18">
        <v>2022</v>
      </c>
      <c r="E5583" s="18" t="s">
        <v>0</v>
      </c>
      <c r="F5583" s="4">
        <v>1</v>
      </c>
      <c r="G5583" s="42">
        <v>10</v>
      </c>
      <c r="H5583" s="42">
        <f>0.00994997*(1000)</f>
        <v>9.9499700000000004</v>
      </c>
    </row>
    <row r="5584" spans="1:8" s="15" customFormat="1" ht="16.5" hidden="1" customHeight="1" outlineLevel="1" x14ac:dyDescent="0.25">
      <c r="A5584" s="18">
        <v>3899</v>
      </c>
      <c r="B5584" s="4" t="s">
        <v>249</v>
      </c>
      <c r="C5584" s="38" t="s">
        <v>4963</v>
      </c>
      <c r="D5584" s="18">
        <v>2022</v>
      </c>
      <c r="E5584" s="18" t="s">
        <v>0</v>
      </c>
      <c r="F5584" s="4">
        <v>1</v>
      </c>
      <c r="G5584" s="42">
        <v>8</v>
      </c>
      <c r="H5584" s="42">
        <f>0.01008192*(1000)</f>
        <v>10.08192</v>
      </c>
    </row>
    <row r="5585" spans="1:8" s="15" customFormat="1" ht="16.5" hidden="1" customHeight="1" outlineLevel="1" x14ac:dyDescent="0.25">
      <c r="A5585" s="18">
        <v>3901</v>
      </c>
      <c r="B5585" s="4" t="s">
        <v>249</v>
      </c>
      <c r="C5585" s="38" t="s">
        <v>4964</v>
      </c>
      <c r="D5585" s="18">
        <v>2022</v>
      </c>
      <c r="E5585" s="18" t="s">
        <v>0</v>
      </c>
      <c r="F5585" s="4">
        <v>1</v>
      </c>
      <c r="G5585" s="42">
        <v>10</v>
      </c>
      <c r="H5585" s="42">
        <f>0.00994997*(1000)</f>
        <v>9.9499700000000004</v>
      </c>
    </row>
    <row r="5586" spans="1:8" s="15" customFormat="1" ht="16.5" hidden="1" customHeight="1" outlineLevel="1" x14ac:dyDescent="0.25">
      <c r="A5586" s="18">
        <v>3902</v>
      </c>
      <c r="B5586" s="4" t="s">
        <v>249</v>
      </c>
      <c r="C5586" s="38" t="s">
        <v>4965</v>
      </c>
      <c r="D5586" s="18">
        <v>2022</v>
      </c>
      <c r="E5586" s="18" t="s">
        <v>0</v>
      </c>
      <c r="F5586" s="4">
        <v>1</v>
      </c>
      <c r="G5586" s="42">
        <v>8</v>
      </c>
      <c r="H5586" s="42">
        <f>0.00994995*(1000)</f>
        <v>9.9499500000000012</v>
      </c>
    </row>
    <row r="5587" spans="1:8" s="15" customFormat="1" ht="16.5" hidden="1" customHeight="1" outlineLevel="1" x14ac:dyDescent="0.25">
      <c r="A5587" s="18">
        <v>3904</v>
      </c>
      <c r="B5587" s="4" t="s">
        <v>249</v>
      </c>
      <c r="C5587" s="38" t="s">
        <v>4966</v>
      </c>
      <c r="D5587" s="18">
        <v>2022</v>
      </c>
      <c r="E5587" s="18" t="s">
        <v>0</v>
      </c>
      <c r="F5587" s="4">
        <v>1</v>
      </c>
      <c r="G5587" s="42">
        <v>10</v>
      </c>
      <c r="H5587" s="42">
        <f>0.00993893*(1000)</f>
        <v>9.9389300000000009</v>
      </c>
    </row>
    <row r="5588" spans="1:8" s="15" customFormat="1" ht="16.5" hidden="1" customHeight="1" outlineLevel="1" x14ac:dyDescent="0.25">
      <c r="A5588" s="18">
        <v>3907</v>
      </c>
      <c r="B5588" s="4" t="s">
        <v>249</v>
      </c>
      <c r="C5588" s="38" t="s">
        <v>4967</v>
      </c>
      <c r="D5588" s="18">
        <v>2022</v>
      </c>
      <c r="E5588" s="18" t="s">
        <v>0</v>
      </c>
      <c r="F5588" s="4">
        <v>1</v>
      </c>
      <c r="G5588" s="42">
        <v>10</v>
      </c>
      <c r="H5588" s="42">
        <f>0.00993892*(1000)</f>
        <v>9.9389199999999995</v>
      </c>
    </row>
    <row r="5589" spans="1:8" s="15" customFormat="1" ht="16.5" hidden="1" customHeight="1" outlineLevel="1" x14ac:dyDescent="0.25">
      <c r="A5589" s="18">
        <v>3909</v>
      </c>
      <c r="B5589" s="4" t="s">
        <v>249</v>
      </c>
      <c r="C5589" s="38" t="s">
        <v>4968</v>
      </c>
      <c r="D5589" s="18">
        <v>2022</v>
      </c>
      <c r="E5589" s="18" t="s">
        <v>0</v>
      </c>
      <c r="F5589" s="4">
        <v>1</v>
      </c>
      <c r="G5589" s="42">
        <v>10</v>
      </c>
      <c r="H5589" s="42">
        <f>0.00993893*(1000)</f>
        <v>9.9389300000000009</v>
      </c>
    </row>
    <row r="5590" spans="1:8" s="15" customFormat="1" ht="16.5" hidden="1" customHeight="1" outlineLevel="1" x14ac:dyDescent="0.25">
      <c r="A5590" s="18">
        <v>3910</v>
      </c>
      <c r="B5590" s="4" t="s">
        <v>249</v>
      </c>
      <c r="C5590" s="38" t="s">
        <v>4969</v>
      </c>
      <c r="D5590" s="18">
        <v>2022</v>
      </c>
      <c r="E5590" s="18" t="s">
        <v>0</v>
      </c>
      <c r="F5590" s="4">
        <v>1</v>
      </c>
      <c r="G5590" s="42">
        <v>10</v>
      </c>
      <c r="H5590" s="42">
        <f>0.00993892*(1000)</f>
        <v>9.9389199999999995</v>
      </c>
    </row>
    <row r="5591" spans="1:8" s="15" customFormat="1" ht="16.5" hidden="1" customHeight="1" outlineLevel="1" x14ac:dyDescent="0.25">
      <c r="A5591" s="18">
        <v>3912</v>
      </c>
      <c r="B5591" s="4" t="s">
        <v>249</v>
      </c>
      <c r="C5591" s="38" t="s">
        <v>4970</v>
      </c>
      <c r="D5591" s="18">
        <v>2022</v>
      </c>
      <c r="E5591" s="18" t="s">
        <v>0</v>
      </c>
      <c r="F5591" s="4">
        <v>1</v>
      </c>
      <c r="G5591" s="42">
        <v>8</v>
      </c>
      <c r="H5591" s="42">
        <f>0.00993893*(1000)</f>
        <v>9.9389300000000009</v>
      </c>
    </row>
    <row r="5592" spans="1:8" s="15" customFormat="1" ht="16.5" hidden="1" customHeight="1" outlineLevel="1" x14ac:dyDescent="0.25">
      <c r="A5592" s="18">
        <v>3913</v>
      </c>
      <c r="B5592" s="4" t="s">
        <v>249</v>
      </c>
      <c r="C5592" s="38" t="s">
        <v>4971</v>
      </c>
      <c r="D5592" s="18">
        <v>2022</v>
      </c>
      <c r="E5592" s="18" t="s">
        <v>0</v>
      </c>
      <c r="F5592" s="4">
        <v>1</v>
      </c>
      <c r="G5592" s="42">
        <v>8</v>
      </c>
      <c r="H5592" s="42">
        <f>0.00993892*(1000)</f>
        <v>9.9389199999999995</v>
      </c>
    </row>
    <row r="5593" spans="1:8" s="15" customFormat="1" ht="16.5" hidden="1" customHeight="1" outlineLevel="1" x14ac:dyDescent="0.25">
      <c r="A5593" s="18">
        <v>3914</v>
      </c>
      <c r="B5593" s="4" t="s">
        <v>249</v>
      </c>
      <c r="C5593" s="38" t="s">
        <v>4972</v>
      </c>
      <c r="D5593" s="18">
        <v>2022</v>
      </c>
      <c r="E5593" s="18" t="s">
        <v>0</v>
      </c>
      <c r="F5593" s="4">
        <v>1</v>
      </c>
      <c r="G5593" s="42">
        <v>10</v>
      </c>
      <c r="H5593" s="42">
        <f>0.00993893*(1000)</f>
        <v>9.9389300000000009</v>
      </c>
    </row>
    <row r="5594" spans="1:8" s="15" customFormat="1" ht="16.5" hidden="1" customHeight="1" outlineLevel="1" x14ac:dyDescent="0.25">
      <c r="A5594" s="18">
        <v>3916</v>
      </c>
      <c r="B5594" s="4" t="s">
        <v>249</v>
      </c>
      <c r="C5594" s="38" t="s">
        <v>4973</v>
      </c>
      <c r="D5594" s="18">
        <v>2022</v>
      </c>
      <c r="E5594" s="18" t="s">
        <v>0</v>
      </c>
      <c r="F5594" s="4">
        <v>1</v>
      </c>
      <c r="G5594" s="42">
        <v>10</v>
      </c>
      <c r="H5594" s="42">
        <f>0.00993892*(1000)</f>
        <v>9.9389199999999995</v>
      </c>
    </row>
    <row r="5595" spans="1:8" s="15" customFormat="1" ht="16.5" hidden="1" customHeight="1" outlineLevel="1" x14ac:dyDescent="0.25">
      <c r="A5595" s="18">
        <v>3917</v>
      </c>
      <c r="B5595" s="4" t="s">
        <v>249</v>
      </c>
      <c r="C5595" s="38" t="s">
        <v>4974</v>
      </c>
      <c r="D5595" s="18">
        <v>2022</v>
      </c>
      <c r="E5595" s="18" t="s">
        <v>0</v>
      </c>
      <c r="F5595" s="4">
        <v>1</v>
      </c>
      <c r="G5595" s="42">
        <v>10</v>
      </c>
      <c r="H5595" s="42">
        <f>0.00993893*(1000)</f>
        <v>9.9389300000000009</v>
      </c>
    </row>
    <row r="5596" spans="1:8" s="15" customFormat="1" ht="16.5" hidden="1" customHeight="1" outlineLevel="1" x14ac:dyDescent="0.25">
      <c r="A5596" s="18">
        <v>3918</v>
      </c>
      <c r="B5596" s="4" t="s">
        <v>249</v>
      </c>
      <c r="C5596" s="38" t="s">
        <v>4975</v>
      </c>
      <c r="D5596" s="18">
        <v>2022</v>
      </c>
      <c r="E5596" s="18" t="s">
        <v>0</v>
      </c>
      <c r="F5596" s="4">
        <v>1</v>
      </c>
      <c r="G5596" s="42">
        <v>8</v>
      </c>
      <c r="H5596" s="42">
        <f>0.00993892*(1000)</f>
        <v>9.9389199999999995</v>
      </c>
    </row>
    <row r="5597" spans="1:8" s="15" customFormat="1" ht="16.5" hidden="1" customHeight="1" outlineLevel="1" x14ac:dyDescent="0.25">
      <c r="A5597" s="18">
        <v>3919</v>
      </c>
      <c r="B5597" s="4" t="s">
        <v>249</v>
      </c>
      <c r="C5597" s="38" t="s">
        <v>4976</v>
      </c>
      <c r="D5597" s="18">
        <v>2022</v>
      </c>
      <c r="E5597" s="18" t="s">
        <v>0</v>
      </c>
      <c r="F5597" s="4">
        <v>1</v>
      </c>
      <c r="G5597" s="42">
        <v>10</v>
      </c>
      <c r="H5597" s="42">
        <f>0.00993893*(1000)</f>
        <v>9.9389300000000009</v>
      </c>
    </row>
    <row r="5598" spans="1:8" s="15" customFormat="1" ht="16.5" hidden="1" customHeight="1" outlineLevel="1" x14ac:dyDescent="0.25">
      <c r="A5598" s="18">
        <v>3920</v>
      </c>
      <c r="B5598" s="4" t="s">
        <v>249</v>
      </c>
      <c r="C5598" s="38" t="s">
        <v>4977</v>
      </c>
      <c r="D5598" s="18">
        <v>2022</v>
      </c>
      <c r="E5598" s="18" t="s">
        <v>0</v>
      </c>
      <c r="F5598" s="4">
        <v>1</v>
      </c>
      <c r="G5598" s="42">
        <v>8</v>
      </c>
      <c r="H5598" s="42">
        <f>0.00991633*(1000)</f>
        <v>9.9163299999999985</v>
      </c>
    </row>
    <row r="5599" spans="1:8" s="15" customFormat="1" ht="16.5" hidden="1" customHeight="1" outlineLevel="1" x14ac:dyDescent="0.25">
      <c r="A5599" s="18">
        <v>3924</v>
      </c>
      <c r="B5599" s="4" t="s">
        <v>249</v>
      </c>
      <c r="C5599" s="38" t="s">
        <v>4978</v>
      </c>
      <c r="D5599" s="18">
        <v>2022</v>
      </c>
      <c r="E5599" s="18" t="s">
        <v>0</v>
      </c>
      <c r="F5599" s="4">
        <v>1</v>
      </c>
      <c r="G5599" s="42">
        <v>8</v>
      </c>
      <c r="H5599" s="42">
        <f>0.00991634*(1000)</f>
        <v>9.9163399999999999</v>
      </c>
    </row>
    <row r="5600" spans="1:8" s="15" customFormat="1" ht="16.5" hidden="1" customHeight="1" outlineLevel="1" x14ac:dyDescent="0.25">
      <c r="A5600" s="18">
        <v>3925</v>
      </c>
      <c r="B5600" s="4" t="s">
        <v>249</v>
      </c>
      <c r="C5600" s="38" t="s">
        <v>4979</v>
      </c>
      <c r="D5600" s="18">
        <v>2022</v>
      </c>
      <c r="E5600" s="18" t="s">
        <v>0</v>
      </c>
      <c r="F5600" s="4">
        <v>1</v>
      </c>
      <c r="G5600" s="42">
        <v>10</v>
      </c>
      <c r="H5600" s="42">
        <f>0.00991633*(1000)</f>
        <v>9.9163299999999985</v>
      </c>
    </row>
    <row r="5601" spans="1:8" s="15" customFormat="1" ht="16.5" hidden="1" customHeight="1" outlineLevel="1" x14ac:dyDescent="0.25">
      <c r="A5601" s="18">
        <v>3926</v>
      </c>
      <c r="B5601" s="4" t="s">
        <v>249</v>
      </c>
      <c r="C5601" s="38" t="s">
        <v>4980</v>
      </c>
      <c r="D5601" s="18">
        <v>2022</v>
      </c>
      <c r="E5601" s="18" t="s">
        <v>0</v>
      </c>
      <c r="F5601" s="4">
        <v>1</v>
      </c>
      <c r="G5601" s="42">
        <v>10</v>
      </c>
      <c r="H5601" s="42">
        <f>0.00991634*(1000)</f>
        <v>9.9163399999999999</v>
      </c>
    </row>
    <row r="5602" spans="1:8" s="15" customFormat="1" ht="16.5" hidden="1" customHeight="1" outlineLevel="1" x14ac:dyDescent="0.25">
      <c r="A5602" s="18">
        <v>3927</v>
      </c>
      <c r="B5602" s="4" t="s">
        <v>249</v>
      </c>
      <c r="C5602" s="38" t="s">
        <v>4981</v>
      </c>
      <c r="D5602" s="18">
        <v>2022</v>
      </c>
      <c r="E5602" s="18" t="s">
        <v>0</v>
      </c>
      <c r="F5602" s="4">
        <v>1</v>
      </c>
      <c r="G5602" s="42">
        <v>10</v>
      </c>
      <c r="H5602" s="42">
        <f>0.00991633*(1000)</f>
        <v>9.9163299999999985</v>
      </c>
    </row>
    <row r="5603" spans="1:8" s="15" customFormat="1" ht="16.5" hidden="1" customHeight="1" outlineLevel="1" x14ac:dyDescent="0.25">
      <c r="A5603" s="18">
        <v>3928</v>
      </c>
      <c r="B5603" s="4" t="s">
        <v>249</v>
      </c>
      <c r="C5603" s="38" t="s">
        <v>4982</v>
      </c>
      <c r="D5603" s="18">
        <v>2022</v>
      </c>
      <c r="E5603" s="18" t="s">
        <v>0</v>
      </c>
      <c r="F5603" s="4">
        <v>1</v>
      </c>
      <c r="G5603" s="42">
        <v>10</v>
      </c>
      <c r="H5603" s="42">
        <f>0.00991634*(1000)</f>
        <v>9.9163399999999999</v>
      </c>
    </row>
    <row r="5604" spans="1:8" s="15" customFormat="1" ht="16.5" hidden="1" customHeight="1" outlineLevel="1" x14ac:dyDescent="0.25">
      <c r="A5604" s="18">
        <v>3929</v>
      </c>
      <c r="B5604" s="4" t="s">
        <v>249</v>
      </c>
      <c r="C5604" s="38" t="s">
        <v>4983</v>
      </c>
      <c r="D5604" s="18">
        <v>2022</v>
      </c>
      <c r="E5604" s="18" t="s">
        <v>0</v>
      </c>
      <c r="F5604" s="4">
        <v>1</v>
      </c>
      <c r="G5604" s="42">
        <v>8</v>
      </c>
      <c r="H5604" s="42">
        <f>0.00991633*(1000)</f>
        <v>9.9163299999999985</v>
      </c>
    </row>
    <row r="5605" spans="1:8" s="15" customFormat="1" ht="16.5" hidden="1" customHeight="1" outlineLevel="1" x14ac:dyDescent="0.25">
      <c r="A5605" s="18">
        <v>3932</v>
      </c>
      <c r="B5605" s="4" t="s">
        <v>249</v>
      </c>
      <c r="C5605" s="38" t="s">
        <v>4984</v>
      </c>
      <c r="D5605" s="18">
        <v>2022</v>
      </c>
      <c r="E5605" s="18" t="s">
        <v>0</v>
      </c>
      <c r="F5605" s="4">
        <v>1</v>
      </c>
      <c r="G5605" s="42">
        <v>10</v>
      </c>
      <c r="H5605" s="42">
        <f>0.00991634*(1000)</f>
        <v>9.9163399999999999</v>
      </c>
    </row>
    <row r="5606" spans="1:8" s="15" customFormat="1" ht="16.5" hidden="1" customHeight="1" outlineLevel="1" x14ac:dyDescent="0.25">
      <c r="A5606" s="18">
        <v>3934</v>
      </c>
      <c r="B5606" s="4" t="s">
        <v>249</v>
      </c>
      <c r="C5606" s="38" t="s">
        <v>4985</v>
      </c>
      <c r="D5606" s="18">
        <v>2022</v>
      </c>
      <c r="E5606" s="18" t="s">
        <v>0</v>
      </c>
      <c r="F5606" s="4">
        <v>1</v>
      </c>
      <c r="G5606" s="42">
        <v>10</v>
      </c>
      <c r="H5606" s="42">
        <f>0.00991633*(1000)</f>
        <v>9.9163299999999985</v>
      </c>
    </row>
    <row r="5607" spans="1:8" s="15" customFormat="1" ht="16.5" hidden="1" customHeight="1" outlineLevel="1" x14ac:dyDescent="0.25">
      <c r="A5607" s="18">
        <v>3935</v>
      </c>
      <c r="B5607" s="4" t="s">
        <v>249</v>
      </c>
      <c r="C5607" s="38" t="s">
        <v>4986</v>
      </c>
      <c r="D5607" s="18">
        <v>2022</v>
      </c>
      <c r="E5607" s="18" t="s">
        <v>0</v>
      </c>
      <c r="F5607" s="4">
        <v>1</v>
      </c>
      <c r="G5607" s="42">
        <v>8</v>
      </c>
      <c r="H5607" s="42">
        <f>0.00991634*(1000)</f>
        <v>9.9163399999999999</v>
      </c>
    </row>
    <row r="5608" spans="1:8" s="15" customFormat="1" ht="16.5" hidden="1" customHeight="1" outlineLevel="1" x14ac:dyDescent="0.25">
      <c r="A5608" s="18">
        <v>3937</v>
      </c>
      <c r="B5608" s="4" t="s">
        <v>249</v>
      </c>
      <c r="C5608" s="38" t="s">
        <v>4987</v>
      </c>
      <c r="D5608" s="18">
        <v>2022</v>
      </c>
      <c r="E5608" s="18" t="s">
        <v>0</v>
      </c>
      <c r="F5608" s="4">
        <v>1</v>
      </c>
      <c r="G5608" s="42">
        <v>10</v>
      </c>
      <c r="H5608" s="42">
        <f>0.00991633*(1000)</f>
        <v>9.9163299999999985</v>
      </c>
    </row>
    <row r="5609" spans="1:8" s="15" customFormat="1" ht="16.5" hidden="1" customHeight="1" outlineLevel="1" x14ac:dyDescent="0.25">
      <c r="A5609" s="18">
        <v>3939</v>
      </c>
      <c r="B5609" s="4" t="s">
        <v>249</v>
      </c>
      <c r="C5609" s="38" t="s">
        <v>4988</v>
      </c>
      <c r="D5609" s="18">
        <v>2022</v>
      </c>
      <c r="E5609" s="18" t="s">
        <v>0</v>
      </c>
      <c r="F5609" s="4">
        <v>1</v>
      </c>
      <c r="G5609" s="42">
        <v>10</v>
      </c>
      <c r="H5609" s="42">
        <f>0.00991634*(1000)</f>
        <v>9.9163399999999999</v>
      </c>
    </row>
    <row r="5610" spans="1:8" s="15" customFormat="1" ht="16.5" hidden="1" customHeight="1" outlineLevel="1" x14ac:dyDescent="0.25">
      <c r="A5610" s="18">
        <v>3940</v>
      </c>
      <c r="B5610" s="4" t="s">
        <v>249</v>
      </c>
      <c r="C5610" s="38" t="s">
        <v>4989</v>
      </c>
      <c r="D5610" s="18">
        <v>2022</v>
      </c>
      <c r="E5610" s="18" t="s">
        <v>0</v>
      </c>
      <c r="F5610" s="4">
        <v>1</v>
      </c>
      <c r="G5610" s="42">
        <v>5</v>
      </c>
      <c r="H5610" s="42">
        <f>0.00991633*(1000)</f>
        <v>9.9163299999999985</v>
      </c>
    </row>
    <row r="5611" spans="1:8" s="15" customFormat="1" ht="16.5" hidden="1" customHeight="1" outlineLevel="1" x14ac:dyDescent="0.25">
      <c r="A5611" s="18">
        <v>3941</v>
      </c>
      <c r="B5611" s="4" t="s">
        <v>249</v>
      </c>
      <c r="C5611" s="38" t="s">
        <v>4990</v>
      </c>
      <c r="D5611" s="18">
        <v>2022</v>
      </c>
      <c r="E5611" s="18" t="s">
        <v>0</v>
      </c>
      <c r="F5611" s="4">
        <v>1</v>
      </c>
      <c r="G5611" s="42">
        <v>8</v>
      </c>
      <c r="H5611" s="42">
        <f>0.00991634*(1000)</f>
        <v>9.9163399999999999</v>
      </c>
    </row>
    <row r="5612" spans="1:8" s="15" customFormat="1" ht="16.5" hidden="1" customHeight="1" outlineLevel="1" x14ac:dyDescent="0.25">
      <c r="A5612" s="18">
        <v>3942</v>
      </c>
      <c r="B5612" s="4" t="s">
        <v>249</v>
      </c>
      <c r="C5612" s="38" t="s">
        <v>4991</v>
      </c>
      <c r="D5612" s="18">
        <v>2022</v>
      </c>
      <c r="E5612" s="18" t="s">
        <v>0</v>
      </c>
      <c r="F5612" s="4">
        <v>1</v>
      </c>
      <c r="G5612" s="42">
        <v>8</v>
      </c>
      <c r="H5612" s="42">
        <f>0.00991633*(1000)</f>
        <v>9.9163299999999985</v>
      </c>
    </row>
    <row r="5613" spans="1:8" s="15" customFormat="1" ht="16.5" hidden="1" customHeight="1" outlineLevel="1" x14ac:dyDescent="0.25">
      <c r="A5613" s="18">
        <v>3943</v>
      </c>
      <c r="B5613" s="4" t="s">
        <v>249</v>
      </c>
      <c r="C5613" s="38" t="s">
        <v>4992</v>
      </c>
      <c r="D5613" s="18">
        <v>2022</v>
      </c>
      <c r="E5613" s="18" t="s">
        <v>0</v>
      </c>
      <c r="F5613" s="4">
        <v>1</v>
      </c>
      <c r="G5613" s="42">
        <v>8</v>
      </c>
      <c r="H5613" s="42">
        <f>0.00991634*(1000)</f>
        <v>9.9163399999999999</v>
      </c>
    </row>
    <row r="5614" spans="1:8" s="15" customFormat="1" ht="16.5" hidden="1" customHeight="1" outlineLevel="1" x14ac:dyDescent="0.25">
      <c r="A5614" s="18">
        <v>3944</v>
      </c>
      <c r="B5614" s="4" t="s">
        <v>249</v>
      </c>
      <c r="C5614" s="38" t="s">
        <v>4993</v>
      </c>
      <c r="D5614" s="18">
        <v>2022</v>
      </c>
      <c r="E5614" s="18" t="s">
        <v>0</v>
      </c>
      <c r="F5614" s="4">
        <v>1</v>
      </c>
      <c r="G5614" s="42">
        <v>8</v>
      </c>
      <c r="H5614" s="42">
        <f>0.00991633*(1000)</f>
        <v>9.9163299999999985</v>
      </c>
    </row>
    <row r="5615" spans="1:8" s="15" customFormat="1" ht="16.5" hidden="1" customHeight="1" outlineLevel="1" x14ac:dyDescent="0.25">
      <c r="A5615" s="18">
        <v>3945</v>
      </c>
      <c r="B5615" s="4" t="s">
        <v>249</v>
      </c>
      <c r="C5615" s="38" t="s">
        <v>4994</v>
      </c>
      <c r="D5615" s="18">
        <v>2022</v>
      </c>
      <c r="E5615" s="18" t="s">
        <v>0</v>
      </c>
      <c r="F5615" s="4">
        <v>1</v>
      </c>
      <c r="G5615" s="42">
        <v>8</v>
      </c>
      <c r="H5615" s="42">
        <f>0.00991634*(1000)</f>
        <v>9.9163399999999999</v>
      </c>
    </row>
    <row r="5616" spans="1:8" s="15" customFormat="1" ht="16.5" hidden="1" customHeight="1" outlineLevel="1" x14ac:dyDescent="0.25">
      <c r="A5616" s="18">
        <v>3946</v>
      </c>
      <c r="B5616" s="4" t="s">
        <v>249</v>
      </c>
      <c r="C5616" s="38" t="s">
        <v>4995</v>
      </c>
      <c r="D5616" s="18">
        <v>2022</v>
      </c>
      <c r="E5616" s="18" t="s">
        <v>0</v>
      </c>
      <c r="F5616" s="4">
        <v>1</v>
      </c>
      <c r="G5616" s="42">
        <v>5</v>
      </c>
      <c r="H5616" s="42">
        <f>0.00991633*(1000)</f>
        <v>9.9163299999999985</v>
      </c>
    </row>
    <row r="5617" spans="1:8" s="15" customFormat="1" ht="16.5" hidden="1" customHeight="1" outlineLevel="1" x14ac:dyDescent="0.25">
      <c r="A5617" s="18">
        <v>3947</v>
      </c>
      <c r="B5617" s="4" t="s">
        <v>249</v>
      </c>
      <c r="C5617" s="38" t="s">
        <v>4996</v>
      </c>
      <c r="D5617" s="18">
        <v>2022</v>
      </c>
      <c r="E5617" s="18" t="s">
        <v>0</v>
      </c>
      <c r="F5617" s="4">
        <v>1</v>
      </c>
      <c r="G5617" s="42">
        <v>10</v>
      </c>
      <c r="H5617" s="42">
        <f>0.00991634*(1000)</f>
        <v>9.9163399999999999</v>
      </c>
    </row>
    <row r="5618" spans="1:8" s="15" customFormat="1" ht="16.5" hidden="1" customHeight="1" outlineLevel="1" x14ac:dyDescent="0.25">
      <c r="A5618" s="18">
        <v>3948</v>
      </c>
      <c r="B5618" s="4" t="s">
        <v>249</v>
      </c>
      <c r="C5618" s="38" t="s">
        <v>4997</v>
      </c>
      <c r="D5618" s="18">
        <v>2022</v>
      </c>
      <c r="E5618" s="18" t="s">
        <v>0</v>
      </c>
      <c r="F5618" s="4">
        <v>1</v>
      </c>
      <c r="G5618" s="42">
        <v>10</v>
      </c>
      <c r="H5618" s="42">
        <f>0.00993715*(1000)</f>
        <v>9.9371500000000008</v>
      </c>
    </row>
    <row r="5619" spans="1:8" s="15" customFormat="1" ht="16.5" hidden="1" customHeight="1" outlineLevel="1" x14ac:dyDescent="0.25">
      <c r="A5619" s="18">
        <v>3949</v>
      </c>
      <c r="B5619" s="4" t="s">
        <v>249</v>
      </c>
      <c r="C5619" s="38" t="s">
        <v>4998</v>
      </c>
      <c r="D5619" s="18">
        <v>2022</v>
      </c>
      <c r="E5619" s="18" t="s">
        <v>0</v>
      </c>
      <c r="F5619" s="4">
        <v>1</v>
      </c>
      <c r="G5619" s="42">
        <v>8</v>
      </c>
      <c r="H5619" s="42">
        <f>0.00993716*(1000)</f>
        <v>9.9371600000000004</v>
      </c>
    </row>
    <row r="5620" spans="1:8" s="15" customFormat="1" ht="16.5" hidden="1" customHeight="1" outlineLevel="1" x14ac:dyDescent="0.25">
      <c r="A5620" s="18">
        <v>3950</v>
      </c>
      <c r="B5620" s="4" t="s">
        <v>249</v>
      </c>
      <c r="C5620" s="38" t="s">
        <v>4999</v>
      </c>
      <c r="D5620" s="18">
        <v>2022</v>
      </c>
      <c r="E5620" s="18" t="s">
        <v>0</v>
      </c>
      <c r="F5620" s="4">
        <v>1</v>
      </c>
      <c r="G5620" s="42">
        <v>8</v>
      </c>
      <c r="H5620" s="42">
        <f>0.00993715*(1000)</f>
        <v>9.9371500000000008</v>
      </c>
    </row>
    <row r="5621" spans="1:8" s="15" customFormat="1" ht="16.5" hidden="1" customHeight="1" outlineLevel="1" x14ac:dyDescent="0.25">
      <c r="A5621" s="18">
        <v>3951</v>
      </c>
      <c r="B5621" s="4" t="s">
        <v>249</v>
      </c>
      <c r="C5621" s="38" t="s">
        <v>5000</v>
      </c>
      <c r="D5621" s="18">
        <v>2022</v>
      </c>
      <c r="E5621" s="18" t="s">
        <v>0</v>
      </c>
      <c r="F5621" s="4">
        <v>1</v>
      </c>
      <c r="G5621" s="42">
        <v>10</v>
      </c>
      <c r="H5621" s="42">
        <f>0.00993716*(1000)</f>
        <v>9.9371600000000004</v>
      </c>
    </row>
    <row r="5622" spans="1:8" s="15" customFormat="1" ht="16.5" hidden="1" customHeight="1" outlineLevel="1" x14ac:dyDescent="0.25">
      <c r="A5622" s="18">
        <v>3952</v>
      </c>
      <c r="B5622" s="4" t="s">
        <v>249</v>
      </c>
      <c r="C5622" s="38" t="s">
        <v>5001</v>
      </c>
      <c r="D5622" s="18">
        <v>2022</v>
      </c>
      <c r="E5622" s="18" t="s">
        <v>0</v>
      </c>
      <c r="F5622" s="4">
        <v>1</v>
      </c>
      <c r="G5622" s="42">
        <v>10</v>
      </c>
      <c r="H5622" s="42">
        <f>0.00993715*(1000)</f>
        <v>9.9371500000000008</v>
      </c>
    </row>
    <row r="5623" spans="1:8" s="15" customFormat="1" ht="16.5" hidden="1" customHeight="1" outlineLevel="1" x14ac:dyDescent="0.25">
      <c r="A5623" s="18">
        <v>3953</v>
      </c>
      <c r="B5623" s="4" t="s">
        <v>249</v>
      </c>
      <c r="C5623" s="38" t="s">
        <v>5002</v>
      </c>
      <c r="D5623" s="18">
        <v>2022</v>
      </c>
      <c r="E5623" s="18" t="s">
        <v>0</v>
      </c>
      <c r="F5623" s="4">
        <v>1</v>
      </c>
      <c r="G5623" s="42">
        <v>10</v>
      </c>
      <c r="H5623" s="42">
        <f>0.00993716*(1000)</f>
        <v>9.9371600000000004</v>
      </c>
    </row>
    <row r="5624" spans="1:8" s="15" customFormat="1" ht="16.5" hidden="1" customHeight="1" outlineLevel="1" x14ac:dyDescent="0.25">
      <c r="A5624" s="18">
        <v>3954</v>
      </c>
      <c r="B5624" s="4" t="s">
        <v>249</v>
      </c>
      <c r="C5624" s="38" t="s">
        <v>5003</v>
      </c>
      <c r="D5624" s="18">
        <v>2022</v>
      </c>
      <c r="E5624" s="18" t="s">
        <v>0</v>
      </c>
      <c r="F5624" s="4">
        <v>1</v>
      </c>
      <c r="G5624" s="42">
        <v>10</v>
      </c>
      <c r="H5624" s="42">
        <f>0.00993715*(1000)</f>
        <v>9.9371500000000008</v>
      </c>
    </row>
    <row r="5625" spans="1:8" s="15" customFormat="1" ht="16.5" hidden="1" customHeight="1" outlineLevel="1" x14ac:dyDescent="0.25">
      <c r="A5625" s="18">
        <v>3955</v>
      </c>
      <c r="B5625" s="4" t="s">
        <v>249</v>
      </c>
      <c r="C5625" s="38" t="s">
        <v>5004</v>
      </c>
      <c r="D5625" s="18">
        <v>2022</v>
      </c>
      <c r="E5625" s="18" t="s">
        <v>0</v>
      </c>
      <c r="F5625" s="4">
        <v>1</v>
      </c>
      <c r="G5625" s="42">
        <v>8</v>
      </c>
      <c r="H5625" s="42">
        <f>0.00993716*(1000)</f>
        <v>9.9371600000000004</v>
      </c>
    </row>
    <row r="5626" spans="1:8" s="15" customFormat="1" ht="16.5" hidden="1" customHeight="1" outlineLevel="1" x14ac:dyDescent="0.25">
      <c r="A5626" s="18">
        <v>3956</v>
      </c>
      <c r="B5626" s="4" t="s">
        <v>249</v>
      </c>
      <c r="C5626" s="38" t="s">
        <v>5005</v>
      </c>
      <c r="D5626" s="18">
        <v>2022</v>
      </c>
      <c r="E5626" s="18" t="s">
        <v>0</v>
      </c>
      <c r="F5626" s="4">
        <v>1</v>
      </c>
      <c r="G5626" s="42">
        <v>10</v>
      </c>
      <c r="H5626" s="42">
        <f>0.00993715*(1000)</f>
        <v>9.9371500000000008</v>
      </c>
    </row>
    <row r="5627" spans="1:8" s="15" customFormat="1" ht="16.5" hidden="1" customHeight="1" outlineLevel="1" x14ac:dyDescent="0.25">
      <c r="A5627" s="18">
        <v>3957</v>
      </c>
      <c r="B5627" s="4" t="s">
        <v>249</v>
      </c>
      <c r="C5627" s="38" t="s">
        <v>5006</v>
      </c>
      <c r="D5627" s="18">
        <v>2022</v>
      </c>
      <c r="E5627" s="18" t="s">
        <v>0</v>
      </c>
      <c r="F5627" s="4">
        <v>1</v>
      </c>
      <c r="G5627" s="42">
        <v>10</v>
      </c>
      <c r="H5627" s="42">
        <f>0.00993716*(1000)</f>
        <v>9.9371600000000004</v>
      </c>
    </row>
    <row r="5628" spans="1:8" s="15" customFormat="1" ht="16.5" hidden="1" customHeight="1" outlineLevel="1" x14ac:dyDescent="0.25">
      <c r="A5628" s="18">
        <v>3958</v>
      </c>
      <c r="B5628" s="4" t="s">
        <v>249</v>
      </c>
      <c r="C5628" s="38" t="s">
        <v>5007</v>
      </c>
      <c r="D5628" s="18">
        <v>2022</v>
      </c>
      <c r="E5628" s="18" t="s">
        <v>0</v>
      </c>
      <c r="F5628" s="4">
        <v>1</v>
      </c>
      <c r="G5628" s="42">
        <v>10</v>
      </c>
      <c r="H5628" s="42">
        <f>0.00993715*(1000)</f>
        <v>9.9371500000000008</v>
      </c>
    </row>
    <row r="5629" spans="1:8" s="15" customFormat="1" ht="16.5" hidden="1" customHeight="1" outlineLevel="1" x14ac:dyDescent="0.25">
      <c r="A5629" s="18">
        <v>3959</v>
      </c>
      <c r="B5629" s="4" t="s">
        <v>249</v>
      </c>
      <c r="C5629" s="38" t="s">
        <v>5008</v>
      </c>
      <c r="D5629" s="18">
        <v>2022</v>
      </c>
      <c r="E5629" s="18" t="s">
        <v>0</v>
      </c>
      <c r="F5629" s="4">
        <v>1</v>
      </c>
      <c r="G5629" s="42">
        <v>8</v>
      </c>
      <c r="H5629" s="42">
        <f>0.00993716*(1000)</f>
        <v>9.9371600000000004</v>
      </c>
    </row>
    <row r="5630" spans="1:8" s="15" customFormat="1" ht="16.5" hidden="1" customHeight="1" outlineLevel="1" x14ac:dyDescent="0.25">
      <c r="A5630" s="18">
        <v>3960</v>
      </c>
      <c r="B5630" s="4" t="s">
        <v>249</v>
      </c>
      <c r="C5630" s="38" t="s">
        <v>5009</v>
      </c>
      <c r="D5630" s="18">
        <v>2022</v>
      </c>
      <c r="E5630" s="18" t="s">
        <v>0</v>
      </c>
      <c r="F5630" s="4">
        <v>1</v>
      </c>
      <c r="G5630" s="42">
        <v>10</v>
      </c>
      <c r="H5630" s="42">
        <f>0.00993715*(1000)</f>
        <v>9.9371500000000008</v>
      </c>
    </row>
    <row r="5631" spans="1:8" s="15" customFormat="1" ht="16.5" hidden="1" customHeight="1" outlineLevel="1" x14ac:dyDescent="0.25">
      <c r="A5631" s="18">
        <v>3961</v>
      </c>
      <c r="B5631" s="4" t="s">
        <v>249</v>
      </c>
      <c r="C5631" s="38" t="s">
        <v>5010</v>
      </c>
      <c r="D5631" s="18">
        <v>2022</v>
      </c>
      <c r="E5631" s="18" t="s">
        <v>0</v>
      </c>
      <c r="F5631" s="4">
        <v>1</v>
      </c>
      <c r="G5631" s="42">
        <v>8</v>
      </c>
      <c r="H5631" s="42">
        <f>0.00993716*(1000)</f>
        <v>9.9371600000000004</v>
      </c>
    </row>
    <row r="5632" spans="1:8" s="15" customFormat="1" ht="16.5" hidden="1" customHeight="1" outlineLevel="1" x14ac:dyDescent="0.25">
      <c r="A5632" s="18">
        <v>3962</v>
      </c>
      <c r="B5632" s="4" t="s">
        <v>249</v>
      </c>
      <c r="C5632" s="38" t="s">
        <v>5011</v>
      </c>
      <c r="D5632" s="18">
        <v>2022</v>
      </c>
      <c r="E5632" s="18" t="s">
        <v>0</v>
      </c>
      <c r="F5632" s="4">
        <v>1</v>
      </c>
      <c r="G5632" s="42">
        <v>10</v>
      </c>
      <c r="H5632" s="42">
        <f>0.00993715*(1000)</f>
        <v>9.9371500000000008</v>
      </c>
    </row>
    <row r="5633" spans="1:8" s="15" customFormat="1" ht="16.5" hidden="1" customHeight="1" outlineLevel="1" x14ac:dyDescent="0.25">
      <c r="A5633" s="18">
        <v>3964</v>
      </c>
      <c r="B5633" s="4" t="s">
        <v>249</v>
      </c>
      <c r="C5633" s="38" t="s">
        <v>5012</v>
      </c>
      <c r="D5633" s="18">
        <v>2022</v>
      </c>
      <c r="E5633" s="18" t="s">
        <v>0</v>
      </c>
      <c r="F5633" s="4">
        <v>1</v>
      </c>
      <c r="G5633" s="42">
        <v>8</v>
      </c>
      <c r="H5633" s="42">
        <f>0.00993716*(1000)</f>
        <v>9.9371600000000004</v>
      </c>
    </row>
    <row r="5634" spans="1:8" s="15" customFormat="1" ht="16.5" hidden="1" customHeight="1" outlineLevel="1" x14ac:dyDescent="0.25">
      <c r="A5634" s="18">
        <v>3965</v>
      </c>
      <c r="B5634" s="4" t="s">
        <v>249</v>
      </c>
      <c r="C5634" s="38" t="s">
        <v>5013</v>
      </c>
      <c r="D5634" s="18">
        <v>2022</v>
      </c>
      <c r="E5634" s="18" t="s">
        <v>0</v>
      </c>
      <c r="F5634" s="4">
        <v>1</v>
      </c>
      <c r="G5634" s="42">
        <v>5</v>
      </c>
      <c r="H5634" s="42">
        <f>0.00993715*(1000)</f>
        <v>9.9371500000000008</v>
      </c>
    </row>
    <row r="5635" spans="1:8" s="15" customFormat="1" ht="16.5" hidden="1" customHeight="1" outlineLevel="1" x14ac:dyDescent="0.25">
      <c r="A5635" s="18">
        <v>3967</v>
      </c>
      <c r="B5635" s="4" t="s">
        <v>249</v>
      </c>
      <c r="C5635" s="38" t="s">
        <v>5014</v>
      </c>
      <c r="D5635" s="18">
        <v>2022</v>
      </c>
      <c r="E5635" s="18" t="s">
        <v>0</v>
      </c>
      <c r="F5635" s="4">
        <v>1</v>
      </c>
      <c r="G5635" s="42">
        <v>10</v>
      </c>
      <c r="H5635" s="42">
        <f>0.00993716*(1000)</f>
        <v>9.9371600000000004</v>
      </c>
    </row>
    <row r="5636" spans="1:8" s="15" customFormat="1" ht="16.5" hidden="1" customHeight="1" outlineLevel="1" x14ac:dyDescent="0.25">
      <c r="A5636" s="18">
        <v>3968</v>
      </c>
      <c r="B5636" s="4" t="s">
        <v>249</v>
      </c>
      <c r="C5636" s="38" t="s">
        <v>5015</v>
      </c>
      <c r="D5636" s="18">
        <v>2022</v>
      </c>
      <c r="E5636" s="18" t="s">
        <v>0</v>
      </c>
      <c r="F5636" s="4">
        <v>1</v>
      </c>
      <c r="G5636" s="42">
        <v>15</v>
      </c>
      <c r="H5636" s="42">
        <f>0.00993715*(1000)</f>
        <v>9.9371500000000008</v>
      </c>
    </row>
    <row r="5637" spans="1:8" s="15" customFormat="1" ht="16.5" hidden="1" customHeight="1" outlineLevel="1" x14ac:dyDescent="0.25">
      <c r="A5637" s="18">
        <v>3969</v>
      </c>
      <c r="B5637" s="4" t="s">
        <v>249</v>
      </c>
      <c r="C5637" s="38" t="s">
        <v>5016</v>
      </c>
      <c r="D5637" s="18">
        <v>2022</v>
      </c>
      <c r="E5637" s="18" t="s">
        <v>0</v>
      </c>
      <c r="F5637" s="4">
        <v>1</v>
      </c>
      <c r="G5637" s="42">
        <v>8</v>
      </c>
      <c r="H5637" s="42">
        <f>0.00993717*(1000)</f>
        <v>9.9371700000000001</v>
      </c>
    </row>
    <row r="5638" spans="1:8" s="15" customFormat="1" ht="16.5" hidden="1" customHeight="1" outlineLevel="1" x14ac:dyDescent="0.25">
      <c r="A5638" s="18">
        <v>3970</v>
      </c>
      <c r="B5638" s="4" t="s">
        <v>249</v>
      </c>
      <c r="C5638" s="38" t="s">
        <v>5017</v>
      </c>
      <c r="D5638" s="18">
        <v>2022</v>
      </c>
      <c r="E5638" s="18" t="s">
        <v>0</v>
      </c>
      <c r="F5638" s="4">
        <v>1</v>
      </c>
      <c r="G5638" s="42">
        <v>8</v>
      </c>
      <c r="H5638" s="42">
        <f>0.00993716*(1000)</f>
        <v>9.9371600000000004</v>
      </c>
    </row>
    <row r="5639" spans="1:8" s="15" customFormat="1" ht="16.5" hidden="1" customHeight="1" outlineLevel="1" x14ac:dyDescent="0.25">
      <c r="A5639" s="18">
        <v>3972</v>
      </c>
      <c r="B5639" s="4" t="s">
        <v>249</v>
      </c>
      <c r="C5639" s="38" t="s">
        <v>5018</v>
      </c>
      <c r="D5639" s="18">
        <v>2022</v>
      </c>
      <c r="E5639" s="18" t="s">
        <v>0</v>
      </c>
      <c r="F5639" s="4">
        <v>1</v>
      </c>
      <c r="G5639" s="42">
        <v>10</v>
      </c>
      <c r="H5639" s="42">
        <f>0.00993715*(1000)</f>
        <v>9.9371500000000008</v>
      </c>
    </row>
    <row r="5640" spans="1:8" s="15" customFormat="1" ht="16.5" hidden="1" customHeight="1" outlineLevel="1" x14ac:dyDescent="0.25">
      <c r="A5640" s="18">
        <v>3973</v>
      </c>
      <c r="B5640" s="4" t="s">
        <v>249</v>
      </c>
      <c r="C5640" s="38" t="s">
        <v>5019</v>
      </c>
      <c r="D5640" s="18">
        <v>2022</v>
      </c>
      <c r="E5640" s="18" t="s">
        <v>0</v>
      </c>
      <c r="F5640" s="4">
        <v>1</v>
      </c>
      <c r="G5640" s="42">
        <v>8</v>
      </c>
      <c r="H5640" s="42">
        <f>0.00993715*(1000)</f>
        <v>9.9371500000000008</v>
      </c>
    </row>
    <row r="5641" spans="1:8" s="15" customFormat="1" ht="16.5" hidden="1" customHeight="1" outlineLevel="1" x14ac:dyDescent="0.25">
      <c r="A5641" s="18">
        <v>3976</v>
      </c>
      <c r="B5641" s="4" t="s">
        <v>249</v>
      </c>
      <c r="C5641" s="38" t="s">
        <v>5020</v>
      </c>
      <c r="D5641" s="18">
        <v>2022</v>
      </c>
      <c r="E5641" s="18" t="s">
        <v>0</v>
      </c>
      <c r="F5641" s="4">
        <v>1</v>
      </c>
      <c r="G5641" s="42">
        <v>5</v>
      </c>
      <c r="H5641" s="42">
        <f>0.00993716*(1000)</f>
        <v>9.9371600000000004</v>
      </c>
    </row>
    <row r="5642" spans="1:8" s="15" customFormat="1" ht="16.5" hidden="1" customHeight="1" outlineLevel="1" x14ac:dyDescent="0.25">
      <c r="A5642" s="18">
        <v>3980</v>
      </c>
      <c r="B5642" s="4" t="s">
        <v>249</v>
      </c>
      <c r="C5642" s="38" t="s">
        <v>5021</v>
      </c>
      <c r="D5642" s="18">
        <v>2022</v>
      </c>
      <c r="E5642" s="18" t="s">
        <v>0</v>
      </c>
      <c r="F5642" s="4">
        <v>1</v>
      </c>
      <c r="G5642" s="42">
        <v>5</v>
      </c>
      <c r="H5642" s="42">
        <f>0.00993715*(1000)</f>
        <v>9.9371500000000008</v>
      </c>
    </row>
    <row r="5643" spans="1:8" s="15" customFormat="1" ht="16.5" hidden="1" customHeight="1" outlineLevel="1" x14ac:dyDescent="0.25">
      <c r="A5643" s="18">
        <v>3982</v>
      </c>
      <c r="B5643" s="4" t="s">
        <v>249</v>
      </c>
      <c r="C5643" s="38" t="s">
        <v>5022</v>
      </c>
      <c r="D5643" s="18">
        <v>2022</v>
      </c>
      <c r="E5643" s="18" t="s">
        <v>0</v>
      </c>
      <c r="F5643" s="4">
        <v>1</v>
      </c>
      <c r="G5643" s="42">
        <v>8</v>
      </c>
      <c r="H5643" s="42">
        <f>0.00993715*(1000)</f>
        <v>9.9371500000000008</v>
      </c>
    </row>
    <row r="5644" spans="1:8" s="15" customFormat="1" ht="16.5" hidden="1" customHeight="1" outlineLevel="1" x14ac:dyDescent="0.25">
      <c r="A5644" s="18">
        <v>3983</v>
      </c>
      <c r="B5644" s="4" t="s">
        <v>249</v>
      </c>
      <c r="C5644" s="38" t="s">
        <v>5023</v>
      </c>
      <c r="D5644" s="18">
        <v>2022</v>
      </c>
      <c r="E5644" s="18" t="s">
        <v>0</v>
      </c>
      <c r="F5644" s="4">
        <v>1</v>
      </c>
      <c r="G5644" s="42">
        <v>10</v>
      </c>
      <c r="H5644" s="42">
        <f>0.00993716*(1000)</f>
        <v>9.9371600000000004</v>
      </c>
    </row>
    <row r="5645" spans="1:8" s="15" customFormat="1" ht="16.5" hidden="1" customHeight="1" outlineLevel="1" x14ac:dyDescent="0.25">
      <c r="A5645" s="18">
        <v>3984</v>
      </c>
      <c r="B5645" s="4" t="s">
        <v>249</v>
      </c>
      <c r="C5645" s="38" t="s">
        <v>5024</v>
      </c>
      <c r="D5645" s="18">
        <v>2022</v>
      </c>
      <c r="E5645" s="18" t="s">
        <v>0</v>
      </c>
      <c r="F5645" s="4">
        <v>1</v>
      </c>
      <c r="G5645" s="42">
        <v>10</v>
      </c>
      <c r="H5645" s="42">
        <f>0.00993715*(1000)</f>
        <v>9.9371500000000008</v>
      </c>
    </row>
    <row r="5646" spans="1:8" s="15" customFormat="1" ht="16.5" hidden="1" customHeight="1" outlineLevel="1" x14ac:dyDescent="0.25">
      <c r="A5646" s="18">
        <v>3985</v>
      </c>
      <c r="B5646" s="4" t="s">
        <v>249</v>
      </c>
      <c r="C5646" s="38" t="s">
        <v>5025</v>
      </c>
      <c r="D5646" s="18">
        <v>2022</v>
      </c>
      <c r="E5646" s="18" t="s">
        <v>0</v>
      </c>
      <c r="F5646" s="4">
        <v>1</v>
      </c>
      <c r="G5646" s="42">
        <v>10</v>
      </c>
      <c r="H5646" s="42">
        <f>0.00993716*(1000)</f>
        <v>9.9371600000000004</v>
      </c>
    </row>
    <row r="5647" spans="1:8" s="15" customFormat="1" ht="16.5" hidden="1" customHeight="1" outlineLevel="1" x14ac:dyDescent="0.25">
      <c r="A5647" s="18">
        <v>3986</v>
      </c>
      <c r="B5647" s="4" t="s">
        <v>249</v>
      </c>
      <c r="C5647" s="38" t="s">
        <v>5026</v>
      </c>
      <c r="D5647" s="18">
        <v>2022</v>
      </c>
      <c r="E5647" s="18" t="s">
        <v>0</v>
      </c>
      <c r="F5647" s="4">
        <v>1</v>
      </c>
      <c r="G5647" s="42">
        <v>8</v>
      </c>
      <c r="H5647" s="42">
        <f>0.00993715*(1000)</f>
        <v>9.9371500000000008</v>
      </c>
    </row>
    <row r="5648" spans="1:8" s="15" customFormat="1" ht="16.5" hidden="1" customHeight="1" outlineLevel="1" x14ac:dyDescent="0.25">
      <c r="A5648" s="18">
        <v>3987</v>
      </c>
      <c r="B5648" s="4" t="s">
        <v>249</v>
      </c>
      <c r="C5648" s="38" t="s">
        <v>5027</v>
      </c>
      <c r="D5648" s="18">
        <v>2022</v>
      </c>
      <c r="E5648" s="18" t="s">
        <v>0</v>
      </c>
      <c r="F5648" s="4">
        <v>1</v>
      </c>
      <c r="G5648" s="42">
        <v>5</v>
      </c>
      <c r="H5648" s="42">
        <f>0.00993716*(1000)</f>
        <v>9.9371600000000004</v>
      </c>
    </row>
    <row r="5649" spans="1:8" s="15" customFormat="1" ht="16.5" hidden="1" customHeight="1" outlineLevel="1" x14ac:dyDescent="0.25">
      <c r="A5649" s="18">
        <v>3988</v>
      </c>
      <c r="B5649" s="4" t="s">
        <v>249</v>
      </c>
      <c r="C5649" s="38" t="s">
        <v>5028</v>
      </c>
      <c r="D5649" s="18">
        <v>2022</v>
      </c>
      <c r="E5649" s="18" t="s">
        <v>0</v>
      </c>
      <c r="F5649" s="4">
        <v>1</v>
      </c>
      <c r="G5649" s="42">
        <v>10</v>
      </c>
      <c r="H5649" s="42">
        <f>0.00993715*(1000)</f>
        <v>9.9371500000000008</v>
      </c>
    </row>
    <row r="5650" spans="1:8" s="15" customFormat="1" ht="16.5" hidden="1" customHeight="1" outlineLevel="1" x14ac:dyDescent="0.25">
      <c r="A5650" s="18">
        <v>3989</v>
      </c>
      <c r="B5650" s="4" t="s">
        <v>249</v>
      </c>
      <c r="C5650" s="38" t="s">
        <v>5029</v>
      </c>
      <c r="D5650" s="18">
        <v>2022</v>
      </c>
      <c r="E5650" s="18" t="s">
        <v>0</v>
      </c>
      <c r="F5650" s="4">
        <v>1</v>
      </c>
      <c r="G5650" s="42">
        <v>5</v>
      </c>
      <c r="H5650" s="42">
        <f>0.00993716*(1000)</f>
        <v>9.9371600000000004</v>
      </c>
    </row>
    <row r="5651" spans="1:8" s="15" customFormat="1" ht="16.5" hidden="1" customHeight="1" outlineLevel="1" x14ac:dyDescent="0.25">
      <c r="A5651" s="18">
        <v>3990</v>
      </c>
      <c r="B5651" s="4" t="s">
        <v>249</v>
      </c>
      <c r="C5651" s="38" t="s">
        <v>5030</v>
      </c>
      <c r="D5651" s="18">
        <v>2022</v>
      </c>
      <c r="E5651" s="18" t="s">
        <v>0</v>
      </c>
      <c r="F5651" s="4">
        <v>1</v>
      </c>
      <c r="G5651" s="42">
        <v>10</v>
      </c>
      <c r="H5651" s="42">
        <f>0.00993715*(1000)</f>
        <v>9.9371500000000008</v>
      </c>
    </row>
    <row r="5652" spans="1:8" s="15" customFormat="1" ht="16.5" hidden="1" customHeight="1" outlineLevel="1" x14ac:dyDescent="0.25">
      <c r="A5652" s="18">
        <v>3991</v>
      </c>
      <c r="B5652" s="4" t="s">
        <v>249</v>
      </c>
      <c r="C5652" s="38" t="s">
        <v>5031</v>
      </c>
      <c r="D5652" s="18">
        <v>2022</v>
      </c>
      <c r="E5652" s="18" t="s">
        <v>0</v>
      </c>
      <c r="F5652" s="4">
        <v>1</v>
      </c>
      <c r="G5652" s="42">
        <v>8</v>
      </c>
      <c r="H5652" s="42">
        <f>0.00993716*(1000)</f>
        <v>9.9371600000000004</v>
      </c>
    </row>
    <row r="5653" spans="1:8" s="15" customFormat="1" ht="16.5" hidden="1" customHeight="1" outlineLevel="1" x14ac:dyDescent="0.25">
      <c r="A5653" s="18">
        <v>3992</v>
      </c>
      <c r="B5653" s="4" t="s">
        <v>249</v>
      </c>
      <c r="C5653" s="38" t="s">
        <v>5032</v>
      </c>
      <c r="D5653" s="18">
        <v>2022</v>
      </c>
      <c r="E5653" s="18" t="s">
        <v>0</v>
      </c>
      <c r="F5653" s="4">
        <v>1</v>
      </c>
      <c r="G5653" s="42">
        <v>8</v>
      </c>
      <c r="H5653" s="42">
        <f>0.00993715*(1000)</f>
        <v>9.9371500000000008</v>
      </c>
    </row>
    <row r="5654" spans="1:8" s="15" customFormat="1" ht="16.5" hidden="1" customHeight="1" outlineLevel="1" x14ac:dyDescent="0.25">
      <c r="A5654" s="18">
        <v>3993</v>
      </c>
      <c r="B5654" s="4" t="s">
        <v>249</v>
      </c>
      <c r="C5654" s="38" t="s">
        <v>5033</v>
      </c>
      <c r="D5654" s="18">
        <v>2022</v>
      </c>
      <c r="E5654" s="18" t="s">
        <v>0</v>
      </c>
      <c r="F5654" s="4">
        <v>1</v>
      </c>
      <c r="G5654" s="42">
        <v>10</v>
      </c>
      <c r="H5654" s="42">
        <f>0.00993716*(1000)</f>
        <v>9.9371600000000004</v>
      </c>
    </row>
    <row r="5655" spans="1:8" s="15" customFormat="1" ht="16.5" hidden="1" customHeight="1" outlineLevel="1" x14ac:dyDescent="0.25">
      <c r="A5655" s="18">
        <v>3994</v>
      </c>
      <c r="B5655" s="4" t="s">
        <v>249</v>
      </c>
      <c r="C5655" s="38" t="s">
        <v>5034</v>
      </c>
      <c r="D5655" s="18">
        <v>2022</v>
      </c>
      <c r="E5655" s="18" t="s">
        <v>0</v>
      </c>
      <c r="F5655" s="4">
        <v>1</v>
      </c>
      <c r="G5655" s="42">
        <v>10</v>
      </c>
      <c r="H5655" s="42">
        <f>0.00993715*(1000)</f>
        <v>9.9371500000000008</v>
      </c>
    </row>
    <row r="5656" spans="1:8" s="15" customFormat="1" ht="16.5" hidden="1" customHeight="1" outlineLevel="1" x14ac:dyDescent="0.25">
      <c r="A5656" s="18">
        <v>3996</v>
      </c>
      <c r="B5656" s="4" t="s">
        <v>249</v>
      </c>
      <c r="C5656" s="38" t="s">
        <v>5035</v>
      </c>
      <c r="D5656" s="18">
        <v>2022</v>
      </c>
      <c r="E5656" s="18" t="s">
        <v>0</v>
      </c>
      <c r="F5656" s="4">
        <v>1</v>
      </c>
      <c r="G5656" s="42">
        <v>8</v>
      </c>
      <c r="H5656" s="42">
        <f>0.00993716*(1000)</f>
        <v>9.9371600000000004</v>
      </c>
    </row>
    <row r="5657" spans="1:8" s="15" customFormat="1" ht="16.5" hidden="1" customHeight="1" outlineLevel="1" x14ac:dyDescent="0.25">
      <c r="A5657" s="18">
        <v>3997</v>
      </c>
      <c r="B5657" s="4" t="s">
        <v>249</v>
      </c>
      <c r="C5657" s="38" t="s">
        <v>5036</v>
      </c>
      <c r="D5657" s="18">
        <v>2022</v>
      </c>
      <c r="E5657" s="18" t="s">
        <v>0</v>
      </c>
      <c r="F5657" s="4">
        <v>1</v>
      </c>
      <c r="G5657" s="42">
        <v>8</v>
      </c>
      <c r="H5657" s="42">
        <f>0.00993715*(1000)</f>
        <v>9.9371500000000008</v>
      </c>
    </row>
    <row r="5658" spans="1:8" s="15" customFormat="1" ht="16.5" hidden="1" customHeight="1" outlineLevel="1" x14ac:dyDescent="0.25">
      <c r="A5658" s="18">
        <v>3998</v>
      </c>
      <c r="B5658" s="4" t="s">
        <v>249</v>
      </c>
      <c r="C5658" s="38" t="s">
        <v>5037</v>
      </c>
      <c r="D5658" s="18">
        <v>2022</v>
      </c>
      <c r="E5658" s="18" t="s">
        <v>0</v>
      </c>
      <c r="F5658" s="4">
        <v>1</v>
      </c>
      <c r="G5658" s="42">
        <v>10</v>
      </c>
      <c r="H5658" s="42">
        <f>0.00993716*(1000)</f>
        <v>9.9371600000000004</v>
      </c>
    </row>
    <row r="5659" spans="1:8" s="15" customFormat="1" ht="16.5" hidden="1" customHeight="1" outlineLevel="1" x14ac:dyDescent="0.25">
      <c r="A5659" s="18">
        <v>3999</v>
      </c>
      <c r="B5659" s="4" t="s">
        <v>249</v>
      </c>
      <c r="C5659" s="38" t="s">
        <v>5038</v>
      </c>
      <c r="D5659" s="18">
        <v>2022</v>
      </c>
      <c r="E5659" s="18" t="s">
        <v>0</v>
      </c>
      <c r="F5659" s="4">
        <v>1</v>
      </c>
      <c r="G5659" s="42">
        <v>10</v>
      </c>
      <c r="H5659" s="42">
        <f>0.00993715*(1000)</f>
        <v>9.9371500000000008</v>
      </c>
    </row>
    <row r="5660" spans="1:8" s="15" customFormat="1" ht="16.5" hidden="1" customHeight="1" outlineLevel="1" x14ac:dyDescent="0.25">
      <c r="A5660" s="18">
        <v>4000</v>
      </c>
      <c r="B5660" s="4" t="s">
        <v>249</v>
      </c>
      <c r="C5660" s="38" t="s">
        <v>5039</v>
      </c>
      <c r="D5660" s="18">
        <v>2022</v>
      </c>
      <c r="E5660" s="18" t="s">
        <v>0</v>
      </c>
      <c r="F5660" s="4">
        <v>1</v>
      </c>
      <c r="G5660" s="42">
        <v>10</v>
      </c>
      <c r="H5660" s="42">
        <f>0.00993716*(1000)</f>
        <v>9.9371600000000004</v>
      </c>
    </row>
    <row r="5661" spans="1:8" s="15" customFormat="1" ht="16.5" hidden="1" customHeight="1" outlineLevel="1" x14ac:dyDescent="0.25">
      <c r="A5661" s="18">
        <v>4003</v>
      </c>
      <c r="B5661" s="4" t="s">
        <v>249</v>
      </c>
      <c r="C5661" s="38" t="s">
        <v>5040</v>
      </c>
      <c r="D5661" s="18">
        <v>2022</v>
      </c>
      <c r="E5661" s="18" t="s">
        <v>0</v>
      </c>
      <c r="F5661" s="4">
        <v>1</v>
      </c>
      <c r="G5661" s="42">
        <v>10</v>
      </c>
      <c r="H5661" s="42">
        <f>0.00993715*(1000)</f>
        <v>9.9371500000000008</v>
      </c>
    </row>
    <row r="5662" spans="1:8" s="15" customFormat="1" ht="16.5" hidden="1" customHeight="1" outlineLevel="1" x14ac:dyDescent="0.25">
      <c r="A5662" s="18">
        <v>4004</v>
      </c>
      <c r="B5662" s="4" t="s">
        <v>249</v>
      </c>
      <c r="C5662" s="38" t="s">
        <v>5041</v>
      </c>
      <c r="D5662" s="18">
        <v>2022</v>
      </c>
      <c r="E5662" s="18" t="s">
        <v>0</v>
      </c>
      <c r="F5662" s="4">
        <v>1</v>
      </c>
      <c r="G5662" s="42">
        <v>10</v>
      </c>
      <c r="H5662" s="42">
        <f>0.00993716*(1000)</f>
        <v>9.9371600000000004</v>
      </c>
    </row>
    <row r="5663" spans="1:8" s="15" customFormat="1" ht="16.5" hidden="1" customHeight="1" outlineLevel="1" x14ac:dyDescent="0.25">
      <c r="A5663" s="18">
        <v>4007</v>
      </c>
      <c r="B5663" s="4" t="s">
        <v>249</v>
      </c>
      <c r="C5663" s="38" t="s">
        <v>5042</v>
      </c>
      <c r="D5663" s="18">
        <v>2022</v>
      </c>
      <c r="E5663" s="18" t="s">
        <v>0</v>
      </c>
      <c r="F5663" s="4">
        <v>1</v>
      </c>
      <c r="G5663" s="42">
        <v>5</v>
      </c>
      <c r="H5663" s="42">
        <f>0.01008633*(1000)</f>
        <v>10.086329999999998</v>
      </c>
    </row>
    <row r="5664" spans="1:8" s="15" customFormat="1" ht="16.5" hidden="1" customHeight="1" outlineLevel="1" x14ac:dyDescent="0.25">
      <c r="A5664" s="18">
        <v>4008</v>
      </c>
      <c r="B5664" s="4" t="s">
        <v>249</v>
      </c>
      <c r="C5664" s="38" t="s">
        <v>5043</v>
      </c>
      <c r="D5664" s="18">
        <v>2022</v>
      </c>
      <c r="E5664" s="18" t="s">
        <v>0</v>
      </c>
      <c r="F5664" s="4">
        <v>1</v>
      </c>
      <c r="G5664" s="42">
        <v>8</v>
      </c>
      <c r="H5664" s="42">
        <f>0.00993716*(1000)</f>
        <v>9.9371600000000004</v>
      </c>
    </row>
    <row r="5665" spans="1:8" s="15" customFormat="1" ht="16.5" hidden="1" customHeight="1" outlineLevel="1" x14ac:dyDescent="0.25">
      <c r="A5665" s="18">
        <v>4009</v>
      </c>
      <c r="B5665" s="4" t="s">
        <v>249</v>
      </c>
      <c r="C5665" s="38" t="s">
        <v>5044</v>
      </c>
      <c r="D5665" s="18">
        <v>2022</v>
      </c>
      <c r="E5665" s="18" t="s">
        <v>0</v>
      </c>
      <c r="F5665" s="4">
        <v>1</v>
      </c>
      <c r="G5665" s="42">
        <v>8</v>
      </c>
      <c r="H5665" s="42">
        <f>0.00993715*(1000)</f>
        <v>9.9371500000000008</v>
      </c>
    </row>
    <row r="5666" spans="1:8" s="15" customFormat="1" ht="16.5" hidden="1" customHeight="1" outlineLevel="1" x14ac:dyDescent="0.25">
      <c r="A5666" s="18">
        <v>4010</v>
      </c>
      <c r="B5666" s="4" t="s">
        <v>249</v>
      </c>
      <c r="C5666" s="38" t="s">
        <v>5045</v>
      </c>
      <c r="D5666" s="18">
        <v>2022</v>
      </c>
      <c r="E5666" s="18" t="s">
        <v>0</v>
      </c>
      <c r="F5666" s="4">
        <v>1</v>
      </c>
      <c r="G5666" s="42">
        <v>5</v>
      </c>
      <c r="H5666" s="42">
        <f>0.00993716*(1000)</f>
        <v>9.9371600000000004</v>
      </c>
    </row>
    <row r="5667" spans="1:8" s="15" customFormat="1" ht="16.5" hidden="1" customHeight="1" outlineLevel="1" x14ac:dyDescent="0.25">
      <c r="A5667" s="18">
        <v>4011</v>
      </c>
      <c r="B5667" s="4" t="s">
        <v>249</v>
      </c>
      <c r="C5667" s="38" t="s">
        <v>5046</v>
      </c>
      <c r="D5667" s="18">
        <v>2022</v>
      </c>
      <c r="E5667" s="18" t="s">
        <v>0</v>
      </c>
      <c r="F5667" s="4">
        <v>1</v>
      </c>
      <c r="G5667" s="42">
        <v>10</v>
      </c>
      <c r="H5667" s="42">
        <f>0.00993715*(1000)</f>
        <v>9.9371500000000008</v>
      </c>
    </row>
    <row r="5668" spans="1:8" s="15" customFormat="1" ht="16.5" hidden="1" customHeight="1" outlineLevel="1" x14ac:dyDescent="0.25">
      <c r="A5668" s="18">
        <v>4012</v>
      </c>
      <c r="B5668" s="4" t="s">
        <v>249</v>
      </c>
      <c r="C5668" s="38" t="s">
        <v>5047</v>
      </c>
      <c r="D5668" s="18">
        <v>2022</v>
      </c>
      <c r="E5668" s="18" t="s">
        <v>0</v>
      </c>
      <c r="F5668" s="4">
        <v>1</v>
      </c>
      <c r="G5668" s="42">
        <v>10</v>
      </c>
      <c r="H5668" s="42">
        <f>0.00993717*(1000)</f>
        <v>9.9371700000000001</v>
      </c>
    </row>
    <row r="5669" spans="1:8" s="15" customFormat="1" ht="16.5" hidden="1" customHeight="1" outlineLevel="1" x14ac:dyDescent="0.25">
      <c r="A5669" s="18">
        <v>4013</v>
      </c>
      <c r="B5669" s="4" t="s">
        <v>249</v>
      </c>
      <c r="C5669" s="38" t="s">
        <v>5048</v>
      </c>
      <c r="D5669" s="18">
        <v>2022</v>
      </c>
      <c r="E5669" s="18" t="s">
        <v>0</v>
      </c>
      <c r="F5669" s="4">
        <v>1</v>
      </c>
      <c r="G5669" s="42">
        <v>10</v>
      </c>
      <c r="H5669" s="42">
        <f>0.00993715*(1000)</f>
        <v>9.9371500000000008</v>
      </c>
    </row>
    <row r="5670" spans="1:8" s="15" customFormat="1" ht="16.5" hidden="1" customHeight="1" outlineLevel="1" x14ac:dyDescent="0.25">
      <c r="A5670" s="18">
        <v>4015</v>
      </c>
      <c r="B5670" s="4" t="s">
        <v>249</v>
      </c>
      <c r="C5670" s="38" t="s">
        <v>5049</v>
      </c>
      <c r="D5670" s="18">
        <v>2022</v>
      </c>
      <c r="E5670" s="18" t="s">
        <v>0</v>
      </c>
      <c r="F5670" s="4">
        <v>1</v>
      </c>
      <c r="G5670" s="42">
        <v>5</v>
      </c>
      <c r="H5670" s="42">
        <f>0.00993717*(1000)</f>
        <v>9.9371700000000001</v>
      </c>
    </row>
    <row r="5671" spans="1:8" s="15" customFormat="1" ht="16.5" hidden="1" customHeight="1" outlineLevel="1" x14ac:dyDescent="0.25">
      <c r="A5671" s="18">
        <v>4016</v>
      </c>
      <c r="B5671" s="4" t="s">
        <v>249</v>
      </c>
      <c r="C5671" s="38" t="s">
        <v>5050</v>
      </c>
      <c r="D5671" s="18">
        <v>2022</v>
      </c>
      <c r="E5671" s="18" t="s">
        <v>0</v>
      </c>
      <c r="F5671" s="4">
        <v>1</v>
      </c>
      <c r="G5671" s="42">
        <v>10</v>
      </c>
      <c r="H5671" s="42">
        <f>0.00993715*(1000)</f>
        <v>9.9371500000000008</v>
      </c>
    </row>
    <row r="5672" spans="1:8" s="15" customFormat="1" ht="16.5" hidden="1" customHeight="1" outlineLevel="1" x14ac:dyDescent="0.25">
      <c r="A5672" s="18">
        <v>4018</v>
      </c>
      <c r="B5672" s="4" t="s">
        <v>249</v>
      </c>
      <c r="C5672" s="38" t="s">
        <v>5051</v>
      </c>
      <c r="D5672" s="18">
        <v>2022</v>
      </c>
      <c r="E5672" s="18" t="s">
        <v>0</v>
      </c>
      <c r="F5672" s="4">
        <v>1</v>
      </c>
      <c r="G5672" s="42">
        <v>10</v>
      </c>
      <c r="H5672" s="42">
        <f>0.00993717*(1000)</f>
        <v>9.9371700000000001</v>
      </c>
    </row>
    <row r="5673" spans="1:8" s="15" customFormat="1" ht="16.5" hidden="1" customHeight="1" outlineLevel="1" x14ac:dyDescent="0.25">
      <c r="A5673" s="18">
        <v>4019</v>
      </c>
      <c r="B5673" s="4" t="s">
        <v>249</v>
      </c>
      <c r="C5673" s="38" t="s">
        <v>5052</v>
      </c>
      <c r="D5673" s="18">
        <v>2022</v>
      </c>
      <c r="E5673" s="18" t="s">
        <v>0</v>
      </c>
      <c r="F5673" s="4">
        <v>1</v>
      </c>
      <c r="G5673" s="42">
        <v>10</v>
      </c>
      <c r="H5673" s="42">
        <f>0.00993716*(1000)</f>
        <v>9.9371600000000004</v>
      </c>
    </row>
    <row r="5674" spans="1:8" s="15" customFormat="1" ht="16.5" hidden="1" customHeight="1" outlineLevel="1" x14ac:dyDescent="0.25">
      <c r="A5674" s="18">
        <v>4020</v>
      </c>
      <c r="B5674" s="4" t="s">
        <v>249</v>
      </c>
      <c r="C5674" s="38" t="s">
        <v>5053</v>
      </c>
      <c r="D5674" s="18">
        <v>2022</v>
      </c>
      <c r="E5674" s="18" t="s">
        <v>0</v>
      </c>
      <c r="F5674" s="4">
        <v>1</v>
      </c>
      <c r="G5674" s="42">
        <v>10</v>
      </c>
      <c r="H5674" s="42">
        <f>0.00993717*(1000)</f>
        <v>9.9371700000000001</v>
      </c>
    </row>
    <row r="5675" spans="1:8" s="15" customFormat="1" ht="16.5" hidden="1" customHeight="1" outlineLevel="1" x14ac:dyDescent="0.25">
      <c r="A5675" s="18">
        <v>4021</v>
      </c>
      <c r="B5675" s="4" t="s">
        <v>249</v>
      </c>
      <c r="C5675" s="38" t="s">
        <v>5054</v>
      </c>
      <c r="D5675" s="18">
        <v>2022</v>
      </c>
      <c r="E5675" s="18" t="s">
        <v>0</v>
      </c>
      <c r="F5675" s="4">
        <v>1</v>
      </c>
      <c r="G5675" s="42">
        <v>10</v>
      </c>
      <c r="H5675" s="42">
        <f>0.00993715*(1000)</f>
        <v>9.9371500000000008</v>
      </c>
    </row>
    <row r="5676" spans="1:8" s="15" customFormat="1" ht="16.5" hidden="1" customHeight="1" outlineLevel="1" x14ac:dyDescent="0.25">
      <c r="A5676" s="18">
        <v>4022</v>
      </c>
      <c r="B5676" s="4" t="s">
        <v>249</v>
      </c>
      <c r="C5676" s="38" t="s">
        <v>5055</v>
      </c>
      <c r="D5676" s="18">
        <v>2022</v>
      </c>
      <c r="E5676" s="18" t="s">
        <v>0</v>
      </c>
      <c r="F5676" s="4">
        <v>1</v>
      </c>
      <c r="G5676" s="42">
        <v>10</v>
      </c>
      <c r="H5676" s="42">
        <f>0.00993715*(1000)</f>
        <v>9.9371500000000008</v>
      </c>
    </row>
    <row r="5677" spans="1:8" s="15" customFormat="1" ht="16.5" hidden="1" customHeight="1" outlineLevel="1" x14ac:dyDescent="0.25">
      <c r="A5677" s="18">
        <v>4023</v>
      </c>
      <c r="B5677" s="4" t="s">
        <v>249</v>
      </c>
      <c r="C5677" s="38" t="s">
        <v>5056</v>
      </c>
      <c r="D5677" s="18">
        <v>2022</v>
      </c>
      <c r="E5677" s="18" t="s">
        <v>0</v>
      </c>
      <c r="F5677" s="4">
        <v>1</v>
      </c>
      <c r="G5677" s="42">
        <v>10</v>
      </c>
      <c r="H5677" s="42">
        <f>0.00993715*(1000)</f>
        <v>9.9371500000000008</v>
      </c>
    </row>
    <row r="5678" spans="1:8" s="15" customFormat="1" ht="16.5" hidden="1" customHeight="1" outlineLevel="1" x14ac:dyDescent="0.25">
      <c r="A5678" s="18">
        <v>4024</v>
      </c>
      <c r="B5678" s="4" t="s">
        <v>249</v>
      </c>
      <c r="C5678" s="38" t="s">
        <v>5057</v>
      </c>
      <c r="D5678" s="18">
        <v>2022</v>
      </c>
      <c r="E5678" s="18" t="s">
        <v>0</v>
      </c>
      <c r="F5678" s="4">
        <v>1</v>
      </c>
      <c r="G5678" s="42">
        <v>10</v>
      </c>
      <c r="H5678" s="42">
        <f>0.00993717*(1000)</f>
        <v>9.9371700000000001</v>
      </c>
    </row>
    <row r="5679" spans="1:8" s="15" customFormat="1" ht="16.5" hidden="1" customHeight="1" outlineLevel="1" x14ac:dyDescent="0.25">
      <c r="A5679" s="18">
        <v>4025</v>
      </c>
      <c r="B5679" s="4" t="s">
        <v>249</v>
      </c>
      <c r="C5679" s="38" t="s">
        <v>5058</v>
      </c>
      <c r="D5679" s="18">
        <v>2022</v>
      </c>
      <c r="E5679" s="18" t="s">
        <v>0</v>
      </c>
      <c r="F5679" s="4">
        <v>1</v>
      </c>
      <c r="G5679" s="42">
        <v>10</v>
      </c>
      <c r="H5679" s="42">
        <f>0.00993715*(1000)</f>
        <v>9.9371500000000008</v>
      </c>
    </row>
    <row r="5680" spans="1:8" s="15" customFormat="1" ht="16.5" hidden="1" customHeight="1" outlineLevel="1" x14ac:dyDescent="0.25">
      <c r="A5680" s="18">
        <v>4026</v>
      </c>
      <c r="B5680" s="4" t="s">
        <v>249</v>
      </c>
      <c r="C5680" s="38" t="s">
        <v>5059</v>
      </c>
      <c r="D5680" s="18">
        <v>2022</v>
      </c>
      <c r="E5680" s="18" t="s">
        <v>0</v>
      </c>
      <c r="F5680" s="4">
        <v>1</v>
      </c>
      <c r="G5680" s="42">
        <v>5</v>
      </c>
      <c r="H5680" s="42">
        <f>0.00993717*(1000)</f>
        <v>9.9371700000000001</v>
      </c>
    </row>
    <row r="5681" spans="1:8" s="15" customFormat="1" ht="16.5" hidden="1" customHeight="1" outlineLevel="1" x14ac:dyDescent="0.25">
      <c r="A5681" s="18">
        <v>4032</v>
      </c>
      <c r="B5681" s="4" t="s">
        <v>249</v>
      </c>
      <c r="C5681" s="38" t="s">
        <v>5060</v>
      </c>
      <c r="D5681" s="18">
        <v>2022</v>
      </c>
      <c r="E5681" s="18" t="s">
        <v>0</v>
      </c>
      <c r="F5681" s="4">
        <v>5</v>
      </c>
      <c r="G5681" s="42">
        <v>25</v>
      </c>
      <c r="H5681" s="42">
        <f>0.05070504*(1000)</f>
        <v>50.705039999999997</v>
      </c>
    </row>
    <row r="5682" spans="1:8" s="15" customFormat="1" ht="16.5" hidden="1" customHeight="1" outlineLevel="1" x14ac:dyDescent="0.25">
      <c r="A5682" s="18">
        <v>4040</v>
      </c>
      <c r="B5682" s="4" t="s">
        <v>249</v>
      </c>
      <c r="C5682" s="38" t="s">
        <v>5061</v>
      </c>
      <c r="D5682" s="18">
        <v>2022</v>
      </c>
      <c r="E5682" s="18" t="s">
        <v>0</v>
      </c>
      <c r="F5682" s="4">
        <v>5</v>
      </c>
      <c r="G5682" s="42">
        <v>51</v>
      </c>
      <c r="H5682" s="42">
        <f>0.04947721*(1000)</f>
        <v>49.477209999999999</v>
      </c>
    </row>
    <row r="5683" spans="1:8" s="15" customFormat="1" ht="16.5" hidden="1" customHeight="1" outlineLevel="1" x14ac:dyDescent="0.25">
      <c r="A5683" s="18">
        <v>4048</v>
      </c>
      <c r="B5683" s="4" t="s">
        <v>249</v>
      </c>
      <c r="C5683" s="38" t="s">
        <v>5062</v>
      </c>
      <c r="D5683" s="18">
        <v>2022</v>
      </c>
      <c r="E5683" s="18" t="s">
        <v>0</v>
      </c>
      <c r="F5683" s="4">
        <v>3</v>
      </c>
      <c r="G5683" s="42">
        <v>30</v>
      </c>
      <c r="H5683" s="42">
        <f>0.02976196*(1000)</f>
        <v>29.761960000000002</v>
      </c>
    </row>
    <row r="5684" spans="1:8" s="15" customFormat="1" ht="16.5" hidden="1" customHeight="1" outlineLevel="1" x14ac:dyDescent="0.25">
      <c r="A5684" s="18">
        <v>4051</v>
      </c>
      <c r="B5684" s="4" t="s">
        <v>249</v>
      </c>
      <c r="C5684" s="38" t="s">
        <v>5063</v>
      </c>
      <c r="D5684" s="18">
        <v>2022</v>
      </c>
      <c r="E5684" s="18" t="s">
        <v>0</v>
      </c>
      <c r="F5684" s="4">
        <v>1</v>
      </c>
      <c r="G5684" s="42">
        <v>10</v>
      </c>
      <c r="H5684" s="42">
        <f>0.0102518*(1000)</f>
        <v>10.251799999999999</v>
      </c>
    </row>
    <row r="5685" spans="1:8" s="15" customFormat="1" ht="16.5" hidden="1" customHeight="1" outlineLevel="1" x14ac:dyDescent="0.25">
      <c r="A5685" s="18">
        <v>4052</v>
      </c>
      <c r="B5685" s="4" t="s">
        <v>249</v>
      </c>
      <c r="C5685" s="38" t="s">
        <v>5064</v>
      </c>
      <c r="D5685" s="18">
        <v>2022</v>
      </c>
      <c r="E5685" s="18" t="s">
        <v>0</v>
      </c>
      <c r="F5685" s="4">
        <v>1</v>
      </c>
      <c r="G5685" s="42">
        <v>15</v>
      </c>
      <c r="H5685" s="42">
        <f>0.01025183*(1000)</f>
        <v>10.25183</v>
      </c>
    </row>
    <row r="5686" spans="1:8" s="15" customFormat="1" ht="16.5" hidden="1" customHeight="1" outlineLevel="1" x14ac:dyDescent="0.25">
      <c r="A5686" s="18">
        <v>4055</v>
      </c>
      <c r="B5686" s="4" t="s">
        <v>249</v>
      </c>
      <c r="C5686" s="38" t="s">
        <v>5065</v>
      </c>
      <c r="D5686" s="18">
        <v>2022</v>
      </c>
      <c r="E5686" s="18" t="s">
        <v>0</v>
      </c>
      <c r="F5686" s="4">
        <v>2</v>
      </c>
      <c r="G5686" s="42">
        <v>20</v>
      </c>
      <c r="H5686" s="42">
        <f>0.02005818*(1000)</f>
        <v>20.05818</v>
      </c>
    </row>
    <row r="5687" spans="1:8" s="15" customFormat="1" ht="16.5" hidden="1" customHeight="1" outlineLevel="1" x14ac:dyDescent="0.25">
      <c r="A5687" s="18">
        <v>4065</v>
      </c>
      <c r="B5687" s="4" t="s">
        <v>249</v>
      </c>
      <c r="C5687" s="38" t="s">
        <v>5066</v>
      </c>
      <c r="D5687" s="18">
        <v>2022</v>
      </c>
      <c r="E5687" s="18" t="s">
        <v>0</v>
      </c>
      <c r="F5687" s="4">
        <v>1</v>
      </c>
      <c r="G5687" s="42">
        <v>10</v>
      </c>
      <c r="H5687" s="42">
        <f>0.01004719*(1000)</f>
        <v>10.047189999999999</v>
      </c>
    </row>
    <row r="5688" spans="1:8" s="15" customFormat="1" ht="16.5" hidden="1" customHeight="1" outlineLevel="1" x14ac:dyDescent="0.25">
      <c r="A5688" s="18">
        <v>4067</v>
      </c>
      <c r="B5688" s="4" t="s">
        <v>249</v>
      </c>
      <c r="C5688" s="38" t="s">
        <v>5067</v>
      </c>
      <c r="D5688" s="18">
        <v>2022</v>
      </c>
      <c r="E5688" s="18" t="s">
        <v>0</v>
      </c>
      <c r="F5688" s="4">
        <v>3</v>
      </c>
      <c r="G5688" s="42">
        <v>30</v>
      </c>
      <c r="H5688" s="42">
        <f>0.03345631*(1000)</f>
        <v>33.456310000000002</v>
      </c>
    </row>
    <row r="5689" spans="1:8" s="15" customFormat="1" ht="16.5" hidden="1" customHeight="1" outlineLevel="1" x14ac:dyDescent="0.25">
      <c r="A5689" s="18">
        <v>4077</v>
      </c>
      <c r="B5689" s="4" t="s">
        <v>249</v>
      </c>
      <c r="C5689" s="38" t="s">
        <v>5068</v>
      </c>
      <c r="D5689" s="18">
        <v>2022</v>
      </c>
      <c r="E5689" s="18" t="s">
        <v>0</v>
      </c>
      <c r="F5689" s="4">
        <v>1</v>
      </c>
      <c r="G5689" s="42">
        <v>10</v>
      </c>
      <c r="H5689" s="42">
        <f>0.0100703*(1000)</f>
        <v>10.070300000000001</v>
      </c>
    </row>
    <row r="5690" spans="1:8" s="15" customFormat="1" ht="16.5" hidden="1" customHeight="1" outlineLevel="1" x14ac:dyDescent="0.25">
      <c r="A5690" s="18">
        <v>4081</v>
      </c>
      <c r="B5690" s="4" t="s">
        <v>249</v>
      </c>
      <c r="C5690" s="38" t="s">
        <v>5069</v>
      </c>
      <c r="D5690" s="18">
        <v>2022</v>
      </c>
      <c r="E5690" s="18" t="s">
        <v>0</v>
      </c>
      <c r="F5690" s="4">
        <v>1</v>
      </c>
      <c r="G5690" s="42">
        <v>10</v>
      </c>
      <c r="H5690" s="42">
        <f>0.01033422*(1000)</f>
        <v>10.33422</v>
      </c>
    </row>
    <row r="5691" spans="1:8" s="15" customFormat="1" ht="16.5" hidden="1" customHeight="1" outlineLevel="1" x14ac:dyDescent="0.25">
      <c r="A5691" s="18">
        <v>4084</v>
      </c>
      <c r="B5691" s="4" t="s">
        <v>249</v>
      </c>
      <c r="C5691" s="38" t="s">
        <v>5070</v>
      </c>
      <c r="D5691" s="18">
        <v>2022</v>
      </c>
      <c r="E5691" s="18" t="s">
        <v>0</v>
      </c>
      <c r="F5691" s="4">
        <v>1</v>
      </c>
      <c r="G5691" s="42">
        <v>10</v>
      </c>
      <c r="H5691" s="42">
        <f>0.01033422*(1000)</f>
        <v>10.33422</v>
      </c>
    </row>
    <row r="5692" spans="1:8" s="15" customFormat="1" ht="16.5" hidden="1" customHeight="1" outlineLevel="1" x14ac:dyDescent="0.25">
      <c r="A5692" s="18">
        <v>4087</v>
      </c>
      <c r="B5692" s="4" t="s">
        <v>249</v>
      </c>
      <c r="C5692" s="38" t="s">
        <v>5071</v>
      </c>
      <c r="D5692" s="18">
        <v>2022</v>
      </c>
      <c r="E5692" s="18" t="s">
        <v>0</v>
      </c>
      <c r="F5692" s="4">
        <v>1</v>
      </c>
      <c r="G5692" s="42">
        <v>10</v>
      </c>
      <c r="H5692" s="42">
        <f>0.01033422*(1000)</f>
        <v>10.33422</v>
      </c>
    </row>
    <row r="5693" spans="1:8" s="15" customFormat="1" ht="16.5" hidden="1" customHeight="1" outlineLevel="1" x14ac:dyDescent="0.25">
      <c r="A5693" s="18">
        <v>4088</v>
      </c>
      <c r="B5693" s="4" t="s">
        <v>249</v>
      </c>
      <c r="C5693" s="38" t="s">
        <v>5072</v>
      </c>
      <c r="D5693" s="18">
        <v>2022</v>
      </c>
      <c r="E5693" s="18" t="s">
        <v>0</v>
      </c>
      <c r="F5693" s="4">
        <v>1</v>
      </c>
      <c r="G5693" s="42">
        <v>10</v>
      </c>
      <c r="H5693" s="42">
        <f>0.01033422*(1000)</f>
        <v>10.33422</v>
      </c>
    </row>
    <row r="5694" spans="1:8" s="15" customFormat="1" ht="16.5" hidden="1" customHeight="1" outlineLevel="1" x14ac:dyDescent="0.25">
      <c r="A5694" s="18">
        <v>4089</v>
      </c>
      <c r="B5694" s="4" t="s">
        <v>249</v>
      </c>
      <c r="C5694" s="38" t="s">
        <v>5073</v>
      </c>
      <c r="D5694" s="18">
        <v>2022</v>
      </c>
      <c r="E5694" s="18" t="s">
        <v>0</v>
      </c>
      <c r="F5694" s="4">
        <v>1</v>
      </c>
      <c r="G5694" s="42">
        <v>15</v>
      </c>
      <c r="H5694" s="42">
        <f>0.01033422*(1000)</f>
        <v>10.33422</v>
      </c>
    </row>
    <row r="5695" spans="1:8" s="15" customFormat="1" ht="16.5" hidden="1" customHeight="1" outlineLevel="1" x14ac:dyDescent="0.25">
      <c r="A5695" s="18">
        <v>4099</v>
      </c>
      <c r="B5695" s="4" t="s">
        <v>249</v>
      </c>
      <c r="C5695" s="38" t="s">
        <v>5074</v>
      </c>
      <c r="D5695" s="18">
        <v>2022</v>
      </c>
      <c r="E5695" s="18" t="s">
        <v>0</v>
      </c>
      <c r="F5695" s="4">
        <v>1</v>
      </c>
      <c r="G5695" s="42">
        <v>10</v>
      </c>
      <c r="H5695" s="42">
        <f>0.01031541*(1000)</f>
        <v>10.31541</v>
      </c>
    </row>
    <row r="5696" spans="1:8" s="15" customFormat="1" ht="16.5" hidden="1" customHeight="1" outlineLevel="1" x14ac:dyDescent="0.25">
      <c r="A5696" s="18">
        <v>4100</v>
      </c>
      <c r="B5696" s="4" t="s">
        <v>249</v>
      </c>
      <c r="C5696" s="38" t="s">
        <v>5075</v>
      </c>
      <c r="D5696" s="18">
        <v>2022</v>
      </c>
      <c r="E5696" s="18" t="s">
        <v>0</v>
      </c>
      <c r="F5696" s="4">
        <v>1</v>
      </c>
      <c r="G5696" s="42">
        <v>15</v>
      </c>
      <c r="H5696" s="42">
        <f>0.01031541*(1000)</f>
        <v>10.31541</v>
      </c>
    </row>
    <row r="5697" spans="1:8" s="15" customFormat="1" ht="16.5" hidden="1" customHeight="1" outlineLevel="1" x14ac:dyDescent="0.25">
      <c r="A5697" s="18">
        <v>4101</v>
      </c>
      <c r="B5697" s="4" t="s">
        <v>249</v>
      </c>
      <c r="C5697" s="38" t="s">
        <v>5076</v>
      </c>
      <c r="D5697" s="18">
        <v>2022</v>
      </c>
      <c r="E5697" s="18" t="s">
        <v>0</v>
      </c>
      <c r="F5697" s="4">
        <v>1</v>
      </c>
      <c r="G5697" s="42">
        <v>10</v>
      </c>
      <c r="H5697" s="42">
        <f>0.01031541*(1000)</f>
        <v>10.31541</v>
      </c>
    </row>
    <row r="5698" spans="1:8" s="15" customFormat="1" ht="16.5" hidden="1" customHeight="1" outlineLevel="1" x14ac:dyDescent="0.25">
      <c r="A5698" s="18">
        <v>4103</v>
      </c>
      <c r="B5698" s="4" t="s">
        <v>249</v>
      </c>
      <c r="C5698" s="38" t="s">
        <v>5077</v>
      </c>
      <c r="D5698" s="18">
        <v>2022</v>
      </c>
      <c r="E5698" s="18" t="s">
        <v>0</v>
      </c>
      <c r="F5698" s="4">
        <v>1</v>
      </c>
      <c r="G5698" s="42">
        <v>10</v>
      </c>
      <c r="H5698" s="42">
        <f>0.01031541*(1000)</f>
        <v>10.31541</v>
      </c>
    </row>
    <row r="5699" spans="1:8" s="15" customFormat="1" ht="16.5" hidden="1" customHeight="1" outlineLevel="1" x14ac:dyDescent="0.25">
      <c r="A5699" s="18">
        <v>3212</v>
      </c>
      <c r="B5699" s="4" t="s">
        <v>249</v>
      </c>
      <c r="C5699" s="38" t="s">
        <v>5078</v>
      </c>
      <c r="D5699" s="18">
        <v>2022</v>
      </c>
      <c r="E5699" s="18" t="s">
        <v>0</v>
      </c>
      <c r="F5699" s="4">
        <v>1</v>
      </c>
      <c r="G5699" s="42">
        <v>15</v>
      </c>
      <c r="H5699" s="42">
        <f>0.017054*(1000)</f>
        <v>17.053999999999998</v>
      </c>
    </row>
    <row r="5700" spans="1:8" s="15" customFormat="1" ht="16.5" hidden="1" customHeight="1" outlineLevel="1" x14ac:dyDescent="0.25">
      <c r="A5700" s="18">
        <v>1228</v>
      </c>
      <c r="B5700" s="4" t="s">
        <v>249</v>
      </c>
      <c r="C5700" s="38" t="s">
        <v>5079</v>
      </c>
      <c r="D5700" s="18">
        <v>2022</v>
      </c>
      <c r="E5700" s="18" t="s">
        <v>0</v>
      </c>
      <c r="F5700" s="4">
        <v>1</v>
      </c>
      <c r="G5700" s="42">
        <v>6</v>
      </c>
      <c r="H5700" s="42">
        <v>36.682519999999997</v>
      </c>
    </row>
    <row r="5701" spans="1:8" s="15" customFormat="1" ht="16.5" hidden="1" customHeight="1" outlineLevel="1" x14ac:dyDescent="0.25">
      <c r="A5701" s="18">
        <v>1213</v>
      </c>
      <c r="B5701" s="4" t="s">
        <v>249</v>
      </c>
      <c r="C5701" s="38" t="s">
        <v>5080</v>
      </c>
      <c r="D5701" s="18">
        <v>2022</v>
      </c>
      <c r="E5701" s="18" t="s">
        <v>0</v>
      </c>
      <c r="F5701" s="4">
        <v>1</v>
      </c>
      <c r="G5701" s="42">
        <v>5</v>
      </c>
      <c r="H5701" s="42">
        <v>37.361550000000001</v>
      </c>
    </row>
    <row r="5702" spans="1:8" s="15" customFormat="1" ht="16.5" hidden="1" customHeight="1" outlineLevel="1" x14ac:dyDescent="0.25">
      <c r="A5702" s="18">
        <v>1253</v>
      </c>
      <c r="B5702" s="4" t="s">
        <v>249</v>
      </c>
      <c r="C5702" s="38" t="s">
        <v>5081</v>
      </c>
      <c r="D5702" s="18">
        <v>2022</v>
      </c>
      <c r="E5702" s="18" t="s">
        <v>0</v>
      </c>
      <c r="F5702" s="4">
        <v>1</v>
      </c>
      <c r="G5702" s="42">
        <v>5</v>
      </c>
      <c r="H5702" s="42">
        <v>41.559229999999999</v>
      </c>
    </row>
    <row r="5703" spans="1:8" s="15" customFormat="1" ht="16.5" hidden="1" customHeight="1" outlineLevel="1" x14ac:dyDescent="0.25">
      <c r="A5703" s="18">
        <v>1271</v>
      </c>
      <c r="B5703" s="4" t="s">
        <v>249</v>
      </c>
      <c r="C5703" s="38" t="s">
        <v>5082</v>
      </c>
      <c r="D5703" s="18">
        <v>2022</v>
      </c>
      <c r="E5703" s="18" t="s">
        <v>0</v>
      </c>
      <c r="F5703" s="4">
        <v>1</v>
      </c>
      <c r="G5703" s="42">
        <v>8</v>
      </c>
      <c r="H5703" s="42">
        <v>26.298210000000001</v>
      </c>
    </row>
    <row r="5704" spans="1:8" s="15" customFormat="1" ht="16.5" hidden="1" customHeight="1" outlineLevel="1" x14ac:dyDescent="0.25">
      <c r="A5704" s="18">
        <v>1069</v>
      </c>
      <c r="B5704" s="4" t="s">
        <v>249</v>
      </c>
      <c r="C5704" s="38" t="s">
        <v>5083</v>
      </c>
      <c r="D5704" s="18">
        <v>2022</v>
      </c>
      <c r="E5704" s="18" t="s">
        <v>0</v>
      </c>
      <c r="F5704" s="4">
        <v>1</v>
      </c>
      <c r="G5704" s="42">
        <v>6</v>
      </c>
      <c r="H5704" s="42">
        <v>38.5732</v>
      </c>
    </row>
    <row r="5705" spans="1:8" s="15" customFormat="1" ht="16.5" hidden="1" customHeight="1" outlineLevel="1" x14ac:dyDescent="0.25">
      <c r="A5705" s="18">
        <v>1071</v>
      </c>
      <c r="B5705" s="4" t="s">
        <v>249</v>
      </c>
      <c r="C5705" s="38" t="s">
        <v>5084</v>
      </c>
      <c r="D5705" s="18">
        <v>2022</v>
      </c>
      <c r="E5705" s="18" t="s">
        <v>0</v>
      </c>
      <c r="F5705" s="4">
        <v>1</v>
      </c>
      <c r="G5705" s="42">
        <v>6</v>
      </c>
      <c r="H5705" s="42">
        <v>35.233110000000003</v>
      </c>
    </row>
    <row r="5706" spans="1:8" s="15" customFormat="1" ht="16.5" hidden="1" customHeight="1" outlineLevel="1" x14ac:dyDescent="0.25">
      <c r="A5706" s="18">
        <v>1078</v>
      </c>
      <c r="B5706" s="4" t="s">
        <v>249</v>
      </c>
      <c r="C5706" s="38" t="s">
        <v>5085</v>
      </c>
      <c r="D5706" s="18">
        <v>2022</v>
      </c>
      <c r="E5706" s="18" t="s">
        <v>0</v>
      </c>
      <c r="F5706" s="4">
        <v>1</v>
      </c>
      <c r="G5706" s="42">
        <v>1</v>
      </c>
      <c r="H5706" s="42">
        <v>34.862349999999999</v>
      </c>
    </row>
    <row r="5707" spans="1:8" s="15" customFormat="1" ht="16.5" hidden="1" customHeight="1" outlineLevel="1" x14ac:dyDescent="0.25">
      <c r="A5707" s="18">
        <v>1074</v>
      </c>
      <c r="B5707" s="4" t="s">
        <v>249</v>
      </c>
      <c r="C5707" s="38" t="s">
        <v>5086</v>
      </c>
      <c r="D5707" s="18">
        <v>2022</v>
      </c>
      <c r="E5707" s="18" t="s">
        <v>0</v>
      </c>
      <c r="F5707" s="4">
        <v>1</v>
      </c>
      <c r="G5707" s="42">
        <v>7</v>
      </c>
      <c r="H5707" s="42">
        <v>32.994</v>
      </c>
    </row>
    <row r="5708" spans="1:8" s="15" customFormat="1" ht="16.5" hidden="1" customHeight="1" outlineLevel="1" x14ac:dyDescent="0.25">
      <c r="A5708" s="18">
        <v>1186</v>
      </c>
      <c r="B5708" s="4" t="s">
        <v>249</v>
      </c>
      <c r="C5708" s="38" t="s">
        <v>5087</v>
      </c>
      <c r="D5708" s="18">
        <v>2022</v>
      </c>
      <c r="E5708" s="18" t="s">
        <v>0</v>
      </c>
      <c r="F5708" s="4">
        <v>1</v>
      </c>
      <c r="G5708" s="42">
        <v>5</v>
      </c>
      <c r="H5708" s="42">
        <v>29.303750000000001</v>
      </c>
    </row>
    <row r="5709" spans="1:8" s="15" customFormat="1" ht="16.5" hidden="1" customHeight="1" outlineLevel="1" x14ac:dyDescent="0.25">
      <c r="A5709" s="18">
        <v>1190</v>
      </c>
      <c r="B5709" s="4" t="s">
        <v>249</v>
      </c>
      <c r="C5709" s="38" t="s">
        <v>5088</v>
      </c>
      <c r="D5709" s="18">
        <v>2022</v>
      </c>
      <c r="E5709" s="18" t="s">
        <v>0</v>
      </c>
      <c r="F5709" s="4">
        <v>1</v>
      </c>
      <c r="G5709" s="42">
        <v>6</v>
      </c>
      <c r="H5709" s="42">
        <v>26.106030000000001</v>
      </c>
    </row>
    <row r="5710" spans="1:8" s="15" customFormat="1" ht="16.5" hidden="1" customHeight="1" outlineLevel="1" x14ac:dyDescent="0.25">
      <c r="A5710" s="18">
        <v>1241</v>
      </c>
      <c r="B5710" s="4" t="s">
        <v>249</v>
      </c>
      <c r="C5710" s="38" t="s">
        <v>5089</v>
      </c>
      <c r="D5710" s="18">
        <v>2022</v>
      </c>
      <c r="E5710" s="18" t="s">
        <v>0</v>
      </c>
      <c r="F5710" s="4">
        <v>1</v>
      </c>
      <c r="G5710" s="42">
        <v>5</v>
      </c>
      <c r="H5710" s="42">
        <v>36.486800000000002</v>
      </c>
    </row>
    <row r="5711" spans="1:8" s="15" customFormat="1" ht="16.5" hidden="1" customHeight="1" outlineLevel="1" x14ac:dyDescent="0.25">
      <c r="A5711" s="18">
        <v>1308</v>
      </c>
      <c r="B5711" s="4" t="s">
        <v>249</v>
      </c>
      <c r="C5711" s="38" t="s">
        <v>5090</v>
      </c>
      <c r="D5711" s="18">
        <v>2022</v>
      </c>
      <c r="E5711" s="18" t="s">
        <v>0</v>
      </c>
      <c r="F5711" s="4">
        <v>1</v>
      </c>
      <c r="G5711" s="42">
        <v>6</v>
      </c>
      <c r="H5711" s="42">
        <v>50.413240000000002</v>
      </c>
    </row>
    <row r="5712" spans="1:8" s="15" customFormat="1" ht="16.5" hidden="1" customHeight="1" outlineLevel="1" x14ac:dyDescent="0.25">
      <c r="A5712" s="18">
        <v>1371</v>
      </c>
      <c r="B5712" s="4" t="s">
        <v>249</v>
      </c>
      <c r="C5712" s="38" t="s">
        <v>5091</v>
      </c>
      <c r="D5712" s="18">
        <v>2022</v>
      </c>
      <c r="E5712" s="18" t="s">
        <v>0</v>
      </c>
      <c r="F5712" s="4">
        <v>1</v>
      </c>
      <c r="G5712" s="42">
        <v>7</v>
      </c>
      <c r="H5712" s="42">
        <v>52.284480000000002</v>
      </c>
    </row>
    <row r="5713" spans="1:8" s="15" customFormat="1" ht="16.5" hidden="1" customHeight="1" outlineLevel="1" x14ac:dyDescent="0.25">
      <c r="A5713" s="18">
        <v>1343</v>
      </c>
      <c r="B5713" s="4" t="s">
        <v>249</v>
      </c>
      <c r="C5713" s="38" t="s">
        <v>5092</v>
      </c>
      <c r="D5713" s="18">
        <v>2022</v>
      </c>
      <c r="E5713" s="18" t="s">
        <v>0</v>
      </c>
      <c r="F5713" s="4">
        <v>1</v>
      </c>
      <c r="G5713" s="42">
        <v>1</v>
      </c>
      <c r="H5713" s="42">
        <v>28.387</v>
      </c>
    </row>
    <row r="5714" spans="1:8" s="15" customFormat="1" ht="16.5" hidden="1" customHeight="1" outlineLevel="1" x14ac:dyDescent="0.25">
      <c r="A5714" s="18">
        <v>1367</v>
      </c>
      <c r="B5714" s="4" t="s">
        <v>249</v>
      </c>
      <c r="C5714" s="38" t="s">
        <v>5093</v>
      </c>
      <c r="D5714" s="18">
        <v>2022</v>
      </c>
      <c r="E5714" s="18" t="s">
        <v>0</v>
      </c>
      <c r="F5714" s="4">
        <v>1</v>
      </c>
      <c r="G5714" s="42">
        <v>5</v>
      </c>
      <c r="H5714" s="42">
        <v>59.40878</v>
      </c>
    </row>
    <row r="5715" spans="1:8" s="15" customFormat="1" ht="16.5" hidden="1" customHeight="1" outlineLevel="1" x14ac:dyDescent="0.25">
      <c r="A5715" s="18">
        <v>1387</v>
      </c>
      <c r="B5715" s="4" t="s">
        <v>249</v>
      </c>
      <c r="C5715" s="38" t="s">
        <v>5094</v>
      </c>
      <c r="D5715" s="18">
        <v>2022</v>
      </c>
      <c r="E5715" s="18" t="s">
        <v>0</v>
      </c>
      <c r="F5715" s="4">
        <v>1</v>
      </c>
      <c r="G5715" s="42">
        <v>5</v>
      </c>
      <c r="H5715" s="42">
        <v>54.428100000000001</v>
      </c>
    </row>
    <row r="5716" spans="1:8" s="15" customFormat="1" ht="16.5" hidden="1" customHeight="1" outlineLevel="1" x14ac:dyDescent="0.25">
      <c r="A5716" s="18">
        <v>1245</v>
      </c>
      <c r="B5716" s="4" t="s">
        <v>249</v>
      </c>
      <c r="C5716" s="38" t="s">
        <v>5095</v>
      </c>
      <c r="D5716" s="18">
        <v>2022</v>
      </c>
      <c r="E5716" s="18" t="s">
        <v>0</v>
      </c>
      <c r="F5716" s="4">
        <v>1</v>
      </c>
      <c r="G5716" s="42">
        <v>5</v>
      </c>
      <c r="H5716" s="42">
        <v>31.20025</v>
      </c>
    </row>
    <row r="5717" spans="1:8" s="15" customFormat="1" ht="16.5" hidden="1" customHeight="1" outlineLevel="1" x14ac:dyDescent="0.25">
      <c r="A5717" s="18">
        <v>1401</v>
      </c>
      <c r="B5717" s="4" t="s">
        <v>249</v>
      </c>
      <c r="C5717" s="38" t="s">
        <v>5096</v>
      </c>
      <c r="D5717" s="18">
        <v>2022</v>
      </c>
      <c r="E5717" s="18" t="s">
        <v>0</v>
      </c>
      <c r="F5717" s="4">
        <v>1</v>
      </c>
      <c r="G5717" s="42">
        <v>6.2</v>
      </c>
      <c r="H5717" s="42">
        <v>35.254600000000003</v>
      </c>
    </row>
    <row r="5718" spans="1:8" s="15" customFormat="1" ht="16.5" hidden="1" customHeight="1" outlineLevel="1" x14ac:dyDescent="0.25">
      <c r="A5718" s="18">
        <v>1158</v>
      </c>
      <c r="B5718" s="4" t="s">
        <v>249</v>
      </c>
      <c r="C5718" s="38" t="s">
        <v>5097</v>
      </c>
      <c r="D5718" s="18">
        <v>2022</v>
      </c>
      <c r="E5718" s="18" t="s">
        <v>0</v>
      </c>
      <c r="F5718" s="4">
        <v>1</v>
      </c>
      <c r="G5718" s="42">
        <v>5</v>
      </c>
      <c r="H5718" s="42">
        <v>35.588720000000002</v>
      </c>
    </row>
    <row r="5719" spans="1:8" s="15" customFormat="1" ht="16.5" hidden="1" customHeight="1" outlineLevel="1" x14ac:dyDescent="0.25">
      <c r="A5719" s="18">
        <v>1172</v>
      </c>
      <c r="B5719" s="4" t="s">
        <v>249</v>
      </c>
      <c r="C5719" s="38" t="s">
        <v>5098</v>
      </c>
      <c r="D5719" s="18">
        <v>2022</v>
      </c>
      <c r="E5719" s="18" t="s">
        <v>0</v>
      </c>
      <c r="F5719" s="4">
        <v>1</v>
      </c>
      <c r="G5719" s="42">
        <v>5</v>
      </c>
      <c r="H5719" s="42">
        <v>36.73509</v>
      </c>
    </row>
    <row r="5720" spans="1:8" s="15" customFormat="1" ht="16.5" hidden="1" customHeight="1" outlineLevel="1" x14ac:dyDescent="0.25">
      <c r="A5720" s="18">
        <v>1273</v>
      </c>
      <c r="B5720" s="4" t="s">
        <v>249</v>
      </c>
      <c r="C5720" s="38" t="s">
        <v>5099</v>
      </c>
      <c r="D5720" s="18">
        <v>2022</v>
      </c>
      <c r="E5720" s="18" t="s">
        <v>0</v>
      </c>
      <c r="F5720" s="4">
        <v>1</v>
      </c>
      <c r="G5720" s="42">
        <v>7</v>
      </c>
      <c r="H5720" s="42">
        <v>28.427949999999999</v>
      </c>
    </row>
    <row r="5721" spans="1:8" s="15" customFormat="1" ht="16.5" hidden="1" customHeight="1" outlineLevel="1" x14ac:dyDescent="0.25">
      <c r="A5721" s="18">
        <v>1101</v>
      </c>
      <c r="B5721" s="4" t="s">
        <v>249</v>
      </c>
      <c r="C5721" s="38" t="s">
        <v>5100</v>
      </c>
      <c r="D5721" s="18">
        <v>2022</v>
      </c>
      <c r="E5721" s="18" t="s">
        <v>0</v>
      </c>
      <c r="F5721" s="4">
        <v>1</v>
      </c>
      <c r="G5721" s="42">
        <v>7</v>
      </c>
      <c r="H5721" s="42">
        <v>42.869030000000002</v>
      </c>
    </row>
    <row r="5722" spans="1:8" s="15" customFormat="1" ht="16.5" hidden="1" customHeight="1" outlineLevel="1" x14ac:dyDescent="0.25">
      <c r="A5722" s="18">
        <v>1369</v>
      </c>
      <c r="B5722" s="4" t="s">
        <v>249</v>
      </c>
      <c r="C5722" s="38" t="s">
        <v>5101</v>
      </c>
      <c r="D5722" s="18">
        <v>2022</v>
      </c>
      <c r="E5722" s="18" t="s">
        <v>0</v>
      </c>
      <c r="F5722" s="4">
        <v>1</v>
      </c>
      <c r="G5722" s="42">
        <v>6</v>
      </c>
      <c r="H5722" s="42">
        <v>26.598510000000001</v>
      </c>
    </row>
    <row r="5723" spans="1:8" s="15" customFormat="1" ht="16.5" hidden="1" customHeight="1" outlineLevel="1" x14ac:dyDescent="0.25">
      <c r="A5723" s="18">
        <v>1442</v>
      </c>
      <c r="B5723" s="4" t="s">
        <v>249</v>
      </c>
      <c r="C5723" s="38" t="s">
        <v>5102</v>
      </c>
      <c r="D5723" s="18">
        <v>2022</v>
      </c>
      <c r="E5723" s="18" t="s">
        <v>0</v>
      </c>
      <c r="F5723" s="4">
        <v>1</v>
      </c>
      <c r="G5723" s="42">
        <v>5</v>
      </c>
      <c r="H5723" s="42">
        <v>28.33315</v>
      </c>
    </row>
    <row r="5724" spans="1:8" s="15" customFormat="1" ht="16.5" hidden="1" customHeight="1" outlineLevel="1" x14ac:dyDescent="0.25">
      <c r="A5724" s="18">
        <v>1053</v>
      </c>
      <c r="B5724" s="4" t="s">
        <v>249</v>
      </c>
      <c r="C5724" s="38" t="s">
        <v>5103</v>
      </c>
      <c r="D5724" s="18">
        <v>2022</v>
      </c>
      <c r="E5724" s="18" t="s">
        <v>0</v>
      </c>
      <c r="F5724" s="4">
        <v>1</v>
      </c>
      <c r="G5724" s="42">
        <v>5</v>
      </c>
      <c r="H5724" s="42">
        <v>131.17383000000001</v>
      </c>
    </row>
    <row r="5725" spans="1:8" s="15" customFormat="1" ht="16.5" hidden="1" customHeight="1" outlineLevel="1" x14ac:dyDescent="0.25">
      <c r="A5725" s="18">
        <v>1130</v>
      </c>
      <c r="B5725" s="4" t="s">
        <v>249</v>
      </c>
      <c r="C5725" s="38" t="s">
        <v>5104</v>
      </c>
      <c r="D5725" s="18">
        <v>2022</v>
      </c>
      <c r="E5725" s="18" t="s">
        <v>0</v>
      </c>
      <c r="F5725" s="4">
        <v>3</v>
      </c>
      <c r="G5725" s="42">
        <v>9</v>
      </c>
      <c r="H5725" s="42">
        <v>101.19049</v>
      </c>
    </row>
    <row r="5726" spans="1:8" s="15" customFormat="1" ht="16.5" hidden="1" customHeight="1" outlineLevel="1" x14ac:dyDescent="0.25">
      <c r="A5726" s="18">
        <v>1133</v>
      </c>
      <c r="B5726" s="4" t="s">
        <v>249</v>
      </c>
      <c r="C5726" s="38" t="s">
        <v>5105</v>
      </c>
      <c r="D5726" s="18">
        <v>2022</v>
      </c>
      <c r="E5726" s="18" t="s">
        <v>0</v>
      </c>
      <c r="F5726" s="4">
        <v>3</v>
      </c>
      <c r="G5726" s="42">
        <v>9</v>
      </c>
      <c r="H5726" s="42">
        <v>164.16990000000001</v>
      </c>
    </row>
    <row r="5727" spans="1:8" s="15" customFormat="1" ht="16.5" hidden="1" customHeight="1" outlineLevel="1" x14ac:dyDescent="0.25">
      <c r="A5727" s="18">
        <v>1439</v>
      </c>
      <c r="B5727" s="4" t="s">
        <v>249</v>
      </c>
      <c r="C5727" s="38" t="s">
        <v>5106</v>
      </c>
      <c r="D5727" s="18">
        <v>2022</v>
      </c>
      <c r="E5727" s="18" t="s">
        <v>0</v>
      </c>
      <c r="F5727" s="4">
        <v>1</v>
      </c>
      <c r="G5727" s="42">
        <v>5</v>
      </c>
      <c r="H5727" s="42">
        <v>82.701840000000004</v>
      </c>
    </row>
    <row r="5728" spans="1:8" s="15" customFormat="1" ht="16.5" hidden="1" customHeight="1" outlineLevel="1" x14ac:dyDescent="0.25">
      <c r="A5728" s="18">
        <v>1463</v>
      </c>
      <c r="B5728" s="4" t="s">
        <v>249</v>
      </c>
      <c r="C5728" s="38" t="s">
        <v>5107</v>
      </c>
      <c r="D5728" s="18">
        <v>2022</v>
      </c>
      <c r="E5728" s="18" t="s">
        <v>0</v>
      </c>
      <c r="F5728" s="4">
        <v>1</v>
      </c>
      <c r="G5728" s="42">
        <v>5</v>
      </c>
      <c r="H5728" s="42">
        <v>73.163480000000007</v>
      </c>
    </row>
    <row r="5729" spans="1:8" s="15" customFormat="1" ht="16.5" hidden="1" customHeight="1" outlineLevel="1" x14ac:dyDescent="0.25">
      <c r="A5729" s="18">
        <v>1515</v>
      </c>
      <c r="B5729" s="4" t="s">
        <v>249</v>
      </c>
      <c r="C5729" s="38" t="s">
        <v>5108</v>
      </c>
      <c r="D5729" s="18">
        <v>2022</v>
      </c>
      <c r="E5729" s="18" t="s">
        <v>0</v>
      </c>
      <c r="F5729" s="4">
        <v>1</v>
      </c>
      <c r="G5729" s="42">
        <v>5</v>
      </c>
      <c r="H5729" s="42">
        <v>64.396060000000006</v>
      </c>
    </row>
    <row r="5730" spans="1:8" s="15" customFormat="1" ht="16.5" hidden="1" customHeight="1" outlineLevel="1" x14ac:dyDescent="0.25">
      <c r="A5730" s="18">
        <v>1135</v>
      </c>
      <c r="B5730" s="4" t="s">
        <v>249</v>
      </c>
      <c r="C5730" s="38" t="s">
        <v>3368</v>
      </c>
      <c r="D5730" s="18">
        <v>2022</v>
      </c>
      <c r="E5730" s="18" t="s">
        <v>0</v>
      </c>
      <c r="F5730" s="4">
        <v>1</v>
      </c>
      <c r="G5730" s="42">
        <v>0.5</v>
      </c>
      <c r="H5730" s="42">
        <v>32.334980000000002</v>
      </c>
    </row>
    <row r="5731" spans="1:8" s="15" customFormat="1" ht="16.5" hidden="1" customHeight="1" outlineLevel="1" x14ac:dyDescent="0.25">
      <c r="A5731" s="18">
        <v>1067</v>
      </c>
      <c r="B5731" s="4" t="s">
        <v>249</v>
      </c>
      <c r="C5731" s="38" t="s">
        <v>5109</v>
      </c>
      <c r="D5731" s="18">
        <v>2022</v>
      </c>
      <c r="E5731" s="18" t="s">
        <v>0</v>
      </c>
      <c r="F5731" s="4">
        <v>1</v>
      </c>
      <c r="G5731" s="42">
        <v>50</v>
      </c>
      <c r="H5731" s="42">
        <v>44.226750000000003</v>
      </c>
    </row>
    <row r="5732" spans="1:8" s="15" customFormat="1" ht="16.5" hidden="1" customHeight="1" outlineLevel="1" x14ac:dyDescent="0.25">
      <c r="A5732" s="18">
        <v>1056</v>
      </c>
      <c r="B5732" s="4" t="s">
        <v>249</v>
      </c>
      <c r="C5732" s="38" t="s">
        <v>5110</v>
      </c>
      <c r="D5732" s="18">
        <v>2022</v>
      </c>
      <c r="E5732" s="18" t="s">
        <v>0</v>
      </c>
      <c r="F5732" s="4">
        <v>1</v>
      </c>
      <c r="G5732" s="42">
        <v>6</v>
      </c>
      <c r="H5732" s="42">
        <v>100.25472000000001</v>
      </c>
    </row>
    <row r="5733" spans="1:8" s="15" customFormat="1" ht="16.5" hidden="1" customHeight="1" outlineLevel="1" x14ac:dyDescent="0.25">
      <c r="A5733" s="18">
        <v>1063</v>
      </c>
      <c r="B5733" s="4" t="s">
        <v>249</v>
      </c>
      <c r="C5733" s="38" t="s">
        <v>5111</v>
      </c>
      <c r="D5733" s="18">
        <v>2022</v>
      </c>
      <c r="E5733" s="18" t="s">
        <v>0</v>
      </c>
      <c r="F5733" s="4">
        <v>1</v>
      </c>
      <c r="G5733" s="42">
        <v>5</v>
      </c>
      <c r="H5733" s="42">
        <v>49.535220000000002</v>
      </c>
    </row>
    <row r="5734" spans="1:8" s="15" customFormat="1" ht="16.5" hidden="1" customHeight="1" outlineLevel="1" x14ac:dyDescent="0.25">
      <c r="A5734" s="18">
        <v>1337</v>
      </c>
      <c r="B5734" s="4" t="s">
        <v>249</v>
      </c>
      <c r="C5734" s="38" t="s">
        <v>5112</v>
      </c>
      <c r="D5734" s="18">
        <v>2022</v>
      </c>
      <c r="E5734" s="18" t="s">
        <v>0</v>
      </c>
      <c r="F5734" s="4">
        <v>1</v>
      </c>
      <c r="G5734" s="42">
        <v>5</v>
      </c>
      <c r="H5734" s="42">
        <v>26.08906</v>
      </c>
    </row>
    <row r="5735" spans="1:8" s="15" customFormat="1" ht="16.5" hidden="1" customHeight="1" outlineLevel="1" x14ac:dyDescent="0.25">
      <c r="A5735" s="18">
        <v>1529</v>
      </c>
      <c r="B5735" s="4" t="s">
        <v>249</v>
      </c>
      <c r="C5735" s="38" t="s">
        <v>5113</v>
      </c>
      <c r="D5735" s="18">
        <v>2022</v>
      </c>
      <c r="E5735" s="18" t="s">
        <v>0</v>
      </c>
      <c r="F5735" s="4">
        <v>1</v>
      </c>
      <c r="G5735" s="42">
        <v>15</v>
      </c>
      <c r="H5735" s="42">
        <v>41.525210000000001</v>
      </c>
    </row>
    <row r="5736" spans="1:8" s="15" customFormat="1" ht="16.5" hidden="1" customHeight="1" outlineLevel="1" x14ac:dyDescent="0.25">
      <c r="A5736" s="18">
        <v>1365</v>
      </c>
      <c r="B5736" s="4" t="s">
        <v>249</v>
      </c>
      <c r="C5736" s="38" t="s">
        <v>5114</v>
      </c>
      <c r="D5736" s="18">
        <v>2022</v>
      </c>
      <c r="E5736" s="18" t="s">
        <v>0</v>
      </c>
      <c r="F5736" s="4">
        <v>1</v>
      </c>
      <c r="G5736" s="42">
        <v>6</v>
      </c>
      <c r="H5736" s="42">
        <v>47.953989999999997</v>
      </c>
    </row>
    <row r="5737" spans="1:8" s="15" customFormat="1" ht="16.5" hidden="1" customHeight="1" outlineLevel="1" x14ac:dyDescent="0.25">
      <c r="A5737" s="18">
        <v>1466</v>
      </c>
      <c r="B5737" s="4" t="s">
        <v>249</v>
      </c>
      <c r="C5737" s="38" t="s">
        <v>3376</v>
      </c>
      <c r="D5737" s="18">
        <v>2022</v>
      </c>
      <c r="E5737" s="18" t="s">
        <v>0</v>
      </c>
      <c r="F5737" s="4">
        <v>1</v>
      </c>
      <c r="G5737" s="42">
        <v>15</v>
      </c>
      <c r="H5737" s="42">
        <v>53.796250000000001</v>
      </c>
    </row>
    <row r="5738" spans="1:8" s="15" customFormat="1" ht="16.5" hidden="1" customHeight="1" outlineLevel="1" x14ac:dyDescent="0.25">
      <c r="A5738" s="18">
        <v>1507</v>
      </c>
      <c r="B5738" s="4" t="s">
        <v>249</v>
      </c>
      <c r="C5738" s="38" t="s">
        <v>5115</v>
      </c>
      <c r="D5738" s="18">
        <v>2022</v>
      </c>
      <c r="E5738" s="18" t="s">
        <v>0</v>
      </c>
      <c r="F5738" s="4">
        <v>1</v>
      </c>
      <c r="G5738" s="42">
        <v>6</v>
      </c>
      <c r="H5738" s="42">
        <v>16.739550000000001</v>
      </c>
    </row>
    <row r="5739" spans="1:8" s="15" customFormat="1" ht="16.5" hidden="1" customHeight="1" outlineLevel="1" x14ac:dyDescent="0.25">
      <c r="A5739" s="18">
        <v>1524</v>
      </c>
      <c r="B5739" s="4" t="s">
        <v>249</v>
      </c>
      <c r="C5739" s="38" t="s">
        <v>5116</v>
      </c>
      <c r="D5739" s="18">
        <v>2022</v>
      </c>
      <c r="E5739" s="18" t="s">
        <v>0</v>
      </c>
      <c r="F5739" s="4">
        <v>1</v>
      </c>
      <c r="G5739" s="42">
        <v>15</v>
      </c>
      <c r="H5739" s="42">
        <v>24.705220000000001</v>
      </c>
    </row>
    <row r="5740" spans="1:8" s="15" customFormat="1" ht="16.5" hidden="1" customHeight="1" outlineLevel="1" x14ac:dyDescent="0.25">
      <c r="A5740" s="18">
        <v>1551</v>
      </c>
      <c r="B5740" s="4" t="s">
        <v>249</v>
      </c>
      <c r="C5740" s="38" t="s">
        <v>5117</v>
      </c>
      <c r="D5740" s="18">
        <v>2022</v>
      </c>
      <c r="E5740" s="18" t="s">
        <v>0</v>
      </c>
      <c r="F5740" s="4">
        <v>1</v>
      </c>
      <c r="G5740" s="42">
        <v>4.2</v>
      </c>
      <c r="H5740" s="42">
        <v>24.57536</v>
      </c>
    </row>
    <row r="5741" spans="1:8" s="15" customFormat="1" ht="16.5" hidden="1" customHeight="1" outlineLevel="1" x14ac:dyDescent="0.25">
      <c r="A5741" s="18">
        <v>1462</v>
      </c>
      <c r="B5741" s="4" t="s">
        <v>249</v>
      </c>
      <c r="C5741" s="38" t="s">
        <v>5118</v>
      </c>
      <c r="D5741" s="18">
        <v>2022</v>
      </c>
      <c r="E5741" s="18" t="s">
        <v>0</v>
      </c>
      <c r="F5741" s="4">
        <v>1</v>
      </c>
      <c r="G5741" s="42">
        <v>8</v>
      </c>
      <c r="H5741" s="42">
        <v>16.105229999999999</v>
      </c>
    </row>
    <row r="5742" spans="1:8" s="15" customFormat="1" ht="16.5" hidden="1" customHeight="1" outlineLevel="1" x14ac:dyDescent="0.25">
      <c r="A5742" s="18">
        <v>1499</v>
      </c>
      <c r="B5742" s="4" t="s">
        <v>249</v>
      </c>
      <c r="C5742" s="38" t="s">
        <v>5119</v>
      </c>
      <c r="D5742" s="18">
        <v>2022</v>
      </c>
      <c r="E5742" s="18" t="s">
        <v>0</v>
      </c>
      <c r="F5742" s="4">
        <v>1</v>
      </c>
      <c r="G5742" s="42">
        <v>15</v>
      </c>
      <c r="H5742" s="42">
        <v>25.47203</v>
      </c>
    </row>
    <row r="5743" spans="1:8" s="15" customFormat="1" ht="16.5" hidden="1" customHeight="1" outlineLevel="1" x14ac:dyDescent="0.25">
      <c r="A5743" s="18">
        <v>1514</v>
      </c>
      <c r="B5743" s="4" t="s">
        <v>249</v>
      </c>
      <c r="C5743" s="38" t="s">
        <v>5120</v>
      </c>
      <c r="D5743" s="18">
        <v>2022</v>
      </c>
      <c r="E5743" s="18" t="s">
        <v>0</v>
      </c>
      <c r="F5743" s="4">
        <v>1</v>
      </c>
      <c r="G5743" s="42">
        <v>10</v>
      </c>
      <c r="H5743" s="42">
        <v>23.766069999999999</v>
      </c>
    </row>
    <row r="5744" spans="1:8" s="15" customFormat="1" ht="16.5" hidden="1" customHeight="1" outlineLevel="1" x14ac:dyDescent="0.25">
      <c r="A5744" s="18">
        <v>1502</v>
      </c>
      <c r="B5744" s="4" t="s">
        <v>249</v>
      </c>
      <c r="C5744" s="38" t="s">
        <v>5121</v>
      </c>
      <c r="D5744" s="18">
        <v>2022</v>
      </c>
      <c r="E5744" s="18" t="s">
        <v>0</v>
      </c>
      <c r="F5744" s="4">
        <v>1</v>
      </c>
      <c r="G5744" s="42">
        <v>6</v>
      </c>
      <c r="H5744" s="42">
        <v>31.462250000000001</v>
      </c>
    </row>
    <row r="5745" spans="1:8" s="15" customFormat="1" ht="16.5" hidden="1" customHeight="1" outlineLevel="1" x14ac:dyDescent="0.25">
      <c r="A5745" s="18">
        <v>1327</v>
      </c>
      <c r="B5745" s="4" t="s">
        <v>249</v>
      </c>
      <c r="C5745" s="38" t="s">
        <v>5122</v>
      </c>
      <c r="D5745" s="18">
        <v>2022</v>
      </c>
      <c r="E5745" s="18" t="s">
        <v>0</v>
      </c>
      <c r="F5745" s="4">
        <v>1</v>
      </c>
      <c r="G5745" s="42">
        <v>5</v>
      </c>
      <c r="H5745" s="42">
        <v>28.789249999999999</v>
      </c>
    </row>
    <row r="5746" spans="1:8" s="15" customFormat="1" ht="16.5" hidden="1" customHeight="1" outlineLevel="1" x14ac:dyDescent="0.25">
      <c r="A5746" s="18">
        <v>1313</v>
      </c>
      <c r="B5746" s="4" t="s">
        <v>249</v>
      </c>
      <c r="C5746" s="38" t="s">
        <v>5123</v>
      </c>
      <c r="D5746" s="18">
        <v>2022</v>
      </c>
      <c r="E5746" s="18" t="s">
        <v>0</v>
      </c>
      <c r="F5746" s="4">
        <v>1</v>
      </c>
      <c r="G5746" s="42">
        <v>5</v>
      </c>
      <c r="H5746" s="42">
        <v>45.970660000000002</v>
      </c>
    </row>
    <row r="5747" spans="1:8" s="15" customFormat="1" ht="16.5" hidden="1" customHeight="1" outlineLevel="1" x14ac:dyDescent="0.25">
      <c r="A5747" s="18">
        <v>1584</v>
      </c>
      <c r="B5747" s="4" t="s">
        <v>249</v>
      </c>
      <c r="C5747" s="38" t="s">
        <v>5124</v>
      </c>
      <c r="D5747" s="18">
        <v>2022</v>
      </c>
      <c r="E5747" s="18" t="s">
        <v>0</v>
      </c>
      <c r="F5747" s="4">
        <v>1</v>
      </c>
      <c r="G5747" s="42">
        <v>5</v>
      </c>
      <c r="H5747" s="42">
        <v>20.626570000000001</v>
      </c>
    </row>
    <row r="5748" spans="1:8" s="15" customFormat="1" ht="16.5" hidden="1" customHeight="1" outlineLevel="1" x14ac:dyDescent="0.25">
      <c r="A5748" s="18">
        <v>1388</v>
      </c>
      <c r="B5748" s="4" t="s">
        <v>249</v>
      </c>
      <c r="C5748" s="38" t="s">
        <v>5125</v>
      </c>
      <c r="D5748" s="18">
        <v>2022</v>
      </c>
      <c r="E5748" s="18" t="s">
        <v>0</v>
      </c>
      <c r="F5748" s="4">
        <v>1</v>
      </c>
      <c r="G5748" s="42">
        <v>5</v>
      </c>
      <c r="H5748" s="42">
        <v>34.17324</v>
      </c>
    </row>
    <row r="5749" spans="1:8" s="15" customFormat="1" ht="16.5" hidden="1" customHeight="1" outlineLevel="1" x14ac:dyDescent="0.25">
      <c r="A5749" s="18">
        <v>1331</v>
      </c>
      <c r="B5749" s="4" t="s">
        <v>249</v>
      </c>
      <c r="C5749" s="38" t="s">
        <v>5126</v>
      </c>
      <c r="D5749" s="18">
        <v>2022</v>
      </c>
      <c r="E5749" s="18" t="s">
        <v>0</v>
      </c>
      <c r="F5749" s="4">
        <v>1</v>
      </c>
      <c r="G5749" s="42">
        <v>5</v>
      </c>
      <c r="H5749" s="42">
        <v>26.196770000000001</v>
      </c>
    </row>
    <row r="5750" spans="1:8" s="15" customFormat="1" ht="16.5" hidden="1" customHeight="1" outlineLevel="1" x14ac:dyDescent="0.25">
      <c r="A5750" s="18">
        <v>1261</v>
      </c>
      <c r="B5750" s="4" t="s">
        <v>249</v>
      </c>
      <c r="C5750" s="38" t="s">
        <v>5127</v>
      </c>
      <c r="D5750" s="18">
        <v>2022</v>
      </c>
      <c r="E5750" s="18" t="s">
        <v>0</v>
      </c>
      <c r="F5750" s="4">
        <v>1</v>
      </c>
      <c r="G5750" s="42">
        <v>5</v>
      </c>
      <c r="H5750" s="42">
        <v>30.549209999999999</v>
      </c>
    </row>
    <row r="5751" spans="1:8" s="15" customFormat="1" ht="16.5" hidden="1" customHeight="1" outlineLevel="1" x14ac:dyDescent="0.25">
      <c r="A5751" s="18">
        <v>1593</v>
      </c>
      <c r="B5751" s="4" t="s">
        <v>249</v>
      </c>
      <c r="C5751" s="38" t="s">
        <v>5128</v>
      </c>
      <c r="D5751" s="18">
        <v>2022</v>
      </c>
      <c r="E5751" s="18" t="s">
        <v>0</v>
      </c>
      <c r="F5751" s="4">
        <v>1</v>
      </c>
      <c r="G5751" s="42">
        <v>5</v>
      </c>
      <c r="H5751" s="42">
        <v>14.34492</v>
      </c>
    </row>
    <row r="5752" spans="1:8" s="15" customFormat="1" ht="16.5" hidden="1" customHeight="1" outlineLevel="1" x14ac:dyDescent="0.25">
      <c r="A5752" s="18">
        <v>1599</v>
      </c>
      <c r="B5752" s="4" t="s">
        <v>249</v>
      </c>
      <c r="C5752" s="38" t="s">
        <v>5129</v>
      </c>
      <c r="D5752" s="18">
        <v>2022</v>
      </c>
      <c r="E5752" s="18" t="s">
        <v>0</v>
      </c>
      <c r="F5752" s="4">
        <v>1</v>
      </c>
      <c r="G5752" s="42">
        <v>5</v>
      </c>
      <c r="H5752" s="42">
        <v>11.99863</v>
      </c>
    </row>
    <row r="5753" spans="1:8" s="15" customFormat="1" ht="16.5" hidden="1" customHeight="1" outlineLevel="1" x14ac:dyDescent="0.25">
      <c r="A5753" s="18">
        <v>1598</v>
      </c>
      <c r="B5753" s="4" t="s">
        <v>249</v>
      </c>
      <c r="C5753" s="38" t="s">
        <v>5130</v>
      </c>
      <c r="D5753" s="18">
        <v>2022</v>
      </c>
      <c r="E5753" s="18" t="s">
        <v>0</v>
      </c>
      <c r="F5753" s="4">
        <v>1</v>
      </c>
      <c r="G5753" s="42">
        <v>5</v>
      </c>
      <c r="H5753" s="42">
        <v>11.99863</v>
      </c>
    </row>
    <row r="5754" spans="1:8" s="15" customFormat="1" ht="16.5" hidden="1" customHeight="1" outlineLevel="1" x14ac:dyDescent="0.25">
      <c r="A5754" s="18">
        <v>1060</v>
      </c>
      <c r="B5754" s="4" t="s">
        <v>249</v>
      </c>
      <c r="C5754" s="38" t="s">
        <v>5131</v>
      </c>
      <c r="D5754" s="18">
        <v>2022</v>
      </c>
      <c r="E5754" s="18" t="s">
        <v>0</v>
      </c>
      <c r="F5754" s="4">
        <v>1</v>
      </c>
      <c r="G5754" s="42">
        <v>5</v>
      </c>
      <c r="H5754" s="42">
        <v>56.3872</v>
      </c>
    </row>
    <row r="5755" spans="1:8" s="15" customFormat="1" ht="16.5" hidden="1" customHeight="1" outlineLevel="1" x14ac:dyDescent="0.25">
      <c r="A5755" s="18">
        <v>1090</v>
      </c>
      <c r="B5755" s="4" t="s">
        <v>249</v>
      </c>
      <c r="C5755" s="38" t="s">
        <v>5132</v>
      </c>
      <c r="D5755" s="18">
        <v>2022</v>
      </c>
      <c r="E5755" s="18" t="s">
        <v>0</v>
      </c>
      <c r="F5755" s="4">
        <v>1</v>
      </c>
      <c r="G5755" s="42">
        <v>5</v>
      </c>
      <c r="H5755" s="42">
        <v>56.221769999999999</v>
      </c>
    </row>
    <row r="5756" spans="1:8" s="15" customFormat="1" ht="16.5" hidden="1" customHeight="1" outlineLevel="1" x14ac:dyDescent="0.25">
      <c r="A5756" s="18">
        <v>1471</v>
      </c>
      <c r="B5756" s="4" t="s">
        <v>249</v>
      </c>
      <c r="C5756" s="38" t="s">
        <v>5133</v>
      </c>
      <c r="D5756" s="18">
        <v>2022</v>
      </c>
      <c r="E5756" s="18" t="s">
        <v>0</v>
      </c>
      <c r="F5756" s="4">
        <v>1</v>
      </c>
      <c r="G5756" s="42">
        <v>1.5</v>
      </c>
      <c r="H5756" s="42">
        <v>16.845559999999999</v>
      </c>
    </row>
    <row r="5757" spans="1:8" s="15" customFormat="1" ht="16.5" hidden="1" customHeight="1" outlineLevel="1" x14ac:dyDescent="0.25">
      <c r="A5757" s="18">
        <v>1218</v>
      </c>
      <c r="B5757" s="4" t="s">
        <v>249</v>
      </c>
      <c r="C5757" s="38" t="s">
        <v>5134</v>
      </c>
      <c r="D5757" s="18">
        <v>2022</v>
      </c>
      <c r="E5757" s="18" t="s">
        <v>0</v>
      </c>
      <c r="F5757" s="4">
        <v>1</v>
      </c>
      <c r="G5757" s="42">
        <v>5</v>
      </c>
      <c r="H5757" s="42">
        <v>16.683579999999999</v>
      </c>
    </row>
    <row r="5758" spans="1:8" s="15" customFormat="1" ht="16.5" hidden="1" customHeight="1" outlineLevel="1" x14ac:dyDescent="0.25">
      <c r="A5758" s="18">
        <v>1249</v>
      </c>
      <c r="B5758" s="4" t="s">
        <v>249</v>
      </c>
      <c r="C5758" s="38" t="s">
        <v>5135</v>
      </c>
      <c r="D5758" s="18">
        <v>2022</v>
      </c>
      <c r="E5758" s="18" t="s">
        <v>0</v>
      </c>
      <c r="F5758" s="4">
        <v>1</v>
      </c>
      <c r="G5758" s="42">
        <v>5</v>
      </c>
      <c r="H5758" s="42">
        <v>34.141309999999997</v>
      </c>
    </row>
    <row r="5759" spans="1:8" s="15" customFormat="1" ht="16.5" hidden="1" customHeight="1" outlineLevel="1" x14ac:dyDescent="0.25">
      <c r="A5759" s="18">
        <v>1603</v>
      </c>
      <c r="B5759" s="4" t="s">
        <v>249</v>
      </c>
      <c r="C5759" s="38" t="s">
        <v>5136</v>
      </c>
      <c r="D5759" s="18">
        <v>2022</v>
      </c>
      <c r="E5759" s="18" t="s">
        <v>0</v>
      </c>
      <c r="F5759" s="4">
        <v>1</v>
      </c>
      <c r="G5759" s="42">
        <v>7</v>
      </c>
      <c r="H5759" s="42">
        <v>13.21561</v>
      </c>
    </row>
    <row r="5760" spans="1:8" s="15" customFormat="1" ht="16.5" hidden="1" customHeight="1" outlineLevel="1" x14ac:dyDescent="0.25">
      <c r="A5760" s="18">
        <v>1616</v>
      </c>
      <c r="B5760" s="4" t="s">
        <v>249</v>
      </c>
      <c r="C5760" s="38" t="s">
        <v>5137</v>
      </c>
      <c r="D5760" s="18">
        <v>2022</v>
      </c>
      <c r="E5760" s="18" t="s">
        <v>0</v>
      </c>
      <c r="F5760" s="4">
        <v>1</v>
      </c>
      <c r="G5760" s="42">
        <v>7</v>
      </c>
      <c r="H5760" s="42">
        <v>12.343260000000001</v>
      </c>
    </row>
    <row r="5761" spans="1:8" s="15" customFormat="1" ht="16.5" hidden="1" customHeight="1" outlineLevel="1" x14ac:dyDescent="0.25">
      <c r="A5761" s="18">
        <v>1230</v>
      </c>
      <c r="B5761" s="4" t="s">
        <v>249</v>
      </c>
      <c r="C5761" s="38" t="s">
        <v>3378</v>
      </c>
      <c r="D5761" s="18">
        <v>2022</v>
      </c>
      <c r="E5761" s="18" t="s">
        <v>0</v>
      </c>
      <c r="F5761" s="4">
        <v>1</v>
      </c>
      <c r="G5761" s="42">
        <v>1</v>
      </c>
      <c r="H5761" s="42">
        <v>30.645980000000002</v>
      </c>
    </row>
    <row r="5762" spans="1:8" s="15" customFormat="1" ht="16.5" hidden="1" customHeight="1" outlineLevel="1" x14ac:dyDescent="0.25">
      <c r="A5762" s="18">
        <v>1566</v>
      </c>
      <c r="B5762" s="4" t="s">
        <v>249</v>
      </c>
      <c r="C5762" s="38" t="s">
        <v>5138</v>
      </c>
      <c r="D5762" s="18">
        <v>2022</v>
      </c>
      <c r="E5762" s="18" t="s">
        <v>0</v>
      </c>
      <c r="F5762" s="4">
        <v>1</v>
      </c>
      <c r="G5762" s="42">
        <v>15</v>
      </c>
      <c r="H5762" s="42">
        <v>23.009789999999999</v>
      </c>
    </row>
    <row r="5763" spans="1:8" s="15" customFormat="1" ht="16.5" hidden="1" customHeight="1" outlineLevel="1" x14ac:dyDescent="0.25">
      <c r="A5763" s="18">
        <v>1563</v>
      </c>
      <c r="B5763" s="4" t="s">
        <v>249</v>
      </c>
      <c r="C5763" s="38" t="s">
        <v>5139</v>
      </c>
      <c r="D5763" s="18">
        <v>2022</v>
      </c>
      <c r="E5763" s="18" t="s">
        <v>0</v>
      </c>
      <c r="F5763" s="4">
        <v>1</v>
      </c>
      <c r="G5763" s="42">
        <v>5</v>
      </c>
      <c r="H5763" s="42">
        <v>18.242139999999999</v>
      </c>
    </row>
    <row r="5764" spans="1:8" s="15" customFormat="1" ht="16.5" hidden="1" customHeight="1" outlineLevel="1" x14ac:dyDescent="0.25">
      <c r="A5764" s="18">
        <v>1553</v>
      </c>
      <c r="B5764" s="4" t="s">
        <v>249</v>
      </c>
      <c r="C5764" s="38" t="s">
        <v>5140</v>
      </c>
      <c r="D5764" s="18">
        <v>2022</v>
      </c>
      <c r="E5764" s="18" t="s">
        <v>0</v>
      </c>
      <c r="F5764" s="4">
        <v>1</v>
      </c>
      <c r="G5764" s="42">
        <v>5</v>
      </c>
      <c r="H5764" s="42">
        <v>19.096689999999999</v>
      </c>
    </row>
    <row r="5765" spans="1:8" s="15" customFormat="1" ht="16.5" hidden="1" customHeight="1" outlineLevel="1" x14ac:dyDescent="0.25">
      <c r="A5765" s="18">
        <v>1115</v>
      </c>
      <c r="B5765" s="4" t="s">
        <v>249</v>
      </c>
      <c r="C5765" s="38" t="s">
        <v>5141</v>
      </c>
      <c r="D5765" s="18">
        <v>2022</v>
      </c>
      <c r="E5765" s="18" t="s">
        <v>0</v>
      </c>
      <c r="F5765" s="4">
        <v>1</v>
      </c>
      <c r="G5765" s="42">
        <v>5</v>
      </c>
      <c r="H5765" s="42">
        <v>35.608829999999998</v>
      </c>
    </row>
    <row r="5766" spans="1:8" s="15" customFormat="1" ht="16.5" hidden="1" customHeight="1" outlineLevel="1" x14ac:dyDescent="0.25">
      <c r="A5766" s="18">
        <v>1352</v>
      </c>
      <c r="B5766" s="4" t="s">
        <v>249</v>
      </c>
      <c r="C5766" s="38" t="s">
        <v>5142</v>
      </c>
      <c r="D5766" s="18">
        <v>2022</v>
      </c>
      <c r="E5766" s="18" t="s">
        <v>0</v>
      </c>
      <c r="F5766" s="4">
        <v>1</v>
      </c>
      <c r="G5766" s="42">
        <v>2</v>
      </c>
      <c r="H5766" s="42">
        <v>26.066220000000001</v>
      </c>
    </row>
    <row r="5767" spans="1:8" s="15" customFormat="1" ht="16.5" hidden="1" customHeight="1" outlineLevel="1" x14ac:dyDescent="0.25">
      <c r="A5767" s="18">
        <v>1376</v>
      </c>
      <c r="B5767" s="4" t="s">
        <v>249</v>
      </c>
      <c r="C5767" s="38" t="s">
        <v>5143</v>
      </c>
      <c r="D5767" s="18">
        <v>2022</v>
      </c>
      <c r="E5767" s="18" t="s">
        <v>0</v>
      </c>
      <c r="F5767" s="4">
        <v>1</v>
      </c>
      <c r="G5767" s="42">
        <v>15</v>
      </c>
      <c r="H5767" s="42">
        <v>19.371469999999999</v>
      </c>
    </row>
    <row r="5768" spans="1:8" s="15" customFormat="1" ht="16.5" hidden="1" customHeight="1" outlineLevel="1" x14ac:dyDescent="0.25">
      <c r="A5768" s="18">
        <v>1557</v>
      </c>
      <c r="B5768" s="4" t="s">
        <v>249</v>
      </c>
      <c r="C5768" s="38" t="s">
        <v>5144</v>
      </c>
      <c r="D5768" s="18">
        <v>2022</v>
      </c>
      <c r="E5768" s="18" t="s">
        <v>0</v>
      </c>
      <c r="F5768" s="4">
        <v>1</v>
      </c>
      <c r="G5768" s="42">
        <v>7</v>
      </c>
      <c r="H5768" s="42">
        <v>27.503900000000002</v>
      </c>
    </row>
    <row r="5769" spans="1:8" s="15" customFormat="1" ht="16.5" hidden="1" customHeight="1" outlineLevel="1" x14ac:dyDescent="0.25">
      <c r="A5769" s="18">
        <v>1441</v>
      </c>
      <c r="B5769" s="4" t="s">
        <v>249</v>
      </c>
      <c r="C5769" s="38" t="s">
        <v>5145</v>
      </c>
      <c r="D5769" s="18">
        <v>2022</v>
      </c>
      <c r="E5769" s="18" t="s">
        <v>0</v>
      </c>
      <c r="F5769" s="4">
        <v>1</v>
      </c>
      <c r="G5769" s="42">
        <v>5</v>
      </c>
      <c r="H5769" s="42">
        <v>18.204190000000001</v>
      </c>
    </row>
    <row r="5770" spans="1:8" s="15" customFormat="1" ht="16.5" hidden="1" customHeight="1" outlineLevel="1" x14ac:dyDescent="0.25">
      <c r="A5770" s="18">
        <v>1654</v>
      </c>
      <c r="B5770" s="4" t="s">
        <v>249</v>
      </c>
      <c r="C5770" s="38" t="s">
        <v>5146</v>
      </c>
      <c r="D5770" s="18">
        <v>2022</v>
      </c>
      <c r="E5770" s="18" t="s">
        <v>0</v>
      </c>
      <c r="F5770" s="4">
        <v>1</v>
      </c>
      <c r="G5770" s="42">
        <v>5</v>
      </c>
      <c r="H5770" s="42">
        <v>11.991099999999999</v>
      </c>
    </row>
    <row r="5771" spans="1:8" s="15" customFormat="1" ht="16.5" hidden="1" customHeight="1" outlineLevel="1" x14ac:dyDescent="0.25">
      <c r="A5771" s="18">
        <v>1461</v>
      </c>
      <c r="B5771" s="4" t="s">
        <v>249</v>
      </c>
      <c r="C5771" s="38" t="s">
        <v>5147</v>
      </c>
      <c r="D5771" s="18">
        <v>2022</v>
      </c>
      <c r="E5771" s="18" t="s">
        <v>0</v>
      </c>
      <c r="F5771" s="4">
        <v>1</v>
      </c>
      <c r="G5771" s="42">
        <v>5</v>
      </c>
      <c r="H5771" s="42">
        <v>26.817029999999999</v>
      </c>
    </row>
    <row r="5772" spans="1:8" s="15" customFormat="1" ht="16.5" hidden="1" customHeight="1" outlineLevel="1" x14ac:dyDescent="0.25">
      <c r="A5772" s="18">
        <v>1421</v>
      </c>
      <c r="B5772" s="4" t="s">
        <v>249</v>
      </c>
      <c r="C5772" s="38" t="s">
        <v>5148</v>
      </c>
      <c r="D5772" s="18">
        <v>2022</v>
      </c>
      <c r="E5772" s="18" t="s">
        <v>0</v>
      </c>
      <c r="F5772" s="4">
        <v>1</v>
      </c>
      <c r="G5772" s="42">
        <v>7</v>
      </c>
      <c r="H5772" s="42">
        <v>26.70431</v>
      </c>
    </row>
    <row r="5773" spans="1:8" s="15" customFormat="1" ht="16.5" hidden="1" customHeight="1" outlineLevel="1" x14ac:dyDescent="0.25">
      <c r="A5773" s="18">
        <v>1177</v>
      </c>
      <c r="B5773" s="4" t="s">
        <v>249</v>
      </c>
      <c r="C5773" s="38" t="s">
        <v>5149</v>
      </c>
      <c r="D5773" s="18">
        <v>2022</v>
      </c>
      <c r="E5773" s="18" t="s">
        <v>0</v>
      </c>
      <c r="F5773" s="4">
        <v>1</v>
      </c>
      <c r="G5773" s="42">
        <v>5</v>
      </c>
      <c r="H5773" s="42">
        <v>27.717939999999999</v>
      </c>
    </row>
    <row r="5774" spans="1:8" s="15" customFormat="1" ht="16.5" hidden="1" customHeight="1" outlineLevel="1" x14ac:dyDescent="0.25">
      <c r="A5774" s="18">
        <v>1114</v>
      </c>
      <c r="B5774" s="4" t="s">
        <v>249</v>
      </c>
      <c r="C5774" s="38" t="s">
        <v>5150</v>
      </c>
      <c r="D5774" s="18">
        <v>2022</v>
      </c>
      <c r="E5774" s="18" t="s">
        <v>0</v>
      </c>
      <c r="F5774" s="4">
        <v>1</v>
      </c>
      <c r="G5774" s="42">
        <v>5</v>
      </c>
      <c r="H5774" s="42">
        <v>36.252299999999998</v>
      </c>
    </row>
    <row r="5775" spans="1:8" s="15" customFormat="1" ht="16.5" hidden="1" customHeight="1" outlineLevel="1" x14ac:dyDescent="0.25">
      <c r="A5775" s="18">
        <v>1564</v>
      </c>
      <c r="B5775" s="4" t="s">
        <v>249</v>
      </c>
      <c r="C5775" s="38" t="s">
        <v>5151</v>
      </c>
      <c r="D5775" s="18">
        <v>2022</v>
      </c>
      <c r="E5775" s="18" t="s">
        <v>0</v>
      </c>
      <c r="F5775" s="4">
        <v>1</v>
      </c>
      <c r="G5775" s="42">
        <v>7</v>
      </c>
      <c r="H5775" s="42">
        <v>19.90889</v>
      </c>
    </row>
    <row r="5776" spans="1:8" s="15" customFormat="1" ht="16.5" hidden="1" customHeight="1" outlineLevel="1" x14ac:dyDescent="0.25">
      <c r="A5776" s="18">
        <v>1655</v>
      </c>
      <c r="B5776" s="4" t="s">
        <v>249</v>
      </c>
      <c r="C5776" s="38" t="s">
        <v>5152</v>
      </c>
      <c r="D5776" s="18">
        <v>2022</v>
      </c>
      <c r="E5776" s="18" t="s">
        <v>0</v>
      </c>
      <c r="F5776" s="4">
        <v>1</v>
      </c>
      <c r="G5776" s="42">
        <v>7</v>
      </c>
      <c r="H5776" s="42">
        <v>12.4499</v>
      </c>
    </row>
    <row r="5777" spans="1:8" s="15" customFormat="1" ht="16.5" hidden="1" customHeight="1" outlineLevel="1" x14ac:dyDescent="0.25">
      <c r="A5777" s="18">
        <v>1552</v>
      </c>
      <c r="B5777" s="4" t="s">
        <v>249</v>
      </c>
      <c r="C5777" s="38" t="s">
        <v>5153</v>
      </c>
      <c r="D5777" s="18">
        <v>2022</v>
      </c>
      <c r="E5777" s="18" t="s">
        <v>0</v>
      </c>
      <c r="F5777" s="4">
        <v>1</v>
      </c>
      <c r="G5777" s="42">
        <v>7</v>
      </c>
      <c r="H5777" s="42">
        <v>19.74682</v>
      </c>
    </row>
    <row r="5778" spans="1:8" s="15" customFormat="1" ht="16.5" hidden="1" customHeight="1" outlineLevel="1" x14ac:dyDescent="0.25">
      <c r="A5778" s="18">
        <v>1650</v>
      </c>
      <c r="B5778" s="4" t="s">
        <v>249</v>
      </c>
      <c r="C5778" s="38" t="s">
        <v>5154</v>
      </c>
      <c r="D5778" s="18">
        <v>2022</v>
      </c>
      <c r="E5778" s="18" t="s">
        <v>0</v>
      </c>
      <c r="F5778" s="4">
        <v>1</v>
      </c>
      <c r="G5778" s="42">
        <v>5</v>
      </c>
      <c r="H5778" s="42">
        <v>11.842610000000001</v>
      </c>
    </row>
    <row r="5779" spans="1:8" s="15" customFormat="1" ht="16.5" hidden="1" customHeight="1" outlineLevel="1" x14ac:dyDescent="0.25">
      <c r="A5779" s="18">
        <v>1628</v>
      </c>
      <c r="B5779" s="4" t="s">
        <v>249</v>
      </c>
      <c r="C5779" s="38" t="s">
        <v>5155</v>
      </c>
      <c r="D5779" s="18">
        <v>2022</v>
      </c>
      <c r="E5779" s="18" t="s">
        <v>0</v>
      </c>
      <c r="F5779" s="4">
        <v>1</v>
      </c>
      <c r="G5779" s="42">
        <v>5</v>
      </c>
      <c r="H5779" s="42">
        <v>12.87139</v>
      </c>
    </row>
    <row r="5780" spans="1:8" s="15" customFormat="1" ht="16.5" hidden="1" customHeight="1" outlineLevel="1" x14ac:dyDescent="0.25">
      <c r="A5780" s="18">
        <v>1155</v>
      </c>
      <c r="B5780" s="4" t="s">
        <v>249</v>
      </c>
      <c r="C5780" s="38" t="s">
        <v>5156</v>
      </c>
      <c r="D5780" s="18">
        <v>2022</v>
      </c>
      <c r="E5780" s="18" t="s">
        <v>0</v>
      </c>
      <c r="F5780" s="4">
        <v>1</v>
      </c>
      <c r="G5780" s="42">
        <v>5</v>
      </c>
      <c r="H5780" s="42">
        <v>18.12135</v>
      </c>
    </row>
    <row r="5781" spans="1:8" s="15" customFormat="1" ht="16.5" hidden="1" customHeight="1" outlineLevel="1" x14ac:dyDescent="0.25">
      <c r="A5781" s="18">
        <v>1676</v>
      </c>
      <c r="B5781" s="4" t="s">
        <v>249</v>
      </c>
      <c r="C5781" s="38" t="s">
        <v>5157</v>
      </c>
      <c r="D5781" s="18">
        <v>2022</v>
      </c>
      <c r="E5781" s="18" t="s">
        <v>0</v>
      </c>
      <c r="F5781" s="4">
        <v>1</v>
      </c>
      <c r="G5781" s="42">
        <v>5</v>
      </c>
      <c r="H5781" s="42">
        <v>12.355639999999999</v>
      </c>
    </row>
    <row r="5782" spans="1:8" s="15" customFormat="1" ht="16.5" hidden="1" customHeight="1" outlineLevel="1" x14ac:dyDescent="0.25">
      <c r="A5782" s="18">
        <v>1287</v>
      </c>
      <c r="B5782" s="4" t="s">
        <v>249</v>
      </c>
      <c r="C5782" s="38" t="s">
        <v>5158</v>
      </c>
      <c r="D5782" s="18">
        <v>2022</v>
      </c>
      <c r="E5782" s="18" t="s">
        <v>0</v>
      </c>
      <c r="F5782" s="4">
        <v>1</v>
      </c>
      <c r="G5782" s="42">
        <v>30</v>
      </c>
      <c r="H5782" s="42">
        <v>27.723120000000002</v>
      </c>
    </row>
    <row r="5783" spans="1:8" s="15" customFormat="1" ht="16.5" hidden="1" customHeight="1" outlineLevel="1" x14ac:dyDescent="0.25">
      <c r="A5783" s="18">
        <v>1669</v>
      </c>
      <c r="B5783" s="4" t="s">
        <v>249</v>
      </c>
      <c r="C5783" s="38" t="s">
        <v>5159</v>
      </c>
      <c r="D5783" s="18">
        <v>2022</v>
      </c>
      <c r="E5783" s="18" t="s">
        <v>0</v>
      </c>
      <c r="F5783" s="4">
        <v>1</v>
      </c>
      <c r="G5783" s="42">
        <v>7</v>
      </c>
      <c r="H5783" s="42">
        <v>13.563739999999999</v>
      </c>
    </row>
    <row r="5784" spans="1:8" s="15" customFormat="1" ht="16.5" hidden="1" customHeight="1" outlineLevel="1" x14ac:dyDescent="0.25">
      <c r="A5784" s="18">
        <v>1605</v>
      </c>
      <c r="B5784" s="4" t="s">
        <v>249</v>
      </c>
      <c r="C5784" s="38" t="s">
        <v>5160</v>
      </c>
      <c r="D5784" s="18">
        <v>2022</v>
      </c>
      <c r="E5784" s="18" t="s">
        <v>0</v>
      </c>
      <c r="F5784" s="4">
        <v>1</v>
      </c>
      <c r="G5784" s="42">
        <v>5</v>
      </c>
      <c r="H5784" s="42">
        <v>13.501469999999999</v>
      </c>
    </row>
    <row r="5785" spans="1:8" s="15" customFormat="1" ht="16.5" hidden="1" customHeight="1" outlineLevel="1" x14ac:dyDescent="0.25">
      <c r="A5785" s="18">
        <v>1631</v>
      </c>
      <c r="B5785" s="4" t="s">
        <v>249</v>
      </c>
      <c r="C5785" s="38" t="s">
        <v>5161</v>
      </c>
      <c r="D5785" s="18">
        <v>2022</v>
      </c>
      <c r="E5785" s="18" t="s">
        <v>0</v>
      </c>
      <c r="F5785" s="4">
        <v>1</v>
      </c>
      <c r="G5785" s="42">
        <v>11</v>
      </c>
      <c r="H5785" s="42">
        <v>12.289580000000001</v>
      </c>
    </row>
    <row r="5786" spans="1:8" s="15" customFormat="1" ht="16.5" hidden="1" customHeight="1" outlineLevel="1" x14ac:dyDescent="0.25">
      <c r="A5786" s="18">
        <v>1674</v>
      </c>
      <c r="B5786" s="4" t="s">
        <v>249</v>
      </c>
      <c r="C5786" s="38" t="s">
        <v>5162</v>
      </c>
      <c r="D5786" s="18">
        <v>2022</v>
      </c>
      <c r="E5786" s="18" t="s">
        <v>0</v>
      </c>
      <c r="F5786" s="4">
        <v>1</v>
      </c>
      <c r="G5786" s="42">
        <v>15</v>
      </c>
      <c r="H5786" s="42">
        <v>13.65502</v>
      </c>
    </row>
    <row r="5787" spans="1:8" s="15" customFormat="1" ht="16.5" hidden="1" customHeight="1" outlineLevel="1" x14ac:dyDescent="0.25">
      <c r="A5787" s="18">
        <v>1680</v>
      </c>
      <c r="B5787" s="4" t="s">
        <v>249</v>
      </c>
      <c r="C5787" s="38" t="s">
        <v>5163</v>
      </c>
      <c r="D5787" s="18">
        <v>2022</v>
      </c>
      <c r="E5787" s="18" t="s">
        <v>0</v>
      </c>
      <c r="F5787" s="4">
        <v>1</v>
      </c>
      <c r="G5787" s="42">
        <v>15</v>
      </c>
      <c r="H5787" s="42">
        <v>12.526070000000001</v>
      </c>
    </row>
    <row r="5788" spans="1:8" s="15" customFormat="1" ht="16.5" hidden="1" customHeight="1" outlineLevel="1" x14ac:dyDescent="0.25">
      <c r="A5788" s="18">
        <v>1692</v>
      </c>
      <c r="B5788" s="4" t="s">
        <v>249</v>
      </c>
      <c r="C5788" s="38" t="s">
        <v>5164</v>
      </c>
      <c r="D5788" s="18">
        <v>2022</v>
      </c>
      <c r="E5788" s="18" t="s">
        <v>0</v>
      </c>
      <c r="F5788" s="4">
        <v>1</v>
      </c>
      <c r="G5788" s="42">
        <v>6</v>
      </c>
      <c r="H5788" s="42">
        <v>12.253299999999999</v>
      </c>
    </row>
    <row r="5789" spans="1:8" s="15" customFormat="1" ht="16.5" hidden="1" customHeight="1" outlineLevel="1" x14ac:dyDescent="0.25">
      <c r="A5789" s="18">
        <v>1687</v>
      </c>
      <c r="B5789" s="4" t="s">
        <v>249</v>
      </c>
      <c r="C5789" s="38" t="s">
        <v>5165</v>
      </c>
      <c r="D5789" s="18">
        <v>2022</v>
      </c>
      <c r="E5789" s="18" t="s">
        <v>0</v>
      </c>
      <c r="F5789" s="4">
        <v>1</v>
      </c>
      <c r="G5789" s="42">
        <v>6</v>
      </c>
      <c r="H5789" s="42">
        <v>12.11218</v>
      </c>
    </row>
    <row r="5790" spans="1:8" s="15" customFormat="1" ht="16.5" hidden="1" customHeight="1" outlineLevel="1" x14ac:dyDescent="0.25">
      <c r="A5790" s="18">
        <v>1686</v>
      </c>
      <c r="B5790" s="4" t="s">
        <v>249</v>
      </c>
      <c r="C5790" s="38" t="s">
        <v>5166</v>
      </c>
      <c r="D5790" s="18">
        <v>2022</v>
      </c>
      <c r="E5790" s="18" t="s">
        <v>0</v>
      </c>
      <c r="F5790" s="4">
        <v>1</v>
      </c>
      <c r="G5790" s="42">
        <v>6</v>
      </c>
      <c r="H5790" s="42">
        <v>12.04791</v>
      </c>
    </row>
    <row r="5791" spans="1:8" s="15" customFormat="1" ht="16.5" hidden="1" customHeight="1" outlineLevel="1" x14ac:dyDescent="0.25">
      <c r="A5791" s="18">
        <v>1684</v>
      </c>
      <c r="B5791" s="4" t="s">
        <v>249</v>
      </c>
      <c r="C5791" s="38" t="s">
        <v>5167</v>
      </c>
      <c r="D5791" s="18">
        <v>2022</v>
      </c>
      <c r="E5791" s="18" t="s">
        <v>0</v>
      </c>
      <c r="F5791" s="4">
        <v>1</v>
      </c>
      <c r="G5791" s="42">
        <v>6</v>
      </c>
      <c r="H5791" s="42">
        <v>12.083119999999999</v>
      </c>
    </row>
    <row r="5792" spans="1:8" s="15" customFormat="1" ht="16.5" hidden="1" customHeight="1" outlineLevel="1" x14ac:dyDescent="0.25">
      <c r="A5792" s="18">
        <v>1685</v>
      </c>
      <c r="B5792" s="4" t="s">
        <v>249</v>
      </c>
      <c r="C5792" s="38" t="s">
        <v>5168</v>
      </c>
      <c r="D5792" s="18">
        <v>2022</v>
      </c>
      <c r="E5792" s="18" t="s">
        <v>0</v>
      </c>
      <c r="F5792" s="4">
        <v>1</v>
      </c>
      <c r="G5792" s="42">
        <v>6</v>
      </c>
      <c r="H5792" s="42">
        <v>12.078950000000001</v>
      </c>
    </row>
    <row r="5793" spans="1:8" s="15" customFormat="1" ht="16.5" hidden="1" customHeight="1" outlineLevel="1" x14ac:dyDescent="0.25">
      <c r="A5793" s="18">
        <v>1587</v>
      </c>
      <c r="B5793" s="4" t="s">
        <v>249</v>
      </c>
      <c r="C5793" s="38" t="s">
        <v>5169</v>
      </c>
      <c r="D5793" s="18">
        <v>2022</v>
      </c>
      <c r="E5793" s="18" t="s">
        <v>0</v>
      </c>
      <c r="F5793" s="4">
        <v>1</v>
      </c>
      <c r="G5793" s="42">
        <v>4.75</v>
      </c>
      <c r="H5793" s="42">
        <v>16.910769999999999</v>
      </c>
    </row>
    <row r="5794" spans="1:8" s="15" customFormat="1" ht="16.5" hidden="1" customHeight="1" outlineLevel="1" x14ac:dyDescent="0.25">
      <c r="A5794" s="18">
        <v>1710</v>
      </c>
      <c r="B5794" s="4" t="s">
        <v>249</v>
      </c>
      <c r="C5794" s="38" t="s">
        <v>5170</v>
      </c>
      <c r="D5794" s="18">
        <v>2022</v>
      </c>
      <c r="E5794" s="18" t="s">
        <v>0</v>
      </c>
      <c r="F5794" s="4">
        <v>1</v>
      </c>
      <c r="G5794" s="42">
        <v>6</v>
      </c>
      <c r="H5794" s="42">
        <v>11.760759999999999</v>
      </c>
    </row>
    <row r="5795" spans="1:8" s="15" customFormat="1" ht="16.5" hidden="1" customHeight="1" outlineLevel="1" x14ac:dyDescent="0.25">
      <c r="A5795" s="18">
        <v>1649</v>
      </c>
      <c r="B5795" s="4" t="s">
        <v>249</v>
      </c>
      <c r="C5795" s="38" t="s">
        <v>5171</v>
      </c>
      <c r="D5795" s="18">
        <v>2022</v>
      </c>
      <c r="E5795" s="18" t="s">
        <v>0</v>
      </c>
      <c r="F5795" s="4">
        <v>1</v>
      </c>
      <c r="G5795" s="42">
        <v>5</v>
      </c>
      <c r="H5795" s="42">
        <v>19.643439999999998</v>
      </c>
    </row>
    <row r="5796" spans="1:8" s="15" customFormat="1" ht="16.5" hidden="1" customHeight="1" outlineLevel="1" x14ac:dyDescent="0.25">
      <c r="A5796" s="18">
        <v>1601</v>
      </c>
      <c r="B5796" s="4" t="s">
        <v>249</v>
      </c>
      <c r="C5796" s="38" t="s">
        <v>5172</v>
      </c>
      <c r="D5796" s="18">
        <v>2022</v>
      </c>
      <c r="E5796" s="18" t="s">
        <v>0</v>
      </c>
      <c r="F5796" s="4">
        <v>1</v>
      </c>
      <c r="G5796" s="42">
        <v>15</v>
      </c>
      <c r="H5796" s="42">
        <v>14.57812</v>
      </c>
    </row>
    <row r="5797" spans="1:8" s="15" customFormat="1" ht="16.5" hidden="1" customHeight="1" outlineLevel="1" x14ac:dyDescent="0.25">
      <c r="A5797" s="18">
        <v>1701</v>
      </c>
      <c r="B5797" s="4" t="s">
        <v>249</v>
      </c>
      <c r="C5797" s="38" t="s">
        <v>5173</v>
      </c>
      <c r="D5797" s="18">
        <v>2022</v>
      </c>
      <c r="E5797" s="18" t="s">
        <v>0</v>
      </c>
      <c r="F5797" s="4">
        <v>1</v>
      </c>
      <c r="G5797" s="42">
        <v>7</v>
      </c>
      <c r="H5797" s="42">
        <v>12.82981</v>
      </c>
    </row>
    <row r="5798" spans="1:8" s="15" customFormat="1" ht="16.5" hidden="1" customHeight="1" outlineLevel="1" x14ac:dyDescent="0.25">
      <c r="A5798" s="18">
        <v>1706</v>
      </c>
      <c r="B5798" s="4" t="s">
        <v>249</v>
      </c>
      <c r="C5798" s="38" t="s">
        <v>5174</v>
      </c>
      <c r="D5798" s="18">
        <v>2022</v>
      </c>
      <c r="E5798" s="18" t="s">
        <v>0</v>
      </c>
      <c r="F5798" s="4">
        <v>1</v>
      </c>
      <c r="G5798" s="42">
        <v>7</v>
      </c>
      <c r="H5798" s="42">
        <v>12.19839</v>
      </c>
    </row>
    <row r="5799" spans="1:8" s="15" customFormat="1" ht="16.5" hidden="1" customHeight="1" outlineLevel="1" x14ac:dyDescent="0.25">
      <c r="A5799" s="18">
        <v>1653</v>
      </c>
      <c r="B5799" s="4" t="s">
        <v>249</v>
      </c>
      <c r="C5799" s="38" t="s">
        <v>5175</v>
      </c>
      <c r="D5799" s="18">
        <v>2022</v>
      </c>
      <c r="E5799" s="18" t="s">
        <v>0</v>
      </c>
      <c r="F5799" s="4">
        <v>1</v>
      </c>
      <c r="G5799" s="42">
        <v>6</v>
      </c>
      <c r="H5799" s="42">
        <v>22.468160000000001</v>
      </c>
    </row>
    <row r="5800" spans="1:8" s="15" customFormat="1" ht="16.5" hidden="1" customHeight="1" outlineLevel="1" x14ac:dyDescent="0.25">
      <c r="A5800" s="18">
        <v>1712</v>
      </c>
      <c r="B5800" s="4" t="s">
        <v>249</v>
      </c>
      <c r="C5800" s="38" t="s">
        <v>5176</v>
      </c>
      <c r="D5800" s="18">
        <v>2022</v>
      </c>
      <c r="E5800" s="18" t="s">
        <v>0</v>
      </c>
      <c r="F5800" s="4">
        <v>1</v>
      </c>
      <c r="G5800" s="42">
        <v>10</v>
      </c>
      <c r="H5800" s="42">
        <v>11.1332</v>
      </c>
    </row>
    <row r="5801" spans="1:8" s="15" customFormat="1" ht="16.5" hidden="1" customHeight="1" outlineLevel="1" x14ac:dyDescent="0.25">
      <c r="A5801" s="18">
        <v>1704</v>
      </c>
      <c r="B5801" s="4" t="s">
        <v>249</v>
      </c>
      <c r="C5801" s="38" t="s">
        <v>5177</v>
      </c>
      <c r="D5801" s="18">
        <v>2022</v>
      </c>
      <c r="E5801" s="18" t="s">
        <v>0</v>
      </c>
      <c r="F5801" s="4">
        <v>1</v>
      </c>
      <c r="G5801" s="42">
        <v>5</v>
      </c>
      <c r="H5801" s="42">
        <v>12.22125</v>
      </c>
    </row>
    <row r="5802" spans="1:8" s="15" customFormat="1" ht="16.5" hidden="1" customHeight="1" outlineLevel="1" x14ac:dyDescent="0.25">
      <c r="A5802" s="18">
        <v>1711</v>
      </c>
      <c r="B5802" s="4" t="s">
        <v>249</v>
      </c>
      <c r="C5802" s="38" t="s">
        <v>5178</v>
      </c>
      <c r="D5802" s="18">
        <v>2022</v>
      </c>
      <c r="E5802" s="18" t="s">
        <v>0</v>
      </c>
      <c r="F5802" s="4">
        <v>1</v>
      </c>
      <c r="G5802" s="42">
        <v>5</v>
      </c>
      <c r="H5802" s="42">
        <v>12.312620000000001</v>
      </c>
    </row>
    <row r="5803" spans="1:8" s="15" customFormat="1" ht="16.5" hidden="1" customHeight="1" outlineLevel="1" x14ac:dyDescent="0.25">
      <c r="A5803" s="18">
        <v>1109</v>
      </c>
      <c r="B5803" s="4" t="s">
        <v>249</v>
      </c>
      <c r="C5803" s="38" t="s">
        <v>3399</v>
      </c>
      <c r="D5803" s="18">
        <v>2022</v>
      </c>
      <c r="E5803" s="18" t="s">
        <v>0</v>
      </c>
      <c r="F5803" s="4">
        <v>1</v>
      </c>
      <c r="G5803" s="42">
        <v>5</v>
      </c>
      <c r="H5803" s="42">
        <v>56.587389999999999</v>
      </c>
    </row>
    <row r="5804" spans="1:8" s="15" customFormat="1" ht="16.5" hidden="1" customHeight="1" outlineLevel="1" x14ac:dyDescent="0.25">
      <c r="A5804" s="18">
        <v>1573</v>
      </c>
      <c r="B5804" s="4" t="s">
        <v>249</v>
      </c>
      <c r="C5804" s="38" t="s">
        <v>5179</v>
      </c>
      <c r="D5804" s="18">
        <v>2022</v>
      </c>
      <c r="E5804" s="18" t="s">
        <v>0</v>
      </c>
      <c r="F5804" s="4">
        <v>1</v>
      </c>
      <c r="G5804" s="42">
        <v>7</v>
      </c>
      <c r="H5804" s="42">
        <v>29.007729999999999</v>
      </c>
    </row>
    <row r="5805" spans="1:8" s="15" customFormat="1" ht="16.5" hidden="1" customHeight="1" outlineLevel="1" x14ac:dyDescent="0.25">
      <c r="A5805" s="18">
        <v>1458</v>
      </c>
      <c r="B5805" s="4" t="s">
        <v>249</v>
      </c>
      <c r="C5805" s="38" t="s">
        <v>5180</v>
      </c>
      <c r="D5805" s="18">
        <v>2022</v>
      </c>
      <c r="E5805" s="18" t="s">
        <v>0</v>
      </c>
      <c r="F5805" s="4">
        <v>1</v>
      </c>
      <c r="G5805" s="42">
        <v>5</v>
      </c>
      <c r="H5805" s="42">
        <v>27.802820000000001</v>
      </c>
    </row>
    <row r="5806" spans="1:8" s="15" customFormat="1" ht="16.5" hidden="1" customHeight="1" outlineLevel="1" x14ac:dyDescent="0.25">
      <c r="A5806" s="18">
        <v>1749</v>
      </c>
      <c r="B5806" s="4" t="s">
        <v>249</v>
      </c>
      <c r="C5806" s="38" t="s">
        <v>5181</v>
      </c>
      <c r="D5806" s="18">
        <v>2022</v>
      </c>
      <c r="E5806" s="18" t="s">
        <v>0</v>
      </c>
      <c r="F5806" s="4">
        <v>1</v>
      </c>
      <c r="G5806" s="42">
        <v>5</v>
      </c>
      <c r="H5806" s="42">
        <v>20.98856</v>
      </c>
    </row>
    <row r="5807" spans="1:8" s="15" customFormat="1" ht="16.5" hidden="1" customHeight="1" outlineLevel="1" x14ac:dyDescent="0.25">
      <c r="A5807" s="18">
        <v>1750</v>
      </c>
      <c r="B5807" s="4" t="s">
        <v>249</v>
      </c>
      <c r="C5807" s="38" t="s">
        <v>5182</v>
      </c>
      <c r="D5807" s="18">
        <v>2022</v>
      </c>
      <c r="E5807" s="18" t="s">
        <v>0</v>
      </c>
      <c r="F5807" s="4">
        <v>1</v>
      </c>
      <c r="G5807" s="42">
        <v>5</v>
      </c>
      <c r="H5807" s="42">
        <v>20.98856</v>
      </c>
    </row>
    <row r="5808" spans="1:8" s="15" customFormat="1" ht="16.5" hidden="1" customHeight="1" outlineLevel="1" x14ac:dyDescent="0.25">
      <c r="A5808" s="18">
        <v>1698</v>
      </c>
      <c r="B5808" s="4" t="s">
        <v>249</v>
      </c>
      <c r="C5808" s="38" t="s">
        <v>5183</v>
      </c>
      <c r="D5808" s="18">
        <v>2022</v>
      </c>
      <c r="E5808" s="18" t="s">
        <v>0</v>
      </c>
      <c r="F5808" s="4">
        <v>1</v>
      </c>
      <c r="G5808" s="42">
        <v>5</v>
      </c>
      <c r="H5808" s="42">
        <v>12.25573</v>
      </c>
    </row>
    <row r="5809" spans="1:8" s="15" customFormat="1" ht="16.5" hidden="1" customHeight="1" outlineLevel="1" x14ac:dyDescent="0.25">
      <c r="A5809" s="18">
        <v>1728</v>
      </c>
      <c r="B5809" s="4" t="s">
        <v>249</v>
      </c>
      <c r="C5809" s="38" t="s">
        <v>5184</v>
      </c>
      <c r="D5809" s="18">
        <v>2022</v>
      </c>
      <c r="E5809" s="18" t="s">
        <v>0</v>
      </c>
      <c r="F5809" s="4">
        <v>1</v>
      </c>
      <c r="G5809" s="42">
        <v>5</v>
      </c>
      <c r="H5809" s="42">
        <v>13.95219</v>
      </c>
    </row>
    <row r="5810" spans="1:8" s="15" customFormat="1" ht="16.5" hidden="1" customHeight="1" outlineLevel="1" x14ac:dyDescent="0.25">
      <c r="A5810" s="18">
        <v>1604</v>
      </c>
      <c r="B5810" s="4" t="s">
        <v>249</v>
      </c>
      <c r="C5810" s="38" t="s">
        <v>5185</v>
      </c>
      <c r="D5810" s="18">
        <v>2022</v>
      </c>
      <c r="E5810" s="18" t="s">
        <v>0</v>
      </c>
      <c r="F5810" s="4">
        <v>1</v>
      </c>
      <c r="G5810" s="42">
        <v>15</v>
      </c>
      <c r="H5810" s="42">
        <v>14.57498</v>
      </c>
    </row>
    <row r="5811" spans="1:8" s="15" customFormat="1" ht="16.5" hidden="1" customHeight="1" outlineLevel="1" x14ac:dyDescent="0.25">
      <c r="A5811" s="18">
        <v>1632</v>
      </c>
      <c r="B5811" s="4" t="s">
        <v>249</v>
      </c>
      <c r="C5811" s="38" t="s">
        <v>5186</v>
      </c>
      <c r="D5811" s="18">
        <v>2022</v>
      </c>
      <c r="E5811" s="18" t="s">
        <v>0</v>
      </c>
      <c r="F5811" s="4">
        <v>1</v>
      </c>
      <c r="G5811" s="42">
        <v>15</v>
      </c>
      <c r="H5811" s="42">
        <v>12.797840000000001</v>
      </c>
    </row>
    <row r="5812" spans="1:8" s="15" customFormat="1" ht="16.5" hidden="1" customHeight="1" outlineLevel="1" x14ac:dyDescent="0.25">
      <c r="A5812" s="18">
        <v>1231</v>
      </c>
      <c r="B5812" s="4" t="s">
        <v>249</v>
      </c>
      <c r="C5812" s="38" t="s">
        <v>3422</v>
      </c>
      <c r="D5812" s="18">
        <v>2022</v>
      </c>
      <c r="E5812" s="18" t="s">
        <v>0</v>
      </c>
      <c r="F5812" s="4">
        <v>1</v>
      </c>
      <c r="G5812" s="42">
        <v>6</v>
      </c>
      <c r="H5812" s="42">
        <v>47.936669999999999</v>
      </c>
    </row>
    <row r="5813" spans="1:8" s="15" customFormat="1" ht="16.5" hidden="1" customHeight="1" outlineLevel="1" x14ac:dyDescent="0.25">
      <c r="A5813" s="18">
        <v>1384</v>
      </c>
      <c r="B5813" s="4" t="s">
        <v>249</v>
      </c>
      <c r="C5813" s="38" t="s">
        <v>3433</v>
      </c>
      <c r="D5813" s="18">
        <v>2022</v>
      </c>
      <c r="E5813" s="18" t="s">
        <v>0</v>
      </c>
      <c r="F5813" s="4">
        <v>1</v>
      </c>
      <c r="G5813" s="42">
        <v>15</v>
      </c>
      <c r="H5813" s="42">
        <v>30.091100000000001</v>
      </c>
    </row>
    <row r="5814" spans="1:8" s="15" customFormat="1" ht="16.5" hidden="1" customHeight="1" outlineLevel="1" x14ac:dyDescent="0.25">
      <c r="A5814" s="18">
        <v>1708</v>
      </c>
      <c r="B5814" s="4" t="s">
        <v>249</v>
      </c>
      <c r="C5814" s="38" t="s">
        <v>5187</v>
      </c>
      <c r="D5814" s="18">
        <v>2022</v>
      </c>
      <c r="E5814" s="18" t="s">
        <v>0</v>
      </c>
      <c r="F5814" s="4">
        <v>1</v>
      </c>
      <c r="G5814" s="42">
        <v>15</v>
      </c>
      <c r="H5814" s="42">
        <v>12.4064</v>
      </c>
    </row>
    <row r="5815" spans="1:8" s="15" customFormat="1" ht="16.5" hidden="1" customHeight="1" outlineLevel="1" x14ac:dyDescent="0.25">
      <c r="A5815" s="18">
        <v>1792</v>
      </c>
      <c r="B5815" s="4" t="s">
        <v>249</v>
      </c>
      <c r="C5815" s="38" t="s">
        <v>5188</v>
      </c>
      <c r="D5815" s="18">
        <v>2022</v>
      </c>
      <c r="E5815" s="18" t="s">
        <v>0</v>
      </c>
      <c r="F5815" s="4">
        <v>1</v>
      </c>
      <c r="G5815" s="42">
        <v>7</v>
      </c>
      <c r="H5815" s="42">
        <v>11.66006</v>
      </c>
    </row>
    <row r="5816" spans="1:8" s="15" customFormat="1" ht="16.5" hidden="1" customHeight="1" outlineLevel="1" x14ac:dyDescent="0.25">
      <c r="A5816" s="18">
        <v>1785</v>
      </c>
      <c r="B5816" s="4" t="s">
        <v>249</v>
      </c>
      <c r="C5816" s="38" t="s">
        <v>5189</v>
      </c>
      <c r="D5816" s="18">
        <v>2022</v>
      </c>
      <c r="E5816" s="18" t="s">
        <v>0</v>
      </c>
      <c r="F5816" s="4">
        <v>1</v>
      </c>
      <c r="G5816" s="42">
        <v>5</v>
      </c>
      <c r="H5816" s="42">
        <v>11.765639999999999</v>
      </c>
    </row>
    <row r="5817" spans="1:8" s="15" customFormat="1" ht="16.5" hidden="1" customHeight="1" outlineLevel="1" x14ac:dyDescent="0.25">
      <c r="A5817" s="18">
        <v>1788</v>
      </c>
      <c r="B5817" s="4" t="s">
        <v>249</v>
      </c>
      <c r="C5817" s="38" t="s">
        <v>5190</v>
      </c>
      <c r="D5817" s="18">
        <v>2022</v>
      </c>
      <c r="E5817" s="18" t="s">
        <v>0</v>
      </c>
      <c r="F5817" s="4">
        <v>1</v>
      </c>
      <c r="G5817" s="42">
        <v>7</v>
      </c>
      <c r="H5817" s="42">
        <v>11.734769999999999</v>
      </c>
    </row>
    <row r="5818" spans="1:8" s="15" customFormat="1" ht="16.5" hidden="1" customHeight="1" outlineLevel="1" x14ac:dyDescent="0.25">
      <c r="A5818" s="18">
        <v>1779</v>
      </c>
      <c r="B5818" s="4" t="s">
        <v>249</v>
      </c>
      <c r="C5818" s="38" t="s">
        <v>5191</v>
      </c>
      <c r="D5818" s="18">
        <v>2022</v>
      </c>
      <c r="E5818" s="18" t="s">
        <v>0</v>
      </c>
      <c r="F5818" s="4">
        <v>1</v>
      </c>
      <c r="G5818" s="42">
        <v>15</v>
      </c>
      <c r="H5818" s="42">
        <v>11.88923</v>
      </c>
    </row>
    <row r="5819" spans="1:8" s="15" customFormat="1" ht="16.5" hidden="1" customHeight="1" outlineLevel="1" x14ac:dyDescent="0.25">
      <c r="A5819" s="18">
        <v>1265</v>
      </c>
      <c r="B5819" s="4" t="s">
        <v>249</v>
      </c>
      <c r="C5819" s="38" t="s">
        <v>3441</v>
      </c>
      <c r="D5819" s="18">
        <v>2022</v>
      </c>
      <c r="E5819" s="18" t="s">
        <v>0</v>
      </c>
      <c r="F5819" s="4">
        <v>1</v>
      </c>
      <c r="G5819" s="42">
        <v>5</v>
      </c>
      <c r="H5819" s="42">
        <v>54.862850000000002</v>
      </c>
    </row>
    <row r="5820" spans="1:8" s="15" customFormat="1" ht="16.5" hidden="1" customHeight="1" outlineLevel="1" x14ac:dyDescent="0.25">
      <c r="A5820" s="18">
        <v>1197</v>
      </c>
      <c r="B5820" s="4" t="s">
        <v>249</v>
      </c>
      <c r="C5820" s="38" t="s">
        <v>3446</v>
      </c>
      <c r="D5820" s="18">
        <v>2022</v>
      </c>
      <c r="E5820" s="18" t="s">
        <v>0</v>
      </c>
      <c r="F5820" s="4">
        <v>1</v>
      </c>
      <c r="G5820" s="42">
        <v>5</v>
      </c>
      <c r="H5820" s="42">
        <v>25.975259999999999</v>
      </c>
    </row>
    <row r="5821" spans="1:8" s="15" customFormat="1" ht="16.5" hidden="1" customHeight="1" outlineLevel="1" x14ac:dyDescent="0.25">
      <c r="A5821" s="18">
        <v>1288</v>
      </c>
      <c r="B5821" s="4" t="s">
        <v>249</v>
      </c>
      <c r="C5821" s="38" t="s">
        <v>3449</v>
      </c>
      <c r="D5821" s="18">
        <v>2022</v>
      </c>
      <c r="E5821" s="18" t="s">
        <v>0</v>
      </c>
      <c r="F5821" s="4">
        <v>1</v>
      </c>
      <c r="G5821" s="42">
        <v>5</v>
      </c>
      <c r="H5821" s="42">
        <v>57.121980000000001</v>
      </c>
    </row>
    <row r="5822" spans="1:8" s="15" customFormat="1" ht="16.5" hidden="1" customHeight="1" outlineLevel="1" x14ac:dyDescent="0.25">
      <c r="A5822" s="18">
        <v>1489</v>
      </c>
      <c r="B5822" s="4" t="s">
        <v>249</v>
      </c>
      <c r="C5822" s="38" t="s">
        <v>3450</v>
      </c>
      <c r="D5822" s="18">
        <v>2022</v>
      </c>
      <c r="E5822" s="18" t="s">
        <v>0</v>
      </c>
      <c r="F5822" s="4">
        <v>1</v>
      </c>
      <c r="G5822" s="42">
        <v>5</v>
      </c>
      <c r="H5822" s="42">
        <v>29.015250000000002</v>
      </c>
    </row>
    <row r="5823" spans="1:8" s="15" customFormat="1" ht="16.5" hidden="1" customHeight="1" outlineLevel="1" x14ac:dyDescent="0.25">
      <c r="A5823" s="18">
        <v>1769</v>
      </c>
      <c r="B5823" s="4" t="s">
        <v>249</v>
      </c>
      <c r="C5823" s="38" t="s">
        <v>5192</v>
      </c>
      <c r="D5823" s="18">
        <v>2022</v>
      </c>
      <c r="E5823" s="18" t="s">
        <v>0</v>
      </c>
      <c r="F5823" s="4">
        <v>1</v>
      </c>
      <c r="G5823" s="42">
        <v>7.5</v>
      </c>
      <c r="H5823" s="42">
        <v>12.190720000000001</v>
      </c>
    </row>
    <row r="5824" spans="1:8" s="15" customFormat="1" ht="16.5" hidden="1" customHeight="1" outlineLevel="1" x14ac:dyDescent="0.25">
      <c r="A5824" s="18">
        <v>1767</v>
      </c>
      <c r="B5824" s="4" t="s">
        <v>249</v>
      </c>
      <c r="C5824" s="38" t="s">
        <v>5193</v>
      </c>
      <c r="D5824" s="18">
        <v>2022</v>
      </c>
      <c r="E5824" s="18" t="s">
        <v>0</v>
      </c>
      <c r="F5824" s="4">
        <v>1</v>
      </c>
      <c r="G5824" s="42">
        <v>5</v>
      </c>
      <c r="H5824" s="42">
        <v>12.604570000000001</v>
      </c>
    </row>
    <row r="5825" spans="1:8" s="15" customFormat="1" ht="16.5" hidden="1" customHeight="1" outlineLevel="1" x14ac:dyDescent="0.25">
      <c r="A5825" s="18">
        <v>1768</v>
      </c>
      <c r="B5825" s="4" t="s">
        <v>249</v>
      </c>
      <c r="C5825" s="38" t="s">
        <v>5194</v>
      </c>
      <c r="D5825" s="18">
        <v>2022</v>
      </c>
      <c r="E5825" s="18" t="s">
        <v>0</v>
      </c>
      <c r="F5825" s="4">
        <v>1</v>
      </c>
      <c r="G5825" s="42">
        <v>5</v>
      </c>
      <c r="H5825" s="42">
        <v>12.422040000000001</v>
      </c>
    </row>
    <row r="5826" spans="1:8" s="15" customFormat="1" ht="16.5" hidden="1" customHeight="1" outlineLevel="1" x14ac:dyDescent="0.25">
      <c r="A5826" s="18">
        <v>1350</v>
      </c>
      <c r="B5826" s="4" t="s">
        <v>249</v>
      </c>
      <c r="C5826" s="38" t="s">
        <v>3455</v>
      </c>
      <c r="D5826" s="18">
        <v>2022</v>
      </c>
      <c r="E5826" s="18" t="s">
        <v>0</v>
      </c>
      <c r="F5826" s="4">
        <v>1</v>
      </c>
      <c r="G5826" s="42">
        <v>7</v>
      </c>
      <c r="H5826" s="42">
        <v>18.610410000000002</v>
      </c>
    </row>
    <row r="5827" spans="1:8" s="15" customFormat="1" ht="16.5" hidden="1" customHeight="1" outlineLevel="1" x14ac:dyDescent="0.25">
      <c r="A5827" s="18">
        <v>1806</v>
      </c>
      <c r="B5827" s="4" t="s">
        <v>249</v>
      </c>
      <c r="C5827" s="38" t="s">
        <v>5195</v>
      </c>
      <c r="D5827" s="18">
        <v>2022</v>
      </c>
      <c r="E5827" s="18" t="s">
        <v>0</v>
      </c>
      <c r="F5827" s="4">
        <v>1</v>
      </c>
      <c r="G5827" s="42">
        <v>7</v>
      </c>
      <c r="H5827" s="42">
        <v>14.45444</v>
      </c>
    </row>
    <row r="5828" spans="1:8" s="15" customFormat="1" ht="16.5" hidden="1" customHeight="1" outlineLevel="1" x14ac:dyDescent="0.25">
      <c r="A5828" s="18">
        <v>1809</v>
      </c>
      <c r="B5828" s="4" t="s">
        <v>249</v>
      </c>
      <c r="C5828" s="38" t="s">
        <v>5196</v>
      </c>
      <c r="D5828" s="18">
        <v>2022</v>
      </c>
      <c r="E5828" s="18" t="s">
        <v>0</v>
      </c>
      <c r="F5828" s="4">
        <v>1</v>
      </c>
      <c r="G5828" s="42">
        <v>7</v>
      </c>
      <c r="H5828" s="42">
        <v>12.542289999999999</v>
      </c>
    </row>
    <row r="5829" spans="1:8" s="15" customFormat="1" ht="16.5" hidden="1" customHeight="1" outlineLevel="1" x14ac:dyDescent="0.25">
      <c r="A5829" s="18">
        <v>1817</v>
      </c>
      <c r="B5829" s="4" t="s">
        <v>249</v>
      </c>
      <c r="C5829" s="38" t="s">
        <v>5197</v>
      </c>
      <c r="D5829" s="18">
        <v>2022</v>
      </c>
      <c r="E5829" s="18" t="s">
        <v>0</v>
      </c>
      <c r="F5829" s="4">
        <v>1</v>
      </c>
      <c r="G5829" s="42">
        <v>7</v>
      </c>
      <c r="H5829" s="42">
        <v>13.27093</v>
      </c>
    </row>
    <row r="5830" spans="1:8" s="15" customFormat="1" ht="16.5" hidden="1" customHeight="1" outlineLevel="1" x14ac:dyDescent="0.25">
      <c r="A5830" s="18">
        <v>1813</v>
      </c>
      <c r="B5830" s="4" t="s">
        <v>249</v>
      </c>
      <c r="C5830" s="38" t="s">
        <v>5198</v>
      </c>
      <c r="D5830" s="18">
        <v>2022</v>
      </c>
      <c r="E5830" s="18" t="s">
        <v>0</v>
      </c>
      <c r="F5830" s="4">
        <v>1</v>
      </c>
      <c r="G5830" s="42">
        <v>15</v>
      </c>
      <c r="H5830" s="42">
        <v>15.919</v>
      </c>
    </row>
    <row r="5831" spans="1:8" s="15" customFormat="1" ht="16.5" hidden="1" customHeight="1" outlineLevel="1" x14ac:dyDescent="0.25">
      <c r="A5831" s="18">
        <v>1814</v>
      </c>
      <c r="B5831" s="4" t="s">
        <v>249</v>
      </c>
      <c r="C5831" s="38" t="s">
        <v>5199</v>
      </c>
      <c r="D5831" s="18">
        <v>2022</v>
      </c>
      <c r="E5831" s="18" t="s">
        <v>0</v>
      </c>
      <c r="F5831" s="4">
        <v>1</v>
      </c>
      <c r="G5831" s="42">
        <v>5</v>
      </c>
      <c r="H5831" s="42">
        <v>13.19293</v>
      </c>
    </row>
    <row r="5832" spans="1:8" s="15" customFormat="1" ht="16.5" hidden="1" customHeight="1" outlineLevel="1" x14ac:dyDescent="0.25">
      <c r="A5832" s="18">
        <v>1454</v>
      </c>
      <c r="B5832" s="4" t="s">
        <v>249</v>
      </c>
      <c r="C5832" s="38" t="s">
        <v>3466</v>
      </c>
      <c r="D5832" s="18">
        <v>2022</v>
      </c>
      <c r="E5832" s="18" t="s">
        <v>0</v>
      </c>
      <c r="F5832" s="4">
        <v>1</v>
      </c>
      <c r="G5832" s="42">
        <v>81</v>
      </c>
      <c r="H5832" s="42">
        <v>20.76933</v>
      </c>
    </row>
    <row r="5833" spans="1:8" s="15" customFormat="1" ht="16.5" hidden="1" customHeight="1" outlineLevel="1" x14ac:dyDescent="0.25">
      <c r="A5833" s="18">
        <v>1793</v>
      </c>
      <c r="B5833" s="4" t="s">
        <v>249</v>
      </c>
      <c r="C5833" s="38" t="s">
        <v>5200</v>
      </c>
      <c r="D5833" s="18">
        <v>2022</v>
      </c>
      <c r="E5833" s="18" t="s">
        <v>0</v>
      </c>
      <c r="F5833" s="4">
        <v>1</v>
      </c>
      <c r="G5833" s="42">
        <v>2</v>
      </c>
      <c r="H5833" s="42">
        <v>21.83503</v>
      </c>
    </row>
    <row r="5834" spans="1:8" s="15" customFormat="1" ht="16.5" hidden="1" customHeight="1" outlineLevel="1" x14ac:dyDescent="0.25">
      <c r="A5834" s="18">
        <v>1694</v>
      </c>
      <c r="B5834" s="4" t="s">
        <v>249</v>
      </c>
      <c r="C5834" s="38" t="s">
        <v>5201</v>
      </c>
      <c r="D5834" s="18">
        <v>2022</v>
      </c>
      <c r="E5834" s="18" t="s">
        <v>0</v>
      </c>
      <c r="F5834" s="4">
        <v>1</v>
      </c>
      <c r="G5834" s="42">
        <v>5</v>
      </c>
      <c r="H5834" s="42">
        <v>12.61811</v>
      </c>
    </row>
    <row r="5835" spans="1:8" s="15" customFormat="1" ht="16.5" hidden="1" customHeight="1" outlineLevel="1" x14ac:dyDescent="0.25">
      <c r="A5835" s="18">
        <v>1695</v>
      </c>
      <c r="B5835" s="4" t="s">
        <v>249</v>
      </c>
      <c r="C5835" s="38" t="s">
        <v>5202</v>
      </c>
      <c r="D5835" s="18">
        <v>2022</v>
      </c>
      <c r="E5835" s="18" t="s">
        <v>0</v>
      </c>
      <c r="F5835" s="4">
        <v>1</v>
      </c>
      <c r="G5835" s="42">
        <v>5</v>
      </c>
      <c r="H5835" s="42">
        <v>12.61811</v>
      </c>
    </row>
    <row r="5836" spans="1:8" s="15" customFormat="1" ht="16.5" hidden="1" customHeight="1" outlineLevel="1" x14ac:dyDescent="0.25">
      <c r="A5836" s="18">
        <v>1696</v>
      </c>
      <c r="B5836" s="4" t="s">
        <v>249</v>
      </c>
      <c r="C5836" s="38" t="s">
        <v>5203</v>
      </c>
      <c r="D5836" s="18">
        <v>2022</v>
      </c>
      <c r="E5836" s="18" t="s">
        <v>0</v>
      </c>
      <c r="F5836" s="4">
        <v>1</v>
      </c>
      <c r="G5836" s="42">
        <v>5</v>
      </c>
      <c r="H5836" s="42">
        <v>12.61675</v>
      </c>
    </row>
    <row r="5837" spans="1:8" s="15" customFormat="1" ht="16.5" hidden="1" customHeight="1" outlineLevel="1" x14ac:dyDescent="0.25">
      <c r="A5837" s="18">
        <v>1522</v>
      </c>
      <c r="B5837" s="4" t="s">
        <v>249</v>
      </c>
      <c r="C5837" s="38" t="s">
        <v>5204</v>
      </c>
      <c r="D5837" s="18">
        <v>2022</v>
      </c>
      <c r="E5837" s="18" t="s">
        <v>0</v>
      </c>
      <c r="F5837" s="4">
        <v>1</v>
      </c>
      <c r="G5837" s="42">
        <v>5</v>
      </c>
      <c r="H5837" s="42">
        <v>19.60923</v>
      </c>
    </row>
    <row r="5838" spans="1:8" s="15" customFormat="1" ht="16.5" hidden="1" customHeight="1" outlineLevel="1" x14ac:dyDescent="0.25">
      <c r="A5838" s="18">
        <v>1548</v>
      </c>
      <c r="B5838" s="4" t="s">
        <v>249</v>
      </c>
      <c r="C5838" s="38" t="s">
        <v>3483</v>
      </c>
      <c r="D5838" s="18">
        <v>2022</v>
      </c>
      <c r="E5838" s="18" t="s">
        <v>0</v>
      </c>
      <c r="F5838" s="4">
        <v>1</v>
      </c>
      <c r="G5838" s="42">
        <v>5</v>
      </c>
      <c r="H5838" s="42">
        <v>28.131530000000001</v>
      </c>
    </row>
    <row r="5839" spans="1:8" s="15" customFormat="1" ht="16.5" hidden="1" customHeight="1" outlineLevel="1" x14ac:dyDescent="0.25">
      <c r="A5839" s="18">
        <v>1822</v>
      </c>
      <c r="B5839" s="4" t="s">
        <v>249</v>
      </c>
      <c r="C5839" s="38" t="s">
        <v>5205</v>
      </c>
      <c r="D5839" s="18">
        <v>2022</v>
      </c>
      <c r="E5839" s="18" t="s">
        <v>0</v>
      </c>
      <c r="F5839" s="4">
        <v>1</v>
      </c>
      <c r="G5839" s="42">
        <v>7</v>
      </c>
      <c r="H5839" s="42">
        <v>13.70036</v>
      </c>
    </row>
    <row r="5840" spans="1:8" s="15" customFormat="1" ht="16.5" hidden="1" customHeight="1" outlineLevel="1" x14ac:dyDescent="0.25">
      <c r="A5840" s="18">
        <v>1798</v>
      </c>
      <c r="B5840" s="4" t="s">
        <v>249</v>
      </c>
      <c r="C5840" s="38" t="s">
        <v>5206</v>
      </c>
      <c r="D5840" s="18">
        <v>2022</v>
      </c>
      <c r="E5840" s="18" t="s">
        <v>0</v>
      </c>
      <c r="F5840" s="4">
        <v>1</v>
      </c>
      <c r="G5840" s="42">
        <v>5</v>
      </c>
      <c r="H5840" s="42">
        <v>12.886229999999999</v>
      </c>
    </row>
    <row r="5841" spans="1:8" s="15" customFormat="1" ht="16.5" hidden="1" customHeight="1" outlineLevel="1" x14ac:dyDescent="0.25">
      <c r="A5841" s="18">
        <v>1435</v>
      </c>
      <c r="B5841" s="4" t="s">
        <v>249</v>
      </c>
      <c r="C5841" s="38" t="s">
        <v>3494</v>
      </c>
      <c r="D5841" s="18">
        <v>2022</v>
      </c>
      <c r="E5841" s="18" t="s">
        <v>0</v>
      </c>
      <c r="F5841" s="4">
        <v>1</v>
      </c>
      <c r="G5841" s="42">
        <v>15</v>
      </c>
      <c r="H5841" s="42">
        <v>13.439679999999999</v>
      </c>
    </row>
    <row r="5842" spans="1:8" s="15" customFormat="1" ht="16.5" hidden="1" customHeight="1" outlineLevel="1" x14ac:dyDescent="0.25">
      <c r="A5842" s="18">
        <v>507</v>
      </c>
      <c r="B5842" s="4" t="s">
        <v>249</v>
      </c>
      <c r="C5842" s="38" t="s">
        <v>5207</v>
      </c>
      <c r="D5842" s="18">
        <v>2022</v>
      </c>
      <c r="E5842" s="18" t="s">
        <v>0</v>
      </c>
      <c r="F5842" s="4">
        <v>1</v>
      </c>
      <c r="G5842" s="42">
        <v>25</v>
      </c>
      <c r="H5842" s="42">
        <v>17.70138</v>
      </c>
    </row>
    <row r="5843" spans="1:8" s="15" customFormat="1" ht="16.5" hidden="1" customHeight="1" outlineLevel="1" x14ac:dyDescent="0.25">
      <c r="A5843" s="18">
        <v>495</v>
      </c>
      <c r="B5843" s="4" t="s">
        <v>249</v>
      </c>
      <c r="C5843" s="38" t="s">
        <v>3500</v>
      </c>
      <c r="D5843" s="18">
        <v>2022</v>
      </c>
      <c r="E5843" s="18" t="s">
        <v>0</v>
      </c>
      <c r="F5843" s="4">
        <v>2</v>
      </c>
      <c r="G5843" s="42">
        <v>48</v>
      </c>
      <c r="H5843" s="42">
        <v>42.724260000000001</v>
      </c>
    </row>
    <row r="5844" spans="1:8" s="15" customFormat="1" ht="16.5" hidden="1" customHeight="1" outlineLevel="1" x14ac:dyDescent="0.25">
      <c r="A5844" s="18">
        <v>758</v>
      </c>
      <c r="B5844" s="4" t="s">
        <v>249</v>
      </c>
      <c r="C5844" s="38" t="s">
        <v>5208</v>
      </c>
      <c r="D5844" s="18">
        <v>2022</v>
      </c>
      <c r="E5844" s="18" t="s">
        <v>0</v>
      </c>
      <c r="F5844" s="4">
        <v>1</v>
      </c>
      <c r="G5844" s="42">
        <v>6</v>
      </c>
      <c r="H5844" s="42">
        <v>19.545210000000001</v>
      </c>
    </row>
    <row r="5845" spans="1:8" s="15" customFormat="1" ht="16.5" hidden="1" customHeight="1" outlineLevel="1" x14ac:dyDescent="0.25">
      <c r="A5845" s="18">
        <v>749</v>
      </c>
      <c r="B5845" s="4" t="s">
        <v>249</v>
      </c>
      <c r="C5845" s="38" t="s">
        <v>5209</v>
      </c>
      <c r="D5845" s="18">
        <v>2022</v>
      </c>
      <c r="E5845" s="18" t="s">
        <v>0</v>
      </c>
      <c r="F5845" s="4">
        <v>1</v>
      </c>
      <c r="G5845" s="42">
        <v>6</v>
      </c>
      <c r="H5845" s="42">
        <v>17.880780000000001</v>
      </c>
    </row>
    <row r="5846" spans="1:8" s="15" customFormat="1" ht="16.5" hidden="1" customHeight="1" outlineLevel="1" x14ac:dyDescent="0.25">
      <c r="A5846" s="18">
        <v>774</v>
      </c>
      <c r="B5846" s="4" t="s">
        <v>249</v>
      </c>
      <c r="C5846" s="38" t="s">
        <v>5210</v>
      </c>
      <c r="D5846" s="18">
        <v>2022</v>
      </c>
      <c r="E5846" s="18" t="s">
        <v>0</v>
      </c>
      <c r="F5846" s="4">
        <v>1</v>
      </c>
      <c r="G5846" s="42">
        <v>6</v>
      </c>
      <c r="H5846" s="42">
        <v>19.545190000000002</v>
      </c>
    </row>
    <row r="5847" spans="1:8" s="15" customFormat="1" ht="16.5" hidden="1" customHeight="1" outlineLevel="1" x14ac:dyDescent="0.25">
      <c r="A5847" s="18">
        <v>648</v>
      </c>
      <c r="B5847" s="4" t="s">
        <v>249</v>
      </c>
      <c r="C5847" s="38" t="s">
        <v>5211</v>
      </c>
      <c r="D5847" s="18">
        <v>2022</v>
      </c>
      <c r="E5847" s="18" t="s">
        <v>0</v>
      </c>
      <c r="F5847" s="4">
        <v>1</v>
      </c>
      <c r="G5847" s="42">
        <v>10</v>
      </c>
      <c r="H5847" s="42">
        <v>20.250830000000001</v>
      </c>
    </row>
    <row r="5848" spans="1:8" s="15" customFormat="1" ht="16.5" hidden="1" customHeight="1" outlineLevel="1" x14ac:dyDescent="0.25">
      <c r="A5848" s="18">
        <v>705</v>
      </c>
      <c r="B5848" s="4" t="s">
        <v>249</v>
      </c>
      <c r="C5848" s="38" t="s">
        <v>5212</v>
      </c>
      <c r="D5848" s="18">
        <v>2022</v>
      </c>
      <c r="E5848" s="18" t="s">
        <v>0</v>
      </c>
      <c r="F5848" s="4">
        <v>1</v>
      </c>
      <c r="G5848" s="42">
        <v>6</v>
      </c>
      <c r="H5848" s="42">
        <v>17.743770000000001</v>
      </c>
    </row>
    <row r="5849" spans="1:8" s="15" customFormat="1" ht="16.5" hidden="1" customHeight="1" outlineLevel="1" x14ac:dyDescent="0.25">
      <c r="A5849" s="18">
        <v>657</v>
      </c>
      <c r="B5849" s="4" t="s">
        <v>249</v>
      </c>
      <c r="C5849" s="38" t="s">
        <v>5213</v>
      </c>
      <c r="D5849" s="18">
        <v>2022</v>
      </c>
      <c r="E5849" s="18" t="s">
        <v>0</v>
      </c>
      <c r="F5849" s="4">
        <v>1</v>
      </c>
      <c r="G5849" s="42">
        <v>8</v>
      </c>
      <c r="H5849" s="42">
        <v>18.65832</v>
      </c>
    </row>
    <row r="5850" spans="1:8" s="15" customFormat="1" ht="16.5" hidden="1" customHeight="1" outlineLevel="1" x14ac:dyDescent="0.25">
      <c r="A5850" s="18">
        <v>504</v>
      </c>
      <c r="B5850" s="4" t="s">
        <v>249</v>
      </c>
      <c r="C5850" s="38" t="s">
        <v>3507</v>
      </c>
      <c r="D5850" s="18">
        <v>2022</v>
      </c>
      <c r="E5850" s="18" t="s">
        <v>0</v>
      </c>
      <c r="F5850" s="4">
        <v>1</v>
      </c>
      <c r="G5850" s="42">
        <v>8</v>
      </c>
      <c r="H5850" s="42">
        <v>24.30498</v>
      </c>
    </row>
    <row r="5851" spans="1:8" s="15" customFormat="1" ht="16.5" hidden="1" customHeight="1" outlineLevel="1" x14ac:dyDescent="0.25">
      <c r="A5851" s="18">
        <v>668</v>
      </c>
      <c r="B5851" s="4" t="s">
        <v>249</v>
      </c>
      <c r="C5851" s="38" t="s">
        <v>5214</v>
      </c>
      <c r="D5851" s="18">
        <v>2022</v>
      </c>
      <c r="E5851" s="18" t="s">
        <v>0</v>
      </c>
      <c r="F5851" s="4">
        <v>1</v>
      </c>
      <c r="G5851" s="42">
        <v>10</v>
      </c>
      <c r="H5851" s="42">
        <v>17.208659999999998</v>
      </c>
    </row>
    <row r="5852" spans="1:8" s="15" customFormat="1" ht="16.5" hidden="1" customHeight="1" outlineLevel="1" x14ac:dyDescent="0.25">
      <c r="A5852" s="18">
        <v>713</v>
      </c>
      <c r="B5852" s="4" t="s">
        <v>249</v>
      </c>
      <c r="C5852" s="38" t="s">
        <v>5215</v>
      </c>
      <c r="D5852" s="18">
        <v>2022</v>
      </c>
      <c r="E5852" s="18" t="s">
        <v>0</v>
      </c>
      <c r="F5852" s="4">
        <v>1</v>
      </c>
      <c r="G5852" s="42">
        <v>10</v>
      </c>
      <c r="H5852" s="42">
        <v>15.971970000000001</v>
      </c>
    </row>
    <row r="5853" spans="1:8" s="15" customFormat="1" ht="16.5" hidden="1" customHeight="1" outlineLevel="1" x14ac:dyDescent="0.25">
      <c r="A5853" s="18">
        <v>709</v>
      </c>
      <c r="B5853" s="4" t="s">
        <v>249</v>
      </c>
      <c r="C5853" s="38" t="s">
        <v>5216</v>
      </c>
      <c r="D5853" s="18">
        <v>2022</v>
      </c>
      <c r="E5853" s="18" t="s">
        <v>0</v>
      </c>
      <c r="F5853" s="4">
        <v>1</v>
      </c>
      <c r="G5853" s="42">
        <v>10</v>
      </c>
      <c r="H5853" s="42">
        <v>16.486840000000001</v>
      </c>
    </row>
    <row r="5854" spans="1:8" s="15" customFormat="1" ht="16.5" hidden="1" customHeight="1" outlineLevel="1" x14ac:dyDescent="0.25">
      <c r="A5854" s="18">
        <v>708</v>
      </c>
      <c r="B5854" s="4" t="s">
        <v>249</v>
      </c>
      <c r="C5854" s="38" t="s">
        <v>5217</v>
      </c>
      <c r="D5854" s="18">
        <v>2022</v>
      </c>
      <c r="E5854" s="18" t="s">
        <v>0</v>
      </c>
      <c r="F5854" s="4">
        <v>1</v>
      </c>
      <c r="G5854" s="42">
        <v>10</v>
      </c>
      <c r="H5854" s="42">
        <v>17.029250000000001</v>
      </c>
    </row>
    <row r="5855" spans="1:8" s="15" customFormat="1" ht="16.5" hidden="1" customHeight="1" outlineLevel="1" x14ac:dyDescent="0.25">
      <c r="A5855" s="18">
        <v>706</v>
      </c>
      <c r="B5855" s="4" t="s">
        <v>249</v>
      </c>
      <c r="C5855" s="38" t="s">
        <v>5218</v>
      </c>
      <c r="D5855" s="18">
        <v>2022</v>
      </c>
      <c r="E5855" s="18" t="s">
        <v>0</v>
      </c>
      <c r="F5855" s="4">
        <v>1</v>
      </c>
      <c r="G5855" s="42">
        <v>10</v>
      </c>
      <c r="H5855" s="42">
        <v>16.486840000000001</v>
      </c>
    </row>
    <row r="5856" spans="1:8" s="15" customFormat="1" ht="16.5" hidden="1" customHeight="1" outlineLevel="1" x14ac:dyDescent="0.25">
      <c r="A5856" s="18">
        <v>700</v>
      </c>
      <c r="B5856" s="4" t="s">
        <v>249</v>
      </c>
      <c r="C5856" s="38" t="s">
        <v>5219</v>
      </c>
      <c r="D5856" s="18">
        <v>2022</v>
      </c>
      <c r="E5856" s="18" t="s">
        <v>0</v>
      </c>
      <c r="F5856" s="4">
        <v>1</v>
      </c>
      <c r="G5856" s="42">
        <v>10</v>
      </c>
      <c r="H5856" s="42">
        <v>15.944380000000001</v>
      </c>
    </row>
    <row r="5857" spans="1:8" s="15" customFormat="1" ht="16.5" hidden="1" customHeight="1" outlineLevel="1" x14ac:dyDescent="0.25">
      <c r="A5857" s="18">
        <v>712</v>
      </c>
      <c r="B5857" s="4" t="s">
        <v>249</v>
      </c>
      <c r="C5857" s="38" t="s">
        <v>5220</v>
      </c>
      <c r="D5857" s="18">
        <v>2022</v>
      </c>
      <c r="E5857" s="18" t="s">
        <v>0</v>
      </c>
      <c r="F5857" s="4">
        <v>1</v>
      </c>
      <c r="G5857" s="42">
        <v>10</v>
      </c>
      <c r="H5857" s="42">
        <v>18.525670000000002</v>
      </c>
    </row>
    <row r="5858" spans="1:8" s="15" customFormat="1" ht="16.5" hidden="1" customHeight="1" outlineLevel="1" x14ac:dyDescent="0.25">
      <c r="A5858" s="18">
        <v>653</v>
      </c>
      <c r="B5858" s="4" t="s">
        <v>249</v>
      </c>
      <c r="C5858" s="38" t="s">
        <v>5221</v>
      </c>
      <c r="D5858" s="18">
        <v>2022</v>
      </c>
      <c r="E5858" s="18" t="s">
        <v>0</v>
      </c>
      <c r="F5858" s="4">
        <v>1</v>
      </c>
      <c r="G5858" s="42">
        <v>9</v>
      </c>
      <c r="H5858" s="42">
        <v>22.058399999999999</v>
      </c>
    </row>
    <row r="5859" spans="1:8" s="15" customFormat="1" ht="16.5" hidden="1" customHeight="1" outlineLevel="1" x14ac:dyDescent="0.25">
      <c r="A5859" s="18">
        <v>726</v>
      </c>
      <c r="B5859" s="4" t="s">
        <v>249</v>
      </c>
      <c r="C5859" s="38" t="s">
        <v>5222</v>
      </c>
      <c r="D5859" s="18">
        <v>2022</v>
      </c>
      <c r="E5859" s="18" t="s">
        <v>0</v>
      </c>
      <c r="F5859" s="4">
        <v>1</v>
      </c>
      <c r="G5859" s="42">
        <v>9</v>
      </c>
      <c r="H5859" s="42">
        <v>19.420120000000001</v>
      </c>
    </row>
    <row r="5860" spans="1:8" s="15" customFormat="1" ht="16.5" hidden="1" customHeight="1" outlineLevel="1" x14ac:dyDescent="0.25">
      <c r="A5860" s="18">
        <v>601</v>
      </c>
      <c r="B5860" s="4" t="s">
        <v>249</v>
      </c>
      <c r="C5860" s="38" t="s">
        <v>5223</v>
      </c>
      <c r="D5860" s="18">
        <v>2022</v>
      </c>
      <c r="E5860" s="18" t="s">
        <v>0</v>
      </c>
      <c r="F5860" s="4">
        <v>2</v>
      </c>
      <c r="G5860" s="42">
        <v>16</v>
      </c>
      <c r="H5860" s="42">
        <v>30.145330000000001</v>
      </c>
    </row>
    <row r="5861" spans="1:8" s="15" customFormat="1" ht="16.5" hidden="1" customHeight="1" outlineLevel="1" x14ac:dyDescent="0.25">
      <c r="A5861" s="18">
        <v>637</v>
      </c>
      <c r="B5861" s="4" t="s">
        <v>249</v>
      </c>
      <c r="C5861" s="38" t="s">
        <v>5224</v>
      </c>
      <c r="D5861" s="18">
        <v>2022</v>
      </c>
      <c r="E5861" s="18" t="s">
        <v>0</v>
      </c>
      <c r="F5861" s="4">
        <v>1</v>
      </c>
      <c r="G5861" s="42">
        <v>10</v>
      </c>
      <c r="H5861" s="42">
        <v>23.328579999999999</v>
      </c>
    </row>
    <row r="5862" spans="1:8" s="15" customFormat="1" ht="16.5" hidden="1" customHeight="1" outlineLevel="1" x14ac:dyDescent="0.25">
      <c r="A5862" s="18">
        <v>515</v>
      </c>
      <c r="B5862" s="4" t="s">
        <v>249</v>
      </c>
      <c r="C5862" s="38" t="s">
        <v>3522</v>
      </c>
      <c r="D5862" s="18">
        <v>2022</v>
      </c>
      <c r="E5862" s="18" t="s">
        <v>0</v>
      </c>
      <c r="F5862" s="4">
        <v>1</v>
      </c>
      <c r="G5862" s="42">
        <v>8</v>
      </c>
      <c r="H5862" s="42">
        <v>22.494509999999998</v>
      </c>
    </row>
    <row r="5863" spans="1:8" s="15" customFormat="1" ht="16.5" hidden="1" customHeight="1" outlineLevel="1" x14ac:dyDescent="0.25">
      <c r="A5863" s="18">
        <v>646</v>
      </c>
      <c r="B5863" s="4" t="s">
        <v>249</v>
      </c>
      <c r="C5863" s="38" t="s">
        <v>5225</v>
      </c>
      <c r="D5863" s="18">
        <v>2022</v>
      </c>
      <c r="E5863" s="18" t="s">
        <v>0</v>
      </c>
      <c r="F5863" s="4">
        <v>1</v>
      </c>
      <c r="G5863" s="42">
        <v>7</v>
      </c>
      <c r="H5863" s="42">
        <v>18.149249999999999</v>
      </c>
    </row>
    <row r="5864" spans="1:8" s="15" customFormat="1" ht="16.5" hidden="1" customHeight="1" outlineLevel="1" x14ac:dyDescent="0.25">
      <c r="A5864" s="18">
        <v>670</v>
      </c>
      <c r="B5864" s="4" t="s">
        <v>249</v>
      </c>
      <c r="C5864" s="38" t="s">
        <v>5226</v>
      </c>
      <c r="D5864" s="18">
        <v>2022</v>
      </c>
      <c r="E5864" s="18" t="s">
        <v>0</v>
      </c>
      <c r="F5864" s="4">
        <v>1</v>
      </c>
      <c r="G5864" s="42">
        <v>10</v>
      </c>
      <c r="H5864" s="42">
        <v>20.559609999999999</v>
      </c>
    </row>
    <row r="5865" spans="1:8" s="15" customFormat="1" ht="16.5" hidden="1" customHeight="1" outlineLevel="1" x14ac:dyDescent="0.25">
      <c r="A5865" s="18">
        <v>672</v>
      </c>
      <c r="B5865" s="4" t="s">
        <v>249</v>
      </c>
      <c r="C5865" s="38" t="s">
        <v>5227</v>
      </c>
      <c r="D5865" s="18">
        <v>2022</v>
      </c>
      <c r="E5865" s="18" t="s">
        <v>0</v>
      </c>
      <c r="F5865" s="4">
        <v>1</v>
      </c>
      <c r="G5865" s="42">
        <v>8</v>
      </c>
      <c r="H5865" s="42">
        <v>22.021470000000001</v>
      </c>
    </row>
    <row r="5866" spans="1:8" s="15" customFormat="1" ht="16.5" hidden="1" customHeight="1" outlineLevel="1" x14ac:dyDescent="0.25">
      <c r="A5866" s="18">
        <v>622</v>
      </c>
      <c r="B5866" s="4" t="s">
        <v>249</v>
      </c>
      <c r="C5866" s="38" t="s">
        <v>5228</v>
      </c>
      <c r="D5866" s="18">
        <v>2022</v>
      </c>
      <c r="E5866" s="18" t="s">
        <v>0</v>
      </c>
      <c r="F5866" s="4">
        <v>1</v>
      </c>
      <c r="G5866" s="42">
        <v>0.06</v>
      </c>
      <c r="H5866" s="42">
        <v>19.471029999999999</v>
      </c>
    </row>
    <row r="5867" spans="1:8" s="15" customFormat="1" ht="16.5" hidden="1" customHeight="1" outlineLevel="1" x14ac:dyDescent="0.25">
      <c r="A5867" s="18">
        <v>621</v>
      </c>
      <c r="B5867" s="4" t="s">
        <v>249</v>
      </c>
      <c r="C5867" s="38" t="s">
        <v>5229</v>
      </c>
      <c r="D5867" s="18">
        <v>2022</v>
      </c>
      <c r="E5867" s="18" t="s">
        <v>0</v>
      </c>
      <c r="F5867" s="4">
        <v>1</v>
      </c>
      <c r="G5867" s="42">
        <v>0.06</v>
      </c>
      <c r="H5867" s="42">
        <v>22.266470000000002</v>
      </c>
    </row>
    <row r="5868" spans="1:8" s="15" customFormat="1" ht="16.5" hidden="1" customHeight="1" outlineLevel="1" x14ac:dyDescent="0.25">
      <c r="A5868" s="18">
        <v>490</v>
      </c>
      <c r="B5868" s="4" t="s">
        <v>249</v>
      </c>
      <c r="C5868" s="38" t="s">
        <v>5230</v>
      </c>
      <c r="D5868" s="18">
        <v>2022</v>
      </c>
      <c r="E5868" s="18" t="s">
        <v>0</v>
      </c>
      <c r="F5868" s="4">
        <v>1</v>
      </c>
      <c r="G5868" s="42">
        <v>6</v>
      </c>
      <c r="H5868" s="42">
        <v>21.070879999999999</v>
      </c>
    </row>
    <row r="5869" spans="1:8" s="15" customFormat="1" ht="16.5" hidden="1" customHeight="1" outlineLevel="1" x14ac:dyDescent="0.25">
      <c r="A5869" s="18">
        <v>600</v>
      </c>
      <c r="B5869" s="4" t="s">
        <v>249</v>
      </c>
      <c r="C5869" s="38" t="s">
        <v>5231</v>
      </c>
      <c r="D5869" s="18">
        <v>2022</v>
      </c>
      <c r="E5869" s="18" t="s">
        <v>0</v>
      </c>
      <c r="F5869" s="4">
        <v>1</v>
      </c>
      <c r="G5869" s="42">
        <v>3</v>
      </c>
      <c r="H5869" s="42">
        <v>15.053610000000001</v>
      </c>
    </row>
    <row r="5870" spans="1:8" s="15" customFormat="1" ht="16.5" hidden="1" customHeight="1" outlineLevel="1" x14ac:dyDescent="0.25">
      <c r="A5870" s="18">
        <v>592</v>
      </c>
      <c r="B5870" s="4" t="s">
        <v>249</v>
      </c>
      <c r="C5870" s="38" t="s">
        <v>5232</v>
      </c>
      <c r="D5870" s="18">
        <v>2022</v>
      </c>
      <c r="E5870" s="18" t="s">
        <v>0</v>
      </c>
      <c r="F5870" s="4">
        <v>1</v>
      </c>
      <c r="G5870" s="42">
        <v>6</v>
      </c>
      <c r="H5870" s="42">
        <v>15.7651</v>
      </c>
    </row>
    <row r="5871" spans="1:8" s="15" customFormat="1" ht="16.5" hidden="1" customHeight="1" outlineLevel="1" x14ac:dyDescent="0.25">
      <c r="A5871" s="18">
        <v>710</v>
      </c>
      <c r="B5871" s="4" t="s">
        <v>249</v>
      </c>
      <c r="C5871" s="38" t="s">
        <v>5233</v>
      </c>
      <c r="D5871" s="18">
        <v>2022</v>
      </c>
      <c r="E5871" s="18" t="s">
        <v>0</v>
      </c>
      <c r="F5871" s="4">
        <v>1</v>
      </c>
      <c r="G5871" s="42">
        <v>6</v>
      </c>
      <c r="H5871" s="42">
        <v>19.49325</v>
      </c>
    </row>
    <row r="5872" spans="1:8" s="15" customFormat="1" ht="16.5" hidden="1" customHeight="1" outlineLevel="1" x14ac:dyDescent="0.25">
      <c r="A5872" s="18">
        <v>780</v>
      </c>
      <c r="B5872" s="4" t="s">
        <v>249</v>
      </c>
      <c r="C5872" s="38" t="s">
        <v>5234</v>
      </c>
      <c r="D5872" s="18">
        <v>2022</v>
      </c>
      <c r="E5872" s="18" t="s">
        <v>0</v>
      </c>
      <c r="F5872" s="4">
        <v>1</v>
      </c>
      <c r="G5872" s="42">
        <v>6</v>
      </c>
      <c r="H5872" s="42">
        <v>17.522860000000001</v>
      </c>
    </row>
    <row r="5873" spans="1:8" s="15" customFormat="1" ht="16.5" hidden="1" customHeight="1" outlineLevel="1" x14ac:dyDescent="0.25">
      <c r="A5873" s="18">
        <v>728</v>
      </c>
      <c r="B5873" s="4" t="s">
        <v>249</v>
      </c>
      <c r="C5873" s="38" t="s">
        <v>5235</v>
      </c>
      <c r="D5873" s="18">
        <v>2022</v>
      </c>
      <c r="E5873" s="18" t="s">
        <v>0</v>
      </c>
      <c r="F5873" s="4">
        <v>1</v>
      </c>
      <c r="G5873" s="42">
        <v>6</v>
      </c>
      <c r="H5873" s="42">
        <v>17.488910000000001</v>
      </c>
    </row>
    <row r="5874" spans="1:8" s="15" customFormat="1" ht="16.5" hidden="1" customHeight="1" outlineLevel="1" x14ac:dyDescent="0.25">
      <c r="A5874" s="18">
        <v>733</v>
      </c>
      <c r="B5874" s="4" t="s">
        <v>249</v>
      </c>
      <c r="C5874" s="38" t="s">
        <v>5236</v>
      </c>
      <c r="D5874" s="18">
        <v>2022</v>
      </c>
      <c r="E5874" s="18" t="s">
        <v>0</v>
      </c>
      <c r="F5874" s="4">
        <v>1</v>
      </c>
      <c r="G5874" s="42">
        <v>0.06</v>
      </c>
      <c r="H5874" s="42">
        <v>22.085789999999999</v>
      </c>
    </row>
    <row r="5875" spans="1:8" s="15" customFormat="1" ht="16.5" hidden="1" customHeight="1" outlineLevel="1" x14ac:dyDescent="0.25">
      <c r="A5875" s="18">
        <v>696</v>
      </c>
      <c r="B5875" s="4" t="s">
        <v>249</v>
      </c>
      <c r="C5875" s="38" t="s">
        <v>5237</v>
      </c>
      <c r="D5875" s="18">
        <v>2022</v>
      </c>
      <c r="E5875" s="18" t="s">
        <v>0</v>
      </c>
      <c r="F5875" s="4">
        <v>1</v>
      </c>
      <c r="G5875" s="42">
        <v>1.2</v>
      </c>
      <c r="H5875" s="42">
        <v>18.48817</v>
      </c>
    </row>
    <row r="5876" spans="1:8" s="15" customFormat="1" ht="16.5" hidden="1" customHeight="1" outlineLevel="1" x14ac:dyDescent="0.25">
      <c r="A5876" s="18">
        <v>738</v>
      </c>
      <c r="B5876" s="4" t="s">
        <v>249</v>
      </c>
      <c r="C5876" s="38" t="s">
        <v>5238</v>
      </c>
      <c r="D5876" s="18">
        <v>2022</v>
      </c>
      <c r="E5876" s="18" t="s">
        <v>0</v>
      </c>
      <c r="F5876" s="4">
        <v>1</v>
      </c>
      <c r="G5876" s="42">
        <v>6</v>
      </c>
      <c r="H5876" s="42">
        <v>20.134910000000001</v>
      </c>
    </row>
    <row r="5877" spans="1:8" s="15" customFormat="1" ht="16.5" hidden="1" customHeight="1" outlineLevel="1" x14ac:dyDescent="0.25">
      <c r="A5877" s="18">
        <v>816</v>
      </c>
      <c r="B5877" s="4" t="s">
        <v>249</v>
      </c>
      <c r="C5877" s="38" t="s">
        <v>5239</v>
      </c>
      <c r="D5877" s="18">
        <v>2022</v>
      </c>
      <c r="E5877" s="18" t="s">
        <v>0</v>
      </c>
      <c r="F5877" s="4">
        <v>1</v>
      </c>
      <c r="G5877" s="42">
        <v>6</v>
      </c>
      <c r="H5877" s="42">
        <v>19.058309999999999</v>
      </c>
    </row>
    <row r="5878" spans="1:8" s="15" customFormat="1" ht="16.5" hidden="1" customHeight="1" outlineLevel="1" x14ac:dyDescent="0.25">
      <c r="A5878" s="18">
        <v>703</v>
      </c>
      <c r="B5878" s="4" t="s">
        <v>249</v>
      </c>
      <c r="C5878" s="38" t="s">
        <v>5240</v>
      </c>
      <c r="D5878" s="18">
        <v>2022</v>
      </c>
      <c r="E5878" s="18" t="s">
        <v>0</v>
      </c>
      <c r="F5878" s="4">
        <v>1</v>
      </c>
      <c r="G5878" s="42">
        <v>6</v>
      </c>
      <c r="H5878" s="42">
        <v>17.297550000000001</v>
      </c>
    </row>
    <row r="5879" spans="1:8" s="15" customFormat="1" ht="16.5" hidden="1" customHeight="1" outlineLevel="1" x14ac:dyDescent="0.25">
      <c r="A5879" s="18">
        <v>782</v>
      </c>
      <c r="B5879" s="4" t="s">
        <v>249</v>
      </c>
      <c r="C5879" s="38" t="s">
        <v>5241</v>
      </c>
      <c r="D5879" s="18">
        <v>2022</v>
      </c>
      <c r="E5879" s="18" t="s">
        <v>0</v>
      </c>
      <c r="F5879" s="4">
        <v>1</v>
      </c>
      <c r="G5879" s="42">
        <v>6</v>
      </c>
      <c r="H5879" s="42">
        <v>17.5655</v>
      </c>
    </row>
    <row r="5880" spans="1:8" s="15" customFormat="1" ht="16.5" hidden="1" customHeight="1" outlineLevel="1" x14ac:dyDescent="0.25">
      <c r="A5880" s="18">
        <v>800</v>
      </c>
      <c r="B5880" s="4" t="s">
        <v>249</v>
      </c>
      <c r="C5880" s="38" t="s">
        <v>5242</v>
      </c>
      <c r="D5880" s="18">
        <v>2022</v>
      </c>
      <c r="E5880" s="18" t="s">
        <v>0</v>
      </c>
      <c r="F5880" s="4">
        <v>1</v>
      </c>
      <c r="G5880" s="42">
        <v>6</v>
      </c>
      <c r="H5880" s="42">
        <v>17.503360000000001</v>
      </c>
    </row>
    <row r="5881" spans="1:8" s="15" customFormat="1" ht="16.5" hidden="1" customHeight="1" outlineLevel="1" x14ac:dyDescent="0.25">
      <c r="A5881" s="18">
        <v>813</v>
      </c>
      <c r="B5881" s="4" t="s">
        <v>249</v>
      </c>
      <c r="C5881" s="38" t="s">
        <v>5243</v>
      </c>
      <c r="D5881" s="18">
        <v>2022</v>
      </c>
      <c r="E5881" s="18" t="s">
        <v>0</v>
      </c>
      <c r="F5881" s="4">
        <v>1</v>
      </c>
      <c r="G5881" s="42">
        <v>6</v>
      </c>
      <c r="H5881" s="42">
        <v>18.787140000000001</v>
      </c>
    </row>
    <row r="5882" spans="1:8" s="15" customFormat="1" ht="16.5" hidden="1" customHeight="1" outlineLevel="1" x14ac:dyDescent="0.25">
      <c r="A5882" s="18">
        <v>666</v>
      </c>
      <c r="B5882" s="4" t="s">
        <v>249</v>
      </c>
      <c r="C5882" s="38" t="s">
        <v>5244</v>
      </c>
      <c r="D5882" s="18">
        <v>2022</v>
      </c>
      <c r="E5882" s="18" t="s">
        <v>0</v>
      </c>
      <c r="F5882" s="4">
        <v>1</v>
      </c>
      <c r="G5882" s="42">
        <v>6</v>
      </c>
      <c r="H5882" s="42">
        <v>15.940810000000001</v>
      </c>
    </row>
    <row r="5883" spans="1:8" s="15" customFormat="1" ht="16.5" hidden="1" customHeight="1" outlineLevel="1" x14ac:dyDescent="0.25">
      <c r="A5883" s="18">
        <v>804</v>
      </c>
      <c r="B5883" s="4" t="s">
        <v>249</v>
      </c>
      <c r="C5883" s="38" t="s">
        <v>5245</v>
      </c>
      <c r="D5883" s="18">
        <v>2022</v>
      </c>
      <c r="E5883" s="18" t="s">
        <v>0</v>
      </c>
      <c r="F5883" s="4">
        <v>1</v>
      </c>
      <c r="G5883" s="42">
        <v>6</v>
      </c>
      <c r="H5883" s="42">
        <v>17.73931</v>
      </c>
    </row>
    <row r="5884" spans="1:8" s="15" customFormat="1" ht="16.5" hidden="1" customHeight="1" outlineLevel="1" x14ac:dyDescent="0.25">
      <c r="A5884" s="18">
        <v>835</v>
      </c>
      <c r="B5884" s="4" t="s">
        <v>249</v>
      </c>
      <c r="C5884" s="38" t="s">
        <v>5246</v>
      </c>
      <c r="D5884" s="18">
        <v>2022</v>
      </c>
      <c r="E5884" s="18" t="s">
        <v>0</v>
      </c>
      <c r="F5884" s="4">
        <v>1</v>
      </c>
      <c r="G5884" s="42">
        <v>6</v>
      </c>
      <c r="H5884" s="42">
        <v>18.935110000000002</v>
      </c>
    </row>
    <row r="5885" spans="1:8" s="15" customFormat="1" ht="16.5" hidden="1" customHeight="1" outlineLevel="1" x14ac:dyDescent="0.25">
      <c r="A5885" s="18">
        <v>805</v>
      </c>
      <c r="B5885" s="4" t="s">
        <v>249</v>
      </c>
      <c r="C5885" s="38" t="s">
        <v>5247</v>
      </c>
      <c r="D5885" s="18">
        <v>2022</v>
      </c>
      <c r="E5885" s="18" t="s">
        <v>0</v>
      </c>
      <c r="F5885" s="4">
        <v>1</v>
      </c>
      <c r="G5885" s="42">
        <v>6</v>
      </c>
      <c r="H5885" s="42">
        <v>18.935189999999999</v>
      </c>
    </row>
    <row r="5886" spans="1:8" s="15" customFormat="1" ht="16.5" hidden="1" customHeight="1" outlineLevel="1" x14ac:dyDescent="0.25">
      <c r="A5886" s="18">
        <v>792</v>
      </c>
      <c r="B5886" s="4" t="s">
        <v>249</v>
      </c>
      <c r="C5886" s="38" t="s">
        <v>5248</v>
      </c>
      <c r="D5886" s="18">
        <v>2022</v>
      </c>
      <c r="E5886" s="18" t="s">
        <v>0</v>
      </c>
      <c r="F5886" s="4">
        <v>1</v>
      </c>
      <c r="G5886" s="42">
        <v>10</v>
      </c>
      <c r="H5886" s="42">
        <v>17.216899999999999</v>
      </c>
    </row>
    <row r="5887" spans="1:8" s="15" customFormat="1" ht="16.5" hidden="1" customHeight="1" outlineLevel="1" x14ac:dyDescent="0.25">
      <c r="A5887" s="18">
        <v>747</v>
      </c>
      <c r="B5887" s="4" t="s">
        <v>249</v>
      </c>
      <c r="C5887" s="38" t="s">
        <v>5249</v>
      </c>
      <c r="D5887" s="18">
        <v>2022</v>
      </c>
      <c r="E5887" s="18" t="s">
        <v>0</v>
      </c>
      <c r="F5887" s="4">
        <v>1</v>
      </c>
      <c r="G5887" s="42">
        <v>10</v>
      </c>
      <c r="H5887" s="42">
        <v>17.599049999999998</v>
      </c>
    </row>
    <row r="5888" spans="1:8" s="15" customFormat="1" ht="16.5" hidden="1" customHeight="1" outlineLevel="1" x14ac:dyDescent="0.25">
      <c r="A5888" s="18">
        <v>719</v>
      </c>
      <c r="B5888" s="4" t="s">
        <v>249</v>
      </c>
      <c r="C5888" s="38" t="s">
        <v>5250</v>
      </c>
      <c r="D5888" s="18">
        <v>2022</v>
      </c>
      <c r="E5888" s="18" t="s">
        <v>0</v>
      </c>
      <c r="F5888" s="4">
        <v>1</v>
      </c>
      <c r="G5888" s="42">
        <v>9</v>
      </c>
      <c r="H5888" s="42">
        <v>21.493539999999999</v>
      </c>
    </row>
    <row r="5889" spans="1:8" s="15" customFormat="1" ht="16.5" hidden="1" customHeight="1" outlineLevel="1" x14ac:dyDescent="0.25">
      <c r="A5889" s="18">
        <v>735</v>
      </c>
      <c r="B5889" s="4" t="s">
        <v>249</v>
      </c>
      <c r="C5889" s="38" t="s">
        <v>5251</v>
      </c>
      <c r="D5889" s="18">
        <v>2022</v>
      </c>
      <c r="E5889" s="18" t="s">
        <v>0</v>
      </c>
      <c r="F5889" s="4">
        <v>1</v>
      </c>
      <c r="G5889" s="42">
        <v>10</v>
      </c>
      <c r="H5889" s="42">
        <v>21.510470000000002</v>
      </c>
    </row>
    <row r="5890" spans="1:8" s="15" customFormat="1" ht="16.5" hidden="1" customHeight="1" outlineLevel="1" x14ac:dyDescent="0.25">
      <c r="A5890" s="18">
        <v>736</v>
      </c>
      <c r="B5890" s="4" t="s">
        <v>249</v>
      </c>
      <c r="C5890" s="38" t="s">
        <v>5252</v>
      </c>
      <c r="D5890" s="18">
        <v>2022</v>
      </c>
      <c r="E5890" s="18" t="s">
        <v>0</v>
      </c>
      <c r="F5890" s="4">
        <v>1</v>
      </c>
      <c r="G5890" s="42">
        <v>15</v>
      </c>
      <c r="H5890" s="42">
        <v>18.15634</v>
      </c>
    </row>
    <row r="5891" spans="1:8" s="15" customFormat="1" ht="16.5" hidden="1" customHeight="1" outlineLevel="1" x14ac:dyDescent="0.25">
      <c r="A5891" s="18">
        <v>654</v>
      </c>
      <c r="B5891" s="4" t="s">
        <v>249</v>
      </c>
      <c r="C5891" s="38" t="s">
        <v>5253</v>
      </c>
      <c r="D5891" s="18">
        <v>2022</v>
      </c>
      <c r="E5891" s="18" t="s">
        <v>0</v>
      </c>
      <c r="F5891" s="4">
        <v>1</v>
      </c>
      <c r="G5891" s="42">
        <v>8</v>
      </c>
      <c r="H5891" s="42">
        <v>24.370979999999999</v>
      </c>
    </row>
    <row r="5892" spans="1:8" s="15" customFormat="1" ht="16.5" hidden="1" customHeight="1" outlineLevel="1" x14ac:dyDescent="0.25">
      <c r="A5892" s="18">
        <v>783</v>
      </c>
      <c r="B5892" s="4" t="s">
        <v>249</v>
      </c>
      <c r="C5892" s="38" t="s">
        <v>5254</v>
      </c>
      <c r="D5892" s="18">
        <v>2022</v>
      </c>
      <c r="E5892" s="18" t="s">
        <v>0</v>
      </c>
      <c r="F5892" s="4">
        <v>1</v>
      </c>
      <c r="G5892" s="42">
        <v>8</v>
      </c>
      <c r="H5892" s="42">
        <v>19.673839999999998</v>
      </c>
    </row>
    <row r="5893" spans="1:8" s="15" customFormat="1" ht="16.5" hidden="1" customHeight="1" outlineLevel="1" x14ac:dyDescent="0.25">
      <c r="A5893" s="18">
        <v>611</v>
      </c>
      <c r="B5893" s="4" t="s">
        <v>249</v>
      </c>
      <c r="C5893" s="38" t="s">
        <v>5255</v>
      </c>
      <c r="D5893" s="18">
        <v>2022</v>
      </c>
      <c r="E5893" s="18" t="s">
        <v>0</v>
      </c>
      <c r="F5893" s="4">
        <v>1</v>
      </c>
      <c r="G5893" s="42">
        <v>8</v>
      </c>
      <c r="H5893" s="42">
        <v>18.267690000000002</v>
      </c>
    </row>
    <row r="5894" spans="1:8" s="15" customFormat="1" ht="16.5" hidden="1" customHeight="1" outlineLevel="1" x14ac:dyDescent="0.25">
      <c r="A5894" s="18">
        <v>642</v>
      </c>
      <c r="B5894" s="4" t="s">
        <v>249</v>
      </c>
      <c r="C5894" s="38" t="s">
        <v>5256</v>
      </c>
      <c r="D5894" s="18">
        <v>2022</v>
      </c>
      <c r="E5894" s="18" t="s">
        <v>0</v>
      </c>
      <c r="F5894" s="4">
        <v>1</v>
      </c>
      <c r="G5894" s="42">
        <v>10</v>
      </c>
      <c r="H5894" s="42">
        <v>23.763999999999999</v>
      </c>
    </row>
    <row r="5895" spans="1:8" s="15" customFormat="1" ht="16.5" hidden="1" customHeight="1" outlineLevel="1" x14ac:dyDescent="0.25">
      <c r="A5895" s="18">
        <v>651</v>
      </c>
      <c r="B5895" s="4" t="s">
        <v>249</v>
      </c>
      <c r="C5895" s="38" t="s">
        <v>5257</v>
      </c>
      <c r="D5895" s="18">
        <v>2022</v>
      </c>
      <c r="E5895" s="18" t="s">
        <v>0</v>
      </c>
      <c r="F5895" s="4">
        <v>1</v>
      </c>
      <c r="G5895" s="42">
        <v>6</v>
      </c>
      <c r="H5895" s="42">
        <v>21.20411</v>
      </c>
    </row>
    <row r="5896" spans="1:8" s="15" customFormat="1" ht="16.5" hidden="1" customHeight="1" outlineLevel="1" x14ac:dyDescent="0.25">
      <c r="A5896" s="18">
        <v>817</v>
      </c>
      <c r="B5896" s="4" t="s">
        <v>249</v>
      </c>
      <c r="C5896" s="38" t="s">
        <v>5258</v>
      </c>
      <c r="D5896" s="18">
        <v>2022</v>
      </c>
      <c r="E5896" s="18" t="s">
        <v>0</v>
      </c>
      <c r="F5896" s="4">
        <v>1</v>
      </c>
      <c r="G5896" s="42">
        <v>6</v>
      </c>
      <c r="H5896" s="42">
        <v>17.656690000000001</v>
      </c>
    </row>
    <row r="5897" spans="1:8" s="15" customFormat="1" ht="16.5" hidden="1" customHeight="1" outlineLevel="1" x14ac:dyDescent="0.25">
      <c r="A5897" s="18">
        <v>479</v>
      </c>
      <c r="B5897" s="4" t="s">
        <v>249</v>
      </c>
      <c r="C5897" s="38" t="s">
        <v>4028</v>
      </c>
      <c r="D5897" s="18">
        <v>2022</v>
      </c>
      <c r="E5897" s="18" t="s">
        <v>0</v>
      </c>
      <c r="F5897" s="4">
        <v>1</v>
      </c>
      <c r="G5897" s="42">
        <v>10</v>
      </c>
      <c r="H5897" s="42">
        <v>16.9908</v>
      </c>
    </row>
    <row r="5898" spans="1:8" s="15" customFormat="1" ht="16.5" hidden="1" customHeight="1" outlineLevel="1" x14ac:dyDescent="0.25">
      <c r="A5898" s="18">
        <v>521</v>
      </c>
      <c r="B5898" s="4" t="s">
        <v>249</v>
      </c>
      <c r="C5898" s="38" t="s">
        <v>3538</v>
      </c>
      <c r="D5898" s="18">
        <v>2022</v>
      </c>
      <c r="E5898" s="18" t="s">
        <v>0</v>
      </c>
      <c r="F5898" s="4">
        <v>1</v>
      </c>
      <c r="G5898" s="42">
        <v>6</v>
      </c>
      <c r="H5898" s="42">
        <v>20.150310000000001</v>
      </c>
    </row>
    <row r="5899" spans="1:8" s="15" customFormat="1" ht="16.5" hidden="1" customHeight="1" outlineLevel="1" x14ac:dyDescent="0.25">
      <c r="A5899" s="18">
        <v>737</v>
      </c>
      <c r="B5899" s="4" t="s">
        <v>249</v>
      </c>
      <c r="C5899" s="38" t="s">
        <v>5259</v>
      </c>
      <c r="D5899" s="18">
        <v>2022</v>
      </c>
      <c r="E5899" s="18" t="s">
        <v>0</v>
      </c>
      <c r="F5899" s="4">
        <v>1</v>
      </c>
      <c r="G5899" s="42">
        <v>10</v>
      </c>
      <c r="H5899" s="42">
        <v>19.34995</v>
      </c>
    </row>
    <row r="5900" spans="1:8" s="15" customFormat="1" ht="16.5" hidden="1" customHeight="1" outlineLevel="1" x14ac:dyDescent="0.25">
      <c r="A5900" s="18">
        <v>752</v>
      </c>
      <c r="B5900" s="4" t="s">
        <v>249</v>
      </c>
      <c r="C5900" s="38" t="s">
        <v>5260</v>
      </c>
      <c r="D5900" s="18">
        <v>2022</v>
      </c>
      <c r="E5900" s="18" t="s">
        <v>0</v>
      </c>
      <c r="F5900" s="4">
        <v>1</v>
      </c>
      <c r="G5900" s="42">
        <v>8</v>
      </c>
      <c r="H5900" s="42">
        <v>20.04073</v>
      </c>
    </row>
    <row r="5901" spans="1:8" s="15" customFormat="1" ht="16.5" hidden="1" customHeight="1" outlineLevel="1" x14ac:dyDescent="0.25">
      <c r="A5901" s="18">
        <v>727</v>
      </c>
      <c r="B5901" s="4" t="s">
        <v>249</v>
      </c>
      <c r="C5901" s="38" t="s">
        <v>5261</v>
      </c>
      <c r="D5901" s="18">
        <v>2022</v>
      </c>
      <c r="E5901" s="18" t="s">
        <v>0</v>
      </c>
      <c r="F5901" s="4">
        <v>1</v>
      </c>
      <c r="G5901" s="42">
        <v>8</v>
      </c>
      <c r="H5901" s="42">
        <v>18.642189999999999</v>
      </c>
    </row>
    <row r="5902" spans="1:8" s="15" customFormat="1" ht="16.5" hidden="1" customHeight="1" outlineLevel="1" x14ac:dyDescent="0.25">
      <c r="A5902" s="18">
        <v>868</v>
      </c>
      <c r="B5902" s="4" t="s">
        <v>249</v>
      </c>
      <c r="C5902" s="38" t="s">
        <v>5262</v>
      </c>
      <c r="D5902" s="18">
        <v>2022</v>
      </c>
      <c r="E5902" s="18" t="s">
        <v>0</v>
      </c>
      <c r="F5902" s="4">
        <v>1</v>
      </c>
      <c r="G5902" s="42">
        <v>10</v>
      </c>
      <c r="H5902" s="42">
        <v>19.243040000000001</v>
      </c>
    </row>
    <row r="5903" spans="1:8" s="15" customFormat="1" ht="16.5" hidden="1" customHeight="1" outlineLevel="1" x14ac:dyDescent="0.25">
      <c r="A5903" s="18">
        <v>734</v>
      </c>
      <c r="B5903" s="4" t="s">
        <v>249</v>
      </c>
      <c r="C5903" s="38" t="s">
        <v>5263</v>
      </c>
      <c r="D5903" s="18">
        <v>2022</v>
      </c>
      <c r="E5903" s="18" t="s">
        <v>0</v>
      </c>
      <c r="F5903" s="4">
        <v>1</v>
      </c>
      <c r="G5903" s="42">
        <v>10</v>
      </c>
      <c r="H5903" s="42">
        <v>18.659179999999999</v>
      </c>
    </row>
    <row r="5904" spans="1:8" s="15" customFormat="1" ht="16.5" hidden="1" customHeight="1" outlineLevel="1" x14ac:dyDescent="0.25">
      <c r="A5904" s="18">
        <v>629</v>
      </c>
      <c r="B5904" s="4" t="s">
        <v>249</v>
      </c>
      <c r="C5904" s="38" t="s">
        <v>5264</v>
      </c>
      <c r="D5904" s="18">
        <v>2022</v>
      </c>
      <c r="E5904" s="18" t="s">
        <v>0</v>
      </c>
      <c r="F5904" s="4">
        <v>1</v>
      </c>
      <c r="G5904" s="42">
        <v>7</v>
      </c>
      <c r="H5904" s="42">
        <v>21.86919</v>
      </c>
    </row>
    <row r="5905" spans="1:8" s="15" customFormat="1" ht="16.5" hidden="1" customHeight="1" outlineLevel="1" x14ac:dyDescent="0.25">
      <c r="A5905" s="18">
        <v>607</v>
      </c>
      <c r="B5905" s="4" t="s">
        <v>249</v>
      </c>
      <c r="C5905" s="38" t="s">
        <v>5265</v>
      </c>
      <c r="D5905" s="18">
        <v>2022</v>
      </c>
      <c r="E5905" s="18" t="s">
        <v>0</v>
      </c>
      <c r="F5905" s="4">
        <v>1</v>
      </c>
      <c r="G5905" s="42">
        <v>8</v>
      </c>
      <c r="H5905" s="42">
        <v>19.395689999999998</v>
      </c>
    </row>
    <row r="5906" spans="1:8" s="15" customFormat="1" ht="16.5" hidden="1" customHeight="1" outlineLevel="1" x14ac:dyDescent="0.25">
      <c r="A5906" s="18">
        <v>638</v>
      </c>
      <c r="B5906" s="4" t="s">
        <v>249</v>
      </c>
      <c r="C5906" s="38" t="s">
        <v>5266</v>
      </c>
      <c r="D5906" s="18">
        <v>2022</v>
      </c>
      <c r="E5906" s="18" t="s">
        <v>0</v>
      </c>
      <c r="F5906" s="4">
        <v>1</v>
      </c>
      <c r="G5906" s="42">
        <v>8</v>
      </c>
      <c r="H5906" s="42">
        <v>19.796880000000002</v>
      </c>
    </row>
    <row r="5907" spans="1:8" s="15" customFormat="1" ht="16.5" hidden="1" customHeight="1" outlineLevel="1" x14ac:dyDescent="0.25">
      <c r="A5907" s="18">
        <v>612</v>
      </c>
      <c r="B5907" s="4" t="s">
        <v>249</v>
      </c>
      <c r="C5907" s="38" t="s">
        <v>5267</v>
      </c>
      <c r="D5907" s="18">
        <v>2022</v>
      </c>
      <c r="E5907" s="18" t="s">
        <v>0</v>
      </c>
      <c r="F5907" s="4">
        <v>1</v>
      </c>
      <c r="G5907" s="42">
        <v>15</v>
      </c>
      <c r="H5907" s="42">
        <v>19.127359999999999</v>
      </c>
    </row>
    <row r="5908" spans="1:8" s="15" customFormat="1" ht="16.5" hidden="1" customHeight="1" outlineLevel="1" x14ac:dyDescent="0.25">
      <c r="A5908" s="18">
        <v>558</v>
      </c>
      <c r="B5908" s="4" t="s">
        <v>249</v>
      </c>
      <c r="C5908" s="38" t="s">
        <v>3541</v>
      </c>
      <c r="D5908" s="18">
        <v>2022</v>
      </c>
      <c r="E5908" s="18" t="s">
        <v>0</v>
      </c>
      <c r="F5908" s="4">
        <v>1</v>
      </c>
      <c r="G5908" s="42">
        <v>6</v>
      </c>
      <c r="H5908" s="42">
        <v>55.554470000000002</v>
      </c>
    </row>
    <row r="5909" spans="1:8" s="15" customFormat="1" ht="16.5" hidden="1" customHeight="1" outlineLevel="1" x14ac:dyDescent="0.25">
      <c r="A5909" s="18">
        <v>724</v>
      </c>
      <c r="B5909" s="4" t="s">
        <v>249</v>
      </c>
      <c r="C5909" s="38" t="s">
        <v>5268</v>
      </c>
      <c r="D5909" s="18">
        <v>2022</v>
      </c>
      <c r="E5909" s="18" t="s">
        <v>0</v>
      </c>
      <c r="F5909" s="4">
        <v>1</v>
      </c>
      <c r="G5909" s="42">
        <v>10</v>
      </c>
      <c r="H5909" s="42">
        <v>17.23385</v>
      </c>
    </row>
    <row r="5910" spans="1:8" s="15" customFormat="1" ht="16.5" hidden="1" customHeight="1" outlineLevel="1" x14ac:dyDescent="0.25">
      <c r="A5910" s="18">
        <v>754</v>
      </c>
      <c r="B5910" s="4" t="s">
        <v>249</v>
      </c>
      <c r="C5910" s="38" t="s">
        <v>5269</v>
      </c>
      <c r="D5910" s="18">
        <v>2022</v>
      </c>
      <c r="E5910" s="18" t="s">
        <v>0</v>
      </c>
      <c r="F5910" s="4">
        <v>1</v>
      </c>
      <c r="G5910" s="42">
        <v>10</v>
      </c>
      <c r="H5910" s="42">
        <v>17.25067</v>
      </c>
    </row>
    <row r="5911" spans="1:8" s="15" customFormat="1" ht="16.5" hidden="1" customHeight="1" outlineLevel="1" x14ac:dyDescent="0.25">
      <c r="A5911" s="18">
        <v>788</v>
      </c>
      <c r="B5911" s="4" t="s">
        <v>249</v>
      </c>
      <c r="C5911" s="38" t="s">
        <v>5270</v>
      </c>
      <c r="D5911" s="18">
        <v>2022</v>
      </c>
      <c r="E5911" s="18" t="s">
        <v>0</v>
      </c>
      <c r="F5911" s="4">
        <v>1</v>
      </c>
      <c r="G5911" s="42">
        <v>10</v>
      </c>
      <c r="H5911" s="42">
        <v>17.82321</v>
      </c>
    </row>
    <row r="5912" spans="1:8" s="15" customFormat="1" ht="16.5" hidden="1" customHeight="1" outlineLevel="1" x14ac:dyDescent="0.25">
      <c r="A5912" s="18">
        <v>789</v>
      </c>
      <c r="B5912" s="4" t="s">
        <v>249</v>
      </c>
      <c r="C5912" s="38" t="s">
        <v>5271</v>
      </c>
      <c r="D5912" s="18">
        <v>2022</v>
      </c>
      <c r="E5912" s="18" t="s">
        <v>0</v>
      </c>
      <c r="F5912" s="4">
        <v>1</v>
      </c>
      <c r="G5912" s="42">
        <v>15</v>
      </c>
      <c r="H5912" s="42">
        <v>25.398209999999999</v>
      </c>
    </row>
    <row r="5913" spans="1:8" s="15" customFormat="1" ht="16.5" hidden="1" customHeight="1" outlineLevel="1" x14ac:dyDescent="0.25">
      <c r="A5913" s="18">
        <v>793</v>
      </c>
      <c r="B5913" s="4" t="s">
        <v>249</v>
      </c>
      <c r="C5913" s="38" t="s">
        <v>5272</v>
      </c>
      <c r="D5913" s="18">
        <v>2022</v>
      </c>
      <c r="E5913" s="18" t="s">
        <v>0</v>
      </c>
      <c r="F5913" s="4">
        <v>1</v>
      </c>
      <c r="G5913" s="42">
        <v>10</v>
      </c>
      <c r="H5913" s="42">
        <v>16.994350000000001</v>
      </c>
    </row>
    <row r="5914" spans="1:8" s="15" customFormat="1" ht="16.5" hidden="1" customHeight="1" outlineLevel="1" x14ac:dyDescent="0.25">
      <c r="A5914" s="18">
        <v>795</v>
      </c>
      <c r="B5914" s="4" t="s">
        <v>249</v>
      </c>
      <c r="C5914" s="38" t="s">
        <v>5273</v>
      </c>
      <c r="D5914" s="18">
        <v>2022</v>
      </c>
      <c r="E5914" s="18" t="s">
        <v>0</v>
      </c>
      <c r="F5914" s="4">
        <v>1</v>
      </c>
      <c r="G5914" s="42">
        <v>10</v>
      </c>
      <c r="H5914" s="42">
        <v>16.994330000000001</v>
      </c>
    </row>
    <row r="5915" spans="1:8" s="15" customFormat="1" ht="16.5" hidden="1" customHeight="1" outlineLevel="1" x14ac:dyDescent="0.25">
      <c r="A5915" s="18">
        <v>559</v>
      </c>
      <c r="B5915" s="4" t="s">
        <v>249</v>
      </c>
      <c r="C5915" s="38" t="s">
        <v>3543</v>
      </c>
      <c r="D5915" s="18">
        <v>2022</v>
      </c>
      <c r="E5915" s="18" t="s">
        <v>0</v>
      </c>
      <c r="F5915" s="4">
        <v>1</v>
      </c>
      <c r="G5915" s="42">
        <v>10</v>
      </c>
      <c r="H5915" s="42">
        <v>17.851859999999999</v>
      </c>
    </row>
    <row r="5916" spans="1:8" s="15" customFormat="1" ht="16.5" hidden="1" customHeight="1" outlineLevel="1" x14ac:dyDescent="0.25">
      <c r="A5916" s="18">
        <v>844</v>
      </c>
      <c r="B5916" s="4" t="s">
        <v>249</v>
      </c>
      <c r="C5916" s="38" t="s">
        <v>5274</v>
      </c>
      <c r="D5916" s="18">
        <v>2022</v>
      </c>
      <c r="E5916" s="18" t="s">
        <v>0</v>
      </c>
      <c r="F5916" s="4">
        <v>1</v>
      </c>
      <c r="G5916" s="42">
        <v>6</v>
      </c>
      <c r="H5916" s="42">
        <v>18.428229999999999</v>
      </c>
    </row>
    <row r="5917" spans="1:8" s="15" customFormat="1" ht="16.5" hidden="1" customHeight="1" outlineLevel="1" x14ac:dyDescent="0.25">
      <c r="A5917" s="18">
        <v>682</v>
      </c>
      <c r="B5917" s="4" t="s">
        <v>249</v>
      </c>
      <c r="C5917" s="38" t="s">
        <v>5275</v>
      </c>
      <c r="D5917" s="18">
        <v>2022</v>
      </c>
      <c r="E5917" s="18" t="s">
        <v>0</v>
      </c>
      <c r="F5917" s="4">
        <v>1</v>
      </c>
      <c r="G5917" s="42">
        <v>10</v>
      </c>
      <c r="H5917" s="42">
        <v>21.330220000000001</v>
      </c>
    </row>
    <row r="5918" spans="1:8" s="15" customFormat="1" ht="16.5" hidden="1" customHeight="1" outlineLevel="1" x14ac:dyDescent="0.25">
      <c r="A5918" s="18">
        <v>498</v>
      </c>
      <c r="B5918" s="4" t="s">
        <v>249</v>
      </c>
      <c r="C5918" s="38" t="s">
        <v>3547</v>
      </c>
      <c r="D5918" s="18">
        <v>2022</v>
      </c>
      <c r="E5918" s="18" t="s">
        <v>0</v>
      </c>
      <c r="F5918" s="4">
        <v>1</v>
      </c>
      <c r="G5918" s="42">
        <v>15</v>
      </c>
      <c r="H5918" s="42">
        <v>27.585229999999999</v>
      </c>
    </row>
    <row r="5919" spans="1:8" s="15" customFormat="1" ht="16.5" hidden="1" customHeight="1" outlineLevel="1" x14ac:dyDescent="0.25">
      <c r="A5919" s="18">
        <v>839</v>
      </c>
      <c r="B5919" s="4" t="s">
        <v>249</v>
      </c>
      <c r="C5919" s="38" t="s">
        <v>5276</v>
      </c>
      <c r="D5919" s="18">
        <v>2022</v>
      </c>
      <c r="E5919" s="18" t="s">
        <v>0</v>
      </c>
      <c r="F5919" s="4">
        <v>1</v>
      </c>
      <c r="G5919" s="42">
        <v>10</v>
      </c>
      <c r="H5919" s="42">
        <v>20.561399999999999</v>
      </c>
    </row>
    <row r="5920" spans="1:8" s="15" customFormat="1" ht="16.5" hidden="1" customHeight="1" outlineLevel="1" x14ac:dyDescent="0.25">
      <c r="A5920" s="18">
        <v>834</v>
      </c>
      <c r="B5920" s="4" t="s">
        <v>249</v>
      </c>
      <c r="C5920" s="38" t="s">
        <v>5277</v>
      </c>
      <c r="D5920" s="18">
        <v>2022</v>
      </c>
      <c r="E5920" s="18" t="s">
        <v>0</v>
      </c>
      <c r="F5920" s="4">
        <v>1</v>
      </c>
      <c r="G5920" s="42">
        <v>4</v>
      </c>
      <c r="H5920" s="42">
        <v>20.548819999999999</v>
      </c>
    </row>
    <row r="5921" spans="1:8" s="15" customFormat="1" ht="16.5" hidden="1" customHeight="1" outlineLevel="1" x14ac:dyDescent="0.25">
      <c r="A5921" s="18">
        <v>655</v>
      </c>
      <c r="B5921" s="4" t="s">
        <v>249</v>
      </c>
      <c r="C5921" s="38" t="s">
        <v>5278</v>
      </c>
      <c r="D5921" s="18">
        <v>2022</v>
      </c>
      <c r="E5921" s="18" t="s">
        <v>0</v>
      </c>
      <c r="F5921" s="4">
        <v>1</v>
      </c>
      <c r="G5921" s="42">
        <v>8</v>
      </c>
      <c r="H5921" s="42">
        <v>19.979109999999999</v>
      </c>
    </row>
    <row r="5922" spans="1:8" s="15" customFormat="1" ht="16.5" hidden="1" customHeight="1" outlineLevel="1" x14ac:dyDescent="0.25">
      <c r="A5922" s="18">
        <v>880</v>
      </c>
      <c r="B5922" s="4" t="s">
        <v>249</v>
      </c>
      <c r="C5922" s="38" t="s">
        <v>5279</v>
      </c>
      <c r="D5922" s="18">
        <v>2022</v>
      </c>
      <c r="E5922" s="18" t="s">
        <v>0</v>
      </c>
      <c r="F5922" s="4">
        <v>1</v>
      </c>
      <c r="G5922" s="42">
        <v>10</v>
      </c>
      <c r="H5922" s="42">
        <v>9.7461800000000007</v>
      </c>
    </row>
    <row r="5923" spans="1:8" s="15" customFormat="1" ht="16.5" hidden="1" customHeight="1" outlineLevel="1" x14ac:dyDescent="0.25">
      <c r="A5923" s="18">
        <v>840</v>
      </c>
      <c r="B5923" s="4" t="s">
        <v>249</v>
      </c>
      <c r="C5923" s="38" t="s">
        <v>5280</v>
      </c>
      <c r="D5923" s="18">
        <v>2022</v>
      </c>
      <c r="E5923" s="18" t="s">
        <v>0</v>
      </c>
      <c r="F5923" s="4">
        <v>1</v>
      </c>
      <c r="G5923" s="42">
        <v>6</v>
      </c>
      <c r="H5923" s="42">
        <v>17.296510000000001</v>
      </c>
    </row>
    <row r="5924" spans="1:8" s="15" customFormat="1" ht="16.5" hidden="1" customHeight="1" outlineLevel="1" x14ac:dyDescent="0.25">
      <c r="A5924" s="18">
        <v>870</v>
      </c>
      <c r="B5924" s="4" t="s">
        <v>249</v>
      </c>
      <c r="C5924" s="38" t="s">
        <v>5281</v>
      </c>
      <c r="D5924" s="18">
        <v>2022</v>
      </c>
      <c r="E5924" s="18" t="s">
        <v>0</v>
      </c>
      <c r="F5924" s="4">
        <v>1</v>
      </c>
      <c r="G5924" s="42">
        <v>6</v>
      </c>
      <c r="H5924" s="42">
        <v>17.958539999999999</v>
      </c>
    </row>
    <row r="5925" spans="1:8" s="15" customFormat="1" ht="16.5" hidden="1" customHeight="1" outlineLevel="1" x14ac:dyDescent="0.25">
      <c r="A5925" s="18">
        <v>858</v>
      </c>
      <c r="B5925" s="4" t="s">
        <v>249</v>
      </c>
      <c r="C5925" s="38" t="s">
        <v>5282</v>
      </c>
      <c r="D5925" s="18">
        <v>2022</v>
      </c>
      <c r="E5925" s="18" t="s">
        <v>0</v>
      </c>
      <c r="F5925" s="4">
        <v>1</v>
      </c>
      <c r="G5925" s="42">
        <v>6</v>
      </c>
      <c r="H5925" s="42">
        <v>17.95851</v>
      </c>
    </row>
    <row r="5926" spans="1:8" s="15" customFormat="1" ht="16.5" hidden="1" customHeight="1" outlineLevel="1" x14ac:dyDescent="0.25">
      <c r="A5926" s="18">
        <v>850</v>
      </c>
      <c r="B5926" s="4" t="s">
        <v>249</v>
      </c>
      <c r="C5926" s="38" t="s">
        <v>5283</v>
      </c>
      <c r="D5926" s="18">
        <v>2022</v>
      </c>
      <c r="E5926" s="18" t="s">
        <v>0</v>
      </c>
      <c r="F5926" s="4">
        <v>1</v>
      </c>
      <c r="G5926" s="42">
        <v>6</v>
      </c>
      <c r="H5926" s="42">
        <v>19.489540000000002</v>
      </c>
    </row>
    <row r="5927" spans="1:8" s="15" customFormat="1" ht="16.5" hidden="1" customHeight="1" outlineLevel="1" x14ac:dyDescent="0.25">
      <c r="A5927" s="18">
        <v>841</v>
      </c>
      <c r="B5927" s="4" t="s">
        <v>249</v>
      </c>
      <c r="C5927" s="38" t="s">
        <v>5284</v>
      </c>
      <c r="D5927" s="18">
        <v>2022</v>
      </c>
      <c r="E5927" s="18" t="s">
        <v>0</v>
      </c>
      <c r="F5927" s="4">
        <v>1</v>
      </c>
      <c r="G5927" s="42">
        <v>6</v>
      </c>
      <c r="H5927" s="42">
        <v>17.78856</v>
      </c>
    </row>
    <row r="5928" spans="1:8" s="15" customFormat="1" ht="16.5" hidden="1" customHeight="1" outlineLevel="1" x14ac:dyDescent="0.25">
      <c r="A5928" s="18">
        <v>529</v>
      </c>
      <c r="B5928" s="4" t="s">
        <v>249</v>
      </c>
      <c r="C5928" s="38" t="s">
        <v>3556</v>
      </c>
      <c r="D5928" s="18">
        <v>2022</v>
      </c>
      <c r="E5928" s="18" t="s">
        <v>0</v>
      </c>
      <c r="F5928" s="4">
        <v>1</v>
      </c>
      <c r="G5928" s="42">
        <v>10</v>
      </c>
      <c r="H5928" s="42">
        <v>21.40673</v>
      </c>
    </row>
    <row r="5929" spans="1:8" s="15" customFormat="1" ht="16.5" hidden="1" customHeight="1" outlineLevel="1" x14ac:dyDescent="0.25">
      <c r="A5929" s="18">
        <v>883</v>
      </c>
      <c r="B5929" s="4" t="s">
        <v>249</v>
      </c>
      <c r="C5929" s="38" t="s">
        <v>5285</v>
      </c>
      <c r="D5929" s="18">
        <v>2022</v>
      </c>
      <c r="E5929" s="18" t="s">
        <v>0</v>
      </c>
      <c r="F5929" s="4">
        <v>1</v>
      </c>
      <c r="G5929" s="42">
        <v>6</v>
      </c>
      <c r="H5929" s="42">
        <v>11.41581</v>
      </c>
    </row>
    <row r="5930" spans="1:8" s="15" customFormat="1" ht="16.5" hidden="1" customHeight="1" outlineLevel="1" x14ac:dyDescent="0.25">
      <c r="A5930" s="18">
        <v>884</v>
      </c>
      <c r="B5930" s="4" t="s">
        <v>249</v>
      </c>
      <c r="C5930" s="38" t="s">
        <v>5286</v>
      </c>
      <c r="D5930" s="18">
        <v>2022</v>
      </c>
      <c r="E5930" s="18" t="s">
        <v>0</v>
      </c>
      <c r="F5930" s="4">
        <v>1</v>
      </c>
      <c r="G5930" s="42">
        <v>6</v>
      </c>
      <c r="H5930" s="42">
        <v>11.41586</v>
      </c>
    </row>
    <row r="5931" spans="1:8" s="15" customFormat="1" ht="16.5" hidden="1" customHeight="1" outlineLevel="1" x14ac:dyDescent="0.25">
      <c r="A5931" s="18">
        <v>886</v>
      </c>
      <c r="B5931" s="4" t="s">
        <v>249</v>
      </c>
      <c r="C5931" s="38" t="s">
        <v>5287</v>
      </c>
      <c r="D5931" s="18">
        <v>2022</v>
      </c>
      <c r="E5931" s="18" t="s">
        <v>0</v>
      </c>
      <c r="F5931" s="4">
        <v>1</v>
      </c>
      <c r="G5931" s="42">
        <v>10</v>
      </c>
      <c r="H5931" s="42">
        <v>11.41583</v>
      </c>
    </row>
    <row r="5932" spans="1:8" s="15" customFormat="1" ht="16.5" hidden="1" customHeight="1" outlineLevel="1" x14ac:dyDescent="0.25">
      <c r="A5932" s="18">
        <v>882</v>
      </c>
      <c r="B5932" s="4" t="s">
        <v>249</v>
      </c>
      <c r="C5932" s="38" t="s">
        <v>5288</v>
      </c>
      <c r="D5932" s="18">
        <v>2022</v>
      </c>
      <c r="E5932" s="18" t="s">
        <v>0</v>
      </c>
      <c r="F5932" s="4">
        <v>1</v>
      </c>
      <c r="G5932" s="42">
        <v>6</v>
      </c>
      <c r="H5932" s="42">
        <v>11.415850000000001</v>
      </c>
    </row>
    <row r="5933" spans="1:8" s="15" customFormat="1" ht="16.5" hidden="1" customHeight="1" outlineLevel="1" x14ac:dyDescent="0.25">
      <c r="A5933" s="18">
        <v>881</v>
      </c>
      <c r="B5933" s="4" t="s">
        <v>249</v>
      </c>
      <c r="C5933" s="38" t="s">
        <v>5289</v>
      </c>
      <c r="D5933" s="18">
        <v>2022</v>
      </c>
      <c r="E5933" s="18" t="s">
        <v>0</v>
      </c>
      <c r="F5933" s="4">
        <v>1</v>
      </c>
      <c r="G5933" s="42">
        <v>6</v>
      </c>
      <c r="H5933" s="42">
        <v>11.415839999999999</v>
      </c>
    </row>
    <row r="5934" spans="1:8" s="15" customFormat="1" ht="16.5" hidden="1" customHeight="1" outlineLevel="1" x14ac:dyDescent="0.25">
      <c r="A5934" s="18">
        <v>896</v>
      </c>
      <c r="B5934" s="4" t="s">
        <v>249</v>
      </c>
      <c r="C5934" s="38" t="s">
        <v>5290</v>
      </c>
      <c r="D5934" s="18">
        <v>2022</v>
      </c>
      <c r="E5934" s="18" t="s">
        <v>0</v>
      </c>
      <c r="F5934" s="4">
        <v>1</v>
      </c>
      <c r="G5934" s="42">
        <v>6</v>
      </c>
      <c r="H5934" s="42">
        <v>12.037649999999999</v>
      </c>
    </row>
    <row r="5935" spans="1:8" s="15" customFormat="1" ht="16.5" hidden="1" customHeight="1" outlineLevel="1" x14ac:dyDescent="0.25">
      <c r="A5935" s="18">
        <v>897</v>
      </c>
      <c r="B5935" s="4" t="s">
        <v>249</v>
      </c>
      <c r="C5935" s="38" t="s">
        <v>5291</v>
      </c>
      <c r="D5935" s="18">
        <v>2022</v>
      </c>
      <c r="E5935" s="18" t="s">
        <v>0</v>
      </c>
      <c r="F5935" s="4">
        <v>1</v>
      </c>
      <c r="G5935" s="42">
        <v>8</v>
      </c>
      <c r="H5935" s="42">
        <v>14.404859999999999</v>
      </c>
    </row>
    <row r="5936" spans="1:8" s="15" customFormat="1" ht="16.5" hidden="1" customHeight="1" outlineLevel="1" x14ac:dyDescent="0.25">
      <c r="A5936" s="18">
        <v>536</v>
      </c>
      <c r="B5936" s="4" t="s">
        <v>249</v>
      </c>
      <c r="C5936" s="38" t="s">
        <v>3559</v>
      </c>
      <c r="D5936" s="18">
        <v>2022</v>
      </c>
      <c r="E5936" s="18" t="s">
        <v>0</v>
      </c>
      <c r="F5936" s="4">
        <v>1</v>
      </c>
      <c r="G5936" s="42">
        <v>9</v>
      </c>
      <c r="H5936" s="42">
        <v>20.986249999999998</v>
      </c>
    </row>
    <row r="5937" spans="1:8" s="15" customFormat="1" ht="16.5" hidden="1" customHeight="1" outlineLevel="1" x14ac:dyDescent="0.25">
      <c r="A5937" s="18">
        <v>827</v>
      </c>
      <c r="B5937" s="4" t="s">
        <v>249</v>
      </c>
      <c r="C5937" s="38" t="s">
        <v>5292</v>
      </c>
      <c r="D5937" s="18">
        <v>2022</v>
      </c>
      <c r="E5937" s="18" t="s">
        <v>0</v>
      </c>
      <c r="F5937" s="4">
        <v>1</v>
      </c>
      <c r="G5937" s="42">
        <v>10</v>
      </c>
      <c r="H5937" s="42">
        <v>16.91488</v>
      </c>
    </row>
    <row r="5938" spans="1:8" s="15" customFormat="1" ht="16.5" hidden="1" customHeight="1" outlineLevel="1" x14ac:dyDescent="0.25">
      <c r="A5938" s="18">
        <v>829</v>
      </c>
      <c r="B5938" s="4" t="s">
        <v>249</v>
      </c>
      <c r="C5938" s="38" t="s">
        <v>5293</v>
      </c>
      <c r="D5938" s="18">
        <v>2022</v>
      </c>
      <c r="E5938" s="18" t="s">
        <v>0</v>
      </c>
      <c r="F5938" s="4">
        <v>1</v>
      </c>
      <c r="G5938" s="42">
        <v>10</v>
      </c>
      <c r="H5938" s="42">
        <v>17.320650000000001</v>
      </c>
    </row>
    <row r="5939" spans="1:8" s="15" customFormat="1" ht="16.5" hidden="1" customHeight="1" outlineLevel="1" x14ac:dyDescent="0.25">
      <c r="A5939" s="18">
        <v>878</v>
      </c>
      <c r="B5939" s="4" t="s">
        <v>249</v>
      </c>
      <c r="C5939" s="38" t="s">
        <v>5294</v>
      </c>
      <c r="D5939" s="18">
        <v>2022</v>
      </c>
      <c r="E5939" s="18" t="s">
        <v>0</v>
      </c>
      <c r="F5939" s="4">
        <v>1</v>
      </c>
      <c r="G5939" s="42">
        <v>10</v>
      </c>
      <c r="H5939" s="42">
        <v>17.63194</v>
      </c>
    </row>
    <row r="5940" spans="1:8" s="15" customFormat="1" ht="16.5" hidden="1" customHeight="1" outlineLevel="1" x14ac:dyDescent="0.25">
      <c r="A5940" s="18">
        <v>861</v>
      </c>
      <c r="B5940" s="4" t="s">
        <v>249</v>
      </c>
      <c r="C5940" s="38" t="s">
        <v>5295</v>
      </c>
      <c r="D5940" s="18">
        <v>2022</v>
      </c>
      <c r="E5940" s="18" t="s">
        <v>0</v>
      </c>
      <c r="F5940" s="4">
        <v>1</v>
      </c>
      <c r="G5940" s="42">
        <v>10</v>
      </c>
      <c r="H5940" s="42">
        <v>17.63194</v>
      </c>
    </row>
    <row r="5941" spans="1:8" s="15" customFormat="1" ht="16.5" hidden="1" customHeight="1" outlineLevel="1" x14ac:dyDescent="0.25">
      <c r="A5941" s="18">
        <v>910</v>
      </c>
      <c r="B5941" s="4" t="s">
        <v>249</v>
      </c>
      <c r="C5941" s="38" t="s">
        <v>5296</v>
      </c>
      <c r="D5941" s="18">
        <v>2022</v>
      </c>
      <c r="E5941" s="18" t="s">
        <v>0</v>
      </c>
      <c r="F5941" s="4">
        <v>1</v>
      </c>
      <c r="G5941" s="42">
        <v>10</v>
      </c>
      <c r="H5941" s="42">
        <v>9.6498899999999992</v>
      </c>
    </row>
    <row r="5942" spans="1:8" s="15" customFormat="1" ht="16.5" hidden="1" customHeight="1" outlineLevel="1" x14ac:dyDescent="0.25">
      <c r="A5942" s="18">
        <v>911</v>
      </c>
      <c r="B5942" s="4" t="s">
        <v>249</v>
      </c>
      <c r="C5942" s="38" t="s">
        <v>5297</v>
      </c>
      <c r="D5942" s="18">
        <v>2022</v>
      </c>
      <c r="E5942" s="18" t="s">
        <v>0</v>
      </c>
      <c r="F5942" s="4">
        <v>1</v>
      </c>
      <c r="G5942" s="42">
        <v>10</v>
      </c>
      <c r="H5942" s="42">
        <v>9.6498899999999992</v>
      </c>
    </row>
    <row r="5943" spans="1:8" s="15" customFormat="1" ht="16.5" hidden="1" customHeight="1" outlineLevel="1" x14ac:dyDescent="0.25">
      <c r="A5943" s="18">
        <v>912</v>
      </c>
      <c r="B5943" s="4" t="s">
        <v>249</v>
      </c>
      <c r="C5943" s="38" t="s">
        <v>5298</v>
      </c>
      <c r="D5943" s="18">
        <v>2022</v>
      </c>
      <c r="E5943" s="18" t="s">
        <v>0</v>
      </c>
      <c r="F5943" s="4">
        <v>1</v>
      </c>
      <c r="G5943" s="42">
        <v>10</v>
      </c>
      <c r="H5943" s="42">
        <v>9.6498500000000007</v>
      </c>
    </row>
    <row r="5944" spans="1:8" s="15" customFormat="1" ht="16.5" hidden="1" customHeight="1" outlineLevel="1" x14ac:dyDescent="0.25">
      <c r="A5944" s="18">
        <v>913</v>
      </c>
      <c r="B5944" s="4" t="s">
        <v>249</v>
      </c>
      <c r="C5944" s="38" t="s">
        <v>5299</v>
      </c>
      <c r="D5944" s="18">
        <v>2022</v>
      </c>
      <c r="E5944" s="18" t="s">
        <v>0</v>
      </c>
      <c r="F5944" s="4">
        <v>1</v>
      </c>
      <c r="G5944" s="42">
        <v>10</v>
      </c>
      <c r="H5944" s="42">
        <v>10.39758</v>
      </c>
    </row>
    <row r="5945" spans="1:8" s="15" customFormat="1" ht="16.5" hidden="1" customHeight="1" outlineLevel="1" x14ac:dyDescent="0.25">
      <c r="A5945" s="18">
        <v>826</v>
      </c>
      <c r="B5945" s="4" t="s">
        <v>249</v>
      </c>
      <c r="C5945" s="38" t="s">
        <v>5300</v>
      </c>
      <c r="D5945" s="18">
        <v>2022</v>
      </c>
      <c r="E5945" s="18" t="s">
        <v>0</v>
      </c>
      <c r="F5945" s="4">
        <v>1</v>
      </c>
      <c r="G5945" s="42">
        <v>10</v>
      </c>
      <c r="H5945" s="42">
        <v>17.1648</v>
      </c>
    </row>
    <row r="5946" spans="1:8" s="15" customFormat="1" ht="16.5" hidden="1" customHeight="1" outlineLevel="1" x14ac:dyDescent="0.25">
      <c r="A5946" s="18">
        <v>830</v>
      </c>
      <c r="B5946" s="4" t="s">
        <v>249</v>
      </c>
      <c r="C5946" s="38" t="s">
        <v>5301</v>
      </c>
      <c r="D5946" s="18">
        <v>2022</v>
      </c>
      <c r="E5946" s="18" t="s">
        <v>0</v>
      </c>
      <c r="F5946" s="4">
        <v>1</v>
      </c>
      <c r="G5946" s="42">
        <v>10</v>
      </c>
      <c r="H5946" s="42">
        <v>17.067640000000001</v>
      </c>
    </row>
    <row r="5947" spans="1:8" s="15" customFormat="1" ht="16.5" hidden="1" customHeight="1" outlineLevel="1" x14ac:dyDescent="0.25">
      <c r="A5947" s="18">
        <v>917</v>
      </c>
      <c r="B5947" s="4" t="s">
        <v>249</v>
      </c>
      <c r="C5947" s="38" t="s">
        <v>5302</v>
      </c>
      <c r="D5947" s="18">
        <v>2022</v>
      </c>
      <c r="E5947" s="18" t="s">
        <v>0</v>
      </c>
      <c r="F5947" s="4">
        <v>1</v>
      </c>
      <c r="G5947" s="42">
        <v>6</v>
      </c>
      <c r="H5947" s="42">
        <v>8.9618800000000007</v>
      </c>
    </row>
    <row r="5948" spans="1:8" s="15" customFormat="1" ht="16.5" hidden="1" customHeight="1" outlineLevel="1" x14ac:dyDescent="0.25">
      <c r="A5948" s="18">
        <v>919</v>
      </c>
      <c r="B5948" s="4" t="s">
        <v>249</v>
      </c>
      <c r="C5948" s="38" t="s">
        <v>5303</v>
      </c>
      <c r="D5948" s="18">
        <v>2022</v>
      </c>
      <c r="E5948" s="18" t="s">
        <v>0</v>
      </c>
      <c r="F5948" s="4">
        <v>1</v>
      </c>
      <c r="G5948" s="42">
        <v>6</v>
      </c>
      <c r="H5948" s="42">
        <v>11.29921</v>
      </c>
    </row>
    <row r="5949" spans="1:8" s="15" customFormat="1" ht="16.5" hidden="1" customHeight="1" outlineLevel="1" x14ac:dyDescent="0.25">
      <c r="A5949" s="18">
        <v>920</v>
      </c>
      <c r="B5949" s="4" t="s">
        <v>249</v>
      </c>
      <c r="C5949" s="38" t="s">
        <v>5304</v>
      </c>
      <c r="D5949" s="18">
        <v>2022</v>
      </c>
      <c r="E5949" s="18" t="s">
        <v>0</v>
      </c>
      <c r="F5949" s="4">
        <v>1</v>
      </c>
      <c r="G5949" s="42">
        <v>6</v>
      </c>
      <c r="H5949" s="42">
        <v>11.118969999999999</v>
      </c>
    </row>
    <row r="5950" spans="1:8" s="15" customFormat="1" ht="16.5" hidden="1" customHeight="1" outlineLevel="1" x14ac:dyDescent="0.25">
      <c r="A5950" s="18">
        <v>921</v>
      </c>
      <c r="B5950" s="4" t="s">
        <v>249</v>
      </c>
      <c r="C5950" s="38" t="s">
        <v>5305</v>
      </c>
      <c r="D5950" s="18">
        <v>2022</v>
      </c>
      <c r="E5950" s="18" t="s">
        <v>0</v>
      </c>
      <c r="F5950" s="4">
        <v>1</v>
      </c>
      <c r="G5950" s="42">
        <v>6</v>
      </c>
      <c r="H5950" s="42">
        <v>11.118980000000001</v>
      </c>
    </row>
    <row r="5951" spans="1:8" s="15" customFormat="1" ht="16.5" hidden="1" customHeight="1" outlineLevel="1" x14ac:dyDescent="0.25">
      <c r="A5951" s="18">
        <v>922</v>
      </c>
      <c r="B5951" s="4" t="s">
        <v>249</v>
      </c>
      <c r="C5951" s="38" t="s">
        <v>5306</v>
      </c>
      <c r="D5951" s="18">
        <v>2022</v>
      </c>
      <c r="E5951" s="18" t="s">
        <v>0</v>
      </c>
      <c r="F5951" s="4">
        <v>1</v>
      </c>
      <c r="G5951" s="42">
        <v>6</v>
      </c>
      <c r="H5951" s="42">
        <v>11.299250000000001</v>
      </c>
    </row>
    <row r="5952" spans="1:8" s="15" customFormat="1" ht="16.5" hidden="1" customHeight="1" outlineLevel="1" x14ac:dyDescent="0.25">
      <c r="A5952" s="18">
        <v>924</v>
      </c>
      <c r="B5952" s="4" t="s">
        <v>249</v>
      </c>
      <c r="C5952" s="38" t="s">
        <v>5307</v>
      </c>
      <c r="D5952" s="18">
        <v>2022</v>
      </c>
      <c r="E5952" s="18" t="s">
        <v>0</v>
      </c>
      <c r="F5952" s="4">
        <v>1</v>
      </c>
      <c r="G5952" s="42">
        <v>10</v>
      </c>
      <c r="H5952" s="42">
        <v>9.1409800000000008</v>
      </c>
    </row>
    <row r="5953" spans="1:8" s="15" customFormat="1" ht="16.5" hidden="1" customHeight="1" outlineLevel="1" x14ac:dyDescent="0.25">
      <c r="A5953" s="18">
        <v>925</v>
      </c>
      <c r="B5953" s="4" t="s">
        <v>249</v>
      </c>
      <c r="C5953" s="38" t="s">
        <v>5308</v>
      </c>
      <c r="D5953" s="18">
        <v>2022</v>
      </c>
      <c r="E5953" s="18" t="s">
        <v>0</v>
      </c>
      <c r="F5953" s="4">
        <v>1</v>
      </c>
      <c r="G5953" s="42">
        <v>10</v>
      </c>
      <c r="H5953" s="42">
        <v>9.3571100000000005</v>
      </c>
    </row>
    <row r="5954" spans="1:8" s="15" customFormat="1" ht="16.5" hidden="1" customHeight="1" outlineLevel="1" x14ac:dyDescent="0.25">
      <c r="A5954" s="18">
        <v>927</v>
      </c>
      <c r="B5954" s="4" t="s">
        <v>249</v>
      </c>
      <c r="C5954" s="38" t="s">
        <v>5309</v>
      </c>
      <c r="D5954" s="18">
        <v>2022</v>
      </c>
      <c r="E5954" s="18" t="s">
        <v>0</v>
      </c>
      <c r="F5954" s="4">
        <v>1</v>
      </c>
      <c r="G5954" s="42">
        <v>9</v>
      </c>
      <c r="H5954" s="42">
        <v>9.3571299999999997</v>
      </c>
    </row>
    <row r="5955" spans="1:8" s="15" customFormat="1" ht="16.5" hidden="1" customHeight="1" outlineLevel="1" x14ac:dyDescent="0.25">
      <c r="A5955" s="18">
        <v>928</v>
      </c>
      <c r="B5955" s="4" t="s">
        <v>249</v>
      </c>
      <c r="C5955" s="38" t="s">
        <v>5310</v>
      </c>
      <c r="D5955" s="18">
        <v>2022</v>
      </c>
      <c r="E5955" s="18" t="s">
        <v>0</v>
      </c>
      <c r="F5955" s="4">
        <v>1</v>
      </c>
      <c r="G5955" s="42">
        <v>10</v>
      </c>
      <c r="H5955" s="42">
        <v>9.3571299999999997</v>
      </c>
    </row>
    <row r="5956" spans="1:8" s="15" customFormat="1" ht="16.5" hidden="1" customHeight="1" outlineLevel="1" x14ac:dyDescent="0.25">
      <c r="A5956" s="18">
        <v>472</v>
      </c>
      <c r="B5956" s="4" t="s">
        <v>249</v>
      </c>
      <c r="C5956" s="38" t="s">
        <v>4034</v>
      </c>
      <c r="D5956" s="18">
        <v>2022</v>
      </c>
      <c r="E5956" s="18" t="s">
        <v>0</v>
      </c>
      <c r="F5956" s="4">
        <v>4</v>
      </c>
      <c r="G5956" s="42">
        <v>100</v>
      </c>
      <c r="H5956" s="42">
        <v>175.87592000000001</v>
      </c>
    </row>
    <row r="5957" spans="1:8" s="15" customFormat="1" ht="16.5" hidden="1" customHeight="1" outlineLevel="1" x14ac:dyDescent="0.25">
      <c r="A5957" s="18">
        <v>941</v>
      </c>
      <c r="B5957" s="4" t="s">
        <v>249</v>
      </c>
      <c r="C5957" s="38" t="s">
        <v>5311</v>
      </c>
      <c r="D5957" s="18">
        <v>2022</v>
      </c>
      <c r="E5957" s="18" t="s">
        <v>0</v>
      </c>
      <c r="F5957" s="4">
        <v>1</v>
      </c>
      <c r="G5957" s="42">
        <v>6</v>
      </c>
      <c r="H5957" s="42">
        <v>11.373390000000001</v>
      </c>
    </row>
    <row r="5958" spans="1:8" s="15" customFormat="1" ht="16.5" hidden="1" customHeight="1" outlineLevel="1" x14ac:dyDescent="0.25">
      <c r="A5958" s="18">
        <v>942</v>
      </c>
      <c r="B5958" s="4" t="s">
        <v>249</v>
      </c>
      <c r="C5958" s="38" t="s">
        <v>5312</v>
      </c>
      <c r="D5958" s="18">
        <v>2022</v>
      </c>
      <c r="E5958" s="18" t="s">
        <v>0</v>
      </c>
      <c r="F5958" s="4">
        <v>1</v>
      </c>
      <c r="G5958" s="42">
        <v>6</v>
      </c>
      <c r="H5958" s="42">
        <v>11.1538</v>
      </c>
    </row>
    <row r="5959" spans="1:8" s="15" customFormat="1" ht="16.5" hidden="1" customHeight="1" outlineLevel="1" x14ac:dyDescent="0.25">
      <c r="A5959" s="18">
        <v>943</v>
      </c>
      <c r="B5959" s="4" t="s">
        <v>249</v>
      </c>
      <c r="C5959" s="38" t="s">
        <v>5313</v>
      </c>
      <c r="D5959" s="18">
        <v>2022</v>
      </c>
      <c r="E5959" s="18" t="s">
        <v>0</v>
      </c>
      <c r="F5959" s="4">
        <v>1</v>
      </c>
      <c r="G5959" s="42">
        <v>6</v>
      </c>
      <c r="H5959" s="42">
        <v>11.15377</v>
      </c>
    </row>
    <row r="5960" spans="1:8" s="15" customFormat="1" ht="16.5" hidden="1" customHeight="1" outlineLevel="1" x14ac:dyDescent="0.25">
      <c r="A5960" s="18">
        <v>944</v>
      </c>
      <c r="B5960" s="4" t="s">
        <v>249</v>
      </c>
      <c r="C5960" s="38" t="s">
        <v>5314</v>
      </c>
      <c r="D5960" s="18">
        <v>2022</v>
      </c>
      <c r="E5960" s="18" t="s">
        <v>0</v>
      </c>
      <c r="F5960" s="4">
        <v>1</v>
      </c>
      <c r="G5960" s="42">
        <v>6</v>
      </c>
      <c r="H5960" s="42">
        <v>9.3388399999999994</v>
      </c>
    </row>
    <row r="5961" spans="1:8" s="15" customFormat="1" ht="16.5" hidden="1" customHeight="1" outlineLevel="1" x14ac:dyDescent="0.25">
      <c r="A5961" s="18">
        <v>945</v>
      </c>
      <c r="B5961" s="4" t="s">
        <v>249</v>
      </c>
      <c r="C5961" s="38" t="s">
        <v>5315</v>
      </c>
      <c r="D5961" s="18">
        <v>2022</v>
      </c>
      <c r="E5961" s="18" t="s">
        <v>0</v>
      </c>
      <c r="F5961" s="4">
        <v>1</v>
      </c>
      <c r="G5961" s="42">
        <v>6</v>
      </c>
      <c r="H5961" s="42">
        <v>9.3388399999999994</v>
      </c>
    </row>
    <row r="5962" spans="1:8" s="15" customFormat="1" ht="16.5" hidden="1" customHeight="1" outlineLevel="1" x14ac:dyDescent="0.25">
      <c r="A5962" s="18">
        <v>947</v>
      </c>
      <c r="B5962" s="4" t="s">
        <v>249</v>
      </c>
      <c r="C5962" s="38" t="s">
        <v>5316</v>
      </c>
      <c r="D5962" s="18">
        <v>2022</v>
      </c>
      <c r="E5962" s="18" t="s">
        <v>0</v>
      </c>
      <c r="F5962" s="4">
        <v>1</v>
      </c>
      <c r="G5962" s="42">
        <v>6</v>
      </c>
      <c r="H5962" s="42">
        <v>11.593</v>
      </c>
    </row>
    <row r="5963" spans="1:8" s="15" customFormat="1" ht="16.5" hidden="1" customHeight="1" outlineLevel="1" x14ac:dyDescent="0.25">
      <c r="A5963" s="18">
        <v>948</v>
      </c>
      <c r="B5963" s="4" t="s">
        <v>249</v>
      </c>
      <c r="C5963" s="38" t="s">
        <v>5317</v>
      </c>
      <c r="D5963" s="18">
        <v>2022</v>
      </c>
      <c r="E5963" s="18" t="s">
        <v>0</v>
      </c>
      <c r="F5963" s="4">
        <v>1</v>
      </c>
      <c r="G5963" s="42">
        <v>6</v>
      </c>
      <c r="H5963" s="42">
        <v>15.37945</v>
      </c>
    </row>
    <row r="5964" spans="1:8" s="15" customFormat="1" ht="16.5" hidden="1" customHeight="1" outlineLevel="1" x14ac:dyDescent="0.25">
      <c r="A5964" s="18">
        <v>950</v>
      </c>
      <c r="B5964" s="4" t="s">
        <v>249</v>
      </c>
      <c r="C5964" s="38" t="s">
        <v>5318</v>
      </c>
      <c r="D5964" s="18">
        <v>2022</v>
      </c>
      <c r="E5964" s="18" t="s">
        <v>0</v>
      </c>
      <c r="F5964" s="4">
        <v>1</v>
      </c>
      <c r="G5964" s="42">
        <v>6</v>
      </c>
      <c r="H5964" s="42">
        <v>8.9911200000000004</v>
      </c>
    </row>
    <row r="5965" spans="1:8" s="15" customFormat="1" ht="16.5" hidden="1" customHeight="1" outlineLevel="1" x14ac:dyDescent="0.25">
      <c r="A5965" s="18">
        <v>951</v>
      </c>
      <c r="B5965" s="4" t="s">
        <v>249</v>
      </c>
      <c r="C5965" s="38" t="s">
        <v>5319</v>
      </c>
      <c r="D5965" s="18">
        <v>2022</v>
      </c>
      <c r="E5965" s="18" t="s">
        <v>0</v>
      </c>
      <c r="F5965" s="4">
        <v>1</v>
      </c>
      <c r="G5965" s="42">
        <v>6</v>
      </c>
      <c r="H5965" s="42">
        <v>11.14053</v>
      </c>
    </row>
    <row r="5966" spans="1:8" s="15" customFormat="1" ht="16.5" hidden="1" customHeight="1" outlineLevel="1" x14ac:dyDescent="0.25">
      <c r="A5966" s="18">
        <v>957</v>
      </c>
      <c r="B5966" s="4" t="s">
        <v>249</v>
      </c>
      <c r="C5966" s="38" t="s">
        <v>5320</v>
      </c>
      <c r="D5966" s="18">
        <v>2022</v>
      </c>
      <c r="E5966" s="18" t="s">
        <v>0</v>
      </c>
      <c r="F5966" s="4">
        <v>1</v>
      </c>
      <c r="G5966" s="42">
        <v>6</v>
      </c>
      <c r="H5966" s="42">
        <v>11.498049999999999</v>
      </c>
    </row>
    <row r="5967" spans="1:8" s="15" customFormat="1" ht="16.5" hidden="1" customHeight="1" outlineLevel="1" x14ac:dyDescent="0.25">
      <c r="A5967" s="18">
        <v>958</v>
      </c>
      <c r="B5967" s="4" t="s">
        <v>249</v>
      </c>
      <c r="C5967" s="38" t="s">
        <v>5321</v>
      </c>
      <c r="D5967" s="18">
        <v>2022</v>
      </c>
      <c r="E5967" s="18" t="s">
        <v>0</v>
      </c>
      <c r="F5967" s="4">
        <v>1</v>
      </c>
      <c r="G5967" s="42">
        <v>6</v>
      </c>
      <c r="H5967" s="42">
        <v>11.712440000000001</v>
      </c>
    </row>
    <row r="5968" spans="1:8" s="15" customFormat="1" ht="16.5" hidden="1" customHeight="1" outlineLevel="1" x14ac:dyDescent="0.25">
      <c r="A5968" s="18">
        <v>973</v>
      </c>
      <c r="B5968" s="4" t="s">
        <v>249</v>
      </c>
      <c r="C5968" s="38" t="s">
        <v>5322</v>
      </c>
      <c r="D5968" s="18">
        <v>2022</v>
      </c>
      <c r="E5968" s="18" t="s">
        <v>0</v>
      </c>
      <c r="F5968" s="4">
        <v>1</v>
      </c>
      <c r="G5968" s="42">
        <v>10</v>
      </c>
      <c r="H5968" s="42">
        <v>9.4889899999999994</v>
      </c>
    </row>
    <row r="5969" spans="1:8" s="15" customFormat="1" ht="16.5" hidden="1" customHeight="1" outlineLevel="1" x14ac:dyDescent="0.25">
      <c r="A5969" s="18">
        <v>974</v>
      </c>
      <c r="B5969" s="4" t="s">
        <v>249</v>
      </c>
      <c r="C5969" s="38" t="s">
        <v>5323</v>
      </c>
      <c r="D5969" s="18">
        <v>2022</v>
      </c>
      <c r="E5969" s="18" t="s">
        <v>0</v>
      </c>
      <c r="F5969" s="4">
        <v>1</v>
      </c>
      <c r="G5969" s="42">
        <v>8</v>
      </c>
      <c r="H5969" s="42">
        <v>9.4889899999999994</v>
      </c>
    </row>
    <row r="5970" spans="1:8" s="15" customFormat="1" ht="16.5" hidden="1" customHeight="1" outlineLevel="1" x14ac:dyDescent="0.25">
      <c r="A5970" s="18">
        <v>975</v>
      </c>
      <c r="B5970" s="4" t="s">
        <v>249</v>
      </c>
      <c r="C5970" s="38" t="s">
        <v>5324</v>
      </c>
      <c r="D5970" s="18">
        <v>2022</v>
      </c>
      <c r="E5970" s="18" t="s">
        <v>0</v>
      </c>
      <c r="F5970" s="4">
        <v>1</v>
      </c>
      <c r="G5970" s="42">
        <v>10</v>
      </c>
      <c r="H5970" s="42">
        <v>9.2733500000000006</v>
      </c>
    </row>
    <row r="5971" spans="1:8" s="15" customFormat="1" ht="16.5" hidden="1" customHeight="1" outlineLevel="1" x14ac:dyDescent="0.25">
      <c r="A5971" s="18">
        <v>976</v>
      </c>
      <c r="B5971" s="4" t="s">
        <v>249</v>
      </c>
      <c r="C5971" s="38" t="s">
        <v>5325</v>
      </c>
      <c r="D5971" s="18">
        <v>2022</v>
      </c>
      <c r="E5971" s="18" t="s">
        <v>0</v>
      </c>
      <c r="F5971" s="4">
        <v>1</v>
      </c>
      <c r="G5971" s="42">
        <v>10</v>
      </c>
      <c r="H5971" s="42">
        <v>9.27332</v>
      </c>
    </row>
    <row r="5972" spans="1:8" s="15" customFormat="1" ht="16.5" hidden="1" customHeight="1" outlineLevel="1" x14ac:dyDescent="0.25">
      <c r="A5972" s="18">
        <v>977</v>
      </c>
      <c r="B5972" s="4" t="s">
        <v>249</v>
      </c>
      <c r="C5972" s="38" t="s">
        <v>5326</v>
      </c>
      <c r="D5972" s="18">
        <v>2022</v>
      </c>
      <c r="E5972" s="18" t="s">
        <v>0</v>
      </c>
      <c r="F5972" s="4">
        <v>1</v>
      </c>
      <c r="G5972" s="42">
        <v>10</v>
      </c>
      <c r="H5972" s="42">
        <v>9.3811800000000005</v>
      </c>
    </row>
    <row r="5973" spans="1:8" s="15" customFormat="1" ht="16.5" hidden="1" customHeight="1" outlineLevel="1" x14ac:dyDescent="0.25">
      <c r="A5973" s="18">
        <v>978</v>
      </c>
      <c r="B5973" s="4" t="s">
        <v>249</v>
      </c>
      <c r="C5973" s="38" t="s">
        <v>5327</v>
      </c>
      <c r="D5973" s="18">
        <v>2022</v>
      </c>
      <c r="E5973" s="18" t="s">
        <v>0</v>
      </c>
      <c r="F5973" s="4">
        <v>1</v>
      </c>
      <c r="G5973" s="42">
        <v>10</v>
      </c>
      <c r="H5973" s="42">
        <v>9.3811800000000005</v>
      </c>
    </row>
    <row r="5974" spans="1:8" s="15" customFormat="1" ht="16.5" hidden="1" customHeight="1" outlineLevel="1" x14ac:dyDescent="0.25">
      <c r="A5974" s="18">
        <v>979</v>
      </c>
      <c r="B5974" s="4" t="s">
        <v>249</v>
      </c>
      <c r="C5974" s="38" t="s">
        <v>5328</v>
      </c>
      <c r="D5974" s="18">
        <v>2022</v>
      </c>
      <c r="E5974" s="18" t="s">
        <v>0</v>
      </c>
      <c r="F5974" s="4">
        <v>1</v>
      </c>
      <c r="G5974" s="42">
        <v>10</v>
      </c>
      <c r="H5974" s="42">
        <v>9.3811800000000005</v>
      </c>
    </row>
    <row r="5975" spans="1:8" s="15" customFormat="1" ht="16.5" hidden="1" customHeight="1" outlineLevel="1" x14ac:dyDescent="0.25">
      <c r="A5975" s="18">
        <v>980</v>
      </c>
      <c r="B5975" s="4" t="s">
        <v>249</v>
      </c>
      <c r="C5975" s="38" t="s">
        <v>5329</v>
      </c>
      <c r="D5975" s="18">
        <v>2022</v>
      </c>
      <c r="E5975" s="18" t="s">
        <v>0</v>
      </c>
      <c r="F5975" s="4">
        <v>1</v>
      </c>
      <c r="G5975" s="42">
        <v>10</v>
      </c>
      <c r="H5975" s="42">
        <v>9.3811599999999995</v>
      </c>
    </row>
    <row r="5976" spans="1:8" s="15" customFormat="1" ht="16.5" hidden="1" customHeight="1" outlineLevel="1" x14ac:dyDescent="0.25">
      <c r="A5976" s="18">
        <v>981</v>
      </c>
      <c r="B5976" s="4" t="s">
        <v>249</v>
      </c>
      <c r="C5976" s="38" t="s">
        <v>5330</v>
      </c>
      <c r="D5976" s="18">
        <v>2022</v>
      </c>
      <c r="E5976" s="18" t="s">
        <v>0</v>
      </c>
      <c r="F5976" s="4">
        <v>1</v>
      </c>
      <c r="G5976" s="42">
        <v>10</v>
      </c>
      <c r="H5976" s="42">
        <v>9.3811699999999991</v>
      </c>
    </row>
    <row r="5977" spans="1:8" s="15" customFormat="1" ht="16.5" hidden="1" customHeight="1" outlineLevel="1" x14ac:dyDescent="0.25">
      <c r="A5977" s="18">
        <v>982</v>
      </c>
      <c r="B5977" s="4" t="s">
        <v>249</v>
      </c>
      <c r="C5977" s="38" t="s">
        <v>5331</v>
      </c>
      <c r="D5977" s="18">
        <v>2022</v>
      </c>
      <c r="E5977" s="18" t="s">
        <v>0</v>
      </c>
      <c r="F5977" s="4">
        <v>1</v>
      </c>
      <c r="G5977" s="42">
        <v>10</v>
      </c>
      <c r="H5977" s="42">
        <v>9.3811599999999995</v>
      </c>
    </row>
    <row r="5978" spans="1:8" s="15" customFormat="1" ht="16.5" hidden="1" customHeight="1" outlineLevel="1" x14ac:dyDescent="0.25">
      <c r="A5978" s="18">
        <v>991</v>
      </c>
      <c r="B5978" s="4" t="s">
        <v>249</v>
      </c>
      <c r="C5978" s="38" t="s">
        <v>5332</v>
      </c>
      <c r="D5978" s="18">
        <v>2022</v>
      </c>
      <c r="E5978" s="18" t="s">
        <v>0</v>
      </c>
      <c r="F5978" s="4">
        <v>1</v>
      </c>
      <c r="G5978" s="42">
        <v>10</v>
      </c>
      <c r="H5978" s="42">
        <v>9.6026699999999998</v>
      </c>
    </row>
    <row r="5979" spans="1:8" s="15" customFormat="1" ht="16.5" hidden="1" customHeight="1" outlineLevel="1" x14ac:dyDescent="0.25">
      <c r="A5979" s="18">
        <v>994</v>
      </c>
      <c r="B5979" s="4" t="s">
        <v>249</v>
      </c>
      <c r="C5979" s="38" t="s">
        <v>5333</v>
      </c>
      <c r="D5979" s="18">
        <v>2022</v>
      </c>
      <c r="E5979" s="18" t="s">
        <v>0</v>
      </c>
      <c r="F5979" s="4">
        <v>1</v>
      </c>
      <c r="G5979" s="42">
        <v>10</v>
      </c>
      <c r="H5979" s="42">
        <v>10.27379</v>
      </c>
    </row>
    <row r="5980" spans="1:8" s="15" customFormat="1" ht="16.5" hidden="1" customHeight="1" outlineLevel="1" x14ac:dyDescent="0.25">
      <c r="A5980" s="18">
        <v>995</v>
      </c>
      <c r="B5980" s="4" t="s">
        <v>249</v>
      </c>
      <c r="C5980" s="38" t="s">
        <v>5334</v>
      </c>
      <c r="D5980" s="18">
        <v>2022</v>
      </c>
      <c r="E5980" s="18" t="s">
        <v>0</v>
      </c>
      <c r="F5980" s="4">
        <v>1</v>
      </c>
      <c r="G5980" s="42">
        <v>10</v>
      </c>
      <c r="H5980" s="42">
        <v>10.273759999999999</v>
      </c>
    </row>
    <row r="5981" spans="1:8" s="15" customFormat="1" ht="16.5" hidden="1" customHeight="1" outlineLevel="1" x14ac:dyDescent="0.25">
      <c r="A5981" s="18">
        <v>996</v>
      </c>
      <c r="B5981" s="4" t="s">
        <v>249</v>
      </c>
      <c r="C5981" s="38" t="s">
        <v>5335</v>
      </c>
      <c r="D5981" s="18">
        <v>2022</v>
      </c>
      <c r="E5981" s="18" t="s">
        <v>0</v>
      </c>
      <c r="F5981" s="4">
        <v>1</v>
      </c>
      <c r="G5981" s="42">
        <v>15</v>
      </c>
      <c r="H5981" s="42">
        <v>9.6026600000000002</v>
      </c>
    </row>
    <row r="5982" spans="1:8" s="15" customFormat="1" ht="16.5" hidden="1" customHeight="1" outlineLevel="1" x14ac:dyDescent="0.25">
      <c r="A5982" s="18">
        <v>1000</v>
      </c>
      <c r="B5982" s="4" t="s">
        <v>249</v>
      </c>
      <c r="C5982" s="38" t="s">
        <v>5336</v>
      </c>
      <c r="D5982" s="18">
        <v>2022</v>
      </c>
      <c r="E5982" s="18" t="s">
        <v>0</v>
      </c>
      <c r="F5982" s="4">
        <v>1</v>
      </c>
      <c r="G5982" s="42">
        <v>10</v>
      </c>
      <c r="H5982" s="42">
        <v>9.6022200000000009</v>
      </c>
    </row>
    <row r="5983" spans="1:8" s="15" customFormat="1" ht="16.5" hidden="1" customHeight="1" outlineLevel="1" x14ac:dyDescent="0.25">
      <c r="A5983" s="18">
        <v>1002</v>
      </c>
      <c r="B5983" s="4" t="s">
        <v>249</v>
      </c>
      <c r="C5983" s="38" t="s">
        <v>5337</v>
      </c>
      <c r="D5983" s="18">
        <v>2022</v>
      </c>
      <c r="E5983" s="18" t="s">
        <v>0</v>
      </c>
      <c r="F5983" s="4">
        <v>1</v>
      </c>
      <c r="G5983" s="42">
        <v>8</v>
      </c>
      <c r="H5983" s="42">
        <v>9.6026600000000002</v>
      </c>
    </row>
    <row r="5984" spans="1:8" s="15" customFormat="1" ht="16.5" hidden="1" customHeight="1" outlineLevel="1" x14ac:dyDescent="0.25">
      <c r="A5984" s="18">
        <v>1004</v>
      </c>
      <c r="B5984" s="4" t="s">
        <v>249</v>
      </c>
      <c r="C5984" s="38" t="s">
        <v>5338</v>
      </c>
      <c r="D5984" s="18">
        <v>2022</v>
      </c>
      <c r="E5984" s="18" t="s">
        <v>0</v>
      </c>
      <c r="F5984" s="4">
        <v>1</v>
      </c>
      <c r="G5984" s="42">
        <v>8</v>
      </c>
      <c r="H5984" s="42">
        <v>12.95553</v>
      </c>
    </row>
    <row r="5985" spans="1:8" s="15" customFormat="1" ht="16.5" hidden="1" customHeight="1" outlineLevel="1" x14ac:dyDescent="0.25">
      <c r="A5985" s="18">
        <v>1005</v>
      </c>
      <c r="B5985" s="4" t="s">
        <v>249</v>
      </c>
      <c r="C5985" s="38" t="s">
        <v>5339</v>
      </c>
      <c r="D5985" s="18">
        <v>2022</v>
      </c>
      <c r="E5985" s="18" t="s">
        <v>0</v>
      </c>
      <c r="F5985" s="4">
        <v>1</v>
      </c>
      <c r="G5985" s="42">
        <v>6</v>
      </c>
      <c r="H5985" s="42">
        <v>12.95546</v>
      </c>
    </row>
    <row r="5986" spans="1:8" s="15" customFormat="1" ht="16.5" hidden="1" customHeight="1" outlineLevel="1" x14ac:dyDescent="0.25">
      <c r="A5986" s="18">
        <v>1006</v>
      </c>
      <c r="B5986" s="4" t="s">
        <v>249</v>
      </c>
      <c r="C5986" s="38" t="s">
        <v>5340</v>
      </c>
      <c r="D5986" s="18">
        <v>2022</v>
      </c>
      <c r="E5986" s="18" t="s">
        <v>0</v>
      </c>
      <c r="F5986" s="4">
        <v>1</v>
      </c>
      <c r="G5986" s="42">
        <v>10</v>
      </c>
      <c r="H5986" s="42">
        <v>9.4777299999999993</v>
      </c>
    </row>
    <row r="5987" spans="1:8" s="15" customFormat="1" ht="16.5" hidden="1" customHeight="1" outlineLevel="1" x14ac:dyDescent="0.25">
      <c r="A5987" s="18">
        <v>1007</v>
      </c>
      <c r="B5987" s="4" t="s">
        <v>249</v>
      </c>
      <c r="C5987" s="38" t="s">
        <v>5341</v>
      </c>
      <c r="D5987" s="18">
        <v>2022</v>
      </c>
      <c r="E5987" s="18" t="s">
        <v>0</v>
      </c>
      <c r="F5987" s="4">
        <v>1</v>
      </c>
      <c r="G5987" s="42">
        <v>10</v>
      </c>
      <c r="H5987" s="42">
        <v>9.4777299999999993</v>
      </c>
    </row>
    <row r="5988" spans="1:8" s="15" customFormat="1" ht="16.5" hidden="1" customHeight="1" outlineLevel="1" x14ac:dyDescent="0.25">
      <c r="A5988" s="18">
        <v>1008</v>
      </c>
      <c r="B5988" s="4" t="s">
        <v>249</v>
      </c>
      <c r="C5988" s="38" t="s">
        <v>5342</v>
      </c>
      <c r="D5988" s="18">
        <v>2022</v>
      </c>
      <c r="E5988" s="18" t="s">
        <v>0</v>
      </c>
      <c r="F5988" s="4">
        <v>1</v>
      </c>
      <c r="G5988" s="42">
        <v>10</v>
      </c>
      <c r="H5988" s="42">
        <v>9.4777100000000001</v>
      </c>
    </row>
    <row r="5989" spans="1:8" s="15" customFormat="1" ht="16.5" hidden="1" customHeight="1" outlineLevel="1" x14ac:dyDescent="0.25">
      <c r="A5989" s="18">
        <v>1009</v>
      </c>
      <c r="B5989" s="4" t="s">
        <v>249</v>
      </c>
      <c r="C5989" s="38" t="s">
        <v>5343</v>
      </c>
      <c r="D5989" s="18">
        <v>2022</v>
      </c>
      <c r="E5989" s="18" t="s">
        <v>0</v>
      </c>
      <c r="F5989" s="4">
        <v>1</v>
      </c>
      <c r="G5989" s="42">
        <v>10</v>
      </c>
      <c r="H5989" s="42">
        <v>9.4777299999999993</v>
      </c>
    </row>
    <row r="5990" spans="1:8" s="15" customFormat="1" ht="16.5" hidden="1" customHeight="1" outlineLevel="1" x14ac:dyDescent="0.25">
      <c r="A5990" s="18">
        <v>1010</v>
      </c>
      <c r="B5990" s="4" t="s">
        <v>249</v>
      </c>
      <c r="C5990" s="38" t="s">
        <v>5344</v>
      </c>
      <c r="D5990" s="18">
        <v>2022</v>
      </c>
      <c r="E5990" s="18" t="s">
        <v>0</v>
      </c>
      <c r="F5990" s="4">
        <v>1</v>
      </c>
      <c r="G5990" s="42">
        <v>10</v>
      </c>
      <c r="H5990" s="42">
        <v>9.4777000000000005</v>
      </c>
    </row>
    <row r="5991" spans="1:8" s="15" customFormat="1" ht="16.5" hidden="1" customHeight="1" outlineLevel="1" x14ac:dyDescent="0.25">
      <c r="A5991" s="18">
        <v>1011</v>
      </c>
      <c r="B5991" s="4" t="s">
        <v>249</v>
      </c>
      <c r="C5991" s="38" t="s">
        <v>5345</v>
      </c>
      <c r="D5991" s="18">
        <v>2022</v>
      </c>
      <c r="E5991" s="18" t="s">
        <v>0</v>
      </c>
      <c r="F5991" s="4">
        <v>1</v>
      </c>
      <c r="G5991" s="42">
        <v>10</v>
      </c>
      <c r="H5991" s="42">
        <v>9.4777299999999993</v>
      </c>
    </row>
    <row r="5992" spans="1:8" s="15" customFormat="1" ht="16.5" hidden="1" customHeight="1" outlineLevel="1" x14ac:dyDescent="0.25">
      <c r="A5992" s="18">
        <v>1012</v>
      </c>
      <c r="B5992" s="4" t="s">
        <v>249</v>
      </c>
      <c r="C5992" s="38" t="s">
        <v>5346</v>
      </c>
      <c r="D5992" s="18">
        <v>2022</v>
      </c>
      <c r="E5992" s="18" t="s">
        <v>0</v>
      </c>
      <c r="F5992" s="4">
        <v>1</v>
      </c>
      <c r="G5992" s="42">
        <v>10</v>
      </c>
      <c r="H5992" s="42">
        <v>9.2576800000000006</v>
      </c>
    </row>
    <row r="5993" spans="1:8" s="15" customFormat="1" ht="16.5" hidden="1" customHeight="1" outlineLevel="1" x14ac:dyDescent="0.25">
      <c r="A5993" s="18">
        <v>1013</v>
      </c>
      <c r="B5993" s="4" t="s">
        <v>249</v>
      </c>
      <c r="C5993" s="38" t="s">
        <v>5347</v>
      </c>
      <c r="D5993" s="18">
        <v>2022</v>
      </c>
      <c r="E5993" s="18" t="s">
        <v>0</v>
      </c>
      <c r="F5993" s="4">
        <v>1</v>
      </c>
      <c r="G5993" s="42">
        <v>10</v>
      </c>
      <c r="H5993" s="42">
        <v>9.2572299999999998</v>
      </c>
    </row>
    <row r="5994" spans="1:8" s="15" customFormat="1" ht="16.5" hidden="1" customHeight="1" outlineLevel="1" x14ac:dyDescent="0.25">
      <c r="A5994" s="18">
        <v>1014</v>
      </c>
      <c r="B5994" s="4" t="s">
        <v>249</v>
      </c>
      <c r="C5994" s="38" t="s">
        <v>5348</v>
      </c>
      <c r="D5994" s="18">
        <v>2022</v>
      </c>
      <c r="E5994" s="18" t="s">
        <v>0</v>
      </c>
      <c r="F5994" s="4">
        <v>1</v>
      </c>
      <c r="G5994" s="42">
        <v>10</v>
      </c>
      <c r="H5994" s="42">
        <v>9.2576800000000006</v>
      </c>
    </row>
    <row r="5995" spans="1:8" s="15" customFormat="1" ht="16.5" hidden="1" customHeight="1" outlineLevel="1" x14ac:dyDescent="0.25">
      <c r="A5995" s="18">
        <v>1019</v>
      </c>
      <c r="B5995" s="4" t="s">
        <v>249</v>
      </c>
      <c r="C5995" s="38" t="s">
        <v>5349</v>
      </c>
      <c r="D5995" s="18">
        <v>2022</v>
      </c>
      <c r="E5995" s="18" t="s">
        <v>0</v>
      </c>
      <c r="F5995" s="4">
        <v>1</v>
      </c>
      <c r="G5995" s="42">
        <v>10</v>
      </c>
      <c r="H5995" s="42">
        <v>9.2577200000000008</v>
      </c>
    </row>
    <row r="5996" spans="1:8" s="15" customFormat="1" ht="16.5" hidden="1" customHeight="1" outlineLevel="1" x14ac:dyDescent="0.25">
      <c r="A5996" s="18">
        <v>1020</v>
      </c>
      <c r="B5996" s="4" t="s">
        <v>249</v>
      </c>
      <c r="C5996" s="38" t="s">
        <v>5350</v>
      </c>
      <c r="D5996" s="18">
        <v>2022</v>
      </c>
      <c r="E5996" s="18" t="s">
        <v>0</v>
      </c>
      <c r="F5996" s="4">
        <v>1</v>
      </c>
      <c r="G5996" s="42">
        <v>10</v>
      </c>
      <c r="H5996" s="42">
        <v>9.2577200000000008</v>
      </c>
    </row>
    <row r="5997" spans="1:8" s="15" customFormat="1" ht="16.5" hidden="1" customHeight="1" outlineLevel="1" x14ac:dyDescent="0.25">
      <c r="A5997" s="18">
        <v>1021</v>
      </c>
      <c r="B5997" s="4" t="s">
        <v>249</v>
      </c>
      <c r="C5997" s="38" t="s">
        <v>5351</v>
      </c>
      <c r="D5997" s="18">
        <v>2022</v>
      </c>
      <c r="E5997" s="18" t="s">
        <v>0</v>
      </c>
      <c r="F5997" s="4">
        <v>1</v>
      </c>
      <c r="G5997" s="42">
        <v>10</v>
      </c>
      <c r="H5997" s="42">
        <v>9.2577200000000008</v>
      </c>
    </row>
    <row r="5998" spans="1:8" s="15" customFormat="1" ht="16.5" hidden="1" customHeight="1" outlineLevel="1" x14ac:dyDescent="0.25">
      <c r="A5998" s="18">
        <v>1022</v>
      </c>
      <c r="B5998" s="4" t="s">
        <v>249</v>
      </c>
      <c r="C5998" s="38" t="s">
        <v>5352</v>
      </c>
      <c r="D5998" s="18">
        <v>2022</v>
      </c>
      <c r="E5998" s="18" t="s">
        <v>0</v>
      </c>
      <c r="F5998" s="4">
        <v>1</v>
      </c>
      <c r="G5998" s="42">
        <v>10</v>
      </c>
      <c r="H5998" s="42">
        <v>9.4777100000000001</v>
      </c>
    </row>
    <row r="5999" spans="1:8" s="15" customFormat="1" ht="16.5" hidden="1" customHeight="1" outlineLevel="1" x14ac:dyDescent="0.25">
      <c r="A5999" s="18">
        <v>1023</v>
      </c>
      <c r="B5999" s="4" t="s">
        <v>249</v>
      </c>
      <c r="C5999" s="38" t="s">
        <v>5353</v>
      </c>
      <c r="D5999" s="18">
        <v>2022</v>
      </c>
      <c r="E5999" s="18" t="s">
        <v>0</v>
      </c>
      <c r="F5999" s="4">
        <v>1</v>
      </c>
      <c r="G5999" s="42">
        <v>10</v>
      </c>
      <c r="H5999" s="42">
        <v>9.4776900000000008</v>
      </c>
    </row>
    <row r="6000" spans="1:8" s="15" customFormat="1" ht="16.5" hidden="1" customHeight="1" outlineLevel="1" x14ac:dyDescent="0.25">
      <c r="A6000" s="18">
        <v>1024</v>
      </c>
      <c r="B6000" s="4" t="s">
        <v>249</v>
      </c>
      <c r="C6000" s="38" t="s">
        <v>5354</v>
      </c>
      <c r="D6000" s="18">
        <v>2022</v>
      </c>
      <c r="E6000" s="18" t="s">
        <v>0</v>
      </c>
      <c r="F6000" s="4">
        <v>1</v>
      </c>
      <c r="G6000" s="42">
        <v>10</v>
      </c>
      <c r="H6000" s="42">
        <v>9.2577200000000008</v>
      </c>
    </row>
    <row r="6001" spans="1:8" s="15" customFormat="1" ht="16.5" hidden="1" customHeight="1" outlineLevel="1" x14ac:dyDescent="0.25">
      <c r="A6001" s="18">
        <v>1025</v>
      </c>
      <c r="B6001" s="4" t="s">
        <v>249</v>
      </c>
      <c r="C6001" s="38" t="s">
        <v>5355</v>
      </c>
      <c r="D6001" s="18">
        <v>2022</v>
      </c>
      <c r="E6001" s="18" t="s">
        <v>0</v>
      </c>
      <c r="F6001" s="4">
        <v>1</v>
      </c>
      <c r="G6001" s="42">
        <v>10</v>
      </c>
      <c r="H6001" s="42">
        <v>9.2576800000000006</v>
      </c>
    </row>
    <row r="6002" spans="1:8" s="15" customFormat="1" ht="16.5" hidden="1" customHeight="1" outlineLevel="1" x14ac:dyDescent="0.25">
      <c r="A6002" s="18">
        <v>1026</v>
      </c>
      <c r="B6002" s="4" t="s">
        <v>249</v>
      </c>
      <c r="C6002" s="38" t="s">
        <v>5356</v>
      </c>
      <c r="D6002" s="18">
        <v>2022</v>
      </c>
      <c r="E6002" s="18" t="s">
        <v>0</v>
      </c>
      <c r="F6002" s="4">
        <v>1</v>
      </c>
      <c r="G6002" s="42">
        <v>10</v>
      </c>
      <c r="H6002" s="42">
        <v>9.7817799999999995</v>
      </c>
    </row>
    <row r="6003" spans="1:8" s="15" customFormat="1" ht="16.5" hidden="1" customHeight="1" outlineLevel="1" x14ac:dyDescent="0.25">
      <c r="A6003" s="18">
        <v>1027</v>
      </c>
      <c r="B6003" s="4" t="s">
        <v>249</v>
      </c>
      <c r="C6003" s="38" t="s">
        <v>5357</v>
      </c>
      <c r="D6003" s="18">
        <v>2022</v>
      </c>
      <c r="E6003" s="18" t="s">
        <v>0</v>
      </c>
      <c r="F6003" s="4">
        <v>1</v>
      </c>
      <c r="G6003" s="42">
        <v>10</v>
      </c>
      <c r="H6003" s="42">
        <v>9.3417499999999993</v>
      </c>
    </row>
    <row r="6004" spans="1:8" s="15" customFormat="1" ht="16.5" hidden="1" customHeight="1" outlineLevel="1" x14ac:dyDescent="0.25">
      <c r="A6004" s="18">
        <v>1028</v>
      </c>
      <c r="B6004" s="4" t="s">
        <v>249</v>
      </c>
      <c r="C6004" s="38" t="s">
        <v>5358</v>
      </c>
      <c r="D6004" s="18">
        <v>2022</v>
      </c>
      <c r="E6004" s="18" t="s">
        <v>0</v>
      </c>
      <c r="F6004" s="4">
        <v>1</v>
      </c>
      <c r="G6004" s="42">
        <v>10</v>
      </c>
      <c r="H6004" s="42">
        <v>9.7817799999999995</v>
      </c>
    </row>
    <row r="6005" spans="1:8" s="15" customFormat="1" ht="16.5" hidden="1" customHeight="1" outlineLevel="1" x14ac:dyDescent="0.25">
      <c r="A6005" s="18">
        <v>1029</v>
      </c>
      <c r="B6005" s="4" t="s">
        <v>249</v>
      </c>
      <c r="C6005" s="38" t="s">
        <v>5359</v>
      </c>
      <c r="D6005" s="18">
        <v>2022</v>
      </c>
      <c r="E6005" s="18" t="s">
        <v>0</v>
      </c>
      <c r="F6005" s="4">
        <v>1</v>
      </c>
      <c r="G6005" s="42">
        <v>10</v>
      </c>
      <c r="H6005" s="42">
        <v>9.3417399999999997</v>
      </c>
    </row>
    <row r="6006" spans="1:8" s="15" customFormat="1" ht="16.5" hidden="1" customHeight="1" outlineLevel="1" x14ac:dyDescent="0.25">
      <c r="A6006" s="18">
        <v>1030</v>
      </c>
      <c r="B6006" s="4" t="s">
        <v>249</v>
      </c>
      <c r="C6006" s="38" t="s">
        <v>5360</v>
      </c>
      <c r="D6006" s="18">
        <v>2022</v>
      </c>
      <c r="E6006" s="18" t="s">
        <v>0</v>
      </c>
      <c r="F6006" s="4">
        <v>1</v>
      </c>
      <c r="G6006" s="42">
        <v>10</v>
      </c>
      <c r="H6006" s="42">
        <v>9.7817699999999999</v>
      </c>
    </row>
    <row r="6007" spans="1:8" s="15" customFormat="1" ht="16.5" hidden="1" customHeight="1" outlineLevel="1" x14ac:dyDescent="0.25">
      <c r="A6007" s="18">
        <v>1031</v>
      </c>
      <c r="B6007" s="4" t="s">
        <v>249</v>
      </c>
      <c r="C6007" s="38" t="s">
        <v>5361</v>
      </c>
      <c r="D6007" s="18">
        <v>2022</v>
      </c>
      <c r="E6007" s="18" t="s">
        <v>0</v>
      </c>
      <c r="F6007" s="4">
        <v>1</v>
      </c>
      <c r="G6007" s="42">
        <v>10</v>
      </c>
      <c r="H6007" s="42">
        <v>9.7817600000000002</v>
      </c>
    </row>
    <row r="6008" spans="1:8" s="15" customFormat="1" ht="16.5" hidden="1" customHeight="1" outlineLevel="1" x14ac:dyDescent="0.25">
      <c r="A6008" s="18">
        <v>4741</v>
      </c>
      <c r="B6008" s="4" t="s">
        <v>249</v>
      </c>
      <c r="C6008" s="38" t="s">
        <v>5362</v>
      </c>
      <c r="D6008" s="18">
        <v>2022</v>
      </c>
      <c r="E6008" s="18" t="s">
        <v>0</v>
      </c>
      <c r="F6008" s="4">
        <v>1</v>
      </c>
      <c r="G6008" s="42">
        <v>3</v>
      </c>
      <c r="H6008" s="42">
        <v>79</v>
      </c>
    </row>
    <row r="6009" spans="1:8" s="15" customFormat="1" ht="16.5" hidden="1" customHeight="1" outlineLevel="1" x14ac:dyDescent="0.25">
      <c r="A6009" s="18">
        <v>4742</v>
      </c>
      <c r="B6009" s="4" t="s">
        <v>249</v>
      </c>
      <c r="C6009" s="38" t="s">
        <v>5363</v>
      </c>
      <c r="D6009" s="18">
        <v>2022</v>
      </c>
      <c r="E6009" s="18" t="s">
        <v>0</v>
      </c>
      <c r="F6009" s="4">
        <v>1</v>
      </c>
      <c r="G6009" s="42">
        <v>3</v>
      </c>
      <c r="H6009" s="42">
        <v>79</v>
      </c>
    </row>
    <row r="6010" spans="1:8" s="15" customFormat="1" ht="16.5" hidden="1" customHeight="1" outlineLevel="1" x14ac:dyDescent="0.25">
      <c r="A6010" s="18">
        <v>4552</v>
      </c>
      <c r="B6010" s="4" t="s">
        <v>249</v>
      </c>
      <c r="C6010" s="38" t="s">
        <v>5364</v>
      </c>
      <c r="D6010" s="18">
        <v>2022</v>
      </c>
      <c r="E6010" s="18" t="s">
        <v>0</v>
      </c>
      <c r="F6010" s="4">
        <v>1</v>
      </c>
      <c r="G6010" s="42">
        <v>15</v>
      </c>
      <c r="H6010" s="42">
        <v>29</v>
      </c>
    </row>
    <row r="6011" spans="1:8" s="15" customFormat="1" ht="16.5" hidden="1" customHeight="1" outlineLevel="1" x14ac:dyDescent="0.25">
      <c r="A6011" s="18">
        <v>4553</v>
      </c>
      <c r="B6011" s="4" t="s">
        <v>249</v>
      </c>
      <c r="C6011" s="38" t="s">
        <v>5365</v>
      </c>
      <c r="D6011" s="18">
        <v>2022</v>
      </c>
      <c r="E6011" s="18" t="s">
        <v>0</v>
      </c>
      <c r="F6011" s="4">
        <v>1</v>
      </c>
      <c r="G6011" s="42">
        <v>5</v>
      </c>
      <c r="H6011" s="42">
        <v>29</v>
      </c>
    </row>
    <row r="6012" spans="1:8" s="15" customFormat="1" ht="16.5" hidden="1" customHeight="1" outlineLevel="1" x14ac:dyDescent="0.25">
      <c r="A6012" s="18">
        <v>4556</v>
      </c>
      <c r="B6012" s="4" t="s">
        <v>249</v>
      </c>
      <c r="C6012" s="38" t="s">
        <v>5366</v>
      </c>
      <c r="D6012" s="18">
        <v>2022</v>
      </c>
      <c r="E6012" s="18" t="s">
        <v>0</v>
      </c>
      <c r="F6012" s="4">
        <v>1</v>
      </c>
      <c r="G6012" s="42">
        <v>15</v>
      </c>
      <c r="H6012" s="42">
        <v>29</v>
      </c>
    </row>
    <row r="6013" spans="1:8" s="15" customFormat="1" ht="16.5" hidden="1" customHeight="1" outlineLevel="1" x14ac:dyDescent="0.25">
      <c r="A6013" s="18">
        <v>4565</v>
      </c>
      <c r="B6013" s="4" t="s">
        <v>249</v>
      </c>
      <c r="C6013" s="38" t="s">
        <v>5367</v>
      </c>
      <c r="D6013" s="18">
        <v>2022</v>
      </c>
      <c r="E6013" s="18" t="s">
        <v>0</v>
      </c>
      <c r="F6013" s="4">
        <v>1</v>
      </c>
      <c r="G6013" s="42">
        <v>5</v>
      </c>
      <c r="H6013" s="42">
        <v>29</v>
      </c>
    </row>
    <row r="6014" spans="1:8" s="15" customFormat="1" ht="16.5" hidden="1" customHeight="1" outlineLevel="1" x14ac:dyDescent="0.25">
      <c r="A6014" s="18">
        <v>4574</v>
      </c>
      <c r="B6014" s="4" t="s">
        <v>249</v>
      </c>
      <c r="C6014" s="38" t="s">
        <v>5368</v>
      </c>
      <c r="D6014" s="18">
        <v>2022</v>
      </c>
      <c r="E6014" s="18" t="s">
        <v>0</v>
      </c>
      <c r="F6014" s="4">
        <v>1</v>
      </c>
      <c r="G6014" s="42">
        <v>5</v>
      </c>
      <c r="H6014" s="42">
        <v>29</v>
      </c>
    </row>
    <row r="6015" spans="1:8" s="15" customFormat="1" ht="16.5" hidden="1" customHeight="1" outlineLevel="1" x14ac:dyDescent="0.25">
      <c r="A6015" s="18">
        <v>4665</v>
      </c>
      <c r="B6015" s="4" t="s">
        <v>249</v>
      </c>
      <c r="C6015" s="38" t="s">
        <v>5369</v>
      </c>
      <c r="D6015" s="18">
        <v>2022</v>
      </c>
      <c r="E6015" s="18" t="s">
        <v>0</v>
      </c>
      <c r="F6015" s="4">
        <v>1</v>
      </c>
      <c r="G6015" s="42">
        <v>5</v>
      </c>
      <c r="H6015" s="42">
        <v>26</v>
      </c>
    </row>
    <row r="6016" spans="1:8" s="15" customFormat="1" ht="16.5" hidden="1" customHeight="1" outlineLevel="1" x14ac:dyDescent="0.25">
      <c r="A6016" s="18">
        <v>4561</v>
      </c>
      <c r="B6016" s="4" t="s">
        <v>249</v>
      </c>
      <c r="C6016" s="38" t="s">
        <v>5370</v>
      </c>
      <c r="D6016" s="18">
        <v>2022</v>
      </c>
      <c r="E6016" s="18" t="s">
        <v>0</v>
      </c>
      <c r="F6016" s="4">
        <v>1</v>
      </c>
      <c r="G6016" s="42">
        <v>3</v>
      </c>
      <c r="H6016" s="42">
        <v>27</v>
      </c>
    </row>
    <row r="6017" spans="1:8" s="15" customFormat="1" ht="16.5" hidden="1" customHeight="1" outlineLevel="1" x14ac:dyDescent="0.25">
      <c r="A6017" s="18">
        <v>4569</v>
      </c>
      <c r="B6017" s="4" t="s">
        <v>249</v>
      </c>
      <c r="C6017" s="38" t="s">
        <v>5371</v>
      </c>
      <c r="D6017" s="18">
        <v>2022</v>
      </c>
      <c r="E6017" s="18" t="s">
        <v>0</v>
      </c>
      <c r="F6017" s="4">
        <v>1</v>
      </c>
      <c r="G6017" s="42">
        <v>3</v>
      </c>
      <c r="H6017" s="42">
        <v>28.84</v>
      </c>
    </row>
    <row r="6018" spans="1:8" s="15" customFormat="1" ht="16.5" hidden="1" customHeight="1" outlineLevel="1" x14ac:dyDescent="0.25">
      <c r="A6018" s="18">
        <v>4557</v>
      </c>
      <c r="B6018" s="4" t="s">
        <v>249</v>
      </c>
      <c r="C6018" s="38" t="s">
        <v>5372</v>
      </c>
      <c r="D6018" s="18">
        <v>2022</v>
      </c>
      <c r="E6018" s="18" t="s">
        <v>0</v>
      </c>
      <c r="F6018" s="4">
        <v>1</v>
      </c>
      <c r="G6018" s="42">
        <v>5</v>
      </c>
      <c r="H6018" s="42">
        <v>24</v>
      </c>
    </row>
    <row r="6019" spans="1:8" s="15" customFormat="1" ht="16.5" hidden="1" customHeight="1" outlineLevel="1" x14ac:dyDescent="0.25">
      <c r="A6019" s="18">
        <v>4663</v>
      </c>
      <c r="B6019" s="4" t="s">
        <v>249</v>
      </c>
      <c r="C6019" s="38" t="s">
        <v>5373</v>
      </c>
      <c r="D6019" s="18">
        <v>2022</v>
      </c>
      <c r="E6019" s="18" t="s">
        <v>0</v>
      </c>
      <c r="F6019" s="4">
        <v>1</v>
      </c>
      <c r="G6019" s="42">
        <v>5</v>
      </c>
      <c r="H6019" s="42">
        <v>23</v>
      </c>
    </row>
    <row r="6020" spans="1:8" s="15" customFormat="1" ht="16.5" hidden="1" customHeight="1" outlineLevel="1" x14ac:dyDescent="0.25">
      <c r="A6020" s="18">
        <v>4683</v>
      </c>
      <c r="B6020" s="4" t="s">
        <v>249</v>
      </c>
      <c r="C6020" s="38" t="s">
        <v>5374</v>
      </c>
      <c r="D6020" s="18">
        <v>2022</v>
      </c>
      <c r="E6020" s="18" t="s">
        <v>0</v>
      </c>
      <c r="F6020" s="4">
        <v>1</v>
      </c>
      <c r="G6020" s="42">
        <v>5</v>
      </c>
      <c r="H6020" s="42">
        <v>23</v>
      </c>
    </row>
    <row r="6021" spans="1:8" s="15" customFormat="1" ht="16.5" hidden="1" customHeight="1" outlineLevel="1" x14ac:dyDescent="0.25">
      <c r="A6021" s="18">
        <v>4694</v>
      </c>
      <c r="B6021" s="4" t="s">
        <v>249</v>
      </c>
      <c r="C6021" s="38" t="s">
        <v>5375</v>
      </c>
      <c r="D6021" s="18">
        <v>2022</v>
      </c>
      <c r="E6021" s="18" t="s">
        <v>0</v>
      </c>
      <c r="F6021" s="4">
        <v>1</v>
      </c>
      <c r="G6021" s="42">
        <v>5</v>
      </c>
      <c r="H6021" s="42">
        <v>23</v>
      </c>
    </row>
    <row r="6022" spans="1:8" s="15" customFormat="1" ht="16.5" hidden="1" customHeight="1" outlineLevel="1" x14ac:dyDescent="0.25">
      <c r="A6022" s="18">
        <v>4709</v>
      </c>
      <c r="B6022" s="4" t="s">
        <v>249</v>
      </c>
      <c r="C6022" s="38" t="s">
        <v>5376</v>
      </c>
      <c r="D6022" s="18">
        <v>2022</v>
      </c>
      <c r="E6022" s="18" t="s">
        <v>0</v>
      </c>
      <c r="F6022" s="4">
        <v>1</v>
      </c>
      <c r="G6022" s="42">
        <v>5</v>
      </c>
      <c r="H6022" s="42">
        <v>19</v>
      </c>
    </row>
    <row r="6023" spans="1:8" s="15" customFormat="1" ht="16.5" hidden="1" customHeight="1" outlineLevel="1" x14ac:dyDescent="0.25">
      <c r="A6023" s="18">
        <v>4716</v>
      </c>
      <c r="B6023" s="4" t="s">
        <v>249</v>
      </c>
      <c r="C6023" s="38" t="s">
        <v>5377</v>
      </c>
      <c r="D6023" s="18">
        <v>2022</v>
      </c>
      <c r="E6023" s="18" t="s">
        <v>0</v>
      </c>
      <c r="F6023" s="4">
        <v>1</v>
      </c>
      <c r="G6023" s="42">
        <v>5</v>
      </c>
      <c r="H6023" s="42">
        <v>19</v>
      </c>
    </row>
    <row r="6024" spans="1:8" s="15" customFormat="1" ht="16.5" hidden="1" customHeight="1" outlineLevel="1" x14ac:dyDescent="0.25">
      <c r="A6024" s="18">
        <v>4718</v>
      </c>
      <c r="B6024" s="4" t="s">
        <v>249</v>
      </c>
      <c r="C6024" s="38" t="s">
        <v>5378</v>
      </c>
      <c r="D6024" s="18">
        <v>2022</v>
      </c>
      <c r="E6024" s="18" t="s">
        <v>0</v>
      </c>
      <c r="F6024" s="4">
        <v>1</v>
      </c>
      <c r="G6024" s="42">
        <v>2</v>
      </c>
      <c r="H6024" s="42">
        <v>19</v>
      </c>
    </row>
    <row r="6025" spans="1:8" s="15" customFormat="1" ht="16.5" hidden="1" customHeight="1" outlineLevel="1" x14ac:dyDescent="0.25">
      <c r="A6025" s="18">
        <v>4843</v>
      </c>
      <c r="B6025" s="4" t="s">
        <v>249</v>
      </c>
      <c r="C6025" s="38" t="s">
        <v>5379</v>
      </c>
      <c r="D6025" s="18">
        <v>2022</v>
      </c>
      <c r="E6025" s="18" t="s">
        <v>0</v>
      </c>
      <c r="F6025" s="4">
        <v>1</v>
      </c>
      <c r="G6025" s="42">
        <v>5</v>
      </c>
      <c r="H6025" s="42">
        <v>18</v>
      </c>
    </row>
    <row r="6026" spans="1:8" s="15" customFormat="1" ht="16.5" hidden="1" customHeight="1" outlineLevel="1" x14ac:dyDescent="0.25">
      <c r="A6026" s="18">
        <v>4881</v>
      </c>
      <c r="B6026" s="4" t="s">
        <v>249</v>
      </c>
      <c r="C6026" s="38" t="s">
        <v>5380</v>
      </c>
      <c r="D6026" s="18">
        <v>2022</v>
      </c>
      <c r="E6026" s="18" t="s">
        <v>0</v>
      </c>
      <c r="F6026" s="4">
        <v>1</v>
      </c>
      <c r="G6026" s="42">
        <v>5</v>
      </c>
      <c r="H6026" s="42">
        <v>19</v>
      </c>
    </row>
    <row r="6027" spans="1:8" s="15" customFormat="1" ht="16.5" hidden="1" customHeight="1" outlineLevel="1" x14ac:dyDescent="0.25">
      <c r="A6027" s="18">
        <v>4889</v>
      </c>
      <c r="B6027" s="4" t="s">
        <v>249</v>
      </c>
      <c r="C6027" s="38" t="s">
        <v>5381</v>
      </c>
      <c r="D6027" s="18">
        <v>2022</v>
      </c>
      <c r="E6027" s="18" t="s">
        <v>0</v>
      </c>
      <c r="F6027" s="4">
        <v>1</v>
      </c>
      <c r="G6027" s="42">
        <v>5</v>
      </c>
      <c r="H6027" s="42">
        <v>20</v>
      </c>
    </row>
    <row r="6028" spans="1:8" s="15" customFormat="1" ht="16.5" hidden="1" customHeight="1" outlineLevel="1" x14ac:dyDescent="0.25">
      <c r="A6028" s="18">
        <v>4666</v>
      </c>
      <c r="B6028" s="4" t="s">
        <v>249</v>
      </c>
      <c r="C6028" s="38" t="s">
        <v>5382</v>
      </c>
      <c r="D6028" s="18">
        <v>2022</v>
      </c>
      <c r="E6028" s="18" t="s">
        <v>0</v>
      </c>
      <c r="F6028" s="4">
        <v>1</v>
      </c>
      <c r="G6028" s="42">
        <v>2</v>
      </c>
      <c r="H6028" s="42">
        <v>21</v>
      </c>
    </row>
    <row r="6029" spans="1:8" s="15" customFormat="1" ht="16.5" hidden="1" customHeight="1" outlineLevel="1" x14ac:dyDescent="0.25">
      <c r="A6029" s="18">
        <v>4667</v>
      </c>
      <c r="B6029" s="4" t="s">
        <v>249</v>
      </c>
      <c r="C6029" s="38" t="s">
        <v>5383</v>
      </c>
      <c r="D6029" s="18">
        <v>2022</v>
      </c>
      <c r="E6029" s="18" t="s">
        <v>0</v>
      </c>
      <c r="F6029" s="4">
        <v>1</v>
      </c>
      <c r="G6029" s="42">
        <v>2</v>
      </c>
      <c r="H6029" s="42">
        <v>21</v>
      </c>
    </row>
    <row r="6030" spans="1:8" s="15" customFormat="1" ht="16.5" hidden="1" customHeight="1" outlineLevel="1" x14ac:dyDescent="0.25">
      <c r="A6030" s="18">
        <v>4668</v>
      </c>
      <c r="B6030" s="4" t="s">
        <v>249</v>
      </c>
      <c r="C6030" s="38" t="s">
        <v>5384</v>
      </c>
      <c r="D6030" s="18">
        <v>2022</v>
      </c>
      <c r="E6030" s="18" t="s">
        <v>0</v>
      </c>
      <c r="F6030" s="4">
        <v>1</v>
      </c>
      <c r="G6030" s="42">
        <v>1</v>
      </c>
      <c r="H6030" s="42">
        <v>20</v>
      </c>
    </row>
    <row r="6031" spans="1:8" s="15" customFormat="1" ht="16.5" hidden="1" customHeight="1" outlineLevel="1" x14ac:dyDescent="0.25">
      <c r="A6031" s="18">
        <v>4669</v>
      </c>
      <c r="B6031" s="4" t="s">
        <v>249</v>
      </c>
      <c r="C6031" s="38" t="s">
        <v>5385</v>
      </c>
      <c r="D6031" s="18">
        <v>2022</v>
      </c>
      <c r="E6031" s="18" t="s">
        <v>0</v>
      </c>
      <c r="F6031" s="4">
        <v>1</v>
      </c>
      <c r="G6031" s="42">
        <v>2</v>
      </c>
      <c r="H6031" s="42">
        <v>20</v>
      </c>
    </row>
    <row r="6032" spans="1:8" s="15" customFormat="1" ht="16.5" hidden="1" customHeight="1" outlineLevel="1" x14ac:dyDescent="0.25">
      <c r="A6032" s="18">
        <v>4645</v>
      </c>
      <c r="B6032" s="4" t="s">
        <v>249</v>
      </c>
      <c r="C6032" s="38" t="s">
        <v>5386</v>
      </c>
      <c r="D6032" s="18">
        <v>2022</v>
      </c>
      <c r="E6032" s="18" t="s">
        <v>0</v>
      </c>
      <c r="F6032" s="4">
        <v>1</v>
      </c>
      <c r="G6032" s="42">
        <v>10</v>
      </c>
      <c r="H6032" s="42">
        <v>27</v>
      </c>
    </row>
    <row r="6033" spans="1:8" s="15" customFormat="1" ht="16.5" hidden="1" customHeight="1" outlineLevel="1" x14ac:dyDescent="0.25">
      <c r="A6033" s="18">
        <v>4605</v>
      </c>
      <c r="B6033" s="4" t="s">
        <v>249</v>
      </c>
      <c r="C6033" s="38" t="s">
        <v>5387</v>
      </c>
      <c r="D6033" s="18">
        <v>2022</v>
      </c>
      <c r="E6033" s="18" t="s">
        <v>0</v>
      </c>
      <c r="F6033" s="4">
        <v>1</v>
      </c>
      <c r="G6033" s="42">
        <v>5</v>
      </c>
      <c r="H6033" s="42">
        <v>20</v>
      </c>
    </row>
    <row r="6034" spans="1:8" s="15" customFormat="1" ht="16.5" hidden="1" customHeight="1" outlineLevel="1" x14ac:dyDescent="0.25">
      <c r="A6034" s="18">
        <v>4608</v>
      </c>
      <c r="B6034" s="4" t="s">
        <v>249</v>
      </c>
      <c r="C6034" s="38" t="s">
        <v>5388</v>
      </c>
      <c r="D6034" s="18">
        <v>2022</v>
      </c>
      <c r="E6034" s="18" t="s">
        <v>0</v>
      </c>
      <c r="F6034" s="4">
        <v>1</v>
      </c>
      <c r="G6034" s="42">
        <v>5</v>
      </c>
      <c r="H6034" s="42">
        <v>19</v>
      </c>
    </row>
    <row r="6035" spans="1:8" s="15" customFormat="1" ht="16.5" hidden="1" customHeight="1" outlineLevel="1" x14ac:dyDescent="0.25">
      <c r="A6035" s="18">
        <v>4624</v>
      </c>
      <c r="B6035" s="4" t="s">
        <v>249</v>
      </c>
      <c r="C6035" s="38" t="s">
        <v>5389</v>
      </c>
      <c r="D6035" s="18">
        <v>2022</v>
      </c>
      <c r="E6035" s="18" t="s">
        <v>0</v>
      </c>
      <c r="F6035" s="4">
        <v>1</v>
      </c>
      <c r="G6035" s="42">
        <v>5.5</v>
      </c>
      <c r="H6035" s="42">
        <v>21</v>
      </c>
    </row>
    <row r="6036" spans="1:8" s="15" customFormat="1" ht="16.5" hidden="1" customHeight="1" outlineLevel="1" x14ac:dyDescent="0.25">
      <c r="A6036" s="18">
        <v>4671</v>
      </c>
      <c r="B6036" s="4" t="s">
        <v>249</v>
      </c>
      <c r="C6036" s="38" t="s">
        <v>5390</v>
      </c>
      <c r="D6036" s="18">
        <v>2022</v>
      </c>
      <c r="E6036" s="18" t="s">
        <v>0</v>
      </c>
      <c r="F6036" s="4">
        <v>1</v>
      </c>
      <c r="G6036" s="42">
        <v>5</v>
      </c>
      <c r="H6036" s="42">
        <v>19</v>
      </c>
    </row>
    <row r="6037" spans="1:8" s="15" customFormat="1" ht="16.5" hidden="1" customHeight="1" outlineLevel="1" x14ac:dyDescent="0.25">
      <c r="A6037" s="18">
        <v>4672</v>
      </c>
      <c r="B6037" s="4" t="s">
        <v>249</v>
      </c>
      <c r="C6037" s="38" t="s">
        <v>5391</v>
      </c>
      <c r="D6037" s="18">
        <v>2022</v>
      </c>
      <c r="E6037" s="18" t="s">
        <v>0</v>
      </c>
      <c r="F6037" s="4">
        <v>1</v>
      </c>
      <c r="G6037" s="42">
        <v>5</v>
      </c>
      <c r="H6037" s="42">
        <v>17</v>
      </c>
    </row>
    <row r="6038" spans="1:8" s="15" customFormat="1" ht="16.5" hidden="1" customHeight="1" outlineLevel="1" x14ac:dyDescent="0.25">
      <c r="A6038" s="18">
        <v>4696</v>
      </c>
      <c r="B6038" s="4" t="s">
        <v>249</v>
      </c>
      <c r="C6038" s="38" t="s">
        <v>5392</v>
      </c>
      <c r="D6038" s="18">
        <v>2022</v>
      </c>
      <c r="E6038" s="18" t="s">
        <v>0</v>
      </c>
      <c r="F6038" s="4">
        <v>1</v>
      </c>
      <c r="G6038" s="42">
        <v>5</v>
      </c>
      <c r="H6038" s="42">
        <v>17</v>
      </c>
    </row>
    <row r="6039" spans="1:8" s="15" customFormat="1" ht="16.5" hidden="1" customHeight="1" outlineLevel="1" x14ac:dyDescent="0.25">
      <c r="A6039" s="18">
        <v>4697</v>
      </c>
      <c r="B6039" s="4" t="s">
        <v>249</v>
      </c>
      <c r="C6039" s="38" t="s">
        <v>5393</v>
      </c>
      <c r="D6039" s="18">
        <v>2022</v>
      </c>
      <c r="E6039" s="18" t="s">
        <v>0</v>
      </c>
      <c r="F6039" s="4">
        <v>1</v>
      </c>
      <c r="G6039" s="42">
        <v>5</v>
      </c>
      <c r="H6039" s="42">
        <v>21</v>
      </c>
    </row>
    <row r="6040" spans="1:8" s="15" customFormat="1" ht="16.5" hidden="1" customHeight="1" outlineLevel="1" x14ac:dyDescent="0.25">
      <c r="A6040" s="18">
        <v>4698</v>
      </c>
      <c r="B6040" s="4" t="s">
        <v>249</v>
      </c>
      <c r="C6040" s="38" t="s">
        <v>5394</v>
      </c>
      <c r="D6040" s="18">
        <v>2022</v>
      </c>
      <c r="E6040" s="18" t="s">
        <v>0</v>
      </c>
      <c r="F6040" s="4">
        <v>1</v>
      </c>
      <c r="G6040" s="42">
        <v>5</v>
      </c>
      <c r="H6040" s="42">
        <v>19</v>
      </c>
    </row>
    <row r="6041" spans="1:8" s="15" customFormat="1" ht="16.5" hidden="1" customHeight="1" outlineLevel="1" x14ac:dyDescent="0.25">
      <c r="A6041" s="18">
        <v>4621</v>
      </c>
      <c r="B6041" s="4" t="s">
        <v>249</v>
      </c>
      <c r="C6041" s="38" t="s">
        <v>5395</v>
      </c>
      <c r="D6041" s="18">
        <v>2022</v>
      </c>
      <c r="E6041" s="18" t="s">
        <v>0</v>
      </c>
      <c r="F6041" s="4">
        <v>1</v>
      </c>
      <c r="G6041" s="42">
        <v>5</v>
      </c>
      <c r="H6041" s="42">
        <v>21</v>
      </c>
    </row>
    <row r="6042" spans="1:8" s="15" customFormat="1" ht="16.5" hidden="1" customHeight="1" outlineLevel="1" x14ac:dyDescent="0.25">
      <c r="A6042" s="18">
        <v>4623</v>
      </c>
      <c r="B6042" s="4" t="s">
        <v>249</v>
      </c>
      <c r="C6042" s="38" t="s">
        <v>5396</v>
      </c>
      <c r="D6042" s="18">
        <v>2022</v>
      </c>
      <c r="E6042" s="18" t="s">
        <v>0</v>
      </c>
      <c r="F6042" s="4">
        <v>1</v>
      </c>
      <c r="G6042" s="42">
        <v>5</v>
      </c>
      <c r="H6042" s="42">
        <v>21</v>
      </c>
    </row>
    <row r="6043" spans="1:8" s="15" customFormat="1" ht="16.5" hidden="1" customHeight="1" outlineLevel="1" x14ac:dyDescent="0.25">
      <c r="A6043" s="18">
        <v>4637</v>
      </c>
      <c r="B6043" s="4" t="s">
        <v>249</v>
      </c>
      <c r="C6043" s="38" t="s">
        <v>5397</v>
      </c>
      <c r="D6043" s="18">
        <v>2022</v>
      </c>
      <c r="E6043" s="18" t="s">
        <v>0</v>
      </c>
      <c r="F6043" s="4">
        <v>1</v>
      </c>
      <c r="G6043" s="42">
        <v>5</v>
      </c>
      <c r="H6043" s="42">
        <v>20</v>
      </c>
    </row>
    <row r="6044" spans="1:8" s="15" customFormat="1" ht="16.5" hidden="1" customHeight="1" outlineLevel="1" x14ac:dyDescent="0.25">
      <c r="A6044" s="18">
        <v>4678</v>
      </c>
      <c r="B6044" s="4" t="s">
        <v>249</v>
      </c>
      <c r="C6044" s="38" t="s">
        <v>5398</v>
      </c>
      <c r="D6044" s="18">
        <v>2022</v>
      </c>
      <c r="E6044" s="18" t="s">
        <v>0</v>
      </c>
      <c r="F6044" s="4">
        <v>1</v>
      </c>
      <c r="G6044" s="42">
        <v>5</v>
      </c>
      <c r="H6044" s="42">
        <v>17</v>
      </c>
    </row>
    <row r="6045" spans="1:8" s="15" customFormat="1" ht="16.5" hidden="1" customHeight="1" outlineLevel="1" x14ac:dyDescent="0.25">
      <c r="A6045" s="18">
        <v>4679</v>
      </c>
      <c r="B6045" s="4" t="s">
        <v>249</v>
      </c>
      <c r="C6045" s="38" t="s">
        <v>5399</v>
      </c>
      <c r="D6045" s="18">
        <v>2022</v>
      </c>
      <c r="E6045" s="18" t="s">
        <v>0</v>
      </c>
      <c r="F6045" s="4">
        <v>1</v>
      </c>
      <c r="G6045" s="42">
        <v>5</v>
      </c>
      <c r="H6045" s="42">
        <v>17</v>
      </c>
    </row>
    <row r="6046" spans="1:8" s="15" customFormat="1" ht="16.5" hidden="1" customHeight="1" outlineLevel="1" x14ac:dyDescent="0.25">
      <c r="A6046" s="18">
        <v>4680</v>
      </c>
      <c r="B6046" s="4" t="s">
        <v>249</v>
      </c>
      <c r="C6046" s="38" t="s">
        <v>5400</v>
      </c>
      <c r="D6046" s="18">
        <v>2022</v>
      </c>
      <c r="E6046" s="18" t="s">
        <v>0</v>
      </c>
      <c r="F6046" s="4">
        <v>1</v>
      </c>
      <c r="G6046" s="42">
        <v>5</v>
      </c>
      <c r="H6046" s="42">
        <v>19</v>
      </c>
    </row>
    <row r="6047" spans="1:8" s="15" customFormat="1" ht="16.5" hidden="1" customHeight="1" outlineLevel="1" x14ac:dyDescent="0.25">
      <c r="A6047" s="18">
        <v>4681</v>
      </c>
      <c r="B6047" s="4" t="s">
        <v>249</v>
      </c>
      <c r="C6047" s="38" t="s">
        <v>5401</v>
      </c>
      <c r="D6047" s="18">
        <v>2022</v>
      </c>
      <c r="E6047" s="18" t="s">
        <v>0</v>
      </c>
      <c r="F6047" s="4">
        <v>1</v>
      </c>
      <c r="G6047" s="42">
        <v>5</v>
      </c>
      <c r="H6047" s="42">
        <v>17</v>
      </c>
    </row>
    <row r="6048" spans="1:8" s="15" customFormat="1" ht="16.5" hidden="1" customHeight="1" outlineLevel="1" x14ac:dyDescent="0.25">
      <c r="A6048" s="18">
        <v>4720</v>
      </c>
      <c r="B6048" s="4" t="s">
        <v>249</v>
      </c>
      <c r="C6048" s="38" t="s">
        <v>5402</v>
      </c>
      <c r="D6048" s="18">
        <v>2022</v>
      </c>
      <c r="E6048" s="18" t="s">
        <v>0</v>
      </c>
      <c r="F6048" s="4">
        <v>1</v>
      </c>
      <c r="G6048" s="42">
        <v>5</v>
      </c>
      <c r="H6048" s="42">
        <v>17</v>
      </c>
    </row>
    <row r="6049" spans="1:8" s="15" customFormat="1" ht="16.5" hidden="1" customHeight="1" outlineLevel="1" x14ac:dyDescent="0.25">
      <c r="A6049" s="18">
        <v>4733</v>
      </c>
      <c r="B6049" s="4" t="s">
        <v>249</v>
      </c>
      <c r="C6049" s="38" t="s">
        <v>5403</v>
      </c>
      <c r="D6049" s="18">
        <v>2022</v>
      </c>
      <c r="E6049" s="18" t="s">
        <v>0</v>
      </c>
      <c r="F6049" s="4">
        <v>1</v>
      </c>
      <c r="G6049" s="42">
        <v>5</v>
      </c>
      <c r="H6049" s="42">
        <v>18</v>
      </c>
    </row>
    <row r="6050" spans="1:8" s="15" customFormat="1" ht="16.5" hidden="1" customHeight="1" outlineLevel="1" x14ac:dyDescent="0.25">
      <c r="A6050" s="18">
        <v>4738</v>
      </c>
      <c r="B6050" s="4" t="s">
        <v>249</v>
      </c>
      <c r="C6050" s="38" t="s">
        <v>5404</v>
      </c>
      <c r="D6050" s="18">
        <v>2022</v>
      </c>
      <c r="E6050" s="18" t="s">
        <v>0</v>
      </c>
      <c r="F6050" s="4">
        <v>1</v>
      </c>
      <c r="G6050" s="42">
        <v>5</v>
      </c>
      <c r="H6050" s="42">
        <v>18</v>
      </c>
    </row>
    <row r="6051" spans="1:8" s="15" customFormat="1" ht="16.5" hidden="1" customHeight="1" outlineLevel="1" x14ac:dyDescent="0.25">
      <c r="A6051" s="18">
        <v>4744</v>
      </c>
      <c r="B6051" s="4" t="s">
        <v>249</v>
      </c>
      <c r="C6051" s="38" t="s">
        <v>5405</v>
      </c>
      <c r="D6051" s="18">
        <v>2022</v>
      </c>
      <c r="E6051" s="18" t="s">
        <v>0</v>
      </c>
      <c r="F6051" s="4">
        <v>1</v>
      </c>
      <c r="G6051" s="42">
        <v>5</v>
      </c>
      <c r="H6051" s="42">
        <v>18</v>
      </c>
    </row>
    <row r="6052" spans="1:8" s="15" customFormat="1" ht="16.5" hidden="1" customHeight="1" outlineLevel="1" x14ac:dyDescent="0.25">
      <c r="A6052" s="18">
        <v>4768</v>
      </c>
      <c r="B6052" s="4" t="s">
        <v>249</v>
      </c>
      <c r="C6052" s="38" t="s">
        <v>5406</v>
      </c>
      <c r="D6052" s="18">
        <v>2022</v>
      </c>
      <c r="E6052" s="18" t="s">
        <v>0</v>
      </c>
      <c r="F6052" s="4">
        <v>1</v>
      </c>
      <c r="G6052" s="42">
        <v>5</v>
      </c>
      <c r="H6052" s="42">
        <v>18</v>
      </c>
    </row>
    <row r="6053" spans="1:8" s="15" customFormat="1" ht="16.5" hidden="1" customHeight="1" outlineLevel="1" x14ac:dyDescent="0.25">
      <c r="A6053" s="18">
        <v>4769</v>
      </c>
      <c r="B6053" s="4" t="s">
        <v>249</v>
      </c>
      <c r="C6053" s="38" t="s">
        <v>5407</v>
      </c>
      <c r="D6053" s="18">
        <v>2022</v>
      </c>
      <c r="E6053" s="18" t="s">
        <v>0</v>
      </c>
      <c r="F6053" s="4">
        <v>1</v>
      </c>
      <c r="G6053" s="42">
        <v>5</v>
      </c>
      <c r="H6053" s="42">
        <v>17</v>
      </c>
    </row>
    <row r="6054" spans="1:8" s="15" customFormat="1" ht="16.5" hidden="1" customHeight="1" outlineLevel="1" x14ac:dyDescent="0.25">
      <c r="A6054" s="18">
        <v>4771</v>
      </c>
      <c r="B6054" s="4" t="s">
        <v>249</v>
      </c>
      <c r="C6054" s="38" t="s">
        <v>5408</v>
      </c>
      <c r="D6054" s="18">
        <v>2022</v>
      </c>
      <c r="E6054" s="18" t="s">
        <v>0</v>
      </c>
      <c r="F6054" s="4">
        <v>1</v>
      </c>
      <c r="G6054" s="42">
        <v>5</v>
      </c>
      <c r="H6054" s="42">
        <v>17</v>
      </c>
    </row>
    <row r="6055" spans="1:8" s="15" customFormat="1" ht="16.5" hidden="1" customHeight="1" outlineLevel="1" x14ac:dyDescent="0.25">
      <c r="A6055" s="18">
        <v>4772</v>
      </c>
      <c r="B6055" s="4" t="s">
        <v>249</v>
      </c>
      <c r="C6055" s="38" t="s">
        <v>5409</v>
      </c>
      <c r="D6055" s="18">
        <v>2022</v>
      </c>
      <c r="E6055" s="18" t="s">
        <v>0</v>
      </c>
      <c r="F6055" s="4">
        <v>1</v>
      </c>
      <c r="G6055" s="42">
        <v>5</v>
      </c>
      <c r="H6055" s="42">
        <v>18</v>
      </c>
    </row>
    <row r="6056" spans="1:8" s="15" customFormat="1" ht="16.5" hidden="1" customHeight="1" outlineLevel="1" x14ac:dyDescent="0.25">
      <c r="A6056" s="18">
        <v>4773</v>
      </c>
      <c r="B6056" s="4" t="s">
        <v>249</v>
      </c>
      <c r="C6056" s="38" t="s">
        <v>5410</v>
      </c>
      <c r="D6056" s="18">
        <v>2022</v>
      </c>
      <c r="E6056" s="18" t="s">
        <v>0</v>
      </c>
      <c r="F6056" s="4">
        <v>1</v>
      </c>
      <c r="G6056" s="42">
        <v>5</v>
      </c>
      <c r="H6056" s="42">
        <v>18</v>
      </c>
    </row>
    <row r="6057" spans="1:8" s="15" customFormat="1" ht="16.5" hidden="1" customHeight="1" outlineLevel="1" x14ac:dyDescent="0.25">
      <c r="A6057" s="18">
        <v>4774</v>
      </c>
      <c r="B6057" s="4" t="s">
        <v>249</v>
      </c>
      <c r="C6057" s="38" t="s">
        <v>5411</v>
      </c>
      <c r="D6057" s="18">
        <v>2022</v>
      </c>
      <c r="E6057" s="18" t="s">
        <v>0</v>
      </c>
      <c r="F6057" s="4">
        <v>1</v>
      </c>
      <c r="G6057" s="42">
        <v>5</v>
      </c>
      <c r="H6057" s="42">
        <v>18</v>
      </c>
    </row>
    <row r="6058" spans="1:8" s="15" customFormat="1" ht="16.5" hidden="1" customHeight="1" outlineLevel="1" x14ac:dyDescent="0.25">
      <c r="A6058" s="18">
        <v>4776</v>
      </c>
      <c r="B6058" s="4" t="s">
        <v>249</v>
      </c>
      <c r="C6058" s="38" t="s">
        <v>5412</v>
      </c>
      <c r="D6058" s="18">
        <v>2022</v>
      </c>
      <c r="E6058" s="18" t="s">
        <v>0</v>
      </c>
      <c r="F6058" s="4">
        <v>1</v>
      </c>
      <c r="G6058" s="42">
        <v>5</v>
      </c>
      <c r="H6058" s="42">
        <v>18</v>
      </c>
    </row>
    <row r="6059" spans="1:8" s="15" customFormat="1" ht="16.5" hidden="1" customHeight="1" outlineLevel="1" x14ac:dyDescent="0.25">
      <c r="A6059" s="18">
        <v>4699</v>
      </c>
      <c r="B6059" s="4" t="s">
        <v>249</v>
      </c>
      <c r="C6059" s="38" t="s">
        <v>5413</v>
      </c>
      <c r="D6059" s="18">
        <v>2022</v>
      </c>
      <c r="E6059" s="18" t="s">
        <v>0</v>
      </c>
      <c r="F6059" s="4">
        <v>1</v>
      </c>
      <c r="G6059" s="42">
        <v>3</v>
      </c>
      <c r="H6059" s="42">
        <v>19</v>
      </c>
    </row>
    <row r="6060" spans="1:8" s="15" customFormat="1" ht="16.5" hidden="1" customHeight="1" outlineLevel="1" x14ac:dyDescent="0.25">
      <c r="A6060" s="18">
        <v>4719</v>
      </c>
      <c r="B6060" s="4" t="s">
        <v>249</v>
      </c>
      <c r="C6060" s="38" t="s">
        <v>5414</v>
      </c>
      <c r="D6060" s="18">
        <v>2022</v>
      </c>
      <c r="E6060" s="18" t="s">
        <v>0</v>
      </c>
      <c r="F6060" s="4">
        <v>1</v>
      </c>
      <c r="G6060" s="42">
        <v>10</v>
      </c>
      <c r="H6060" s="42">
        <v>23</v>
      </c>
    </row>
    <row r="6061" spans="1:8" s="15" customFormat="1" ht="16.5" hidden="1" customHeight="1" outlineLevel="1" x14ac:dyDescent="0.25">
      <c r="A6061" s="18">
        <v>4787</v>
      </c>
      <c r="B6061" s="4" t="s">
        <v>249</v>
      </c>
      <c r="C6061" s="38" t="s">
        <v>5415</v>
      </c>
      <c r="D6061" s="18">
        <v>2022</v>
      </c>
      <c r="E6061" s="18" t="s">
        <v>0</v>
      </c>
      <c r="F6061" s="4">
        <v>1</v>
      </c>
      <c r="G6061" s="42">
        <v>5</v>
      </c>
      <c r="H6061" s="42">
        <v>20</v>
      </c>
    </row>
    <row r="6062" spans="1:8" s="15" customFormat="1" ht="16.5" hidden="1" customHeight="1" outlineLevel="1" x14ac:dyDescent="0.25">
      <c r="A6062" s="18">
        <v>4590</v>
      </c>
      <c r="B6062" s="4" t="s">
        <v>249</v>
      </c>
      <c r="C6062" s="38" t="s">
        <v>5416</v>
      </c>
      <c r="D6062" s="18">
        <v>2022</v>
      </c>
      <c r="E6062" s="18" t="s">
        <v>0</v>
      </c>
      <c r="F6062" s="4">
        <v>1</v>
      </c>
      <c r="G6062" s="42">
        <v>5</v>
      </c>
      <c r="H6062" s="42">
        <v>15.7</v>
      </c>
    </row>
    <row r="6063" spans="1:8" s="15" customFormat="1" ht="16.5" hidden="1" customHeight="1" outlineLevel="1" x14ac:dyDescent="0.25">
      <c r="A6063" s="18">
        <v>4658</v>
      </c>
      <c r="B6063" s="4" t="s">
        <v>249</v>
      </c>
      <c r="C6063" s="38" t="s">
        <v>5417</v>
      </c>
      <c r="D6063" s="18">
        <v>2022</v>
      </c>
      <c r="E6063" s="18" t="s">
        <v>0</v>
      </c>
      <c r="F6063" s="4">
        <v>1</v>
      </c>
      <c r="G6063" s="42">
        <v>5</v>
      </c>
      <c r="H6063" s="42">
        <v>22.9</v>
      </c>
    </row>
    <row r="6064" spans="1:8" s="15" customFormat="1" ht="16.5" hidden="1" customHeight="1" outlineLevel="1" x14ac:dyDescent="0.25">
      <c r="A6064" s="18">
        <v>4822</v>
      </c>
      <c r="B6064" s="4" t="s">
        <v>249</v>
      </c>
      <c r="C6064" s="38" t="s">
        <v>5418</v>
      </c>
      <c r="D6064" s="18">
        <v>2022</v>
      </c>
      <c r="E6064" s="18" t="s">
        <v>0</v>
      </c>
      <c r="F6064" s="4">
        <v>1</v>
      </c>
      <c r="G6064" s="42">
        <v>5</v>
      </c>
      <c r="H6064" s="42">
        <v>23</v>
      </c>
    </row>
    <row r="6065" spans="1:8" s="15" customFormat="1" ht="16.5" hidden="1" customHeight="1" outlineLevel="1" x14ac:dyDescent="0.25">
      <c r="A6065" s="18">
        <v>4823</v>
      </c>
      <c r="B6065" s="4" t="s">
        <v>249</v>
      </c>
      <c r="C6065" s="38" t="s">
        <v>5419</v>
      </c>
      <c r="D6065" s="18">
        <v>2022</v>
      </c>
      <c r="E6065" s="18" t="s">
        <v>0</v>
      </c>
      <c r="F6065" s="4">
        <v>1</v>
      </c>
      <c r="G6065" s="42">
        <v>10</v>
      </c>
      <c r="H6065" s="42">
        <v>23.33</v>
      </c>
    </row>
    <row r="6066" spans="1:8" s="15" customFormat="1" ht="16.5" hidden="1" customHeight="1" outlineLevel="1" x14ac:dyDescent="0.25">
      <c r="A6066" s="18">
        <v>4896</v>
      </c>
      <c r="B6066" s="4" t="s">
        <v>249</v>
      </c>
      <c r="C6066" s="38" t="s">
        <v>5420</v>
      </c>
      <c r="D6066" s="18">
        <v>2022</v>
      </c>
      <c r="E6066" s="18" t="s">
        <v>0</v>
      </c>
      <c r="F6066" s="4">
        <v>1</v>
      </c>
      <c r="G6066" s="42">
        <v>15</v>
      </c>
      <c r="H6066" s="42">
        <v>18.100000000000001</v>
      </c>
    </row>
    <row r="6067" spans="1:8" s="15" customFormat="1" ht="16.5" hidden="1" customHeight="1" outlineLevel="1" x14ac:dyDescent="0.25">
      <c r="A6067" s="18">
        <v>4670</v>
      </c>
      <c r="B6067" s="4" t="s">
        <v>249</v>
      </c>
      <c r="C6067" s="38" t="s">
        <v>5421</v>
      </c>
      <c r="D6067" s="18">
        <v>2022</v>
      </c>
      <c r="E6067" s="18" t="s">
        <v>0</v>
      </c>
      <c r="F6067" s="4">
        <v>1</v>
      </c>
      <c r="G6067" s="42">
        <v>1</v>
      </c>
      <c r="H6067" s="42">
        <v>21</v>
      </c>
    </row>
    <row r="6068" spans="1:8" s="15" customFormat="1" ht="16.5" hidden="1" customHeight="1" outlineLevel="1" x14ac:dyDescent="0.25">
      <c r="A6068" s="18">
        <v>4825</v>
      </c>
      <c r="B6068" s="4" t="s">
        <v>249</v>
      </c>
      <c r="C6068" s="38" t="s">
        <v>5422</v>
      </c>
      <c r="D6068" s="18">
        <v>2022</v>
      </c>
      <c r="E6068" s="18" t="s">
        <v>0</v>
      </c>
      <c r="F6068" s="4">
        <v>1</v>
      </c>
      <c r="G6068" s="42">
        <v>10</v>
      </c>
      <c r="H6068" s="42">
        <v>18.28</v>
      </c>
    </row>
    <row r="6069" spans="1:8" s="15" customFormat="1" ht="16.5" hidden="1" customHeight="1" outlineLevel="1" x14ac:dyDescent="0.25">
      <c r="A6069" s="18">
        <v>4892</v>
      </c>
      <c r="B6069" s="4" t="s">
        <v>249</v>
      </c>
      <c r="C6069" s="38" t="s">
        <v>5423</v>
      </c>
      <c r="D6069" s="18">
        <v>2022</v>
      </c>
      <c r="E6069" s="18" t="s">
        <v>0</v>
      </c>
      <c r="F6069" s="4">
        <v>1</v>
      </c>
      <c r="G6069" s="42">
        <v>5</v>
      </c>
      <c r="H6069" s="42">
        <v>18.5</v>
      </c>
    </row>
    <row r="6070" spans="1:8" s="15" customFormat="1" ht="16.5" hidden="1" customHeight="1" outlineLevel="1" x14ac:dyDescent="0.25">
      <c r="A6070" s="18">
        <v>4595</v>
      </c>
      <c r="B6070" s="4" t="s">
        <v>249</v>
      </c>
      <c r="C6070" s="38" t="s">
        <v>5424</v>
      </c>
      <c r="D6070" s="18">
        <v>2022</v>
      </c>
      <c r="E6070" s="18" t="s">
        <v>0</v>
      </c>
      <c r="F6070" s="4">
        <v>1</v>
      </c>
      <c r="G6070" s="42">
        <v>5.5</v>
      </c>
      <c r="H6070" s="42">
        <v>15.43</v>
      </c>
    </row>
    <row r="6071" spans="1:8" s="15" customFormat="1" ht="16.5" hidden="1" customHeight="1" outlineLevel="1" x14ac:dyDescent="0.25">
      <c r="A6071" s="18">
        <v>4660</v>
      </c>
      <c r="B6071" s="4" t="s">
        <v>249</v>
      </c>
      <c r="C6071" s="38" t="s">
        <v>5425</v>
      </c>
      <c r="D6071" s="18">
        <v>2022</v>
      </c>
      <c r="E6071" s="18" t="s">
        <v>0</v>
      </c>
      <c r="F6071" s="4">
        <v>1</v>
      </c>
      <c r="G6071" s="42">
        <v>3</v>
      </c>
      <c r="H6071" s="42">
        <v>20.100000000000001</v>
      </c>
    </row>
    <row r="6072" spans="1:8" s="15" customFormat="1" ht="16.5" hidden="1" customHeight="1" outlineLevel="1" x14ac:dyDescent="0.25">
      <c r="A6072" s="18">
        <v>4845</v>
      </c>
      <c r="B6072" s="4" t="s">
        <v>249</v>
      </c>
      <c r="C6072" s="38" t="s">
        <v>5426</v>
      </c>
      <c r="D6072" s="18">
        <v>2022</v>
      </c>
      <c r="E6072" s="18" t="s">
        <v>0</v>
      </c>
      <c r="F6072" s="4">
        <v>1</v>
      </c>
      <c r="G6072" s="42">
        <v>5.5</v>
      </c>
      <c r="H6072" s="42">
        <v>17.061</v>
      </c>
    </row>
    <row r="6073" spans="1:8" s="15" customFormat="1" ht="16.5" hidden="1" customHeight="1" outlineLevel="1" x14ac:dyDescent="0.25">
      <c r="A6073" s="18">
        <v>4846</v>
      </c>
      <c r="B6073" s="4" t="s">
        <v>249</v>
      </c>
      <c r="C6073" s="38" t="s">
        <v>5427</v>
      </c>
      <c r="D6073" s="18">
        <v>2022</v>
      </c>
      <c r="E6073" s="18" t="s">
        <v>0</v>
      </c>
      <c r="F6073" s="4">
        <v>1</v>
      </c>
      <c r="G6073" s="42">
        <v>5</v>
      </c>
      <c r="H6073" s="42">
        <v>16.566000000000003</v>
      </c>
    </row>
    <row r="6074" spans="1:8" s="15" customFormat="1" ht="16.5" hidden="1" customHeight="1" outlineLevel="1" x14ac:dyDescent="0.25">
      <c r="A6074" s="18">
        <v>4908</v>
      </c>
      <c r="B6074" s="4" t="s">
        <v>249</v>
      </c>
      <c r="C6074" s="38" t="s">
        <v>5428</v>
      </c>
      <c r="D6074" s="18">
        <v>2022</v>
      </c>
      <c r="E6074" s="18" t="s">
        <v>0</v>
      </c>
      <c r="F6074" s="4">
        <v>1</v>
      </c>
      <c r="G6074" s="42">
        <v>5.5</v>
      </c>
      <c r="H6074" s="42">
        <v>11.24</v>
      </c>
    </row>
    <row r="6075" spans="1:8" s="15" customFormat="1" ht="16.5" hidden="1" customHeight="1" outlineLevel="1" x14ac:dyDescent="0.25">
      <c r="A6075" s="18">
        <v>4911</v>
      </c>
      <c r="B6075" s="4" t="s">
        <v>249</v>
      </c>
      <c r="C6075" s="38" t="s">
        <v>5429</v>
      </c>
      <c r="D6075" s="18">
        <v>2022</v>
      </c>
      <c r="E6075" s="18" t="s">
        <v>0</v>
      </c>
      <c r="F6075" s="4">
        <v>1</v>
      </c>
      <c r="G6075" s="42">
        <v>5</v>
      </c>
      <c r="H6075" s="42">
        <v>9.8381000000000007</v>
      </c>
    </row>
    <row r="6076" spans="1:8" s="15" customFormat="1" ht="16.5" hidden="1" customHeight="1" outlineLevel="1" x14ac:dyDescent="0.25">
      <c r="A6076" s="18">
        <v>4639</v>
      </c>
      <c r="B6076" s="4" t="s">
        <v>249</v>
      </c>
      <c r="C6076" s="38" t="s">
        <v>5430</v>
      </c>
      <c r="D6076" s="18">
        <v>2022</v>
      </c>
      <c r="E6076" s="18" t="s">
        <v>0</v>
      </c>
      <c r="F6076" s="4">
        <v>1</v>
      </c>
      <c r="G6076" s="42">
        <v>5</v>
      </c>
      <c r="H6076" s="42">
        <v>23.61</v>
      </c>
    </row>
    <row r="6077" spans="1:8" s="15" customFormat="1" ht="16.5" hidden="1" customHeight="1" outlineLevel="1" x14ac:dyDescent="0.25">
      <c r="A6077" s="18">
        <v>4767</v>
      </c>
      <c r="B6077" s="4" t="s">
        <v>249</v>
      </c>
      <c r="C6077" s="38" t="s">
        <v>5431</v>
      </c>
      <c r="D6077" s="18">
        <v>2022</v>
      </c>
      <c r="E6077" s="18" t="s">
        <v>0</v>
      </c>
      <c r="F6077" s="4">
        <v>1</v>
      </c>
      <c r="G6077" s="42">
        <v>1</v>
      </c>
      <c r="H6077" s="42">
        <v>17.975999999999999</v>
      </c>
    </row>
    <row r="6078" spans="1:8" s="15" customFormat="1" ht="16.5" hidden="1" customHeight="1" outlineLevel="1" x14ac:dyDescent="0.25">
      <c r="A6078" s="18">
        <v>4770</v>
      </c>
      <c r="B6078" s="4" t="s">
        <v>249</v>
      </c>
      <c r="C6078" s="38" t="s">
        <v>5432</v>
      </c>
      <c r="D6078" s="18">
        <v>2022</v>
      </c>
      <c r="E6078" s="18" t="s">
        <v>0</v>
      </c>
      <c r="F6078" s="4">
        <v>1</v>
      </c>
      <c r="G6078" s="42">
        <v>5</v>
      </c>
      <c r="H6078" s="42">
        <v>18.471999999999998</v>
      </c>
    </row>
    <row r="6079" spans="1:8" s="15" customFormat="1" ht="16.5" hidden="1" customHeight="1" outlineLevel="1" x14ac:dyDescent="0.25">
      <c r="A6079" s="18">
        <v>4775</v>
      </c>
      <c r="B6079" s="4" t="s">
        <v>249</v>
      </c>
      <c r="C6079" s="38" t="s">
        <v>5433</v>
      </c>
      <c r="D6079" s="18">
        <v>2022</v>
      </c>
      <c r="E6079" s="18" t="s">
        <v>0</v>
      </c>
      <c r="F6079" s="4">
        <v>1</v>
      </c>
      <c r="G6079" s="42">
        <v>5</v>
      </c>
      <c r="H6079" s="42">
        <v>18.939</v>
      </c>
    </row>
    <row r="6080" spans="1:8" s="15" customFormat="1" ht="16.5" hidden="1" customHeight="1" outlineLevel="1" x14ac:dyDescent="0.25">
      <c r="A6080" s="18">
        <v>4813</v>
      </c>
      <c r="B6080" s="4" t="s">
        <v>249</v>
      </c>
      <c r="C6080" s="38" t="s">
        <v>5434</v>
      </c>
      <c r="D6080" s="18">
        <v>2022</v>
      </c>
      <c r="E6080" s="18" t="s">
        <v>0</v>
      </c>
      <c r="F6080" s="4">
        <v>1</v>
      </c>
      <c r="G6080" s="42">
        <v>5</v>
      </c>
      <c r="H6080" s="42">
        <v>16.153000000000002</v>
      </c>
    </row>
    <row r="6081" spans="1:8" s="15" customFormat="1" ht="16.5" hidden="1" customHeight="1" outlineLevel="1" x14ac:dyDescent="0.25">
      <c r="A6081" s="18">
        <v>4586</v>
      </c>
      <c r="B6081" s="4" t="s">
        <v>249</v>
      </c>
      <c r="C6081" s="38" t="s">
        <v>5435</v>
      </c>
      <c r="D6081" s="18">
        <v>2022</v>
      </c>
      <c r="E6081" s="18" t="s">
        <v>0</v>
      </c>
      <c r="F6081" s="4">
        <v>1</v>
      </c>
      <c r="G6081" s="42">
        <v>5</v>
      </c>
      <c r="H6081" s="42">
        <v>20.181000000000001</v>
      </c>
    </row>
    <row r="6082" spans="1:8" s="15" customFormat="1" ht="16.5" hidden="1" customHeight="1" outlineLevel="1" x14ac:dyDescent="0.25">
      <c r="A6082" s="18">
        <v>4714</v>
      </c>
      <c r="B6082" s="4" t="s">
        <v>249</v>
      </c>
      <c r="C6082" s="38" t="s">
        <v>5436</v>
      </c>
      <c r="D6082" s="18">
        <v>2022</v>
      </c>
      <c r="E6082" s="18" t="s">
        <v>0</v>
      </c>
      <c r="F6082" s="4">
        <v>1</v>
      </c>
      <c r="G6082" s="42">
        <v>5</v>
      </c>
      <c r="H6082" s="42">
        <v>23.07</v>
      </c>
    </row>
    <row r="6083" spans="1:8" s="15" customFormat="1" ht="16.5" hidden="1" customHeight="1" outlineLevel="1" x14ac:dyDescent="0.25">
      <c r="A6083" s="18">
        <v>4717</v>
      </c>
      <c r="B6083" s="4" t="s">
        <v>249</v>
      </c>
      <c r="C6083" s="38" t="s">
        <v>5437</v>
      </c>
      <c r="D6083" s="18">
        <v>2022</v>
      </c>
      <c r="E6083" s="18" t="s">
        <v>0</v>
      </c>
      <c r="F6083" s="4">
        <v>1</v>
      </c>
      <c r="G6083" s="42">
        <v>8</v>
      </c>
      <c r="H6083" s="42">
        <v>19.189999999999998</v>
      </c>
    </row>
    <row r="6084" spans="1:8" s="15" customFormat="1" ht="16.5" hidden="1" customHeight="1" outlineLevel="1" x14ac:dyDescent="0.25">
      <c r="A6084" s="18">
        <v>4855</v>
      </c>
      <c r="B6084" s="4" t="s">
        <v>249</v>
      </c>
      <c r="C6084" s="38" t="s">
        <v>4084</v>
      </c>
      <c r="D6084" s="18">
        <v>2022</v>
      </c>
      <c r="E6084" s="18" t="s">
        <v>0</v>
      </c>
      <c r="F6084" s="4">
        <v>1</v>
      </c>
      <c r="G6084" s="42">
        <v>5</v>
      </c>
      <c r="H6084" s="42">
        <v>56.5</v>
      </c>
    </row>
    <row r="6085" spans="1:8" s="15" customFormat="1" ht="16.5" hidden="1" customHeight="1" outlineLevel="1" x14ac:dyDescent="0.25">
      <c r="A6085" s="18">
        <v>4882</v>
      </c>
      <c r="B6085" s="4" t="s">
        <v>249</v>
      </c>
      <c r="C6085" s="38" t="s">
        <v>5438</v>
      </c>
      <c r="D6085" s="18">
        <v>2022</v>
      </c>
      <c r="E6085" s="18" t="s">
        <v>0</v>
      </c>
      <c r="F6085" s="4">
        <v>1</v>
      </c>
      <c r="G6085" s="42">
        <v>5</v>
      </c>
      <c r="H6085" s="42">
        <v>19.647000000000002</v>
      </c>
    </row>
    <row r="6086" spans="1:8" s="15" customFormat="1" ht="16.5" hidden="1" customHeight="1" outlineLevel="1" x14ac:dyDescent="0.25">
      <c r="A6086" s="18">
        <v>4625</v>
      </c>
      <c r="B6086" s="4" t="s">
        <v>249</v>
      </c>
      <c r="C6086" s="38" t="s">
        <v>5439</v>
      </c>
      <c r="D6086" s="18">
        <v>2022</v>
      </c>
      <c r="E6086" s="18" t="s">
        <v>0</v>
      </c>
      <c r="F6086" s="4">
        <v>1</v>
      </c>
      <c r="G6086" s="42">
        <v>5</v>
      </c>
      <c r="H6086" s="42">
        <v>19.39</v>
      </c>
    </row>
    <row r="6087" spans="1:8" s="15" customFormat="1" ht="16.5" hidden="1" customHeight="1" outlineLevel="1" x14ac:dyDescent="0.25">
      <c r="A6087" s="18">
        <v>4634</v>
      </c>
      <c r="B6087" s="4" t="s">
        <v>249</v>
      </c>
      <c r="C6087" s="38" t="s">
        <v>5440</v>
      </c>
      <c r="D6087" s="18">
        <v>2022</v>
      </c>
      <c r="E6087" s="18" t="s">
        <v>0</v>
      </c>
      <c r="F6087" s="4">
        <v>1</v>
      </c>
      <c r="G6087" s="42">
        <v>5</v>
      </c>
      <c r="H6087" s="42">
        <v>21.26</v>
      </c>
    </row>
    <row r="6088" spans="1:8" s="15" customFormat="1" ht="16.5" hidden="1" customHeight="1" outlineLevel="1" x14ac:dyDescent="0.25">
      <c r="A6088" s="18">
        <v>4654</v>
      </c>
      <c r="B6088" s="4" t="s">
        <v>249</v>
      </c>
      <c r="C6088" s="38" t="s">
        <v>5441</v>
      </c>
      <c r="D6088" s="18">
        <v>2022</v>
      </c>
      <c r="E6088" s="18" t="s">
        <v>0</v>
      </c>
      <c r="F6088" s="4">
        <v>1</v>
      </c>
      <c r="G6088" s="42">
        <v>5</v>
      </c>
      <c r="H6088" s="42">
        <v>18.899999999999999</v>
      </c>
    </row>
    <row r="6089" spans="1:8" s="15" customFormat="1" ht="16.5" hidden="1" customHeight="1" outlineLevel="1" x14ac:dyDescent="0.25">
      <c r="A6089" s="18">
        <v>4703</v>
      </c>
      <c r="B6089" s="4" t="s">
        <v>249</v>
      </c>
      <c r="C6089" s="38" t="s">
        <v>5442</v>
      </c>
      <c r="D6089" s="18">
        <v>2022</v>
      </c>
      <c r="E6089" s="18" t="s">
        <v>0</v>
      </c>
      <c r="F6089" s="4">
        <v>1</v>
      </c>
      <c r="G6089" s="42">
        <v>5</v>
      </c>
      <c r="H6089" s="42">
        <v>18.555</v>
      </c>
    </row>
    <row r="6090" spans="1:8" s="15" customFormat="1" ht="16.5" hidden="1" customHeight="1" outlineLevel="1" x14ac:dyDescent="0.25">
      <c r="A6090" s="18">
        <v>4785</v>
      </c>
      <c r="B6090" s="4" t="s">
        <v>249</v>
      </c>
      <c r="C6090" s="38" t="s">
        <v>5443</v>
      </c>
      <c r="D6090" s="18">
        <v>2022</v>
      </c>
      <c r="E6090" s="18" t="s">
        <v>0</v>
      </c>
      <c r="F6090" s="4">
        <v>1</v>
      </c>
      <c r="G6090" s="42">
        <v>5</v>
      </c>
      <c r="H6090" s="42">
        <v>18.75</v>
      </c>
    </row>
    <row r="6091" spans="1:8" s="15" customFormat="1" ht="16.5" hidden="1" customHeight="1" outlineLevel="1" x14ac:dyDescent="0.25">
      <c r="A6091" s="18">
        <v>4874</v>
      </c>
      <c r="B6091" s="4" t="s">
        <v>249</v>
      </c>
      <c r="C6091" s="38" t="s">
        <v>5444</v>
      </c>
      <c r="D6091" s="18">
        <v>2022</v>
      </c>
      <c r="E6091" s="18" t="s">
        <v>0</v>
      </c>
      <c r="F6091" s="4">
        <v>1</v>
      </c>
      <c r="G6091" s="42">
        <v>5</v>
      </c>
      <c r="H6091" s="42">
        <v>19.329999999999998</v>
      </c>
    </row>
    <row r="6092" spans="1:8" s="15" customFormat="1" ht="16.5" hidden="1" customHeight="1" outlineLevel="1" x14ac:dyDescent="0.25">
      <c r="A6092" s="18">
        <v>4761</v>
      </c>
      <c r="B6092" s="4" t="s">
        <v>249</v>
      </c>
      <c r="C6092" s="38" t="s">
        <v>4092</v>
      </c>
      <c r="D6092" s="18">
        <v>2022</v>
      </c>
      <c r="E6092" s="18" t="s">
        <v>0</v>
      </c>
      <c r="F6092" s="4">
        <v>1</v>
      </c>
      <c r="G6092" s="42">
        <v>5</v>
      </c>
      <c r="H6092" s="42">
        <v>49.09</v>
      </c>
    </row>
    <row r="6093" spans="1:8" s="15" customFormat="1" ht="16.5" hidden="1" customHeight="1" outlineLevel="1" x14ac:dyDescent="0.25">
      <c r="A6093" s="18">
        <v>4924</v>
      </c>
      <c r="B6093" s="4" t="s">
        <v>249</v>
      </c>
      <c r="C6093" s="38" t="s">
        <v>5445</v>
      </c>
      <c r="D6093" s="18">
        <v>2022</v>
      </c>
      <c r="E6093" s="18" t="s">
        <v>0</v>
      </c>
      <c r="F6093" s="4">
        <v>1</v>
      </c>
      <c r="G6093" s="42">
        <v>1</v>
      </c>
      <c r="H6093" s="42">
        <v>10.7</v>
      </c>
    </row>
    <row r="6094" spans="1:8" s="15" customFormat="1" ht="16.5" hidden="1" customHeight="1" outlineLevel="1" x14ac:dyDescent="0.25">
      <c r="A6094" s="18">
        <v>4925</v>
      </c>
      <c r="B6094" s="4" t="s">
        <v>249</v>
      </c>
      <c r="C6094" s="38" t="s">
        <v>5446</v>
      </c>
      <c r="D6094" s="18">
        <v>2022</v>
      </c>
      <c r="E6094" s="18" t="s">
        <v>0</v>
      </c>
      <c r="F6094" s="4">
        <v>1</v>
      </c>
      <c r="G6094" s="42">
        <v>5</v>
      </c>
      <c r="H6094" s="42">
        <v>10.703000000000001</v>
      </c>
    </row>
    <row r="6095" spans="1:8" s="15" customFormat="1" ht="16.5" hidden="1" customHeight="1" outlineLevel="1" x14ac:dyDescent="0.25">
      <c r="A6095" s="18">
        <v>4620</v>
      </c>
      <c r="B6095" s="4" t="s">
        <v>249</v>
      </c>
      <c r="C6095" s="38" t="s">
        <v>5447</v>
      </c>
      <c r="D6095" s="18">
        <v>2022</v>
      </c>
      <c r="E6095" s="18" t="s">
        <v>0</v>
      </c>
      <c r="F6095" s="4">
        <v>1</v>
      </c>
      <c r="G6095" s="42">
        <v>5</v>
      </c>
      <c r="H6095" s="42">
        <v>19.376999999999999</v>
      </c>
    </row>
    <row r="6096" spans="1:8" s="15" customFormat="1" ht="16.5" hidden="1" customHeight="1" outlineLevel="1" x14ac:dyDescent="0.25">
      <c r="A6096" s="18">
        <v>4757</v>
      </c>
      <c r="B6096" s="4" t="s">
        <v>249</v>
      </c>
      <c r="C6096" s="38" t="s">
        <v>5448</v>
      </c>
      <c r="D6096" s="18">
        <v>2022</v>
      </c>
      <c r="E6096" s="18" t="s">
        <v>0</v>
      </c>
      <c r="F6096" s="4">
        <v>1</v>
      </c>
      <c r="G6096" s="42">
        <v>5</v>
      </c>
      <c r="H6096" s="42">
        <v>19.55</v>
      </c>
    </row>
    <row r="6097" spans="1:8" s="15" customFormat="1" ht="16.5" hidden="1" customHeight="1" outlineLevel="1" x14ac:dyDescent="0.25">
      <c r="A6097" s="18">
        <v>4890</v>
      </c>
      <c r="B6097" s="4" t="s">
        <v>249</v>
      </c>
      <c r="C6097" s="38" t="s">
        <v>5449</v>
      </c>
      <c r="D6097" s="18">
        <v>2022</v>
      </c>
      <c r="E6097" s="18" t="s">
        <v>0</v>
      </c>
      <c r="F6097" s="4">
        <v>1</v>
      </c>
      <c r="G6097" s="42">
        <v>5</v>
      </c>
      <c r="H6097" s="42">
        <v>19.040000000000003</v>
      </c>
    </row>
    <row r="6098" spans="1:8" s="15" customFormat="1" ht="16.5" hidden="1" customHeight="1" outlineLevel="1" x14ac:dyDescent="0.25">
      <c r="A6098" s="18">
        <v>4673</v>
      </c>
      <c r="B6098" s="4" t="s">
        <v>249</v>
      </c>
      <c r="C6098" s="38" t="s">
        <v>5450</v>
      </c>
      <c r="D6098" s="18">
        <v>2022</v>
      </c>
      <c r="E6098" s="18" t="s">
        <v>0</v>
      </c>
      <c r="F6098" s="4">
        <v>2</v>
      </c>
      <c r="G6098" s="42">
        <v>6</v>
      </c>
      <c r="H6098" s="42">
        <v>51.673999999999999</v>
      </c>
    </row>
    <row r="6099" spans="1:8" s="15" customFormat="1" ht="16.5" hidden="1" customHeight="1" outlineLevel="1" x14ac:dyDescent="0.25">
      <c r="A6099" s="18">
        <v>4790</v>
      </c>
      <c r="B6099" s="4" t="s">
        <v>249</v>
      </c>
      <c r="C6099" s="38" t="s">
        <v>5451</v>
      </c>
      <c r="D6099" s="18">
        <v>2022</v>
      </c>
      <c r="E6099" s="18" t="s">
        <v>0</v>
      </c>
      <c r="F6099" s="4">
        <v>1</v>
      </c>
      <c r="G6099" s="42">
        <v>3</v>
      </c>
      <c r="H6099" s="42">
        <v>25.023</v>
      </c>
    </row>
    <row r="6100" spans="1:8" s="15" customFormat="1" ht="16.5" hidden="1" customHeight="1" outlineLevel="1" x14ac:dyDescent="0.25">
      <c r="A6100" s="18">
        <v>4560</v>
      </c>
      <c r="B6100" s="4" t="s">
        <v>249</v>
      </c>
      <c r="C6100" s="38" t="s">
        <v>5452</v>
      </c>
      <c r="D6100" s="18">
        <v>2022</v>
      </c>
      <c r="E6100" s="18" t="s">
        <v>0</v>
      </c>
      <c r="F6100" s="4">
        <v>1</v>
      </c>
      <c r="G6100" s="42">
        <v>5</v>
      </c>
      <c r="H6100" s="42">
        <v>36</v>
      </c>
    </row>
    <row r="6101" spans="1:8" s="15" customFormat="1" ht="16.5" hidden="1" customHeight="1" outlineLevel="1" x14ac:dyDescent="0.25">
      <c r="A6101" s="18">
        <v>4935</v>
      </c>
      <c r="B6101" s="4" t="s">
        <v>249</v>
      </c>
      <c r="C6101" s="38" t="s">
        <v>5453</v>
      </c>
      <c r="D6101" s="18">
        <v>2022</v>
      </c>
      <c r="E6101" s="18" t="s">
        <v>0</v>
      </c>
      <c r="F6101" s="4">
        <v>1</v>
      </c>
      <c r="G6101" s="42">
        <v>15</v>
      </c>
      <c r="H6101" s="42">
        <v>13</v>
      </c>
    </row>
    <row r="6102" spans="1:8" s="15" customFormat="1" ht="16.5" hidden="1" customHeight="1" outlineLevel="1" x14ac:dyDescent="0.25">
      <c r="A6102" s="18">
        <v>4936</v>
      </c>
      <c r="B6102" s="4" t="s">
        <v>249</v>
      </c>
      <c r="C6102" s="38" t="s">
        <v>5454</v>
      </c>
      <c r="D6102" s="18">
        <v>2022</v>
      </c>
      <c r="E6102" s="18" t="s">
        <v>0</v>
      </c>
      <c r="F6102" s="4">
        <v>1</v>
      </c>
      <c r="G6102" s="42">
        <v>5</v>
      </c>
      <c r="H6102" s="42">
        <v>14</v>
      </c>
    </row>
    <row r="6103" spans="1:8" s="15" customFormat="1" ht="16.5" hidden="1" customHeight="1" outlineLevel="1" x14ac:dyDescent="0.25">
      <c r="A6103" s="18">
        <v>4934</v>
      </c>
      <c r="B6103" s="4" t="s">
        <v>249</v>
      </c>
      <c r="C6103" s="38" t="s">
        <v>5455</v>
      </c>
      <c r="D6103" s="18">
        <v>2022</v>
      </c>
      <c r="E6103" s="18" t="s">
        <v>0</v>
      </c>
      <c r="F6103" s="4">
        <v>1</v>
      </c>
      <c r="G6103" s="42">
        <v>5.5</v>
      </c>
      <c r="H6103" s="42">
        <v>12.504</v>
      </c>
    </row>
    <row r="6104" spans="1:8" s="15" customFormat="1" ht="16.5" hidden="1" customHeight="1" outlineLevel="1" x14ac:dyDescent="0.25">
      <c r="A6104" s="18">
        <v>4986</v>
      </c>
      <c r="B6104" s="4" t="s">
        <v>249</v>
      </c>
      <c r="C6104" s="38" t="s">
        <v>5456</v>
      </c>
      <c r="D6104" s="18">
        <v>2022</v>
      </c>
      <c r="E6104" s="18" t="s">
        <v>0</v>
      </c>
      <c r="F6104" s="4">
        <v>1</v>
      </c>
      <c r="G6104" s="42">
        <v>5</v>
      </c>
      <c r="H6104" s="42">
        <v>11.29</v>
      </c>
    </row>
    <row r="6105" spans="1:8" s="15" customFormat="1" ht="16.5" hidden="1" customHeight="1" outlineLevel="1" x14ac:dyDescent="0.25">
      <c r="A6105" s="18">
        <v>4873</v>
      </c>
      <c r="B6105" s="4" t="s">
        <v>249</v>
      </c>
      <c r="C6105" s="38" t="s">
        <v>5457</v>
      </c>
      <c r="D6105" s="18">
        <v>2022</v>
      </c>
      <c r="E6105" s="18" t="s">
        <v>0</v>
      </c>
      <c r="F6105" s="4">
        <v>1</v>
      </c>
      <c r="G6105" s="42">
        <v>5</v>
      </c>
      <c r="H6105" s="42">
        <v>21.122</v>
      </c>
    </row>
    <row r="6106" spans="1:8" s="15" customFormat="1" ht="16.5" hidden="1" customHeight="1" outlineLevel="1" x14ac:dyDescent="0.25">
      <c r="A6106" s="18">
        <v>4894</v>
      </c>
      <c r="B6106" s="4" t="s">
        <v>249</v>
      </c>
      <c r="C6106" s="38" t="s">
        <v>5458</v>
      </c>
      <c r="D6106" s="18">
        <v>2022</v>
      </c>
      <c r="E6106" s="18" t="s">
        <v>0</v>
      </c>
      <c r="F6106" s="4">
        <v>1</v>
      </c>
      <c r="G6106" s="42">
        <v>5</v>
      </c>
      <c r="H6106" s="42">
        <v>21.337</v>
      </c>
    </row>
    <row r="6107" spans="1:8" s="15" customFormat="1" ht="16.5" hidden="1" customHeight="1" outlineLevel="1" x14ac:dyDescent="0.25">
      <c r="A6107" s="18">
        <v>5015</v>
      </c>
      <c r="B6107" s="4" t="s">
        <v>249</v>
      </c>
      <c r="C6107" s="38" t="s">
        <v>5459</v>
      </c>
      <c r="D6107" s="18">
        <v>2022</v>
      </c>
      <c r="E6107" s="18" t="s">
        <v>0</v>
      </c>
      <c r="F6107" s="4">
        <v>2</v>
      </c>
      <c r="G6107" s="42">
        <v>8</v>
      </c>
      <c r="H6107" s="42">
        <v>22.096</v>
      </c>
    </row>
    <row r="6108" spans="1:8" s="15" customFormat="1" ht="16.5" hidden="1" customHeight="1" outlineLevel="1" x14ac:dyDescent="0.25">
      <c r="A6108" s="18">
        <v>4949</v>
      </c>
      <c r="B6108" s="4" t="s">
        <v>249</v>
      </c>
      <c r="C6108" s="38" t="s">
        <v>5460</v>
      </c>
      <c r="D6108" s="18">
        <v>2022</v>
      </c>
      <c r="E6108" s="18" t="s">
        <v>0</v>
      </c>
      <c r="F6108" s="4">
        <v>2</v>
      </c>
      <c r="G6108" s="42">
        <v>2</v>
      </c>
      <c r="H6108" s="42">
        <v>25.378999999999998</v>
      </c>
    </row>
    <row r="6109" spans="1:8" s="15" customFormat="1" ht="16.5" hidden="1" customHeight="1" outlineLevel="1" x14ac:dyDescent="0.25">
      <c r="A6109" s="18">
        <v>5017</v>
      </c>
      <c r="B6109" s="4" t="s">
        <v>249</v>
      </c>
      <c r="C6109" s="38" t="s">
        <v>5461</v>
      </c>
      <c r="D6109" s="18">
        <v>2022</v>
      </c>
      <c r="E6109" s="18" t="s">
        <v>0</v>
      </c>
      <c r="F6109" s="4">
        <v>1</v>
      </c>
      <c r="G6109" s="42">
        <v>2.5</v>
      </c>
      <c r="H6109" s="42">
        <v>13.615</v>
      </c>
    </row>
    <row r="6110" spans="1:8" s="15" customFormat="1" ht="16.5" hidden="1" customHeight="1" outlineLevel="1" x14ac:dyDescent="0.25">
      <c r="A6110" s="18">
        <v>4956</v>
      </c>
      <c r="B6110" s="4" t="s">
        <v>249</v>
      </c>
      <c r="C6110" s="38" t="s">
        <v>5462</v>
      </c>
      <c r="D6110" s="18">
        <v>2022</v>
      </c>
      <c r="E6110" s="18" t="s">
        <v>0</v>
      </c>
      <c r="F6110" s="4">
        <v>1</v>
      </c>
      <c r="G6110" s="42">
        <v>2.5</v>
      </c>
      <c r="H6110" s="42">
        <v>15.015000000000001</v>
      </c>
    </row>
    <row r="6111" spans="1:8" s="15" customFormat="1" ht="16.5" hidden="1" customHeight="1" outlineLevel="1" x14ac:dyDescent="0.25">
      <c r="A6111" s="18">
        <v>4950</v>
      </c>
      <c r="B6111" s="4" t="s">
        <v>249</v>
      </c>
      <c r="C6111" s="38" t="s">
        <v>5463</v>
      </c>
      <c r="D6111" s="18">
        <v>2022</v>
      </c>
      <c r="E6111" s="18" t="s">
        <v>0</v>
      </c>
      <c r="F6111" s="4">
        <v>1</v>
      </c>
      <c r="G6111" s="42">
        <v>5</v>
      </c>
      <c r="H6111" s="42">
        <v>9.9359999999999999</v>
      </c>
    </row>
    <row r="6112" spans="1:8" s="15" customFormat="1" ht="16.5" hidden="1" customHeight="1" outlineLevel="1" x14ac:dyDescent="0.25">
      <c r="A6112" s="18">
        <v>4951</v>
      </c>
      <c r="B6112" s="4" t="s">
        <v>249</v>
      </c>
      <c r="C6112" s="38" t="s">
        <v>5464</v>
      </c>
      <c r="D6112" s="18">
        <v>2022</v>
      </c>
      <c r="E6112" s="18" t="s">
        <v>0</v>
      </c>
      <c r="F6112" s="4">
        <v>1</v>
      </c>
      <c r="G6112" s="42">
        <v>5</v>
      </c>
      <c r="H6112" s="42">
        <v>10.397</v>
      </c>
    </row>
    <row r="6113" spans="1:8" s="15" customFormat="1" ht="16.5" hidden="1" customHeight="1" outlineLevel="1" x14ac:dyDescent="0.25">
      <c r="A6113" s="18">
        <v>4953</v>
      </c>
      <c r="B6113" s="4" t="s">
        <v>249</v>
      </c>
      <c r="C6113" s="38" t="s">
        <v>5465</v>
      </c>
      <c r="D6113" s="18">
        <v>2022</v>
      </c>
      <c r="E6113" s="18" t="s">
        <v>0</v>
      </c>
      <c r="F6113" s="4">
        <v>1</v>
      </c>
      <c r="G6113" s="42">
        <v>5</v>
      </c>
      <c r="H6113" s="42">
        <v>9.2639999999999993</v>
      </c>
    </row>
    <row r="6114" spans="1:8" s="15" customFormat="1" ht="16.5" hidden="1" customHeight="1" outlineLevel="1" x14ac:dyDescent="0.25">
      <c r="A6114" s="18">
        <v>4954</v>
      </c>
      <c r="B6114" s="4" t="s">
        <v>249</v>
      </c>
      <c r="C6114" s="38" t="s">
        <v>5466</v>
      </c>
      <c r="D6114" s="18">
        <v>2022</v>
      </c>
      <c r="E6114" s="18" t="s">
        <v>0</v>
      </c>
      <c r="F6114" s="4">
        <v>1</v>
      </c>
      <c r="G6114" s="42">
        <v>5</v>
      </c>
      <c r="H6114" s="42">
        <v>9.8875999999999991</v>
      </c>
    </row>
    <row r="6115" spans="1:8" s="15" customFormat="1" ht="16.5" hidden="1" customHeight="1" outlineLevel="1" x14ac:dyDescent="0.25">
      <c r="A6115" s="18">
        <v>4955</v>
      </c>
      <c r="B6115" s="4" t="s">
        <v>249</v>
      </c>
      <c r="C6115" s="38" t="s">
        <v>5467</v>
      </c>
      <c r="D6115" s="18">
        <v>2022</v>
      </c>
      <c r="E6115" s="18" t="s">
        <v>0</v>
      </c>
      <c r="F6115" s="4">
        <v>1</v>
      </c>
      <c r="G6115" s="42">
        <v>5</v>
      </c>
      <c r="H6115" s="42">
        <v>10.229800000000001</v>
      </c>
    </row>
    <row r="6116" spans="1:8" s="15" customFormat="1" ht="16.5" hidden="1" customHeight="1" outlineLevel="1" x14ac:dyDescent="0.25">
      <c r="A6116" s="18">
        <v>4957</v>
      </c>
      <c r="B6116" s="4" t="s">
        <v>249</v>
      </c>
      <c r="C6116" s="38" t="s">
        <v>5468</v>
      </c>
      <c r="D6116" s="18">
        <v>2022</v>
      </c>
      <c r="E6116" s="18" t="s">
        <v>0</v>
      </c>
      <c r="F6116" s="4">
        <v>1</v>
      </c>
      <c r="G6116" s="42">
        <v>5</v>
      </c>
      <c r="H6116" s="42">
        <v>11.445</v>
      </c>
    </row>
    <row r="6117" spans="1:8" s="15" customFormat="1" ht="16.5" hidden="1" customHeight="1" outlineLevel="1" x14ac:dyDescent="0.25">
      <c r="A6117" s="18">
        <v>4958</v>
      </c>
      <c r="B6117" s="4" t="s">
        <v>249</v>
      </c>
      <c r="C6117" s="38" t="s">
        <v>5469</v>
      </c>
      <c r="D6117" s="18">
        <v>2022</v>
      </c>
      <c r="E6117" s="18" t="s">
        <v>0</v>
      </c>
      <c r="F6117" s="4">
        <v>1</v>
      </c>
      <c r="G6117" s="42">
        <v>5</v>
      </c>
      <c r="H6117" s="42">
        <v>10.263500000000001</v>
      </c>
    </row>
    <row r="6118" spans="1:8" s="15" customFormat="1" ht="16.5" hidden="1" customHeight="1" outlineLevel="1" x14ac:dyDescent="0.25">
      <c r="A6118" s="18">
        <v>4959</v>
      </c>
      <c r="B6118" s="4" t="s">
        <v>249</v>
      </c>
      <c r="C6118" s="38" t="s">
        <v>5470</v>
      </c>
      <c r="D6118" s="18">
        <v>2022</v>
      </c>
      <c r="E6118" s="18" t="s">
        <v>0</v>
      </c>
      <c r="F6118" s="4">
        <v>1</v>
      </c>
      <c r="G6118" s="42">
        <v>5</v>
      </c>
      <c r="H6118" s="42">
        <v>9.2643299999999993</v>
      </c>
    </row>
    <row r="6119" spans="1:8" s="15" customFormat="1" ht="16.5" hidden="1" customHeight="1" outlineLevel="1" x14ac:dyDescent="0.25">
      <c r="A6119" s="18">
        <v>4960</v>
      </c>
      <c r="B6119" s="4" t="s">
        <v>249</v>
      </c>
      <c r="C6119" s="38" t="s">
        <v>5471</v>
      </c>
      <c r="D6119" s="18">
        <v>2022</v>
      </c>
      <c r="E6119" s="18" t="s">
        <v>0</v>
      </c>
      <c r="F6119" s="4">
        <v>1</v>
      </c>
      <c r="G6119" s="42">
        <v>5</v>
      </c>
      <c r="H6119" s="42">
        <v>9.6407000000000007</v>
      </c>
    </row>
    <row r="6120" spans="1:8" s="15" customFormat="1" ht="16.5" hidden="1" customHeight="1" outlineLevel="1" x14ac:dyDescent="0.25">
      <c r="A6120" s="18">
        <v>4961</v>
      </c>
      <c r="B6120" s="4" t="s">
        <v>249</v>
      </c>
      <c r="C6120" s="38" t="s">
        <v>5472</v>
      </c>
      <c r="D6120" s="18">
        <v>2022</v>
      </c>
      <c r="E6120" s="18" t="s">
        <v>0</v>
      </c>
      <c r="F6120" s="4">
        <v>1</v>
      </c>
      <c r="G6120" s="42">
        <v>5</v>
      </c>
      <c r="H6120" s="42">
        <v>9.2644000000000002</v>
      </c>
    </row>
    <row r="6121" spans="1:8" s="15" customFormat="1" ht="16.5" hidden="1" customHeight="1" outlineLevel="1" x14ac:dyDescent="0.25">
      <c r="A6121" s="18">
        <v>4962</v>
      </c>
      <c r="B6121" s="4" t="s">
        <v>249</v>
      </c>
      <c r="C6121" s="38" t="s">
        <v>5473</v>
      </c>
      <c r="D6121" s="18">
        <v>2022</v>
      </c>
      <c r="E6121" s="18" t="s">
        <v>0</v>
      </c>
      <c r="F6121" s="4">
        <v>1</v>
      </c>
      <c r="G6121" s="42">
        <v>5</v>
      </c>
      <c r="H6121" s="42">
        <v>9.2644000000000002</v>
      </c>
    </row>
    <row r="6122" spans="1:8" s="15" customFormat="1" ht="16.5" hidden="1" customHeight="1" outlineLevel="1" x14ac:dyDescent="0.25">
      <c r="A6122" s="18">
        <v>4963</v>
      </c>
      <c r="B6122" s="4" t="s">
        <v>249</v>
      </c>
      <c r="C6122" s="38" t="s">
        <v>5474</v>
      </c>
      <c r="D6122" s="18">
        <v>2022</v>
      </c>
      <c r="E6122" s="18" t="s">
        <v>0</v>
      </c>
      <c r="F6122" s="4">
        <v>1</v>
      </c>
      <c r="G6122" s="42">
        <v>5</v>
      </c>
      <c r="H6122" s="42">
        <v>9.2644000000000002</v>
      </c>
    </row>
    <row r="6123" spans="1:8" s="15" customFormat="1" ht="16.5" hidden="1" customHeight="1" outlineLevel="1" x14ac:dyDescent="0.25">
      <c r="A6123" s="18">
        <v>4992</v>
      </c>
      <c r="B6123" s="4" t="s">
        <v>249</v>
      </c>
      <c r="C6123" s="38" t="s">
        <v>5475</v>
      </c>
      <c r="D6123" s="18">
        <v>2022</v>
      </c>
      <c r="E6123" s="18" t="s">
        <v>0</v>
      </c>
      <c r="F6123" s="4">
        <v>1</v>
      </c>
      <c r="G6123" s="42">
        <v>5</v>
      </c>
      <c r="H6123" s="42">
        <v>9.8530999999999995</v>
      </c>
    </row>
    <row r="6124" spans="1:8" s="15" customFormat="1" ht="16.5" hidden="1" customHeight="1" outlineLevel="1" x14ac:dyDescent="0.25">
      <c r="A6124" s="18">
        <v>4854</v>
      </c>
      <c r="B6124" s="4" t="s">
        <v>249</v>
      </c>
      <c r="C6124" s="38" t="s">
        <v>4125</v>
      </c>
      <c r="D6124" s="18">
        <v>2022</v>
      </c>
      <c r="E6124" s="18" t="s">
        <v>0</v>
      </c>
      <c r="F6124" s="4">
        <v>1</v>
      </c>
      <c r="G6124" s="42">
        <v>5</v>
      </c>
      <c r="H6124" s="42">
        <v>48.686999999999998</v>
      </c>
    </row>
    <row r="6125" spans="1:8" s="15" customFormat="1" ht="16.5" hidden="1" customHeight="1" outlineLevel="1" x14ac:dyDescent="0.25">
      <c r="A6125" s="18">
        <v>5033</v>
      </c>
      <c r="B6125" s="4" t="s">
        <v>249</v>
      </c>
      <c r="C6125" s="38" t="s">
        <v>5476</v>
      </c>
      <c r="D6125" s="18">
        <v>2022</v>
      </c>
      <c r="E6125" s="18" t="s">
        <v>0</v>
      </c>
      <c r="F6125" s="4">
        <v>1</v>
      </c>
      <c r="G6125" s="42">
        <v>5</v>
      </c>
      <c r="H6125" s="42">
        <v>10.056000000000001</v>
      </c>
    </row>
    <row r="6126" spans="1:8" s="15" customFormat="1" ht="16.5" hidden="1" customHeight="1" outlineLevel="1" x14ac:dyDescent="0.25">
      <c r="A6126" s="18">
        <v>5034</v>
      </c>
      <c r="B6126" s="4" t="s">
        <v>249</v>
      </c>
      <c r="C6126" s="38" t="s">
        <v>5477</v>
      </c>
      <c r="D6126" s="18">
        <v>2022</v>
      </c>
      <c r="E6126" s="18" t="s">
        <v>0</v>
      </c>
      <c r="F6126" s="4">
        <v>1</v>
      </c>
      <c r="G6126" s="42">
        <v>6</v>
      </c>
      <c r="H6126" s="42">
        <v>10.0555</v>
      </c>
    </row>
    <row r="6127" spans="1:8" s="15" customFormat="1" ht="16.5" hidden="1" customHeight="1" outlineLevel="1" x14ac:dyDescent="0.25">
      <c r="A6127" s="18">
        <v>1855</v>
      </c>
      <c r="B6127" s="4" t="s">
        <v>249</v>
      </c>
      <c r="C6127" s="38" t="s">
        <v>5478</v>
      </c>
      <c r="D6127" s="18">
        <v>2022</v>
      </c>
      <c r="E6127" s="18" t="s">
        <v>0</v>
      </c>
      <c r="F6127" s="4">
        <v>3</v>
      </c>
      <c r="G6127" s="42">
        <v>30</v>
      </c>
      <c r="H6127" s="42">
        <v>101.38200000000001</v>
      </c>
    </row>
    <row r="6128" spans="1:8" s="15" customFormat="1" ht="16.5" hidden="1" customHeight="1" outlineLevel="1" x14ac:dyDescent="0.25">
      <c r="A6128" s="18">
        <v>2151</v>
      </c>
      <c r="B6128" s="4" t="s">
        <v>249</v>
      </c>
      <c r="C6128" s="38" t="s">
        <v>5479</v>
      </c>
      <c r="D6128" s="18">
        <v>2022</v>
      </c>
      <c r="E6128" s="18" t="s">
        <v>0</v>
      </c>
      <c r="F6128" s="4">
        <v>1</v>
      </c>
      <c r="G6128" s="42">
        <v>5</v>
      </c>
      <c r="H6128" s="42">
        <v>30.457000000000001</v>
      </c>
    </row>
    <row r="6129" spans="1:8" s="15" customFormat="1" ht="16.5" hidden="1" customHeight="1" outlineLevel="1" x14ac:dyDescent="0.25">
      <c r="A6129" s="18">
        <v>2153</v>
      </c>
      <c r="B6129" s="4" t="s">
        <v>249</v>
      </c>
      <c r="C6129" s="38" t="s">
        <v>5480</v>
      </c>
      <c r="D6129" s="18">
        <v>2022</v>
      </c>
      <c r="E6129" s="18" t="s">
        <v>0</v>
      </c>
      <c r="F6129" s="4">
        <v>1</v>
      </c>
      <c r="G6129" s="42">
        <v>6</v>
      </c>
      <c r="H6129" s="42">
        <v>31.670999999999999</v>
      </c>
    </row>
    <row r="6130" spans="1:8" s="15" customFormat="1" ht="16.5" hidden="1" customHeight="1" outlineLevel="1" x14ac:dyDescent="0.25">
      <c r="A6130" s="18">
        <v>2157</v>
      </c>
      <c r="B6130" s="4" t="s">
        <v>249</v>
      </c>
      <c r="C6130" s="38" t="s">
        <v>5481</v>
      </c>
      <c r="D6130" s="18">
        <v>2022</v>
      </c>
      <c r="E6130" s="18" t="s">
        <v>0</v>
      </c>
      <c r="F6130" s="4">
        <v>1</v>
      </c>
      <c r="G6130" s="42">
        <v>3</v>
      </c>
      <c r="H6130" s="42">
        <v>31.754999999999999</v>
      </c>
    </row>
    <row r="6131" spans="1:8" s="15" customFormat="1" ht="16.5" hidden="1" customHeight="1" outlineLevel="1" x14ac:dyDescent="0.25">
      <c r="A6131" s="18">
        <v>2158</v>
      </c>
      <c r="B6131" s="4" t="s">
        <v>249</v>
      </c>
      <c r="C6131" s="38" t="s">
        <v>5482</v>
      </c>
      <c r="D6131" s="18">
        <v>2022</v>
      </c>
      <c r="E6131" s="18" t="s">
        <v>0</v>
      </c>
      <c r="F6131" s="4">
        <v>1</v>
      </c>
      <c r="G6131" s="42">
        <v>3</v>
      </c>
      <c r="H6131" s="42">
        <v>29.908000000000001</v>
      </c>
    </row>
    <row r="6132" spans="1:8" s="15" customFormat="1" ht="16.5" hidden="1" customHeight="1" outlineLevel="1" x14ac:dyDescent="0.25">
      <c r="A6132" s="18">
        <v>2160</v>
      </c>
      <c r="B6132" s="4" t="s">
        <v>249</v>
      </c>
      <c r="C6132" s="38" t="s">
        <v>5483</v>
      </c>
      <c r="D6132" s="18">
        <v>2022</v>
      </c>
      <c r="E6132" s="18" t="s">
        <v>0</v>
      </c>
      <c r="F6132" s="4">
        <v>1</v>
      </c>
      <c r="G6132" s="42">
        <v>5</v>
      </c>
      <c r="H6132" s="42">
        <v>22.146999999999998</v>
      </c>
    </row>
    <row r="6133" spans="1:8" s="15" customFormat="1" ht="16.5" hidden="1" customHeight="1" outlineLevel="1" x14ac:dyDescent="0.25">
      <c r="A6133" s="18">
        <v>2162</v>
      </c>
      <c r="B6133" s="4" t="s">
        <v>249</v>
      </c>
      <c r="C6133" s="38" t="s">
        <v>5484</v>
      </c>
      <c r="D6133" s="18">
        <v>2022</v>
      </c>
      <c r="E6133" s="18" t="s">
        <v>0</v>
      </c>
      <c r="F6133" s="4">
        <v>1</v>
      </c>
      <c r="G6133" s="42">
        <v>5</v>
      </c>
      <c r="H6133" s="42">
        <v>24.629000000000001</v>
      </c>
    </row>
    <row r="6134" spans="1:8" s="15" customFormat="1" ht="16.5" hidden="1" customHeight="1" outlineLevel="1" x14ac:dyDescent="0.25">
      <c r="A6134" s="18">
        <v>2235</v>
      </c>
      <c r="B6134" s="4" t="s">
        <v>249</v>
      </c>
      <c r="C6134" s="38" t="s">
        <v>5485</v>
      </c>
      <c r="D6134" s="18">
        <v>2022</v>
      </c>
      <c r="E6134" s="18" t="s">
        <v>0</v>
      </c>
      <c r="F6134" s="4">
        <v>1</v>
      </c>
      <c r="G6134" s="42">
        <v>35</v>
      </c>
      <c r="H6134" s="42">
        <v>34.947000000000003</v>
      </c>
    </row>
    <row r="6135" spans="1:8" s="15" customFormat="1" ht="16.5" hidden="1" customHeight="1" outlineLevel="1" x14ac:dyDescent="0.25">
      <c r="A6135" s="18">
        <v>1843</v>
      </c>
      <c r="B6135" s="4" t="s">
        <v>249</v>
      </c>
      <c r="C6135" s="38" t="s">
        <v>5486</v>
      </c>
      <c r="D6135" s="18">
        <v>2022</v>
      </c>
      <c r="E6135" s="18" t="s">
        <v>0</v>
      </c>
      <c r="F6135" s="4">
        <v>1</v>
      </c>
      <c r="G6135" s="42">
        <v>12</v>
      </c>
      <c r="H6135" s="42">
        <v>24.823</v>
      </c>
    </row>
    <row r="6136" spans="1:8" s="15" customFormat="1" ht="16.5" hidden="1" customHeight="1" outlineLevel="1" x14ac:dyDescent="0.25">
      <c r="A6136" s="18">
        <v>1878</v>
      </c>
      <c r="B6136" s="4" t="s">
        <v>249</v>
      </c>
      <c r="C6136" s="38" t="s">
        <v>5487</v>
      </c>
      <c r="D6136" s="18">
        <v>2022</v>
      </c>
      <c r="E6136" s="18" t="s">
        <v>0</v>
      </c>
      <c r="F6136" s="4">
        <v>1</v>
      </c>
      <c r="G6136" s="42">
        <v>59</v>
      </c>
      <c r="H6136" s="42">
        <v>34.223999999999997</v>
      </c>
    </row>
    <row r="6137" spans="1:8" s="15" customFormat="1" ht="16.5" hidden="1" customHeight="1" outlineLevel="1" x14ac:dyDescent="0.25">
      <c r="A6137" s="18">
        <v>1889</v>
      </c>
      <c r="B6137" s="4" t="s">
        <v>249</v>
      </c>
      <c r="C6137" s="38" t="s">
        <v>5488</v>
      </c>
      <c r="D6137" s="18">
        <v>2022</v>
      </c>
      <c r="E6137" s="18" t="s">
        <v>0</v>
      </c>
      <c r="F6137" s="4">
        <v>1</v>
      </c>
      <c r="G6137" s="42">
        <v>7.5</v>
      </c>
      <c r="H6137" s="42">
        <v>19</v>
      </c>
    </row>
    <row r="6138" spans="1:8" s="15" customFormat="1" ht="16.5" hidden="1" customHeight="1" outlineLevel="1" x14ac:dyDescent="0.25">
      <c r="A6138" s="18">
        <v>1895</v>
      </c>
      <c r="B6138" s="4" t="s">
        <v>249</v>
      </c>
      <c r="C6138" s="38" t="s">
        <v>5489</v>
      </c>
      <c r="D6138" s="18">
        <v>2022</v>
      </c>
      <c r="E6138" s="18" t="s">
        <v>0</v>
      </c>
      <c r="F6138" s="4">
        <v>2</v>
      </c>
      <c r="G6138" s="42">
        <v>52</v>
      </c>
      <c r="H6138" s="42">
        <v>62.03</v>
      </c>
    </row>
    <row r="6139" spans="1:8" s="15" customFormat="1" ht="16.5" hidden="1" customHeight="1" outlineLevel="1" x14ac:dyDescent="0.25">
      <c r="A6139" s="18">
        <v>1924</v>
      </c>
      <c r="B6139" s="4" t="s">
        <v>249</v>
      </c>
      <c r="C6139" s="38" t="s">
        <v>5490</v>
      </c>
      <c r="D6139" s="18">
        <v>2022</v>
      </c>
      <c r="E6139" s="18" t="s">
        <v>0</v>
      </c>
      <c r="F6139" s="4">
        <v>1</v>
      </c>
      <c r="G6139" s="42">
        <v>10</v>
      </c>
      <c r="H6139" s="42">
        <v>23.9</v>
      </c>
    </row>
    <row r="6140" spans="1:8" s="15" customFormat="1" ht="16.5" hidden="1" customHeight="1" outlineLevel="1" x14ac:dyDescent="0.25">
      <c r="A6140" s="18">
        <v>1936</v>
      </c>
      <c r="B6140" s="4" t="s">
        <v>249</v>
      </c>
      <c r="C6140" s="38" t="s">
        <v>5491</v>
      </c>
      <c r="D6140" s="18">
        <v>2022</v>
      </c>
      <c r="E6140" s="18" t="s">
        <v>0</v>
      </c>
      <c r="F6140" s="4">
        <v>1</v>
      </c>
      <c r="G6140" s="42">
        <v>15</v>
      </c>
      <c r="H6140" s="42">
        <v>33.697000000000003</v>
      </c>
    </row>
    <row r="6141" spans="1:8" s="15" customFormat="1" ht="16.5" hidden="1" customHeight="1" outlineLevel="1" x14ac:dyDescent="0.25">
      <c r="A6141" s="18">
        <v>1975</v>
      </c>
      <c r="B6141" s="4" t="s">
        <v>249</v>
      </c>
      <c r="C6141" s="38" t="s">
        <v>5492</v>
      </c>
      <c r="D6141" s="18">
        <v>2022</v>
      </c>
      <c r="E6141" s="18" t="s">
        <v>0</v>
      </c>
      <c r="F6141" s="4">
        <v>1</v>
      </c>
      <c r="G6141" s="42">
        <v>10</v>
      </c>
      <c r="H6141" s="42">
        <v>20.85</v>
      </c>
    </row>
    <row r="6142" spans="1:8" s="15" customFormat="1" ht="16.5" hidden="1" customHeight="1" outlineLevel="1" x14ac:dyDescent="0.25">
      <c r="A6142" s="18">
        <v>1982</v>
      </c>
      <c r="B6142" s="4" t="s">
        <v>249</v>
      </c>
      <c r="C6142" s="38" t="s">
        <v>5493</v>
      </c>
      <c r="D6142" s="18">
        <v>2022</v>
      </c>
      <c r="E6142" s="18" t="s">
        <v>0</v>
      </c>
      <c r="F6142" s="4">
        <v>1</v>
      </c>
      <c r="G6142" s="42">
        <v>10</v>
      </c>
      <c r="H6142" s="42">
        <v>24.454999999999998</v>
      </c>
    </row>
    <row r="6143" spans="1:8" s="15" customFormat="1" ht="16.5" hidden="1" customHeight="1" outlineLevel="1" x14ac:dyDescent="0.25">
      <c r="A6143" s="18">
        <v>1983</v>
      </c>
      <c r="B6143" s="4" t="s">
        <v>249</v>
      </c>
      <c r="C6143" s="38" t="s">
        <v>5494</v>
      </c>
      <c r="D6143" s="18">
        <v>2022</v>
      </c>
      <c r="E6143" s="18" t="s">
        <v>0</v>
      </c>
      <c r="F6143" s="4">
        <v>1</v>
      </c>
      <c r="G6143" s="42">
        <v>10</v>
      </c>
      <c r="H6143" s="42">
        <v>24.478999999999999</v>
      </c>
    </row>
    <row r="6144" spans="1:8" s="15" customFormat="1" ht="16.5" hidden="1" customHeight="1" outlineLevel="1" x14ac:dyDescent="0.25">
      <c r="A6144" s="18">
        <v>1986</v>
      </c>
      <c r="B6144" s="4" t="s">
        <v>249</v>
      </c>
      <c r="C6144" s="38" t="s">
        <v>5495</v>
      </c>
      <c r="D6144" s="18">
        <v>2022</v>
      </c>
      <c r="E6144" s="18" t="s">
        <v>0</v>
      </c>
      <c r="F6144" s="4">
        <v>1</v>
      </c>
      <c r="G6144" s="42">
        <v>10</v>
      </c>
      <c r="H6144" s="42">
        <v>30.672999999999998</v>
      </c>
    </row>
    <row r="6145" spans="1:8" s="15" customFormat="1" ht="16.5" hidden="1" customHeight="1" outlineLevel="1" x14ac:dyDescent="0.25">
      <c r="A6145" s="18">
        <v>2017</v>
      </c>
      <c r="B6145" s="4" t="s">
        <v>249</v>
      </c>
      <c r="C6145" s="38" t="s">
        <v>5496</v>
      </c>
      <c r="D6145" s="18">
        <v>2022</v>
      </c>
      <c r="E6145" s="18" t="s">
        <v>0</v>
      </c>
      <c r="F6145" s="4">
        <v>1</v>
      </c>
      <c r="G6145" s="42">
        <v>6</v>
      </c>
      <c r="H6145" s="42">
        <v>24.41</v>
      </c>
    </row>
    <row r="6146" spans="1:8" s="15" customFormat="1" ht="16.5" hidden="1" customHeight="1" outlineLevel="1" x14ac:dyDescent="0.25">
      <c r="A6146" s="18">
        <v>2027</v>
      </c>
      <c r="B6146" s="4" t="s">
        <v>249</v>
      </c>
      <c r="C6146" s="38" t="s">
        <v>5497</v>
      </c>
      <c r="D6146" s="18">
        <v>2022</v>
      </c>
      <c r="E6146" s="18" t="s">
        <v>0</v>
      </c>
      <c r="F6146" s="4">
        <v>1</v>
      </c>
      <c r="G6146" s="42">
        <v>10</v>
      </c>
      <c r="H6146" s="42">
        <v>25.126999999999999</v>
      </c>
    </row>
    <row r="6147" spans="1:8" s="15" customFormat="1" ht="16.5" hidden="1" customHeight="1" outlineLevel="1" x14ac:dyDescent="0.25">
      <c r="A6147" s="18">
        <v>2029</v>
      </c>
      <c r="B6147" s="4" t="s">
        <v>249</v>
      </c>
      <c r="C6147" s="38" t="s">
        <v>5498</v>
      </c>
      <c r="D6147" s="18">
        <v>2022</v>
      </c>
      <c r="E6147" s="18" t="s">
        <v>0</v>
      </c>
      <c r="F6147" s="4">
        <v>1</v>
      </c>
      <c r="G6147" s="42">
        <v>10</v>
      </c>
      <c r="H6147" s="42">
        <v>36.164999999999999</v>
      </c>
    </row>
    <row r="6148" spans="1:8" s="15" customFormat="1" ht="16.5" hidden="1" customHeight="1" outlineLevel="1" x14ac:dyDescent="0.25">
      <c r="A6148" s="18">
        <v>2040</v>
      </c>
      <c r="B6148" s="4" t="s">
        <v>249</v>
      </c>
      <c r="C6148" s="38" t="s">
        <v>5499</v>
      </c>
      <c r="D6148" s="18">
        <v>2022</v>
      </c>
      <c r="E6148" s="18" t="s">
        <v>0</v>
      </c>
      <c r="F6148" s="4">
        <v>1</v>
      </c>
      <c r="G6148" s="42">
        <v>10</v>
      </c>
      <c r="H6148" s="42">
        <v>28.594000000000001</v>
      </c>
    </row>
    <row r="6149" spans="1:8" s="15" customFormat="1" ht="16.5" hidden="1" customHeight="1" outlineLevel="1" x14ac:dyDescent="0.25">
      <c r="A6149" s="18">
        <v>2043</v>
      </c>
      <c r="B6149" s="4" t="s">
        <v>249</v>
      </c>
      <c r="C6149" s="38" t="s">
        <v>5500</v>
      </c>
      <c r="D6149" s="18">
        <v>2022</v>
      </c>
      <c r="E6149" s="18" t="s">
        <v>0</v>
      </c>
      <c r="F6149" s="4">
        <v>1</v>
      </c>
      <c r="G6149" s="42">
        <v>10</v>
      </c>
      <c r="H6149" s="42">
        <v>32.759</v>
      </c>
    </row>
    <row r="6150" spans="1:8" s="15" customFormat="1" ht="16.5" hidden="1" customHeight="1" outlineLevel="1" x14ac:dyDescent="0.25">
      <c r="A6150" s="18">
        <v>2044</v>
      </c>
      <c r="B6150" s="4" t="s">
        <v>249</v>
      </c>
      <c r="C6150" s="38" t="s">
        <v>5501</v>
      </c>
      <c r="D6150" s="18">
        <v>2022</v>
      </c>
      <c r="E6150" s="18" t="s">
        <v>0</v>
      </c>
      <c r="F6150" s="4">
        <v>1</v>
      </c>
      <c r="G6150" s="42">
        <v>10</v>
      </c>
      <c r="H6150" s="42">
        <v>33.506999999999998</v>
      </c>
    </row>
    <row r="6151" spans="1:8" s="15" customFormat="1" ht="16.5" hidden="1" customHeight="1" outlineLevel="1" x14ac:dyDescent="0.25">
      <c r="A6151" s="18">
        <v>2047</v>
      </c>
      <c r="B6151" s="4" t="s">
        <v>249</v>
      </c>
      <c r="C6151" s="38" t="s">
        <v>5502</v>
      </c>
      <c r="D6151" s="18">
        <v>2022</v>
      </c>
      <c r="E6151" s="18" t="s">
        <v>0</v>
      </c>
      <c r="F6151" s="4">
        <v>1</v>
      </c>
      <c r="G6151" s="42">
        <v>12</v>
      </c>
      <c r="H6151" s="42">
        <v>31.565000000000001</v>
      </c>
    </row>
    <row r="6152" spans="1:8" s="15" customFormat="1" ht="16.5" hidden="1" customHeight="1" outlineLevel="1" x14ac:dyDescent="0.25">
      <c r="A6152" s="18">
        <v>2053</v>
      </c>
      <c r="B6152" s="4" t="s">
        <v>249</v>
      </c>
      <c r="C6152" s="38" t="s">
        <v>5503</v>
      </c>
      <c r="D6152" s="18">
        <v>2022</v>
      </c>
      <c r="E6152" s="18" t="s">
        <v>0</v>
      </c>
      <c r="F6152" s="4">
        <v>1</v>
      </c>
      <c r="G6152" s="42">
        <v>15</v>
      </c>
      <c r="H6152" s="42">
        <v>36.634999999999998</v>
      </c>
    </row>
    <row r="6153" spans="1:8" s="15" customFormat="1" ht="16.5" hidden="1" customHeight="1" outlineLevel="1" x14ac:dyDescent="0.25">
      <c r="A6153" s="18">
        <v>2081</v>
      </c>
      <c r="B6153" s="4" t="s">
        <v>249</v>
      </c>
      <c r="C6153" s="38" t="s">
        <v>5504</v>
      </c>
      <c r="D6153" s="18">
        <v>2022</v>
      </c>
      <c r="E6153" s="18" t="s">
        <v>0</v>
      </c>
      <c r="F6153" s="4">
        <v>1</v>
      </c>
      <c r="G6153" s="42">
        <v>11</v>
      </c>
      <c r="H6153" s="42">
        <v>23.378</v>
      </c>
    </row>
    <row r="6154" spans="1:8" s="15" customFormat="1" ht="16.5" hidden="1" customHeight="1" outlineLevel="1" x14ac:dyDescent="0.25">
      <c r="A6154" s="18">
        <v>2085</v>
      </c>
      <c r="B6154" s="4" t="s">
        <v>249</v>
      </c>
      <c r="C6154" s="38" t="s">
        <v>5505</v>
      </c>
      <c r="D6154" s="18">
        <v>2022</v>
      </c>
      <c r="E6154" s="18" t="s">
        <v>0</v>
      </c>
      <c r="F6154" s="4">
        <v>1</v>
      </c>
      <c r="G6154" s="42">
        <v>5</v>
      </c>
      <c r="H6154" s="42">
        <v>33.826000000000001</v>
      </c>
    </row>
    <row r="6155" spans="1:8" s="15" customFormat="1" ht="16.5" hidden="1" customHeight="1" outlineLevel="1" x14ac:dyDescent="0.25">
      <c r="A6155" s="18">
        <v>2088</v>
      </c>
      <c r="B6155" s="4" t="s">
        <v>249</v>
      </c>
      <c r="C6155" s="38" t="s">
        <v>5506</v>
      </c>
      <c r="D6155" s="18">
        <v>2022</v>
      </c>
      <c r="E6155" s="18" t="s">
        <v>0</v>
      </c>
      <c r="F6155" s="4">
        <v>1</v>
      </c>
      <c r="G6155" s="42">
        <v>12</v>
      </c>
      <c r="H6155" s="42">
        <v>26.018999999999998</v>
      </c>
    </row>
    <row r="6156" spans="1:8" s="15" customFormat="1" ht="16.5" hidden="1" customHeight="1" outlineLevel="1" x14ac:dyDescent="0.25">
      <c r="A6156" s="18">
        <v>2124</v>
      </c>
      <c r="B6156" s="4" t="s">
        <v>249</v>
      </c>
      <c r="C6156" s="38" t="s">
        <v>5507</v>
      </c>
      <c r="D6156" s="18">
        <v>2022</v>
      </c>
      <c r="E6156" s="18" t="s">
        <v>0</v>
      </c>
      <c r="F6156" s="4">
        <v>1</v>
      </c>
      <c r="G6156" s="42">
        <v>10</v>
      </c>
      <c r="H6156" s="42">
        <v>35.564999999999998</v>
      </c>
    </row>
    <row r="6157" spans="1:8" s="15" customFormat="1" ht="16.5" hidden="1" customHeight="1" outlineLevel="1" x14ac:dyDescent="0.25">
      <c r="A6157" s="18">
        <v>2131</v>
      </c>
      <c r="B6157" s="4" t="s">
        <v>249</v>
      </c>
      <c r="C6157" s="38" t="s">
        <v>5508</v>
      </c>
      <c r="D6157" s="18">
        <v>2022</v>
      </c>
      <c r="E6157" s="18" t="s">
        <v>0</v>
      </c>
      <c r="F6157" s="4">
        <v>1</v>
      </c>
      <c r="G6157" s="42">
        <v>10</v>
      </c>
      <c r="H6157" s="42">
        <v>32.954000000000001</v>
      </c>
    </row>
    <row r="6158" spans="1:8" s="15" customFormat="1" ht="16.5" hidden="1" customHeight="1" outlineLevel="1" x14ac:dyDescent="0.25">
      <c r="A6158" s="18">
        <v>2135</v>
      </c>
      <c r="B6158" s="4" t="s">
        <v>249</v>
      </c>
      <c r="C6158" s="38" t="s">
        <v>5509</v>
      </c>
      <c r="D6158" s="18">
        <v>2022</v>
      </c>
      <c r="E6158" s="18" t="s">
        <v>0</v>
      </c>
      <c r="F6158" s="4">
        <v>1</v>
      </c>
      <c r="G6158" s="42">
        <v>10</v>
      </c>
      <c r="H6158" s="42">
        <v>23.032</v>
      </c>
    </row>
    <row r="6159" spans="1:8" s="15" customFormat="1" ht="16.5" hidden="1" customHeight="1" outlineLevel="1" x14ac:dyDescent="0.25">
      <c r="A6159" s="18">
        <v>2139</v>
      </c>
      <c r="B6159" s="4" t="s">
        <v>249</v>
      </c>
      <c r="C6159" s="38" t="s">
        <v>5510</v>
      </c>
      <c r="D6159" s="18">
        <v>2022</v>
      </c>
      <c r="E6159" s="18" t="s">
        <v>0</v>
      </c>
      <c r="F6159" s="4">
        <v>1</v>
      </c>
      <c r="G6159" s="42">
        <v>6</v>
      </c>
      <c r="H6159" s="42">
        <v>34.229999999999997</v>
      </c>
    </row>
    <row r="6160" spans="1:8" s="15" customFormat="1" ht="16.5" hidden="1" customHeight="1" outlineLevel="1" x14ac:dyDescent="0.25">
      <c r="A6160" s="18">
        <v>2142</v>
      </c>
      <c r="B6160" s="4" t="s">
        <v>249</v>
      </c>
      <c r="C6160" s="38" t="s">
        <v>5511</v>
      </c>
      <c r="D6160" s="18">
        <v>2022</v>
      </c>
      <c r="E6160" s="18" t="s">
        <v>0</v>
      </c>
      <c r="F6160" s="4">
        <v>1</v>
      </c>
      <c r="G6160" s="42">
        <v>10</v>
      </c>
      <c r="H6160" s="42">
        <v>28.541</v>
      </c>
    </row>
    <row r="6161" spans="1:8" s="15" customFormat="1" ht="16.5" hidden="1" customHeight="1" outlineLevel="1" x14ac:dyDescent="0.25">
      <c r="A6161" s="18">
        <v>2144</v>
      </c>
      <c r="B6161" s="4" t="s">
        <v>249</v>
      </c>
      <c r="C6161" s="38" t="s">
        <v>5512</v>
      </c>
      <c r="D6161" s="18">
        <v>2022</v>
      </c>
      <c r="E6161" s="18" t="s">
        <v>0</v>
      </c>
      <c r="F6161" s="4">
        <v>1</v>
      </c>
      <c r="G6161" s="42">
        <v>10</v>
      </c>
      <c r="H6161" s="42">
        <v>29.837</v>
      </c>
    </row>
    <row r="6162" spans="1:8" s="15" customFormat="1" ht="16.5" hidden="1" customHeight="1" outlineLevel="1" x14ac:dyDescent="0.25">
      <c r="A6162" s="18">
        <v>2146</v>
      </c>
      <c r="B6162" s="4" t="s">
        <v>249</v>
      </c>
      <c r="C6162" s="38" t="s">
        <v>5513</v>
      </c>
      <c r="D6162" s="18">
        <v>2022</v>
      </c>
      <c r="E6162" s="18" t="s">
        <v>0</v>
      </c>
      <c r="F6162" s="4">
        <v>1</v>
      </c>
      <c r="G6162" s="42">
        <v>10</v>
      </c>
      <c r="H6162" s="42">
        <v>27.041</v>
      </c>
    </row>
    <row r="6163" spans="1:8" s="15" customFormat="1" ht="16.5" hidden="1" customHeight="1" outlineLevel="1" x14ac:dyDescent="0.25">
      <c r="A6163" s="18">
        <v>2168</v>
      </c>
      <c r="B6163" s="4" t="s">
        <v>249</v>
      </c>
      <c r="C6163" s="38" t="s">
        <v>5514</v>
      </c>
      <c r="D6163" s="18">
        <v>2022</v>
      </c>
      <c r="E6163" s="18" t="s">
        <v>0</v>
      </c>
      <c r="F6163" s="4">
        <v>1</v>
      </c>
      <c r="G6163" s="42">
        <v>15</v>
      </c>
      <c r="H6163" s="42">
        <v>89.277000000000001</v>
      </c>
    </row>
    <row r="6164" spans="1:8" s="15" customFormat="1" ht="16.5" hidden="1" customHeight="1" outlineLevel="1" x14ac:dyDescent="0.25">
      <c r="A6164" s="18">
        <v>2227</v>
      </c>
      <c r="B6164" s="4" t="s">
        <v>249</v>
      </c>
      <c r="C6164" s="38" t="s">
        <v>5515</v>
      </c>
      <c r="D6164" s="18">
        <v>2022</v>
      </c>
      <c r="E6164" s="18" t="s">
        <v>0</v>
      </c>
      <c r="F6164" s="4">
        <v>1</v>
      </c>
      <c r="G6164" s="42">
        <v>10</v>
      </c>
      <c r="H6164" s="42">
        <v>24.815000000000001</v>
      </c>
    </row>
    <row r="6165" spans="1:8" s="15" customFormat="1" ht="16.5" hidden="1" customHeight="1" outlineLevel="1" x14ac:dyDescent="0.25">
      <c r="A6165" s="18">
        <v>2228</v>
      </c>
      <c r="B6165" s="4" t="s">
        <v>249</v>
      </c>
      <c r="C6165" s="38" t="s">
        <v>5516</v>
      </c>
      <c r="D6165" s="18">
        <v>2022</v>
      </c>
      <c r="E6165" s="18" t="s">
        <v>0</v>
      </c>
      <c r="F6165" s="4">
        <v>1</v>
      </c>
      <c r="G6165" s="42">
        <v>5</v>
      </c>
      <c r="H6165" s="42">
        <v>21.209</v>
      </c>
    </row>
    <row r="6166" spans="1:8" s="15" customFormat="1" ht="16.5" hidden="1" customHeight="1" outlineLevel="1" x14ac:dyDescent="0.25">
      <c r="A6166" s="18">
        <v>2229</v>
      </c>
      <c r="B6166" s="4" t="s">
        <v>249</v>
      </c>
      <c r="C6166" s="38" t="s">
        <v>5517</v>
      </c>
      <c r="D6166" s="18">
        <v>2022</v>
      </c>
      <c r="E6166" s="18" t="s">
        <v>0</v>
      </c>
      <c r="F6166" s="4">
        <v>1</v>
      </c>
      <c r="G6166" s="42">
        <v>5</v>
      </c>
      <c r="H6166" s="42">
        <v>28.491</v>
      </c>
    </row>
    <row r="6167" spans="1:8" s="15" customFormat="1" ht="16.5" hidden="1" customHeight="1" outlineLevel="1" x14ac:dyDescent="0.25">
      <c r="A6167" s="18">
        <v>2230</v>
      </c>
      <c r="B6167" s="4" t="s">
        <v>249</v>
      </c>
      <c r="C6167" s="38" t="s">
        <v>5518</v>
      </c>
      <c r="D6167" s="18">
        <v>2022</v>
      </c>
      <c r="E6167" s="18" t="s">
        <v>0</v>
      </c>
      <c r="F6167" s="4">
        <v>1</v>
      </c>
      <c r="G6167" s="42">
        <v>10</v>
      </c>
      <c r="H6167" s="42">
        <v>27.21</v>
      </c>
    </row>
    <row r="6168" spans="1:8" s="15" customFormat="1" ht="16.5" hidden="1" customHeight="1" outlineLevel="1" x14ac:dyDescent="0.25">
      <c r="A6168" s="18">
        <v>2234</v>
      </c>
      <c r="B6168" s="4" t="s">
        <v>249</v>
      </c>
      <c r="C6168" s="38" t="s">
        <v>5519</v>
      </c>
      <c r="D6168" s="18">
        <v>2022</v>
      </c>
      <c r="E6168" s="18" t="s">
        <v>0</v>
      </c>
      <c r="F6168" s="4">
        <v>1</v>
      </c>
      <c r="G6168" s="42">
        <v>5</v>
      </c>
      <c r="H6168" s="42">
        <v>24.173999999999999</v>
      </c>
    </row>
    <row r="6169" spans="1:8" s="15" customFormat="1" ht="16.5" hidden="1" customHeight="1" outlineLevel="1" x14ac:dyDescent="0.25">
      <c r="A6169" s="18">
        <v>2237</v>
      </c>
      <c r="B6169" s="4" t="s">
        <v>249</v>
      </c>
      <c r="C6169" s="38" t="s">
        <v>5520</v>
      </c>
      <c r="D6169" s="18">
        <v>2022</v>
      </c>
      <c r="E6169" s="18" t="s">
        <v>0</v>
      </c>
      <c r="F6169" s="4">
        <v>1</v>
      </c>
      <c r="G6169" s="42">
        <v>5</v>
      </c>
      <c r="H6169" s="42">
        <v>23.445</v>
      </c>
    </row>
    <row r="6170" spans="1:8" s="15" customFormat="1" ht="16.5" hidden="1" customHeight="1" outlineLevel="1" x14ac:dyDescent="0.25">
      <c r="A6170" s="18">
        <v>2238</v>
      </c>
      <c r="B6170" s="4" t="s">
        <v>249</v>
      </c>
      <c r="C6170" s="38" t="s">
        <v>5521</v>
      </c>
      <c r="D6170" s="18">
        <v>2022</v>
      </c>
      <c r="E6170" s="18" t="s">
        <v>0</v>
      </c>
      <c r="F6170" s="4">
        <v>1</v>
      </c>
      <c r="G6170" s="42">
        <v>5</v>
      </c>
      <c r="H6170" s="42">
        <v>28.234000000000002</v>
      </c>
    </row>
    <row r="6171" spans="1:8" s="15" customFormat="1" ht="16.5" hidden="1" customHeight="1" outlineLevel="1" x14ac:dyDescent="0.25">
      <c r="A6171" s="18">
        <v>1918</v>
      </c>
      <c r="B6171" s="4" t="s">
        <v>249</v>
      </c>
      <c r="C6171" s="38" t="s">
        <v>5522</v>
      </c>
      <c r="D6171" s="18">
        <v>2022</v>
      </c>
      <c r="E6171" s="18" t="s">
        <v>0</v>
      </c>
      <c r="F6171" s="4">
        <v>1</v>
      </c>
      <c r="G6171" s="42">
        <v>9</v>
      </c>
      <c r="H6171" s="42">
        <v>23.701000000000001</v>
      </c>
    </row>
    <row r="6172" spans="1:8" s="15" customFormat="1" ht="16.5" hidden="1" customHeight="1" outlineLevel="1" x14ac:dyDescent="0.25">
      <c r="A6172" s="18">
        <v>1926</v>
      </c>
      <c r="B6172" s="4" t="s">
        <v>249</v>
      </c>
      <c r="C6172" s="38" t="s">
        <v>5523</v>
      </c>
      <c r="D6172" s="18">
        <v>2022</v>
      </c>
      <c r="E6172" s="18" t="s">
        <v>0</v>
      </c>
      <c r="F6172" s="4">
        <v>1</v>
      </c>
      <c r="G6172" s="42">
        <v>10</v>
      </c>
      <c r="H6172" s="42">
        <v>27.122</v>
      </c>
    </row>
    <row r="6173" spans="1:8" s="15" customFormat="1" ht="16.5" hidden="1" customHeight="1" outlineLevel="1" x14ac:dyDescent="0.25">
      <c r="A6173" s="18">
        <v>1959</v>
      </c>
      <c r="B6173" s="4" t="s">
        <v>249</v>
      </c>
      <c r="C6173" s="38" t="s">
        <v>5524</v>
      </c>
      <c r="D6173" s="18">
        <v>2022</v>
      </c>
      <c r="E6173" s="18" t="s">
        <v>0</v>
      </c>
      <c r="F6173" s="4">
        <v>1</v>
      </c>
      <c r="G6173" s="42">
        <v>10</v>
      </c>
      <c r="H6173" s="42">
        <v>30.64</v>
      </c>
    </row>
    <row r="6174" spans="1:8" s="15" customFormat="1" ht="16.5" hidden="1" customHeight="1" outlineLevel="1" x14ac:dyDescent="0.25">
      <c r="A6174" s="18">
        <v>1978</v>
      </c>
      <c r="B6174" s="4" t="s">
        <v>249</v>
      </c>
      <c r="C6174" s="38" t="s">
        <v>5525</v>
      </c>
      <c r="D6174" s="18">
        <v>2022</v>
      </c>
      <c r="E6174" s="18" t="s">
        <v>0</v>
      </c>
      <c r="F6174" s="4">
        <v>1</v>
      </c>
      <c r="G6174" s="42">
        <v>10</v>
      </c>
      <c r="H6174" s="42">
        <v>33.776000000000003</v>
      </c>
    </row>
    <row r="6175" spans="1:8" s="15" customFormat="1" ht="16.5" hidden="1" customHeight="1" outlineLevel="1" x14ac:dyDescent="0.25">
      <c r="A6175" s="18">
        <v>1989</v>
      </c>
      <c r="B6175" s="4" t="s">
        <v>249</v>
      </c>
      <c r="C6175" s="38" t="s">
        <v>5526</v>
      </c>
      <c r="D6175" s="18">
        <v>2022</v>
      </c>
      <c r="E6175" s="18" t="s">
        <v>0</v>
      </c>
      <c r="F6175" s="4">
        <v>1</v>
      </c>
      <c r="G6175" s="42">
        <v>10</v>
      </c>
      <c r="H6175" s="42">
        <v>21.297000000000001</v>
      </c>
    </row>
    <row r="6176" spans="1:8" s="15" customFormat="1" ht="16.5" hidden="1" customHeight="1" outlineLevel="1" x14ac:dyDescent="0.25">
      <c r="A6176" s="18">
        <v>2001</v>
      </c>
      <c r="B6176" s="4" t="s">
        <v>249</v>
      </c>
      <c r="C6176" s="38" t="s">
        <v>5527</v>
      </c>
      <c r="D6176" s="18">
        <v>2022</v>
      </c>
      <c r="E6176" s="18" t="s">
        <v>0</v>
      </c>
      <c r="F6176" s="4">
        <v>1</v>
      </c>
      <c r="G6176" s="42">
        <v>12</v>
      </c>
      <c r="H6176" s="42">
        <v>29.111999999999998</v>
      </c>
    </row>
    <row r="6177" spans="1:8" s="15" customFormat="1" ht="16.5" hidden="1" customHeight="1" outlineLevel="1" x14ac:dyDescent="0.25">
      <c r="A6177" s="18">
        <v>2103</v>
      </c>
      <c r="B6177" s="4" t="s">
        <v>249</v>
      </c>
      <c r="C6177" s="38" t="s">
        <v>5528</v>
      </c>
      <c r="D6177" s="18">
        <v>2022</v>
      </c>
      <c r="E6177" s="18" t="s">
        <v>0</v>
      </c>
      <c r="F6177" s="4">
        <v>1</v>
      </c>
      <c r="G6177" s="42">
        <v>3</v>
      </c>
      <c r="H6177" s="42">
        <v>30.72</v>
      </c>
    </row>
    <row r="6178" spans="1:8" s="15" customFormat="1" ht="16.5" hidden="1" customHeight="1" outlineLevel="1" x14ac:dyDescent="0.25">
      <c r="A6178" s="18">
        <v>2110</v>
      </c>
      <c r="B6178" s="4" t="s">
        <v>249</v>
      </c>
      <c r="C6178" s="38" t="s">
        <v>5529</v>
      </c>
      <c r="D6178" s="18">
        <v>2022</v>
      </c>
      <c r="E6178" s="18" t="s">
        <v>0</v>
      </c>
      <c r="F6178" s="4">
        <v>1</v>
      </c>
      <c r="G6178" s="42">
        <v>15</v>
      </c>
      <c r="H6178" s="42">
        <v>29.771000000000001</v>
      </c>
    </row>
    <row r="6179" spans="1:8" s="15" customFormat="1" ht="16.5" hidden="1" customHeight="1" outlineLevel="1" x14ac:dyDescent="0.25">
      <c r="A6179" s="18">
        <v>2117</v>
      </c>
      <c r="B6179" s="4" t="s">
        <v>249</v>
      </c>
      <c r="C6179" s="38" t="s">
        <v>5530</v>
      </c>
      <c r="D6179" s="18">
        <v>2022</v>
      </c>
      <c r="E6179" s="18" t="s">
        <v>0</v>
      </c>
      <c r="F6179" s="4">
        <v>1</v>
      </c>
      <c r="G6179" s="42">
        <v>10</v>
      </c>
      <c r="H6179" s="42">
        <v>30.693999999999999</v>
      </c>
    </row>
    <row r="6180" spans="1:8" s="15" customFormat="1" ht="16.5" hidden="1" customHeight="1" outlineLevel="1" x14ac:dyDescent="0.25">
      <c r="A6180" s="18">
        <v>2118</v>
      </c>
      <c r="B6180" s="4" t="s">
        <v>249</v>
      </c>
      <c r="C6180" s="38" t="s">
        <v>5531</v>
      </c>
      <c r="D6180" s="18">
        <v>2022</v>
      </c>
      <c r="E6180" s="18" t="s">
        <v>0</v>
      </c>
      <c r="F6180" s="4">
        <v>1</v>
      </c>
      <c r="G6180" s="42">
        <v>10</v>
      </c>
      <c r="H6180" s="42">
        <v>30.238</v>
      </c>
    </row>
    <row r="6181" spans="1:8" s="15" customFormat="1" ht="16.5" hidden="1" customHeight="1" outlineLevel="1" x14ac:dyDescent="0.25">
      <c r="A6181" s="18">
        <v>2173</v>
      </c>
      <c r="B6181" s="4" t="s">
        <v>249</v>
      </c>
      <c r="C6181" s="38" t="s">
        <v>5532</v>
      </c>
      <c r="D6181" s="18">
        <v>2022</v>
      </c>
      <c r="E6181" s="18" t="s">
        <v>0</v>
      </c>
      <c r="F6181" s="4">
        <v>1</v>
      </c>
      <c r="G6181" s="42">
        <v>8</v>
      </c>
      <c r="H6181" s="42">
        <v>22.859000000000002</v>
      </c>
    </row>
    <row r="6182" spans="1:8" s="15" customFormat="1" ht="16.5" hidden="1" customHeight="1" outlineLevel="1" x14ac:dyDescent="0.25">
      <c r="A6182" s="18">
        <v>2174</v>
      </c>
      <c r="B6182" s="4" t="s">
        <v>249</v>
      </c>
      <c r="C6182" s="38" t="s">
        <v>5533</v>
      </c>
      <c r="D6182" s="18">
        <v>2022</v>
      </c>
      <c r="E6182" s="18" t="s">
        <v>0</v>
      </c>
      <c r="F6182" s="4">
        <v>1</v>
      </c>
      <c r="G6182" s="42">
        <v>10</v>
      </c>
      <c r="H6182" s="42">
        <v>21.690999999999999</v>
      </c>
    </row>
    <row r="6183" spans="1:8" s="15" customFormat="1" ht="16.5" hidden="1" customHeight="1" outlineLevel="1" x14ac:dyDescent="0.25">
      <c r="A6183" s="18">
        <v>2220</v>
      </c>
      <c r="B6183" s="4" t="s">
        <v>249</v>
      </c>
      <c r="C6183" s="38" t="s">
        <v>5534</v>
      </c>
      <c r="D6183" s="18">
        <v>2022</v>
      </c>
      <c r="E6183" s="18" t="s">
        <v>0</v>
      </c>
      <c r="F6183" s="4">
        <v>1</v>
      </c>
      <c r="G6183" s="42">
        <v>14</v>
      </c>
      <c r="H6183" s="42">
        <v>22.605</v>
      </c>
    </row>
    <row r="6184" spans="1:8" s="15" customFormat="1" ht="16.5" hidden="1" customHeight="1" outlineLevel="1" x14ac:dyDescent="0.25">
      <c r="A6184" s="18">
        <v>2247</v>
      </c>
      <c r="B6184" s="4" t="s">
        <v>249</v>
      </c>
      <c r="C6184" s="38" t="s">
        <v>5535</v>
      </c>
      <c r="D6184" s="18">
        <v>2022</v>
      </c>
      <c r="E6184" s="18" t="s">
        <v>0</v>
      </c>
      <c r="F6184" s="4">
        <v>1</v>
      </c>
      <c r="G6184" s="42">
        <v>10</v>
      </c>
      <c r="H6184" s="42">
        <v>145.446</v>
      </c>
    </row>
    <row r="6185" spans="1:8" s="15" customFormat="1" ht="16.5" hidden="1" customHeight="1" outlineLevel="1" x14ac:dyDescent="0.25">
      <c r="A6185" s="18">
        <v>2219</v>
      </c>
      <c r="B6185" s="4" t="s">
        <v>249</v>
      </c>
      <c r="C6185" s="38" t="s">
        <v>5536</v>
      </c>
      <c r="D6185" s="18">
        <v>2022</v>
      </c>
      <c r="E6185" s="18" t="s">
        <v>0</v>
      </c>
      <c r="F6185" s="4">
        <v>1</v>
      </c>
      <c r="G6185" s="42">
        <v>7</v>
      </c>
      <c r="H6185" s="42">
        <v>30.631</v>
      </c>
    </row>
    <row r="6186" spans="1:8" s="15" customFormat="1" ht="16.5" hidden="1" customHeight="1" outlineLevel="1" x14ac:dyDescent="0.25">
      <c r="A6186" s="18">
        <v>2350</v>
      </c>
      <c r="B6186" s="4" t="s">
        <v>249</v>
      </c>
      <c r="C6186" s="38" t="s">
        <v>5537</v>
      </c>
      <c r="D6186" s="18">
        <v>2022</v>
      </c>
      <c r="E6186" s="18" t="s">
        <v>0</v>
      </c>
      <c r="F6186" s="4">
        <v>1</v>
      </c>
      <c r="G6186" s="42">
        <v>15</v>
      </c>
      <c r="H6186" s="42">
        <v>26.317</v>
      </c>
    </row>
    <row r="6187" spans="1:8" s="15" customFormat="1" ht="16.5" hidden="1" customHeight="1" outlineLevel="1" x14ac:dyDescent="0.25">
      <c r="A6187" s="18">
        <v>1900</v>
      </c>
      <c r="B6187" s="4" t="s">
        <v>249</v>
      </c>
      <c r="C6187" s="38" t="s">
        <v>5538</v>
      </c>
      <c r="D6187" s="18">
        <v>2022</v>
      </c>
      <c r="E6187" s="18" t="s">
        <v>0</v>
      </c>
      <c r="F6187" s="4">
        <v>1</v>
      </c>
      <c r="G6187" s="42">
        <v>10</v>
      </c>
      <c r="H6187" s="42">
        <v>24.808</v>
      </c>
    </row>
    <row r="6188" spans="1:8" s="15" customFormat="1" ht="16.5" hidden="1" customHeight="1" outlineLevel="1" x14ac:dyDescent="0.25">
      <c r="A6188" s="18">
        <v>1925</v>
      </c>
      <c r="B6188" s="4" t="s">
        <v>249</v>
      </c>
      <c r="C6188" s="38" t="s">
        <v>5539</v>
      </c>
      <c r="D6188" s="18">
        <v>2022</v>
      </c>
      <c r="E6188" s="18" t="s">
        <v>0</v>
      </c>
      <c r="F6188" s="4">
        <v>1</v>
      </c>
      <c r="G6188" s="42">
        <v>8</v>
      </c>
      <c r="H6188" s="42">
        <v>29.231000000000002</v>
      </c>
    </row>
    <row r="6189" spans="1:8" s="15" customFormat="1" ht="16.5" hidden="1" customHeight="1" outlineLevel="1" x14ac:dyDescent="0.25">
      <c r="A6189" s="18">
        <v>1948</v>
      </c>
      <c r="B6189" s="4" t="s">
        <v>249</v>
      </c>
      <c r="C6189" s="38" t="s">
        <v>5540</v>
      </c>
      <c r="D6189" s="18">
        <v>2022</v>
      </c>
      <c r="E6189" s="18" t="s">
        <v>0</v>
      </c>
      <c r="F6189" s="4">
        <v>3</v>
      </c>
      <c r="G6189" s="42">
        <v>40</v>
      </c>
      <c r="H6189" s="42">
        <v>101.179</v>
      </c>
    </row>
    <row r="6190" spans="1:8" s="15" customFormat="1" ht="16.5" hidden="1" customHeight="1" outlineLevel="1" x14ac:dyDescent="0.25">
      <c r="A6190" s="18">
        <v>1954</v>
      </c>
      <c r="B6190" s="4" t="s">
        <v>249</v>
      </c>
      <c r="C6190" s="38" t="s">
        <v>5541</v>
      </c>
      <c r="D6190" s="18">
        <v>2022</v>
      </c>
      <c r="E6190" s="18" t="s">
        <v>0</v>
      </c>
      <c r="F6190" s="4">
        <v>1</v>
      </c>
      <c r="G6190" s="42">
        <v>15</v>
      </c>
      <c r="H6190" s="42">
        <v>25.376000000000001</v>
      </c>
    </row>
    <row r="6191" spans="1:8" s="15" customFormat="1" ht="16.5" hidden="1" customHeight="1" outlineLevel="1" x14ac:dyDescent="0.25">
      <c r="A6191" s="18">
        <v>1966</v>
      </c>
      <c r="B6191" s="4" t="s">
        <v>249</v>
      </c>
      <c r="C6191" s="38" t="s">
        <v>5542</v>
      </c>
      <c r="D6191" s="18">
        <v>2022</v>
      </c>
      <c r="E6191" s="18" t="s">
        <v>0</v>
      </c>
      <c r="F6191" s="4">
        <v>1</v>
      </c>
      <c r="G6191" s="42">
        <v>2</v>
      </c>
      <c r="H6191" s="42">
        <v>31.016999999999999</v>
      </c>
    </row>
    <row r="6192" spans="1:8" s="15" customFormat="1" ht="16.5" hidden="1" customHeight="1" outlineLevel="1" x14ac:dyDescent="0.25">
      <c r="A6192" s="18">
        <v>1968</v>
      </c>
      <c r="B6192" s="4" t="s">
        <v>249</v>
      </c>
      <c r="C6192" s="38" t="s">
        <v>5543</v>
      </c>
      <c r="D6192" s="18">
        <v>2022</v>
      </c>
      <c r="E6192" s="18" t="s">
        <v>0</v>
      </c>
      <c r="F6192" s="4">
        <v>1</v>
      </c>
      <c r="G6192" s="42">
        <v>15</v>
      </c>
      <c r="H6192" s="42">
        <v>24.184000000000001</v>
      </c>
    </row>
    <row r="6193" spans="1:8" s="15" customFormat="1" ht="16.5" hidden="1" customHeight="1" outlineLevel="1" x14ac:dyDescent="0.25">
      <c r="A6193" s="18">
        <v>1973</v>
      </c>
      <c r="B6193" s="4" t="s">
        <v>249</v>
      </c>
      <c r="C6193" s="38" t="s">
        <v>5544</v>
      </c>
      <c r="D6193" s="18">
        <v>2022</v>
      </c>
      <c r="E6193" s="18" t="s">
        <v>0</v>
      </c>
      <c r="F6193" s="4">
        <v>1</v>
      </c>
      <c r="G6193" s="42">
        <v>15</v>
      </c>
      <c r="H6193" s="42">
        <v>29.593</v>
      </c>
    </row>
    <row r="6194" spans="1:8" s="15" customFormat="1" ht="16.5" hidden="1" customHeight="1" outlineLevel="1" x14ac:dyDescent="0.25">
      <c r="A6194" s="18">
        <v>1990</v>
      </c>
      <c r="B6194" s="4" t="s">
        <v>249</v>
      </c>
      <c r="C6194" s="38" t="s">
        <v>5545</v>
      </c>
      <c r="D6194" s="18">
        <v>2022</v>
      </c>
      <c r="E6194" s="18" t="s">
        <v>0</v>
      </c>
      <c r="F6194" s="4">
        <v>1</v>
      </c>
      <c r="G6194" s="42">
        <v>6</v>
      </c>
      <c r="H6194" s="42">
        <v>23.814</v>
      </c>
    </row>
    <row r="6195" spans="1:8" s="15" customFormat="1" ht="16.5" hidden="1" customHeight="1" outlineLevel="1" x14ac:dyDescent="0.25">
      <c r="A6195" s="18">
        <v>2060</v>
      </c>
      <c r="B6195" s="4" t="s">
        <v>249</v>
      </c>
      <c r="C6195" s="38" t="s">
        <v>5546</v>
      </c>
      <c r="D6195" s="18">
        <v>2022</v>
      </c>
      <c r="E6195" s="18" t="s">
        <v>0</v>
      </c>
      <c r="F6195" s="4">
        <v>1</v>
      </c>
      <c r="G6195" s="42">
        <v>10</v>
      </c>
      <c r="H6195" s="42">
        <v>18.728999999999999</v>
      </c>
    </row>
    <row r="6196" spans="1:8" s="15" customFormat="1" ht="16.5" hidden="1" customHeight="1" outlineLevel="1" x14ac:dyDescent="0.25">
      <c r="A6196" s="18">
        <v>2325</v>
      </c>
      <c r="B6196" s="4" t="s">
        <v>249</v>
      </c>
      <c r="C6196" s="38" t="s">
        <v>5547</v>
      </c>
      <c r="D6196" s="18">
        <v>2022</v>
      </c>
      <c r="E6196" s="18" t="s">
        <v>0</v>
      </c>
      <c r="F6196" s="4">
        <v>1</v>
      </c>
      <c r="G6196" s="42">
        <v>8</v>
      </c>
      <c r="H6196" s="42">
        <v>20.140999999999998</v>
      </c>
    </row>
    <row r="6197" spans="1:8" s="15" customFormat="1" ht="16.5" hidden="1" customHeight="1" outlineLevel="1" x14ac:dyDescent="0.25">
      <c r="A6197" s="18">
        <v>2403</v>
      </c>
      <c r="B6197" s="4" t="s">
        <v>249</v>
      </c>
      <c r="C6197" s="38" t="s">
        <v>5548</v>
      </c>
      <c r="D6197" s="18">
        <v>2022</v>
      </c>
      <c r="E6197" s="18" t="s">
        <v>0</v>
      </c>
      <c r="F6197" s="4">
        <v>1</v>
      </c>
      <c r="G6197" s="42">
        <v>4</v>
      </c>
      <c r="H6197" s="42">
        <v>22.509</v>
      </c>
    </row>
    <row r="6198" spans="1:8" s="15" customFormat="1" ht="16.5" hidden="1" customHeight="1" outlineLevel="1" x14ac:dyDescent="0.25">
      <c r="A6198" s="18">
        <v>1907</v>
      </c>
      <c r="B6198" s="4" t="s">
        <v>249</v>
      </c>
      <c r="C6198" s="38" t="s">
        <v>5549</v>
      </c>
      <c r="D6198" s="18">
        <v>2022</v>
      </c>
      <c r="E6198" s="18" t="s">
        <v>0</v>
      </c>
      <c r="F6198" s="4">
        <v>2</v>
      </c>
      <c r="G6198" s="42">
        <v>22</v>
      </c>
      <c r="H6198" s="42">
        <v>51.567</v>
      </c>
    </row>
    <row r="6199" spans="1:8" s="15" customFormat="1" ht="16.5" hidden="1" customHeight="1" outlineLevel="1" x14ac:dyDescent="0.25">
      <c r="A6199" s="18">
        <v>1940</v>
      </c>
      <c r="B6199" s="4" t="s">
        <v>249</v>
      </c>
      <c r="C6199" s="38" t="s">
        <v>4205</v>
      </c>
      <c r="D6199" s="18">
        <v>2022</v>
      </c>
      <c r="E6199" s="18" t="s">
        <v>0</v>
      </c>
      <c r="F6199" s="4">
        <v>1</v>
      </c>
      <c r="G6199" s="42">
        <v>10</v>
      </c>
      <c r="H6199" s="42">
        <v>31.672000000000001</v>
      </c>
    </row>
    <row r="6200" spans="1:8" s="15" customFormat="1" ht="16.5" hidden="1" customHeight="1" outlineLevel="1" x14ac:dyDescent="0.25">
      <c r="A6200" s="18">
        <v>1957</v>
      </c>
      <c r="B6200" s="4" t="s">
        <v>249</v>
      </c>
      <c r="C6200" s="38" t="s">
        <v>5550</v>
      </c>
      <c r="D6200" s="18">
        <v>2022</v>
      </c>
      <c r="E6200" s="18" t="s">
        <v>0</v>
      </c>
      <c r="F6200" s="4">
        <v>1</v>
      </c>
      <c r="G6200" s="42">
        <v>10</v>
      </c>
      <c r="H6200" s="42">
        <v>21.888000000000002</v>
      </c>
    </row>
    <row r="6201" spans="1:8" s="15" customFormat="1" ht="16.5" hidden="1" customHeight="1" outlineLevel="1" x14ac:dyDescent="0.25">
      <c r="A6201" s="18">
        <v>1994</v>
      </c>
      <c r="B6201" s="4" t="s">
        <v>249</v>
      </c>
      <c r="C6201" s="38" t="s">
        <v>5551</v>
      </c>
      <c r="D6201" s="18">
        <v>2022</v>
      </c>
      <c r="E6201" s="18" t="s">
        <v>0</v>
      </c>
      <c r="F6201" s="4">
        <v>1</v>
      </c>
      <c r="G6201" s="42">
        <v>10</v>
      </c>
      <c r="H6201" s="42">
        <v>17.306999999999999</v>
      </c>
    </row>
    <row r="6202" spans="1:8" s="15" customFormat="1" ht="16.5" hidden="1" customHeight="1" outlineLevel="1" x14ac:dyDescent="0.25">
      <c r="A6202" s="18">
        <v>2037</v>
      </c>
      <c r="B6202" s="4" t="s">
        <v>249</v>
      </c>
      <c r="C6202" s="38" t="s">
        <v>5552</v>
      </c>
      <c r="D6202" s="18">
        <v>2022</v>
      </c>
      <c r="E6202" s="18" t="s">
        <v>0</v>
      </c>
      <c r="F6202" s="4">
        <v>1</v>
      </c>
      <c r="G6202" s="42">
        <v>10</v>
      </c>
      <c r="H6202" s="42">
        <v>21.841000000000001</v>
      </c>
    </row>
    <row r="6203" spans="1:8" s="15" customFormat="1" ht="16.5" hidden="1" customHeight="1" outlineLevel="1" x14ac:dyDescent="0.25">
      <c r="A6203" s="18">
        <v>2058</v>
      </c>
      <c r="B6203" s="4" t="s">
        <v>249</v>
      </c>
      <c r="C6203" s="38" t="s">
        <v>5553</v>
      </c>
      <c r="D6203" s="18">
        <v>2022</v>
      </c>
      <c r="E6203" s="18" t="s">
        <v>0</v>
      </c>
      <c r="F6203" s="4">
        <v>1</v>
      </c>
      <c r="G6203" s="42">
        <v>15</v>
      </c>
      <c r="H6203" s="42">
        <v>29.998999999999999</v>
      </c>
    </row>
    <row r="6204" spans="1:8" s="15" customFormat="1" ht="16.5" hidden="1" customHeight="1" outlineLevel="1" x14ac:dyDescent="0.25">
      <c r="A6204" s="18">
        <v>2059</v>
      </c>
      <c r="B6204" s="4" t="s">
        <v>249</v>
      </c>
      <c r="C6204" s="38" t="s">
        <v>5554</v>
      </c>
      <c r="D6204" s="18">
        <v>2022</v>
      </c>
      <c r="E6204" s="18" t="s">
        <v>0</v>
      </c>
      <c r="F6204" s="4">
        <v>1</v>
      </c>
      <c r="G6204" s="42">
        <v>15</v>
      </c>
      <c r="H6204" s="42">
        <v>17.158000000000001</v>
      </c>
    </row>
    <row r="6205" spans="1:8" s="15" customFormat="1" ht="16.5" hidden="1" customHeight="1" outlineLevel="1" x14ac:dyDescent="0.25">
      <c r="A6205" s="18">
        <v>2071</v>
      </c>
      <c r="B6205" s="4" t="s">
        <v>249</v>
      </c>
      <c r="C6205" s="38" t="s">
        <v>5555</v>
      </c>
      <c r="D6205" s="18">
        <v>2022</v>
      </c>
      <c r="E6205" s="18" t="s">
        <v>0</v>
      </c>
      <c r="F6205" s="4">
        <v>1</v>
      </c>
      <c r="G6205" s="42">
        <v>15</v>
      </c>
      <c r="H6205" s="42">
        <v>41.183</v>
      </c>
    </row>
    <row r="6206" spans="1:8" s="15" customFormat="1" ht="16.5" hidden="1" customHeight="1" outlineLevel="1" x14ac:dyDescent="0.25">
      <c r="A6206" s="18">
        <v>2083</v>
      </c>
      <c r="B6206" s="4" t="s">
        <v>249</v>
      </c>
      <c r="C6206" s="38" t="s">
        <v>5556</v>
      </c>
      <c r="D6206" s="18">
        <v>2022</v>
      </c>
      <c r="E6206" s="18" t="s">
        <v>0</v>
      </c>
      <c r="F6206" s="4">
        <v>1</v>
      </c>
      <c r="G6206" s="42">
        <v>10</v>
      </c>
      <c r="H6206" s="42">
        <v>22.093</v>
      </c>
    </row>
    <row r="6207" spans="1:8" s="15" customFormat="1" ht="16.5" hidden="1" customHeight="1" outlineLevel="1" x14ac:dyDescent="0.25">
      <c r="A6207" s="18">
        <v>2107</v>
      </c>
      <c r="B6207" s="4" t="s">
        <v>249</v>
      </c>
      <c r="C6207" s="38" t="s">
        <v>5557</v>
      </c>
      <c r="D6207" s="18">
        <v>2022</v>
      </c>
      <c r="E6207" s="18" t="s">
        <v>0</v>
      </c>
      <c r="F6207" s="4">
        <v>1</v>
      </c>
      <c r="G6207" s="42">
        <v>10</v>
      </c>
      <c r="H6207" s="42">
        <v>30.376999999999999</v>
      </c>
    </row>
    <row r="6208" spans="1:8" s="15" customFormat="1" ht="16.5" hidden="1" customHeight="1" outlineLevel="1" x14ac:dyDescent="0.25">
      <c r="A6208" s="18">
        <v>2107</v>
      </c>
      <c r="B6208" s="4" t="s">
        <v>249</v>
      </c>
      <c r="C6208" s="38" t="s">
        <v>5557</v>
      </c>
      <c r="D6208" s="18">
        <v>2022</v>
      </c>
      <c r="E6208" s="18" t="s">
        <v>0</v>
      </c>
      <c r="F6208" s="4">
        <v>1</v>
      </c>
      <c r="G6208" s="42">
        <v>10</v>
      </c>
      <c r="H6208" s="42">
        <v>30.376999999999999</v>
      </c>
    </row>
    <row r="6209" spans="1:8" s="15" customFormat="1" ht="16.5" hidden="1" customHeight="1" outlineLevel="1" x14ac:dyDescent="0.25">
      <c r="A6209" s="18">
        <v>2121</v>
      </c>
      <c r="B6209" s="4" t="s">
        <v>249</v>
      </c>
      <c r="C6209" s="38" t="s">
        <v>5558</v>
      </c>
      <c r="D6209" s="18">
        <v>2022</v>
      </c>
      <c r="E6209" s="18" t="s">
        <v>0</v>
      </c>
      <c r="F6209" s="4">
        <v>1</v>
      </c>
      <c r="G6209" s="42">
        <v>7</v>
      </c>
      <c r="H6209" s="42">
        <v>22.594999999999999</v>
      </c>
    </row>
    <row r="6210" spans="1:8" s="15" customFormat="1" ht="16.5" hidden="1" customHeight="1" outlineLevel="1" x14ac:dyDescent="0.25">
      <c r="A6210" s="18">
        <v>2140</v>
      </c>
      <c r="B6210" s="4" t="s">
        <v>249</v>
      </c>
      <c r="C6210" s="38" t="s">
        <v>5559</v>
      </c>
      <c r="D6210" s="18">
        <v>2022</v>
      </c>
      <c r="E6210" s="18" t="s">
        <v>0</v>
      </c>
      <c r="F6210" s="4">
        <v>1</v>
      </c>
      <c r="G6210" s="42">
        <v>10</v>
      </c>
      <c r="H6210" s="42">
        <v>30.58</v>
      </c>
    </row>
    <row r="6211" spans="1:8" s="15" customFormat="1" ht="16.5" hidden="1" customHeight="1" outlineLevel="1" x14ac:dyDescent="0.25">
      <c r="A6211" s="18">
        <v>2145</v>
      </c>
      <c r="B6211" s="4" t="s">
        <v>249</v>
      </c>
      <c r="C6211" s="38" t="s">
        <v>5560</v>
      </c>
      <c r="D6211" s="18">
        <v>2022</v>
      </c>
      <c r="E6211" s="18" t="s">
        <v>0</v>
      </c>
      <c r="F6211" s="4">
        <v>1</v>
      </c>
      <c r="G6211" s="42">
        <v>15</v>
      </c>
      <c r="H6211" s="42">
        <v>22.675999999999998</v>
      </c>
    </row>
    <row r="6212" spans="1:8" s="15" customFormat="1" ht="16.5" hidden="1" customHeight="1" outlineLevel="1" x14ac:dyDescent="0.25">
      <c r="A6212" s="18">
        <v>1827</v>
      </c>
      <c r="B6212" s="4" t="s">
        <v>249</v>
      </c>
      <c r="C6212" s="38" t="s">
        <v>5561</v>
      </c>
      <c r="D6212" s="18">
        <v>2022</v>
      </c>
      <c r="E6212" s="18" t="s">
        <v>0</v>
      </c>
      <c r="F6212" s="4">
        <v>1</v>
      </c>
      <c r="G6212" s="42">
        <v>5</v>
      </c>
      <c r="H6212" s="42">
        <v>34.566100000000006</v>
      </c>
    </row>
    <row r="6213" spans="1:8" s="15" customFormat="1" ht="16.5" hidden="1" customHeight="1" outlineLevel="1" x14ac:dyDescent="0.25">
      <c r="A6213" s="18">
        <v>1851</v>
      </c>
      <c r="B6213" s="4" t="s">
        <v>249</v>
      </c>
      <c r="C6213" s="38" t="s">
        <v>5562</v>
      </c>
      <c r="D6213" s="18">
        <v>2022</v>
      </c>
      <c r="E6213" s="18" t="s">
        <v>0</v>
      </c>
      <c r="F6213" s="4">
        <v>3</v>
      </c>
      <c r="G6213" s="42">
        <v>40</v>
      </c>
      <c r="H6213" s="42">
        <v>77.457820000000012</v>
      </c>
    </row>
    <row r="6214" spans="1:8" s="15" customFormat="1" ht="16.5" hidden="1" customHeight="1" outlineLevel="1" x14ac:dyDescent="0.25">
      <c r="A6214" s="18">
        <v>1852</v>
      </c>
      <c r="B6214" s="4" t="s">
        <v>249</v>
      </c>
      <c r="C6214" s="38" t="s">
        <v>5563</v>
      </c>
      <c r="D6214" s="18">
        <v>2022</v>
      </c>
      <c r="E6214" s="18" t="s">
        <v>0</v>
      </c>
      <c r="F6214" s="4">
        <v>6</v>
      </c>
      <c r="G6214" s="42">
        <v>67.5</v>
      </c>
      <c r="H6214" s="42">
        <v>130.98456999999999</v>
      </c>
    </row>
    <row r="6215" spans="1:8" s="15" customFormat="1" ht="16.5" hidden="1" customHeight="1" outlineLevel="1" x14ac:dyDescent="0.25">
      <c r="A6215" s="18">
        <v>1859</v>
      </c>
      <c r="B6215" s="4" t="s">
        <v>249</v>
      </c>
      <c r="C6215" s="38" t="s">
        <v>5564</v>
      </c>
      <c r="D6215" s="18">
        <v>2022</v>
      </c>
      <c r="E6215" s="18" t="s">
        <v>0</v>
      </c>
      <c r="F6215" s="4">
        <v>8</v>
      </c>
      <c r="G6215" s="42">
        <v>107</v>
      </c>
      <c r="H6215" s="42">
        <v>235.32007999999999</v>
      </c>
    </row>
    <row r="6216" spans="1:8" s="15" customFormat="1" ht="16.5" hidden="1" customHeight="1" outlineLevel="1" x14ac:dyDescent="0.25">
      <c r="A6216" s="18">
        <v>1863</v>
      </c>
      <c r="B6216" s="4" t="s">
        <v>249</v>
      </c>
      <c r="C6216" s="38" t="s">
        <v>5565</v>
      </c>
      <c r="D6216" s="18">
        <v>2022</v>
      </c>
      <c r="E6216" s="18" t="s">
        <v>0</v>
      </c>
      <c r="F6216" s="4">
        <v>6</v>
      </c>
      <c r="G6216" s="42">
        <v>85</v>
      </c>
      <c r="H6216" s="42">
        <v>172.26665000000003</v>
      </c>
    </row>
    <row r="6217" spans="1:8" s="15" customFormat="1" ht="16.5" hidden="1" customHeight="1" outlineLevel="1" x14ac:dyDescent="0.25">
      <c r="A6217" s="18">
        <v>1901</v>
      </c>
      <c r="B6217" s="4" t="s">
        <v>249</v>
      </c>
      <c r="C6217" s="38" t="s">
        <v>5566</v>
      </c>
      <c r="D6217" s="18">
        <v>2022</v>
      </c>
      <c r="E6217" s="18" t="s">
        <v>0</v>
      </c>
      <c r="F6217" s="4">
        <v>2</v>
      </c>
      <c r="G6217" s="42">
        <v>20</v>
      </c>
      <c r="H6217" s="42">
        <v>58.054419999999986</v>
      </c>
    </row>
    <row r="6218" spans="1:8" s="15" customFormat="1" ht="16.5" hidden="1" customHeight="1" outlineLevel="1" x14ac:dyDescent="0.25">
      <c r="A6218" s="18">
        <v>1904</v>
      </c>
      <c r="B6218" s="4" t="s">
        <v>249</v>
      </c>
      <c r="C6218" s="38" t="s">
        <v>5567</v>
      </c>
      <c r="D6218" s="18">
        <v>2022</v>
      </c>
      <c r="E6218" s="18" t="s">
        <v>0</v>
      </c>
      <c r="F6218" s="4">
        <v>3</v>
      </c>
      <c r="G6218" s="42">
        <v>35</v>
      </c>
      <c r="H6218" s="42">
        <v>75.979409999999987</v>
      </c>
    </row>
    <row r="6219" spans="1:8" s="15" customFormat="1" ht="16.5" hidden="1" customHeight="1" outlineLevel="1" x14ac:dyDescent="0.25">
      <c r="A6219" s="18">
        <v>2244</v>
      </c>
      <c r="B6219" s="4" t="s">
        <v>249</v>
      </c>
      <c r="C6219" s="38" t="s">
        <v>4135</v>
      </c>
      <c r="D6219" s="18">
        <v>2022</v>
      </c>
      <c r="E6219" s="18" t="s">
        <v>0</v>
      </c>
      <c r="F6219" s="4">
        <v>1</v>
      </c>
      <c r="G6219" s="42">
        <v>15</v>
      </c>
      <c r="H6219" s="42">
        <v>40.64676</v>
      </c>
    </row>
    <row r="6220" spans="1:8" s="15" customFormat="1" ht="16.5" hidden="1" customHeight="1" outlineLevel="1" x14ac:dyDescent="0.25">
      <c r="A6220" s="18">
        <v>2245</v>
      </c>
      <c r="B6220" s="4" t="s">
        <v>249</v>
      </c>
      <c r="C6220" s="38" t="s">
        <v>4136</v>
      </c>
      <c r="D6220" s="18">
        <v>2022</v>
      </c>
      <c r="E6220" s="18" t="s">
        <v>0</v>
      </c>
      <c r="F6220" s="4">
        <v>1</v>
      </c>
      <c r="G6220" s="42">
        <v>10</v>
      </c>
      <c r="H6220" s="42">
        <v>32.999069999999996</v>
      </c>
    </row>
    <row r="6221" spans="1:8" s="15" customFormat="1" ht="16.5" hidden="1" customHeight="1" outlineLevel="1" x14ac:dyDescent="0.25">
      <c r="A6221" s="18">
        <v>2300</v>
      </c>
      <c r="B6221" s="4" t="s">
        <v>249</v>
      </c>
      <c r="C6221" s="38" t="s">
        <v>5568</v>
      </c>
      <c r="D6221" s="18">
        <v>2022</v>
      </c>
      <c r="E6221" s="18" t="s">
        <v>0</v>
      </c>
      <c r="F6221" s="4">
        <v>1</v>
      </c>
      <c r="G6221" s="42">
        <v>5</v>
      </c>
      <c r="H6221" s="42">
        <v>23.992249999999999</v>
      </c>
    </row>
    <row r="6222" spans="1:8" s="15" customFormat="1" ht="16.5" hidden="1" customHeight="1" outlineLevel="1" x14ac:dyDescent="0.25">
      <c r="A6222" s="18">
        <v>2301</v>
      </c>
      <c r="B6222" s="4" t="s">
        <v>249</v>
      </c>
      <c r="C6222" s="38" t="s">
        <v>5569</v>
      </c>
      <c r="D6222" s="18">
        <v>2022</v>
      </c>
      <c r="E6222" s="18" t="s">
        <v>0</v>
      </c>
      <c r="F6222" s="4">
        <v>1</v>
      </c>
      <c r="G6222" s="42">
        <v>10</v>
      </c>
      <c r="H6222" s="42">
        <v>30.608720000000002</v>
      </c>
    </row>
    <row r="6223" spans="1:8" s="15" customFormat="1" ht="16.5" hidden="1" customHeight="1" outlineLevel="1" x14ac:dyDescent="0.25">
      <c r="A6223" s="18">
        <v>2302</v>
      </c>
      <c r="B6223" s="4" t="s">
        <v>249</v>
      </c>
      <c r="C6223" s="38" t="s">
        <v>5570</v>
      </c>
      <c r="D6223" s="18">
        <v>2022</v>
      </c>
      <c r="E6223" s="18" t="s">
        <v>0</v>
      </c>
      <c r="F6223" s="4">
        <v>1</v>
      </c>
      <c r="G6223" s="42">
        <v>5</v>
      </c>
      <c r="H6223" s="42">
        <v>25.087910000000001</v>
      </c>
    </row>
    <row r="6224" spans="1:8" s="15" customFormat="1" ht="16.5" hidden="1" customHeight="1" outlineLevel="1" x14ac:dyDescent="0.25">
      <c r="A6224" s="18">
        <v>2303</v>
      </c>
      <c r="B6224" s="4" t="s">
        <v>249</v>
      </c>
      <c r="C6224" s="38" t="s">
        <v>5571</v>
      </c>
      <c r="D6224" s="18">
        <v>2022</v>
      </c>
      <c r="E6224" s="18" t="s">
        <v>0</v>
      </c>
      <c r="F6224" s="4">
        <v>1</v>
      </c>
      <c r="G6224" s="42">
        <v>5</v>
      </c>
      <c r="H6224" s="42">
        <v>35.117590000000007</v>
      </c>
    </row>
    <row r="6225" spans="1:8" s="15" customFormat="1" ht="16.5" hidden="1" customHeight="1" outlineLevel="1" x14ac:dyDescent="0.25">
      <c r="A6225" s="18">
        <v>2305</v>
      </c>
      <c r="B6225" s="4" t="s">
        <v>249</v>
      </c>
      <c r="C6225" s="38" t="s">
        <v>5572</v>
      </c>
      <c r="D6225" s="18">
        <v>2022</v>
      </c>
      <c r="E6225" s="18" t="s">
        <v>0</v>
      </c>
      <c r="F6225" s="4">
        <v>1</v>
      </c>
      <c r="G6225" s="42">
        <v>15</v>
      </c>
      <c r="H6225" s="42">
        <v>36.692259999999997</v>
      </c>
    </row>
    <row r="6226" spans="1:8" s="15" customFormat="1" ht="16.5" hidden="1" customHeight="1" outlineLevel="1" x14ac:dyDescent="0.25">
      <c r="A6226" s="18">
        <v>2306</v>
      </c>
      <c r="B6226" s="4" t="s">
        <v>249</v>
      </c>
      <c r="C6226" s="38" t="s">
        <v>5573</v>
      </c>
      <c r="D6226" s="18">
        <v>2022</v>
      </c>
      <c r="E6226" s="18" t="s">
        <v>0</v>
      </c>
      <c r="F6226" s="4">
        <v>1</v>
      </c>
      <c r="G6226" s="42">
        <v>3</v>
      </c>
      <c r="H6226" s="42">
        <v>18.117760000000004</v>
      </c>
    </row>
    <row r="6227" spans="1:8" s="15" customFormat="1" ht="16.5" hidden="1" customHeight="1" outlineLevel="1" x14ac:dyDescent="0.25">
      <c r="A6227" s="18">
        <v>2307</v>
      </c>
      <c r="B6227" s="4" t="s">
        <v>249</v>
      </c>
      <c r="C6227" s="38" t="s">
        <v>5574</v>
      </c>
      <c r="D6227" s="18">
        <v>2022</v>
      </c>
      <c r="E6227" s="18" t="s">
        <v>0</v>
      </c>
      <c r="F6227" s="4">
        <v>1</v>
      </c>
      <c r="G6227" s="42">
        <v>15</v>
      </c>
      <c r="H6227" s="42">
        <v>35.982549999999996</v>
      </c>
    </row>
    <row r="6228" spans="1:8" s="15" customFormat="1" ht="16.5" hidden="1" customHeight="1" outlineLevel="1" x14ac:dyDescent="0.25">
      <c r="A6228" s="18">
        <v>2310</v>
      </c>
      <c r="B6228" s="4" t="s">
        <v>249</v>
      </c>
      <c r="C6228" s="38" t="s">
        <v>5575</v>
      </c>
      <c r="D6228" s="18">
        <v>2022</v>
      </c>
      <c r="E6228" s="18" t="s">
        <v>0</v>
      </c>
      <c r="F6228" s="4">
        <v>1</v>
      </c>
      <c r="G6228" s="42">
        <v>5</v>
      </c>
      <c r="H6228" s="42">
        <v>31.939169999999997</v>
      </c>
    </row>
    <row r="6229" spans="1:8" s="15" customFormat="1" ht="16.5" hidden="1" customHeight="1" outlineLevel="1" x14ac:dyDescent="0.25">
      <c r="A6229" s="18">
        <v>2311</v>
      </c>
      <c r="B6229" s="4" t="s">
        <v>249</v>
      </c>
      <c r="C6229" s="38" t="s">
        <v>5576</v>
      </c>
      <c r="D6229" s="18">
        <v>2022</v>
      </c>
      <c r="E6229" s="18" t="s">
        <v>0</v>
      </c>
      <c r="F6229" s="4">
        <v>1</v>
      </c>
      <c r="G6229" s="42">
        <v>15</v>
      </c>
      <c r="H6229" s="42">
        <v>34.609090000000002</v>
      </c>
    </row>
    <row r="6230" spans="1:8" s="15" customFormat="1" ht="16.5" hidden="1" customHeight="1" outlineLevel="1" x14ac:dyDescent="0.25">
      <c r="A6230" s="18">
        <v>2312</v>
      </c>
      <c r="B6230" s="4" t="s">
        <v>249</v>
      </c>
      <c r="C6230" s="38" t="s">
        <v>5577</v>
      </c>
      <c r="D6230" s="18">
        <v>2022</v>
      </c>
      <c r="E6230" s="18" t="s">
        <v>0</v>
      </c>
      <c r="F6230" s="4">
        <v>1</v>
      </c>
      <c r="G6230" s="42">
        <v>5</v>
      </c>
      <c r="H6230" s="42">
        <v>25.525409999999994</v>
      </c>
    </row>
    <row r="6231" spans="1:8" s="15" customFormat="1" ht="16.5" hidden="1" customHeight="1" outlineLevel="1" x14ac:dyDescent="0.25">
      <c r="A6231" s="18">
        <v>2316</v>
      </c>
      <c r="B6231" s="4" t="s">
        <v>249</v>
      </c>
      <c r="C6231" s="38" t="s">
        <v>4137</v>
      </c>
      <c r="D6231" s="18">
        <v>2022</v>
      </c>
      <c r="E6231" s="18" t="s">
        <v>0</v>
      </c>
      <c r="F6231" s="4">
        <v>1</v>
      </c>
      <c r="G6231" s="42">
        <v>12</v>
      </c>
      <c r="H6231" s="42">
        <v>18.842790000000001</v>
      </c>
    </row>
    <row r="6232" spans="1:8" s="15" customFormat="1" ht="16.5" hidden="1" customHeight="1" outlineLevel="1" x14ac:dyDescent="0.25">
      <c r="A6232" s="18">
        <v>2318</v>
      </c>
      <c r="B6232" s="4" t="s">
        <v>249</v>
      </c>
      <c r="C6232" s="38" t="s">
        <v>4138</v>
      </c>
      <c r="D6232" s="18">
        <v>2022</v>
      </c>
      <c r="E6232" s="18" t="s">
        <v>0</v>
      </c>
      <c r="F6232" s="4">
        <v>1</v>
      </c>
      <c r="G6232" s="42">
        <v>15</v>
      </c>
      <c r="H6232" s="42">
        <v>16.94023</v>
      </c>
    </row>
    <row r="6233" spans="1:8" s="15" customFormat="1" ht="16.5" hidden="1" customHeight="1" outlineLevel="1" x14ac:dyDescent="0.25">
      <c r="A6233" s="18">
        <v>2319</v>
      </c>
      <c r="B6233" s="4" t="s">
        <v>249</v>
      </c>
      <c r="C6233" s="38" t="s">
        <v>4139</v>
      </c>
      <c r="D6233" s="18">
        <v>2022</v>
      </c>
      <c r="E6233" s="18" t="s">
        <v>0</v>
      </c>
      <c r="F6233" s="4">
        <v>1</v>
      </c>
      <c r="G6233" s="42">
        <v>15</v>
      </c>
      <c r="H6233" s="42">
        <v>15.697679999999998</v>
      </c>
    </row>
    <row r="6234" spans="1:8" s="15" customFormat="1" ht="16.5" hidden="1" customHeight="1" outlineLevel="1" x14ac:dyDescent="0.25">
      <c r="A6234" s="18">
        <v>2377</v>
      </c>
      <c r="B6234" s="4" t="s">
        <v>249</v>
      </c>
      <c r="C6234" s="38" t="s">
        <v>4144</v>
      </c>
      <c r="D6234" s="18">
        <v>2022</v>
      </c>
      <c r="E6234" s="18" t="s">
        <v>0</v>
      </c>
      <c r="F6234" s="4">
        <v>1</v>
      </c>
      <c r="G6234" s="42">
        <v>3</v>
      </c>
      <c r="H6234" s="42">
        <v>22.353499999999997</v>
      </c>
    </row>
    <row r="6235" spans="1:8" s="15" customFormat="1" ht="16.5" hidden="1" customHeight="1" outlineLevel="1" x14ac:dyDescent="0.25">
      <c r="A6235" s="18">
        <v>1854</v>
      </c>
      <c r="B6235" s="4" t="s">
        <v>249</v>
      </c>
      <c r="C6235" s="38" t="s">
        <v>5578</v>
      </c>
      <c r="D6235" s="18">
        <v>2022</v>
      </c>
      <c r="E6235" s="18" t="s">
        <v>0</v>
      </c>
      <c r="F6235" s="4">
        <v>7</v>
      </c>
      <c r="G6235" s="42">
        <v>90</v>
      </c>
      <c r="H6235" s="42">
        <v>206.29198999999997</v>
      </c>
    </row>
    <row r="6236" spans="1:8" s="15" customFormat="1" ht="16.5" hidden="1" customHeight="1" outlineLevel="1" x14ac:dyDescent="0.25">
      <c r="A6236" s="18">
        <v>1861</v>
      </c>
      <c r="B6236" s="4" t="s">
        <v>249</v>
      </c>
      <c r="C6236" s="38" t="s">
        <v>5579</v>
      </c>
      <c r="D6236" s="18">
        <v>2022</v>
      </c>
      <c r="E6236" s="18" t="s">
        <v>0</v>
      </c>
      <c r="F6236" s="4">
        <v>8</v>
      </c>
      <c r="G6236" s="42">
        <v>106</v>
      </c>
      <c r="H6236" s="42">
        <v>271.76511999999997</v>
      </c>
    </row>
    <row r="6237" spans="1:8" s="15" customFormat="1" ht="16.5" hidden="1" customHeight="1" outlineLevel="1" x14ac:dyDescent="0.25">
      <c r="A6237" s="18">
        <v>1862</v>
      </c>
      <c r="B6237" s="4" t="s">
        <v>249</v>
      </c>
      <c r="C6237" s="38" t="s">
        <v>5580</v>
      </c>
      <c r="D6237" s="18">
        <v>2022</v>
      </c>
      <c r="E6237" s="18" t="s">
        <v>0</v>
      </c>
      <c r="F6237" s="4">
        <v>10</v>
      </c>
      <c r="G6237" s="42">
        <v>117</v>
      </c>
      <c r="H6237" s="42">
        <v>351.48039000000006</v>
      </c>
    </row>
    <row r="6238" spans="1:8" s="15" customFormat="1" ht="16.5" hidden="1" customHeight="1" outlineLevel="1" x14ac:dyDescent="0.25">
      <c r="A6238" s="18">
        <v>1874</v>
      </c>
      <c r="B6238" s="4" t="s">
        <v>249</v>
      </c>
      <c r="C6238" s="38" t="s">
        <v>5581</v>
      </c>
      <c r="D6238" s="18">
        <v>2022</v>
      </c>
      <c r="E6238" s="18" t="s">
        <v>0</v>
      </c>
      <c r="F6238" s="4">
        <v>7</v>
      </c>
      <c r="G6238" s="42">
        <v>70</v>
      </c>
      <c r="H6238" s="42">
        <v>251.8228</v>
      </c>
    </row>
    <row r="6239" spans="1:8" s="15" customFormat="1" ht="16.5" hidden="1" customHeight="1" outlineLevel="1" x14ac:dyDescent="0.25">
      <c r="A6239" s="18">
        <v>1876</v>
      </c>
      <c r="B6239" s="4" t="s">
        <v>249</v>
      </c>
      <c r="C6239" s="38" t="s">
        <v>5582</v>
      </c>
      <c r="D6239" s="18">
        <v>2022</v>
      </c>
      <c r="E6239" s="18" t="s">
        <v>0</v>
      </c>
      <c r="F6239" s="4">
        <v>10</v>
      </c>
      <c r="G6239" s="42">
        <v>135</v>
      </c>
      <c r="H6239" s="42">
        <v>349.16197999999997</v>
      </c>
    </row>
    <row r="6240" spans="1:8" s="15" customFormat="1" ht="16.5" hidden="1" customHeight="1" outlineLevel="1" x14ac:dyDescent="0.25">
      <c r="A6240" s="18">
        <v>1877</v>
      </c>
      <c r="B6240" s="4" t="s">
        <v>249</v>
      </c>
      <c r="C6240" s="38" t="s">
        <v>5583</v>
      </c>
      <c r="D6240" s="18">
        <v>2022</v>
      </c>
      <c r="E6240" s="18" t="s">
        <v>0</v>
      </c>
      <c r="F6240" s="4">
        <v>11</v>
      </c>
      <c r="G6240" s="42">
        <v>143</v>
      </c>
      <c r="H6240" s="42">
        <v>366.39568000000003</v>
      </c>
    </row>
    <row r="6241" spans="1:8" s="15" customFormat="1" ht="16.5" hidden="1" customHeight="1" outlineLevel="1" x14ac:dyDescent="0.25">
      <c r="A6241" s="18">
        <v>1879</v>
      </c>
      <c r="B6241" s="4" t="s">
        <v>249</v>
      </c>
      <c r="C6241" s="38" t="s">
        <v>5584</v>
      </c>
      <c r="D6241" s="18">
        <v>2022</v>
      </c>
      <c r="E6241" s="18" t="s">
        <v>0</v>
      </c>
      <c r="F6241" s="4">
        <v>6</v>
      </c>
      <c r="G6241" s="42">
        <v>90</v>
      </c>
      <c r="H6241" s="42">
        <v>175.89523000000003</v>
      </c>
    </row>
    <row r="6242" spans="1:8" s="15" customFormat="1" ht="16.5" hidden="1" customHeight="1" outlineLevel="1" x14ac:dyDescent="0.25">
      <c r="A6242" s="18">
        <v>1880</v>
      </c>
      <c r="B6242" s="4" t="s">
        <v>249</v>
      </c>
      <c r="C6242" s="38" t="s">
        <v>5585</v>
      </c>
      <c r="D6242" s="18">
        <v>2022</v>
      </c>
      <c r="E6242" s="18" t="s">
        <v>0</v>
      </c>
      <c r="F6242" s="4">
        <v>11</v>
      </c>
      <c r="G6242" s="42">
        <v>153</v>
      </c>
      <c r="H6242" s="42">
        <v>377.37721999999997</v>
      </c>
    </row>
    <row r="6243" spans="1:8" s="15" customFormat="1" ht="16.5" hidden="1" customHeight="1" outlineLevel="1" x14ac:dyDescent="0.25">
      <c r="A6243" s="18">
        <v>1881</v>
      </c>
      <c r="B6243" s="4" t="s">
        <v>249</v>
      </c>
      <c r="C6243" s="38" t="s">
        <v>5586</v>
      </c>
      <c r="D6243" s="18">
        <v>2022</v>
      </c>
      <c r="E6243" s="18" t="s">
        <v>0</v>
      </c>
      <c r="F6243" s="4">
        <v>4</v>
      </c>
      <c r="G6243" s="42">
        <v>46</v>
      </c>
      <c r="H6243" s="42">
        <v>125.82455</v>
      </c>
    </row>
    <row r="6244" spans="1:8" s="15" customFormat="1" ht="16.5" hidden="1" customHeight="1" outlineLevel="1" x14ac:dyDescent="0.25">
      <c r="A6244" s="18">
        <v>1908</v>
      </c>
      <c r="B6244" s="4" t="s">
        <v>249</v>
      </c>
      <c r="C6244" s="38" t="s">
        <v>5587</v>
      </c>
      <c r="D6244" s="18">
        <v>2022</v>
      </c>
      <c r="E6244" s="18" t="s">
        <v>0</v>
      </c>
      <c r="F6244" s="4">
        <v>3</v>
      </c>
      <c r="G6244" s="42">
        <v>35</v>
      </c>
      <c r="H6244" s="42">
        <v>86.888509999999982</v>
      </c>
    </row>
    <row r="6245" spans="1:8" s="15" customFormat="1" ht="16.5" hidden="1" customHeight="1" outlineLevel="1" x14ac:dyDescent="0.25">
      <c r="A6245" s="18">
        <v>1909</v>
      </c>
      <c r="B6245" s="4" t="s">
        <v>249</v>
      </c>
      <c r="C6245" s="38" t="s">
        <v>5588</v>
      </c>
      <c r="D6245" s="18">
        <v>2022</v>
      </c>
      <c r="E6245" s="18" t="s">
        <v>0</v>
      </c>
      <c r="F6245" s="4">
        <v>2</v>
      </c>
      <c r="G6245" s="42">
        <v>20</v>
      </c>
      <c r="H6245" s="42">
        <v>68.449339999999992</v>
      </c>
    </row>
    <row r="6246" spans="1:8" s="15" customFormat="1" ht="16.5" hidden="1" customHeight="1" outlineLevel="1" x14ac:dyDescent="0.25">
      <c r="A6246" s="18">
        <v>1946</v>
      </c>
      <c r="B6246" s="4" t="s">
        <v>249</v>
      </c>
      <c r="C6246" s="38" t="s">
        <v>5589</v>
      </c>
      <c r="D6246" s="18">
        <v>2022</v>
      </c>
      <c r="E6246" s="18" t="s">
        <v>0</v>
      </c>
      <c r="F6246" s="4">
        <v>3</v>
      </c>
      <c r="G6246" s="42">
        <v>20</v>
      </c>
      <c r="H6246" s="42">
        <v>81.305480000000003</v>
      </c>
    </row>
    <row r="6247" spans="1:8" s="15" customFormat="1" ht="16.5" hidden="1" customHeight="1" outlineLevel="1" x14ac:dyDescent="0.25">
      <c r="A6247" s="18">
        <v>2408</v>
      </c>
      <c r="B6247" s="4" t="s">
        <v>249</v>
      </c>
      <c r="C6247" s="38" t="s">
        <v>4148</v>
      </c>
      <c r="D6247" s="18">
        <v>2022</v>
      </c>
      <c r="E6247" s="18" t="s">
        <v>0</v>
      </c>
      <c r="F6247" s="4">
        <v>1</v>
      </c>
      <c r="G6247" s="42">
        <v>5</v>
      </c>
      <c r="H6247" s="42">
        <v>16.918420000000001</v>
      </c>
    </row>
    <row r="6248" spans="1:8" s="15" customFormat="1" ht="16.5" hidden="1" customHeight="1" outlineLevel="1" x14ac:dyDescent="0.25">
      <c r="A6248" s="18">
        <v>2420</v>
      </c>
      <c r="B6248" s="4" t="s">
        <v>249</v>
      </c>
      <c r="C6248" s="38" t="s">
        <v>5590</v>
      </c>
      <c r="D6248" s="18">
        <v>2022</v>
      </c>
      <c r="E6248" s="18" t="s">
        <v>0</v>
      </c>
      <c r="F6248" s="4">
        <v>1</v>
      </c>
      <c r="G6248" s="42">
        <v>5</v>
      </c>
      <c r="H6248" s="42">
        <v>13.99132</v>
      </c>
    </row>
    <row r="6249" spans="1:8" s="15" customFormat="1" ht="16.5" hidden="1" customHeight="1" outlineLevel="1" x14ac:dyDescent="0.25">
      <c r="A6249" s="18">
        <v>1844</v>
      </c>
      <c r="B6249" s="4" t="s">
        <v>249</v>
      </c>
      <c r="C6249" s="38" t="s">
        <v>5591</v>
      </c>
      <c r="D6249" s="18">
        <v>2022</v>
      </c>
      <c r="E6249" s="18" t="s">
        <v>0</v>
      </c>
      <c r="F6249" s="4">
        <v>8</v>
      </c>
      <c r="G6249" s="42">
        <v>110</v>
      </c>
      <c r="H6249" s="42">
        <v>197.27953000000002</v>
      </c>
    </row>
    <row r="6250" spans="1:8" s="15" customFormat="1" ht="16.5" hidden="1" customHeight="1" outlineLevel="1" x14ac:dyDescent="0.25">
      <c r="A6250" s="18">
        <v>1847</v>
      </c>
      <c r="B6250" s="4" t="s">
        <v>249</v>
      </c>
      <c r="C6250" s="38" t="s">
        <v>5592</v>
      </c>
      <c r="D6250" s="18">
        <v>2022</v>
      </c>
      <c r="E6250" s="18" t="s">
        <v>0</v>
      </c>
      <c r="F6250" s="4">
        <v>11</v>
      </c>
      <c r="G6250" s="42">
        <v>136</v>
      </c>
      <c r="H6250" s="42">
        <v>256.32846999999998</v>
      </c>
    </row>
    <row r="6251" spans="1:8" s="15" customFormat="1" ht="16.5" hidden="1" customHeight="1" outlineLevel="1" x14ac:dyDescent="0.25">
      <c r="A6251" s="18">
        <v>1849</v>
      </c>
      <c r="B6251" s="4" t="s">
        <v>249</v>
      </c>
      <c r="C6251" s="38" t="s">
        <v>5593</v>
      </c>
      <c r="D6251" s="18">
        <v>2022</v>
      </c>
      <c r="E6251" s="18" t="s">
        <v>0</v>
      </c>
      <c r="F6251" s="4">
        <v>11</v>
      </c>
      <c r="G6251" s="42">
        <v>130</v>
      </c>
      <c r="H6251" s="42">
        <v>242.77864999999997</v>
      </c>
    </row>
    <row r="6252" spans="1:8" s="15" customFormat="1" ht="16.5" hidden="1" customHeight="1" outlineLevel="1" x14ac:dyDescent="0.25">
      <c r="A6252" s="18">
        <v>1850</v>
      </c>
      <c r="B6252" s="4" t="s">
        <v>249</v>
      </c>
      <c r="C6252" s="38" t="s">
        <v>5594</v>
      </c>
      <c r="D6252" s="18">
        <v>2022</v>
      </c>
      <c r="E6252" s="18" t="s">
        <v>0</v>
      </c>
      <c r="F6252" s="4">
        <v>7</v>
      </c>
      <c r="G6252" s="42">
        <v>92</v>
      </c>
      <c r="H6252" s="42">
        <v>166.42607000000001</v>
      </c>
    </row>
    <row r="6253" spans="1:8" s="15" customFormat="1" ht="16.5" hidden="1" customHeight="1" outlineLevel="1" x14ac:dyDescent="0.25">
      <c r="A6253" s="18">
        <v>1857</v>
      </c>
      <c r="B6253" s="4" t="s">
        <v>249</v>
      </c>
      <c r="C6253" s="38" t="s">
        <v>5595</v>
      </c>
      <c r="D6253" s="18">
        <v>2022</v>
      </c>
      <c r="E6253" s="18" t="s">
        <v>0</v>
      </c>
      <c r="F6253" s="4">
        <v>19</v>
      </c>
      <c r="G6253" s="42">
        <v>210</v>
      </c>
      <c r="H6253" s="42">
        <v>509.72969000000001</v>
      </c>
    </row>
    <row r="6254" spans="1:8" s="15" customFormat="1" ht="16.5" hidden="1" customHeight="1" outlineLevel="1" x14ac:dyDescent="0.25">
      <c r="A6254" s="18">
        <v>1858</v>
      </c>
      <c r="B6254" s="4" t="s">
        <v>249</v>
      </c>
      <c r="C6254" s="38" t="s">
        <v>5596</v>
      </c>
      <c r="D6254" s="18">
        <v>2022</v>
      </c>
      <c r="E6254" s="18" t="s">
        <v>0</v>
      </c>
      <c r="F6254" s="4">
        <v>13</v>
      </c>
      <c r="G6254" s="42">
        <v>187</v>
      </c>
      <c r="H6254" s="42">
        <v>384.86144000000002</v>
      </c>
    </row>
    <row r="6255" spans="1:8" s="15" customFormat="1" ht="16.5" hidden="1" customHeight="1" outlineLevel="1" x14ac:dyDescent="0.25">
      <c r="A6255" s="18">
        <v>1860</v>
      </c>
      <c r="B6255" s="4" t="s">
        <v>249</v>
      </c>
      <c r="C6255" s="38" t="s">
        <v>5597</v>
      </c>
      <c r="D6255" s="18">
        <v>2022</v>
      </c>
      <c r="E6255" s="18" t="s">
        <v>0</v>
      </c>
      <c r="F6255" s="4">
        <v>4</v>
      </c>
      <c r="G6255" s="42">
        <v>60</v>
      </c>
      <c r="H6255" s="42">
        <v>142.93474000000001</v>
      </c>
    </row>
    <row r="6256" spans="1:8" s="15" customFormat="1" ht="16.5" hidden="1" customHeight="1" outlineLevel="1" x14ac:dyDescent="0.25">
      <c r="A6256" s="18">
        <v>1864</v>
      </c>
      <c r="B6256" s="4" t="s">
        <v>249</v>
      </c>
      <c r="C6256" s="38" t="s">
        <v>5598</v>
      </c>
      <c r="D6256" s="18">
        <v>2022</v>
      </c>
      <c r="E6256" s="18" t="s">
        <v>0</v>
      </c>
      <c r="F6256" s="4">
        <v>10</v>
      </c>
      <c r="G6256" s="42">
        <v>124</v>
      </c>
      <c r="H6256" s="42">
        <v>276.0453</v>
      </c>
    </row>
    <row r="6257" spans="1:8" s="15" customFormat="1" ht="16.5" hidden="1" customHeight="1" outlineLevel="1" x14ac:dyDescent="0.25">
      <c r="A6257" s="18">
        <v>1872</v>
      </c>
      <c r="B6257" s="4" t="s">
        <v>249</v>
      </c>
      <c r="C6257" s="38" t="s">
        <v>5599</v>
      </c>
      <c r="D6257" s="18">
        <v>2022</v>
      </c>
      <c r="E6257" s="18" t="s">
        <v>0</v>
      </c>
      <c r="F6257" s="4">
        <v>7</v>
      </c>
      <c r="G6257" s="42">
        <v>85</v>
      </c>
      <c r="H6257" s="42">
        <v>187.85446999999999</v>
      </c>
    </row>
    <row r="6258" spans="1:8" s="15" customFormat="1" ht="16.5" hidden="1" customHeight="1" outlineLevel="1" x14ac:dyDescent="0.25">
      <c r="A6258" s="18">
        <v>1873</v>
      </c>
      <c r="B6258" s="4" t="s">
        <v>249</v>
      </c>
      <c r="C6258" s="38" t="s">
        <v>5600</v>
      </c>
      <c r="D6258" s="18">
        <v>2022</v>
      </c>
      <c r="E6258" s="18" t="s">
        <v>0</v>
      </c>
      <c r="F6258" s="4">
        <v>6</v>
      </c>
      <c r="G6258" s="42">
        <v>66</v>
      </c>
      <c r="H6258" s="42">
        <v>159.69451999999998</v>
      </c>
    </row>
    <row r="6259" spans="1:8" s="15" customFormat="1" ht="16.5" hidden="1" customHeight="1" outlineLevel="1" x14ac:dyDescent="0.25">
      <c r="A6259" s="18">
        <v>1875</v>
      </c>
      <c r="B6259" s="4" t="s">
        <v>249</v>
      </c>
      <c r="C6259" s="38" t="s">
        <v>5601</v>
      </c>
      <c r="D6259" s="18">
        <v>2022</v>
      </c>
      <c r="E6259" s="18" t="s">
        <v>0</v>
      </c>
      <c r="F6259" s="4">
        <v>4</v>
      </c>
      <c r="G6259" s="42">
        <v>50</v>
      </c>
      <c r="H6259" s="42">
        <v>109.70343</v>
      </c>
    </row>
    <row r="6260" spans="1:8" s="15" customFormat="1" ht="16.5" hidden="1" customHeight="1" outlineLevel="1" x14ac:dyDescent="0.25">
      <c r="A6260" s="18">
        <v>1882</v>
      </c>
      <c r="B6260" s="4" t="s">
        <v>249</v>
      </c>
      <c r="C6260" s="38" t="s">
        <v>5602</v>
      </c>
      <c r="D6260" s="18">
        <v>2022</v>
      </c>
      <c r="E6260" s="18" t="s">
        <v>0</v>
      </c>
      <c r="F6260" s="4">
        <v>14</v>
      </c>
      <c r="G6260" s="42">
        <v>125</v>
      </c>
      <c r="H6260" s="42">
        <v>351.28414999999995</v>
      </c>
    </row>
    <row r="6261" spans="1:8" s="15" customFormat="1" ht="16.5" hidden="1" customHeight="1" outlineLevel="1" x14ac:dyDescent="0.25">
      <c r="A6261" s="18">
        <v>1894</v>
      </c>
      <c r="B6261" s="4" t="s">
        <v>249</v>
      </c>
      <c r="C6261" s="38" t="s">
        <v>5603</v>
      </c>
      <c r="D6261" s="18">
        <v>2022</v>
      </c>
      <c r="E6261" s="18" t="s">
        <v>0</v>
      </c>
      <c r="F6261" s="4">
        <v>13</v>
      </c>
      <c r="G6261" s="42">
        <v>186</v>
      </c>
      <c r="H6261" s="42">
        <v>407.22999999999996</v>
      </c>
    </row>
    <row r="6262" spans="1:8" s="15" customFormat="1" ht="16.5" hidden="1" customHeight="1" outlineLevel="1" x14ac:dyDescent="0.25">
      <c r="A6262" s="18">
        <v>1906</v>
      </c>
      <c r="B6262" s="4" t="s">
        <v>249</v>
      </c>
      <c r="C6262" s="38" t="s">
        <v>5604</v>
      </c>
      <c r="D6262" s="18">
        <v>2022</v>
      </c>
      <c r="E6262" s="18" t="s">
        <v>0</v>
      </c>
      <c r="F6262" s="4">
        <v>2</v>
      </c>
      <c r="G6262" s="42">
        <v>25</v>
      </c>
      <c r="H6262" s="42">
        <v>54.983929999999994</v>
      </c>
    </row>
    <row r="6263" spans="1:8" s="15" customFormat="1" ht="16.5" hidden="1" customHeight="1" outlineLevel="1" x14ac:dyDescent="0.25">
      <c r="A6263" s="18">
        <v>1921</v>
      </c>
      <c r="B6263" s="4" t="s">
        <v>249</v>
      </c>
      <c r="C6263" s="38" t="s">
        <v>5605</v>
      </c>
      <c r="D6263" s="18">
        <v>2022</v>
      </c>
      <c r="E6263" s="18" t="s">
        <v>0</v>
      </c>
      <c r="F6263" s="4">
        <v>1</v>
      </c>
      <c r="G6263" s="42">
        <v>10</v>
      </c>
      <c r="H6263" s="42">
        <v>23.166730000000001</v>
      </c>
    </row>
    <row r="6264" spans="1:8" s="15" customFormat="1" ht="16.5" hidden="1" customHeight="1" outlineLevel="1" x14ac:dyDescent="0.25">
      <c r="A6264" s="18">
        <v>1923</v>
      </c>
      <c r="B6264" s="4" t="s">
        <v>249</v>
      </c>
      <c r="C6264" s="38" t="s">
        <v>5606</v>
      </c>
      <c r="D6264" s="18">
        <v>2022</v>
      </c>
      <c r="E6264" s="18" t="s">
        <v>0</v>
      </c>
      <c r="F6264" s="4">
        <v>1</v>
      </c>
      <c r="G6264" s="42">
        <v>14</v>
      </c>
      <c r="H6264" s="42">
        <v>21.75141</v>
      </c>
    </row>
    <row r="6265" spans="1:8" s="15" customFormat="1" ht="16.5" hidden="1" customHeight="1" outlineLevel="1" x14ac:dyDescent="0.25">
      <c r="A6265" s="18">
        <v>1956</v>
      </c>
      <c r="B6265" s="4" t="s">
        <v>249</v>
      </c>
      <c r="C6265" s="38" t="s">
        <v>5607</v>
      </c>
      <c r="D6265" s="18">
        <v>2022</v>
      </c>
      <c r="E6265" s="18" t="s">
        <v>0</v>
      </c>
      <c r="F6265" s="4">
        <v>1</v>
      </c>
      <c r="G6265" s="42">
        <v>12</v>
      </c>
      <c r="H6265" s="42">
        <v>21.966099999999997</v>
      </c>
    </row>
    <row r="6266" spans="1:8" s="15" customFormat="1" ht="16.5" hidden="1" customHeight="1" outlineLevel="1" x14ac:dyDescent="0.25">
      <c r="A6266" s="18">
        <v>1988</v>
      </c>
      <c r="B6266" s="4" t="s">
        <v>249</v>
      </c>
      <c r="C6266" s="38" t="s">
        <v>5608</v>
      </c>
      <c r="D6266" s="18">
        <v>2022</v>
      </c>
      <c r="E6266" s="18" t="s">
        <v>0</v>
      </c>
      <c r="F6266" s="4">
        <v>1</v>
      </c>
      <c r="G6266" s="42">
        <v>15</v>
      </c>
      <c r="H6266" s="42">
        <v>21.514599999999998</v>
      </c>
    </row>
    <row r="6267" spans="1:8" s="15" customFormat="1" ht="16.5" hidden="1" customHeight="1" outlineLevel="1" x14ac:dyDescent="0.25">
      <c r="A6267" s="18">
        <v>2096</v>
      </c>
      <c r="B6267" s="4" t="s">
        <v>249</v>
      </c>
      <c r="C6267" s="38" t="s">
        <v>5609</v>
      </c>
      <c r="D6267" s="18">
        <v>2022</v>
      </c>
      <c r="E6267" s="18" t="s">
        <v>0</v>
      </c>
      <c r="F6267" s="4">
        <v>1</v>
      </c>
      <c r="G6267" s="42">
        <v>10</v>
      </c>
      <c r="H6267" s="42">
        <v>18.21236</v>
      </c>
    </row>
    <row r="6268" spans="1:8" s="15" customFormat="1" ht="16.5" hidden="1" customHeight="1" outlineLevel="1" x14ac:dyDescent="0.25">
      <c r="A6268" s="18">
        <v>2115</v>
      </c>
      <c r="B6268" s="4" t="s">
        <v>249</v>
      </c>
      <c r="C6268" s="38" t="s">
        <v>5610</v>
      </c>
      <c r="D6268" s="18">
        <v>2022</v>
      </c>
      <c r="E6268" s="18" t="s">
        <v>0</v>
      </c>
      <c r="F6268" s="4">
        <v>1</v>
      </c>
      <c r="G6268" s="42">
        <v>7</v>
      </c>
      <c r="H6268" s="42">
        <v>23.043900000000001</v>
      </c>
    </row>
    <row r="6269" spans="1:8" s="15" customFormat="1" ht="16.5" hidden="1" customHeight="1" outlineLevel="1" x14ac:dyDescent="0.25">
      <c r="A6269" s="18">
        <v>2119</v>
      </c>
      <c r="B6269" s="4" t="s">
        <v>249</v>
      </c>
      <c r="C6269" s="38" t="s">
        <v>5611</v>
      </c>
      <c r="D6269" s="18">
        <v>2022</v>
      </c>
      <c r="E6269" s="18" t="s">
        <v>0</v>
      </c>
      <c r="F6269" s="4">
        <v>1</v>
      </c>
      <c r="G6269" s="42">
        <v>7</v>
      </c>
      <c r="H6269" s="42">
        <v>27.032520000000002</v>
      </c>
    </row>
    <row r="6270" spans="1:8" s="15" customFormat="1" ht="16.5" hidden="1" customHeight="1" outlineLevel="1" x14ac:dyDescent="0.25">
      <c r="A6270" s="18">
        <v>2175</v>
      </c>
      <c r="B6270" s="4" t="s">
        <v>249</v>
      </c>
      <c r="C6270" s="38" t="s">
        <v>5612</v>
      </c>
      <c r="D6270" s="18">
        <v>2022</v>
      </c>
      <c r="E6270" s="18" t="s">
        <v>0</v>
      </c>
      <c r="F6270" s="4">
        <v>1</v>
      </c>
      <c r="G6270" s="42">
        <v>15</v>
      </c>
      <c r="H6270" s="42">
        <v>22.504970000000004</v>
      </c>
    </row>
    <row r="6271" spans="1:8" s="15" customFormat="1" ht="16.5" hidden="1" customHeight="1" outlineLevel="1" x14ac:dyDescent="0.25">
      <c r="A6271" s="18">
        <v>2183</v>
      </c>
      <c r="B6271" s="4" t="s">
        <v>249</v>
      </c>
      <c r="C6271" s="38" t="s">
        <v>5613</v>
      </c>
      <c r="D6271" s="18">
        <v>2022</v>
      </c>
      <c r="E6271" s="18" t="s">
        <v>0</v>
      </c>
      <c r="F6271" s="4">
        <v>1</v>
      </c>
      <c r="G6271" s="42">
        <v>10</v>
      </c>
      <c r="H6271" s="42">
        <v>21.91413</v>
      </c>
    </row>
    <row r="6272" spans="1:8" s="15" customFormat="1" ht="16.5" hidden="1" customHeight="1" outlineLevel="1" x14ac:dyDescent="0.25">
      <c r="A6272" s="18">
        <v>2186</v>
      </c>
      <c r="B6272" s="4" t="s">
        <v>249</v>
      </c>
      <c r="C6272" s="38" t="s">
        <v>5614</v>
      </c>
      <c r="D6272" s="18">
        <v>2022</v>
      </c>
      <c r="E6272" s="18" t="s">
        <v>0</v>
      </c>
      <c r="F6272" s="4">
        <v>1</v>
      </c>
      <c r="G6272" s="42">
        <v>7</v>
      </c>
      <c r="H6272" s="42">
        <v>21.470939999999999</v>
      </c>
    </row>
    <row r="6273" spans="1:8" s="15" customFormat="1" ht="16.5" hidden="1" customHeight="1" outlineLevel="1" x14ac:dyDescent="0.25">
      <c r="A6273" s="18">
        <v>2196</v>
      </c>
      <c r="B6273" s="4" t="s">
        <v>249</v>
      </c>
      <c r="C6273" s="38" t="s">
        <v>5615</v>
      </c>
      <c r="D6273" s="18">
        <v>2022</v>
      </c>
      <c r="E6273" s="18" t="s">
        <v>0</v>
      </c>
      <c r="F6273" s="4">
        <v>1</v>
      </c>
      <c r="G6273" s="42">
        <v>10</v>
      </c>
      <c r="H6273" s="42">
        <v>21.76632</v>
      </c>
    </row>
    <row r="6274" spans="1:8" s="15" customFormat="1" ht="16.5" hidden="1" customHeight="1" outlineLevel="1" x14ac:dyDescent="0.25">
      <c r="A6274" s="18">
        <v>2200</v>
      </c>
      <c r="B6274" s="4" t="s">
        <v>249</v>
      </c>
      <c r="C6274" s="38" t="s">
        <v>5616</v>
      </c>
      <c r="D6274" s="18">
        <v>2022</v>
      </c>
      <c r="E6274" s="18" t="s">
        <v>0</v>
      </c>
      <c r="F6274" s="4">
        <v>1</v>
      </c>
      <c r="G6274" s="42">
        <v>10</v>
      </c>
      <c r="H6274" s="42">
        <v>25.631720000000001</v>
      </c>
    </row>
    <row r="6275" spans="1:8" s="15" customFormat="1" ht="16.5" hidden="1" customHeight="1" outlineLevel="1" x14ac:dyDescent="0.25">
      <c r="A6275" s="18">
        <v>2201</v>
      </c>
      <c r="B6275" s="4" t="s">
        <v>249</v>
      </c>
      <c r="C6275" s="38" t="s">
        <v>5617</v>
      </c>
      <c r="D6275" s="18">
        <v>2022</v>
      </c>
      <c r="E6275" s="18" t="s">
        <v>0</v>
      </c>
      <c r="F6275" s="4">
        <v>1</v>
      </c>
      <c r="G6275" s="42">
        <v>15</v>
      </c>
      <c r="H6275" s="42">
        <v>21.76632</v>
      </c>
    </row>
    <row r="6276" spans="1:8" s="15" customFormat="1" ht="16.5" hidden="1" customHeight="1" outlineLevel="1" x14ac:dyDescent="0.25">
      <c r="A6276" s="18">
        <v>2207</v>
      </c>
      <c r="B6276" s="4" t="s">
        <v>249</v>
      </c>
      <c r="C6276" s="38" t="s">
        <v>5618</v>
      </c>
      <c r="D6276" s="18">
        <v>2022</v>
      </c>
      <c r="E6276" s="18" t="s">
        <v>0</v>
      </c>
      <c r="F6276" s="4">
        <v>1</v>
      </c>
      <c r="G6276" s="42">
        <v>15</v>
      </c>
      <c r="H6276" s="42">
        <v>24.745340000000002</v>
      </c>
    </row>
    <row r="6277" spans="1:8" s="15" customFormat="1" ht="16.5" hidden="1" customHeight="1" outlineLevel="1" x14ac:dyDescent="0.25">
      <c r="A6277" s="18">
        <v>2209</v>
      </c>
      <c r="B6277" s="4" t="s">
        <v>249</v>
      </c>
      <c r="C6277" s="38" t="s">
        <v>5619</v>
      </c>
      <c r="D6277" s="18">
        <v>2022</v>
      </c>
      <c r="E6277" s="18" t="s">
        <v>0</v>
      </c>
      <c r="F6277" s="4">
        <v>1</v>
      </c>
      <c r="G6277" s="42">
        <v>10</v>
      </c>
      <c r="H6277" s="42">
        <v>21.766310000000001</v>
      </c>
    </row>
    <row r="6278" spans="1:8" s="15" customFormat="1" ht="16.5" hidden="1" customHeight="1" outlineLevel="1" x14ac:dyDescent="0.25">
      <c r="A6278" s="18">
        <v>2217</v>
      </c>
      <c r="B6278" s="4" t="s">
        <v>249</v>
      </c>
      <c r="C6278" s="38" t="s">
        <v>5620</v>
      </c>
      <c r="D6278" s="18">
        <v>2022</v>
      </c>
      <c r="E6278" s="18" t="s">
        <v>0</v>
      </c>
      <c r="F6278" s="4">
        <v>1</v>
      </c>
      <c r="G6278" s="42">
        <v>12</v>
      </c>
      <c r="H6278" s="42">
        <v>22.50498</v>
      </c>
    </row>
    <row r="6279" spans="1:8" s="15" customFormat="1" ht="16.5" hidden="1" customHeight="1" outlineLevel="1" x14ac:dyDescent="0.25">
      <c r="A6279" s="18">
        <v>2222</v>
      </c>
      <c r="B6279" s="4" t="s">
        <v>249</v>
      </c>
      <c r="C6279" s="38" t="s">
        <v>5621</v>
      </c>
      <c r="D6279" s="18">
        <v>2022</v>
      </c>
      <c r="E6279" s="18" t="s">
        <v>0</v>
      </c>
      <c r="F6279" s="4">
        <v>1</v>
      </c>
      <c r="G6279" s="42">
        <v>6</v>
      </c>
      <c r="H6279" s="42">
        <v>22.874290000000002</v>
      </c>
    </row>
    <row r="6280" spans="1:8" s="15" customFormat="1" ht="16.5" hidden="1" customHeight="1" outlineLevel="1" x14ac:dyDescent="0.25">
      <c r="A6280" s="18">
        <v>2260</v>
      </c>
      <c r="B6280" s="4" t="s">
        <v>249</v>
      </c>
      <c r="C6280" s="38" t="s">
        <v>5622</v>
      </c>
      <c r="D6280" s="18">
        <v>2022</v>
      </c>
      <c r="E6280" s="18" t="s">
        <v>0</v>
      </c>
      <c r="F6280" s="4">
        <v>1</v>
      </c>
      <c r="G6280" s="42">
        <v>10</v>
      </c>
      <c r="H6280" s="42">
        <v>21.76632</v>
      </c>
    </row>
    <row r="6281" spans="1:8" s="15" customFormat="1" ht="16.5" hidden="1" customHeight="1" outlineLevel="1" x14ac:dyDescent="0.25">
      <c r="A6281" s="18">
        <v>2262</v>
      </c>
      <c r="B6281" s="4" t="s">
        <v>249</v>
      </c>
      <c r="C6281" s="38" t="s">
        <v>5623</v>
      </c>
      <c r="D6281" s="18">
        <v>2022</v>
      </c>
      <c r="E6281" s="18" t="s">
        <v>0</v>
      </c>
      <c r="F6281" s="4">
        <v>1</v>
      </c>
      <c r="G6281" s="42">
        <v>15</v>
      </c>
      <c r="H6281" s="42">
        <v>23.24363</v>
      </c>
    </row>
    <row r="6282" spans="1:8" s="15" customFormat="1" ht="16.5" hidden="1" customHeight="1" outlineLevel="1" x14ac:dyDescent="0.25">
      <c r="A6282" s="18">
        <v>2279</v>
      </c>
      <c r="B6282" s="4" t="s">
        <v>249</v>
      </c>
      <c r="C6282" s="38" t="s">
        <v>5624</v>
      </c>
      <c r="D6282" s="18">
        <v>2022</v>
      </c>
      <c r="E6282" s="18" t="s">
        <v>0</v>
      </c>
      <c r="F6282" s="4">
        <v>1</v>
      </c>
      <c r="G6282" s="42">
        <v>6</v>
      </c>
      <c r="H6282" s="42">
        <v>22.874310000000001</v>
      </c>
    </row>
    <row r="6283" spans="1:8" s="15" customFormat="1" ht="16.5" hidden="1" customHeight="1" outlineLevel="1" x14ac:dyDescent="0.25">
      <c r="A6283" s="18">
        <v>2281</v>
      </c>
      <c r="B6283" s="4" t="s">
        <v>249</v>
      </c>
      <c r="C6283" s="38" t="s">
        <v>5625</v>
      </c>
      <c r="D6283" s="18">
        <v>2022</v>
      </c>
      <c r="E6283" s="18" t="s">
        <v>0</v>
      </c>
      <c r="F6283" s="4">
        <v>1</v>
      </c>
      <c r="G6283" s="42">
        <v>6</v>
      </c>
      <c r="H6283" s="42">
        <v>21.80209</v>
      </c>
    </row>
    <row r="6284" spans="1:8" s="15" customFormat="1" ht="16.5" hidden="1" customHeight="1" outlineLevel="1" x14ac:dyDescent="0.25">
      <c r="A6284" s="18">
        <v>2282</v>
      </c>
      <c r="B6284" s="4" t="s">
        <v>249</v>
      </c>
      <c r="C6284" s="38" t="s">
        <v>5626</v>
      </c>
      <c r="D6284" s="18">
        <v>2022</v>
      </c>
      <c r="E6284" s="18" t="s">
        <v>0</v>
      </c>
      <c r="F6284" s="4">
        <v>1</v>
      </c>
      <c r="G6284" s="42">
        <v>10</v>
      </c>
      <c r="H6284" s="42">
        <v>26.96125</v>
      </c>
    </row>
    <row r="6285" spans="1:8" s="15" customFormat="1" ht="16.5" hidden="1" customHeight="1" outlineLevel="1" x14ac:dyDescent="0.25">
      <c r="A6285" s="18">
        <v>2291</v>
      </c>
      <c r="B6285" s="4" t="s">
        <v>249</v>
      </c>
      <c r="C6285" s="38" t="s">
        <v>5627</v>
      </c>
      <c r="D6285" s="18">
        <v>2022</v>
      </c>
      <c r="E6285" s="18" t="s">
        <v>0</v>
      </c>
      <c r="F6285" s="4">
        <v>1</v>
      </c>
      <c r="G6285" s="42">
        <v>10</v>
      </c>
      <c r="H6285" s="42">
        <v>21.86467</v>
      </c>
    </row>
    <row r="6286" spans="1:8" s="15" customFormat="1" ht="16.5" hidden="1" customHeight="1" outlineLevel="1" x14ac:dyDescent="0.25">
      <c r="A6286" s="18">
        <v>2308</v>
      </c>
      <c r="B6286" s="4" t="s">
        <v>249</v>
      </c>
      <c r="C6286" s="38" t="s">
        <v>5628</v>
      </c>
      <c r="D6286" s="18">
        <v>2022</v>
      </c>
      <c r="E6286" s="18" t="s">
        <v>0</v>
      </c>
      <c r="F6286" s="4">
        <v>1</v>
      </c>
      <c r="G6286" s="42">
        <v>5</v>
      </c>
      <c r="H6286" s="42">
        <v>26.166419999999999</v>
      </c>
    </row>
    <row r="6287" spans="1:8" s="15" customFormat="1" ht="16.5" hidden="1" customHeight="1" outlineLevel="1" x14ac:dyDescent="0.25">
      <c r="A6287" s="18">
        <v>2309</v>
      </c>
      <c r="B6287" s="4" t="s">
        <v>249</v>
      </c>
      <c r="C6287" s="38" t="s">
        <v>5629</v>
      </c>
      <c r="D6287" s="18">
        <v>2022</v>
      </c>
      <c r="E6287" s="18" t="s">
        <v>0</v>
      </c>
      <c r="F6287" s="4">
        <v>1</v>
      </c>
      <c r="G6287" s="42">
        <v>15</v>
      </c>
      <c r="H6287" s="42">
        <v>30.118690000000001</v>
      </c>
    </row>
    <row r="6288" spans="1:8" s="15" customFormat="1" ht="16.5" hidden="1" customHeight="1" outlineLevel="1" x14ac:dyDescent="0.25">
      <c r="A6288" s="18">
        <v>2332</v>
      </c>
      <c r="B6288" s="4" t="s">
        <v>249</v>
      </c>
      <c r="C6288" s="38" t="s">
        <v>5630</v>
      </c>
      <c r="D6288" s="18">
        <v>2022</v>
      </c>
      <c r="E6288" s="18" t="s">
        <v>0</v>
      </c>
      <c r="F6288" s="4">
        <v>1</v>
      </c>
      <c r="G6288" s="42">
        <v>15</v>
      </c>
      <c r="H6288" s="42">
        <v>23.826529999999998</v>
      </c>
    </row>
    <row r="6289" spans="1:8" s="15" customFormat="1" ht="16.5" hidden="1" customHeight="1" outlineLevel="1" x14ac:dyDescent="0.25">
      <c r="A6289" s="18">
        <v>2337</v>
      </c>
      <c r="B6289" s="4" t="s">
        <v>249</v>
      </c>
      <c r="C6289" s="38" t="s">
        <v>5631</v>
      </c>
      <c r="D6289" s="18">
        <v>2022</v>
      </c>
      <c r="E6289" s="18" t="s">
        <v>0</v>
      </c>
      <c r="F6289" s="4">
        <v>1</v>
      </c>
      <c r="G6289" s="42">
        <v>7</v>
      </c>
      <c r="H6289" s="42">
        <v>22.089559999999999</v>
      </c>
    </row>
    <row r="6290" spans="1:8" s="15" customFormat="1" ht="16.5" hidden="1" customHeight="1" outlineLevel="1" x14ac:dyDescent="0.25">
      <c r="A6290" s="18">
        <v>2343</v>
      </c>
      <c r="B6290" s="4" t="s">
        <v>249</v>
      </c>
      <c r="C6290" s="38" t="s">
        <v>5632</v>
      </c>
      <c r="D6290" s="18">
        <v>2022</v>
      </c>
      <c r="E6290" s="18" t="s">
        <v>0</v>
      </c>
      <c r="F6290" s="4">
        <v>1</v>
      </c>
      <c r="G6290" s="42">
        <v>15</v>
      </c>
      <c r="H6290" s="42">
        <v>26.805479999999999</v>
      </c>
    </row>
    <row r="6291" spans="1:8" s="15" customFormat="1" ht="16.5" hidden="1" customHeight="1" outlineLevel="1" x14ac:dyDescent="0.25">
      <c r="A6291" s="18">
        <v>2387</v>
      </c>
      <c r="B6291" s="4" t="s">
        <v>249</v>
      </c>
      <c r="C6291" s="38" t="s">
        <v>5633</v>
      </c>
      <c r="D6291" s="18">
        <v>2022</v>
      </c>
      <c r="E6291" s="18" t="s">
        <v>0</v>
      </c>
      <c r="F6291" s="4">
        <v>1</v>
      </c>
      <c r="G6291" s="42">
        <v>15</v>
      </c>
      <c r="H6291" s="42">
        <v>18.30199</v>
      </c>
    </row>
    <row r="6292" spans="1:8" s="15" customFormat="1" ht="16.5" hidden="1" customHeight="1" outlineLevel="1" x14ac:dyDescent="0.25">
      <c r="A6292" s="18">
        <v>2388</v>
      </c>
      <c r="B6292" s="4" t="s">
        <v>249</v>
      </c>
      <c r="C6292" s="38" t="s">
        <v>5634</v>
      </c>
      <c r="D6292" s="18">
        <v>2022</v>
      </c>
      <c r="E6292" s="18" t="s">
        <v>0</v>
      </c>
      <c r="F6292" s="4">
        <v>1</v>
      </c>
      <c r="G6292" s="42">
        <v>15</v>
      </c>
      <c r="H6292" s="42">
        <v>16.564970000000002</v>
      </c>
    </row>
    <row r="6293" spans="1:8" s="15" customFormat="1" ht="16.5" hidden="1" customHeight="1" outlineLevel="1" x14ac:dyDescent="0.25">
      <c r="A6293" s="18">
        <v>2389</v>
      </c>
      <c r="B6293" s="4" t="s">
        <v>249</v>
      </c>
      <c r="C6293" s="38" t="s">
        <v>5635</v>
      </c>
      <c r="D6293" s="18">
        <v>2022</v>
      </c>
      <c r="E6293" s="18" t="s">
        <v>0</v>
      </c>
      <c r="F6293" s="4">
        <v>1</v>
      </c>
      <c r="G6293" s="42">
        <v>15</v>
      </c>
      <c r="H6293" s="42">
        <v>21.729560000000003</v>
      </c>
    </row>
    <row r="6294" spans="1:8" s="15" customFormat="1" ht="16.5" hidden="1" customHeight="1" outlineLevel="1" x14ac:dyDescent="0.25">
      <c r="A6294" s="18">
        <v>2392</v>
      </c>
      <c r="B6294" s="4" t="s">
        <v>249</v>
      </c>
      <c r="C6294" s="38" t="s">
        <v>5636</v>
      </c>
      <c r="D6294" s="18">
        <v>2022</v>
      </c>
      <c r="E6294" s="18" t="s">
        <v>0</v>
      </c>
      <c r="F6294" s="4">
        <v>1</v>
      </c>
      <c r="G6294" s="42">
        <v>15</v>
      </c>
      <c r="H6294" s="42">
        <v>16.84864</v>
      </c>
    </row>
    <row r="6295" spans="1:8" s="15" customFormat="1" ht="16.5" hidden="1" customHeight="1" outlineLevel="1" x14ac:dyDescent="0.25">
      <c r="A6295" s="18">
        <v>2394</v>
      </c>
      <c r="B6295" s="4" t="s">
        <v>249</v>
      </c>
      <c r="C6295" s="38" t="s">
        <v>5637</v>
      </c>
      <c r="D6295" s="18">
        <v>2022</v>
      </c>
      <c r="E6295" s="18" t="s">
        <v>0</v>
      </c>
      <c r="F6295" s="4">
        <v>1</v>
      </c>
      <c r="G6295" s="42">
        <v>15</v>
      </c>
      <c r="H6295" s="42">
        <v>16.479729999999996</v>
      </c>
    </row>
    <row r="6296" spans="1:8" s="15" customFormat="1" ht="16.5" hidden="1" customHeight="1" outlineLevel="1" x14ac:dyDescent="0.25">
      <c r="A6296" s="18">
        <v>2396</v>
      </c>
      <c r="B6296" s="4" t="s">
        <v>249</v>
      </c>
      <c r="C6296" s="38" t="s">
        <v>5638</v>
      </c>
      <c r="D6296" s="18">
        <v>2022</v>
      </c>
      <c r="E6296" s="18" t="s">
        <v>0</v>
      </c>
      <c r="F6296" s="4">
        <v>1</v>
      </c>
      <c r="G6296" s="42">
        <v>15</v>
      </c>
      <c r="H6296" s="42">
        <v>22.613669999999999</v>
      </c>
    </row>
    <row r="6297" spans="1:8" s="15" customFormat="1" ht="16.5" hidden="1" customHeight="1" outlineLevel="1" x14ac:dyDescent="0.25">
      <c r="A6297" s="18">
        <v>2429</v>
      </c>
      <c r="B6297" s="4" t="s">
        <v>249</v>
      </c>
      <c r="C6297" s="38" t="s">
        <v>4237</v>
      </c>
      <c r="D6297" s="18">
        <v>2022</v>
      </c>
      <c r="E6297" s="18" t="s">
        <v>0</v>
      </c>
      <c r="F6297" s="4">
        <v>1</v>
      </c>
      <c r="G6297" s="42">
        <v>12</v>
      </c>
      <c r="H6297" s="42">
        <v>194.70007000000001</v>
      </c>
    </row>
    <row r="6298" spans="1:8" s="15" customFormat="1" ht="16.5" hidden="1" customHeight="1" outlineLevel="1" x14ac:dyDescent="0.25">
      <c r="A6298" s="18">
        <v>2432</v>
      </c>
      <c r="B6298" s="4" t="s">
        <v>249</v>
      </c>
      <c r="C6298" s="38" t="s">
        <v>5639</v>
      </c>
      <c r="D6298" s="18">
        <v>2022</v>
      </c>
      <c r="E6298" s="18" t="s">
        <v>0</v>
      </c>
      <c r="F6298" s="4">
        <v>1</v>
      </c>
      <c r="G6298" s="42">
        <v>10</v>
      </c>
      <c r="H6298" s="42">
        <v>10.68075</v>
      </c>
    </row>
    <row r="6299" spans="1:8" s="15" customFormat="1" ht="16.5" hidden="1" customHeight="1" outlineLevel="1" x14ac:dyDescent="0.25">
      <c r="A6299" s="18">
        <v>2433</v>
      </c>
      <c r="B6299" s="4" t="s">
        <v>249</v>
      </c>
      <c r="C6299" s="38" t="s">
        <v>5640</v>
      </c>
      <c r="D6299" s="18">
        <v>2022</v>
      </c>
      <c r="E6299" s="18" t="s">
        <v>0</v>
      </c>
      <c r="F6299" s="4">
        <v>1</v>
      </c>
      <c r="G6299" s="42">
        <v>3</v>
      </c>
      <c r="H6299" s="42">
        <v>10.68075</v>
      </c>
    </row>
    <row r="6300" spans="1:8" s="15" customFormat="1" ht="16.5" hidden="1" customHeight="1" outlineLevel="1" x14ac:dyDescent="0.25">
      <c r="A6300" s="18">
        <v>2434</v>
      </c>
      <c r="B6300" s="4" t="s">
        <v>249</v>
      </c>
      <c r="C6300" s="38" t="s">
        <v>5641</v>
      </c>
      <c r="D6300" s="18">
        <v>2022</v>
      </c>
      <c r="E6300" s="18" t="s">
        <v>0</v>
      </c>
      <c r="F6300" s="4">
        <v>1</v>
      </c>
      <c r="G6300" s="42">
        <v>15</v>
      </c>
      <c r="H6300" s="42">
        <v>10.576779999999999</v>
      </c>
    </row>
    <row r="6301" spans="1:8" s="15" customFormat="1" ht="16.5" hidden="1" customHeight="1" outlineLevel="1" x14ac:dyDescent="0.25">
      <c r="A6301" s="18">
        <v>2435</v>
      </c>
      <c r="B6301" s="4" t="s">
        <v>249</v>
      </c>
      <c r="C6301" s="38" t="s">
        <v>5642</v>
      </c>
      <c r="D6301" s="18">
        <v>2022</v>
      </c>
      <c r="E6301" s="18" t="s">
        <v>0</v>
      </c>
      <c r="F6301" s="4">
        <v>1</v>
      </c>
      <c r="G6301" s="42">
        <v>10</v>
      </c>
      <c r="H6301" s="42">
        <v>10.576770000000002</v>
      </c>
    </row>
    <row r="6302" spans="1:8" s="15" customFormat="1" ht="16.5" hidden="1" customHeight="1" outlineLevel="1" x14ac:dyDescent="0.25">
      <c r="A6302" s="18">
        <v>2436</v>
      </c>
      <c r="B6302" s="4" t="s">
        <v>249</v>
      </c>
      <c r="C6302" s="38" t="s">
        <v>5643</v>
      </c>
      <c r="D6302" s="18">
        <v>2022</v>
      </c>
      <c r="E6302" s="18" t="s">
        <v>0</v>
      </c>
      <c r="F6302" s="4">
        <v>1</v>
      </c>
      <c r="G6302" s="42">
        <v>10</v>
      </c>
      <c r="H6302" s="42">
        <v>10.68074</v>
      </c>
    </row>
    <row r="6303" spans="1:8" s="15" customFormat="1" ht="16.5" hidden="1" customHeight="1" outlineLevel="1" x14ac:dyDescent="0.25">
      <c r="A6303" s="18">
        <v>2437</v>
      </c>
      <c r="B6303" s="4" t="s">
        <v>249</v>
      </c>
      <c r="C6303" s="38" t="s">
        <v>5644</v>
      </c>
      <c r="D6303" s="18">
        <v>2022</v>
      </c>
      <c r="E6303" s="18" t="s">
        <v>0</v>
      </c>
      <c r="F6303" s="4">
        <v>1</v>
      </c>
      <c r="G6303" s="42">
        <v>10</v>
      </c>
      <c r="H6303" s="42">
        <v>10.74691</v>
      </c>
    </row>
    <row r="6304" spans="1:8" s="15" customFormat="1" ht="16.5" hidden="1" customHeight="1" outlineLevel="1" x14ac:dyDescent="0.25">
      <c r="A6304" s="18">
        <v>2438</v>
      </c>
      <c r="B6304" s="4" t="s">
        <v>249</v>
      </c>
      <c r="C6304" s="38" t="s">
        <v>5645</v>
      </c>
      <c r="D6304" s="18">
        <v>2022</v>
      </c>
      <c r="E6304" s="18" t="s">
        <v>0</v>
      </c>
      <c r="F6304" s="4">
        <v>1</v>
      </c>
      <c r="G6304" s="42">
        <v>10</v>
      </c>
      <c r="H6304" s="42">
        <v>10.812989999999999</v>
      </c>
    </row>
    <row r="6305" spans="1:8" s="15" customFormat="1" ht="16.5" hidden="1" customHeight="1" outlineLevel="1" x14ac:dyDescent="0.25">
      <c r="A6305" s="18">
        <v>2439</v>
      </c>
      <c r="B6305" s="4" t="s">
        <v>249</v>
      </c>
      <c r="C6305" s="38" t="s">
        <v>5646</v>
      </c>
      <c r="D6305" s="18">
        <v>2022</v>
      </c>
      <c r="E6305" s="18" t="s">
        <v>0</v>
      </c>
      <c r="F6305" s="4">
        <v>1</v>
      </c>
      <c r="G6305" s="42">
        <v>10</v>
      </c>
      <c r="H6305" s="42">
        <v>10.292969999999999</v>
      </c>
    </row>
    <row r="6306" spans="1:8" s="15" customFormat="1" ht="16.5" hidden="1" customHeight="1" outlineLevel="1" x14ac:dyDescent="0.25">
      <c r="A6306" s="18">
        <v>1826</v>
      </c>
      <c r="B6306" s="4" t="s">
        <v>249</v>
      </c>
      <c r="C6306" s="38" t="s">
        <v>5647</v>
      </c>
      <c r="D6306" s="18">
        <v>2022</v>
      </c>
      <c r="E6306" s="18" t="s">
        <v>0</v>
      </c>
      <c r="F6306" s="4">
        <v>1</v>
      </c>
      <c r="G6306" s="42">
        <v>10</v>
      </c>
      <c r="H6306" s="42">
        <v>32.597150000000006</v>
      </c>
    </row>
    <row r="6307" spans="1:8" s="15" customFormat="1" ht="16.5" hidden="1" customHeight="1" outlineLevel="1" x14ac:dyDescent="0.25">
      <c r="A6307" s="18">
        <v>1828</v>
      </c>
      <c r="B6307" s="4" t="s">
        <v>249</v>
      </c>
      <c r="C6307" s="38" t="s">
        <v>5648</v>
      </c>
      <c r="D6307" s="18">
        <v>2022</v>
      </c>
      <c r="E6307" s="18" t="s">
        <v>0</v>
      </c>
      <c r="F6307" s="4">
        <v>1</v>
      </c>
      <c r="G6307" s="42">
        <v>10</v>
      </c>
      <c r="H6307" s="42">
        <v>32.597149999999999</v>
      </c>
    </row>
    <row r="6308" spans="1:8" s="15" customFormat="1" ht="16.5" hidden="1" customHeight="1" outlineLevel="1" x14ac:dyDescent="0.25">
      <c r="A6308" s="18">
        <v>1829</v>
      </c>
      <c r="B6308" s="4" t="s">
        <v>249</v>
      </c>
      <c r="C6308" s="38" t="s">
        <v>5649</v>
      </c>
      <c r="D6308" s="18">
        <v>2022</v>
      </c>
      <c r="E6308" s="18" t="s">
        <v>0</v>
      </c>
      <c r="F6308" s="4">
        <v>1</v>
      </c>
      <c r="G6308" s="42">
        <v>10</v>
      </c>
      <c r="H6308" s="42">
        <v>37.521799999999999</v>
      </c>
    </row>
    <row r="6309" spans="1:8" s="15" customFormat="1" ht="16.5" hidden="1" customHeight="1" outlineLevel="1" x14ac:dyDescent="0.25">
      <c r="A6309" s="18">
        <v>1885</v>
      </c>
      <c r="B6309" s="4" t="s">
        <v>249</v>
      </c>
      <c r="C6309" s="38" t="s">
        <v>5650</v>
      </c>
      <c r="D6309" s="18">
        <v>2022</v>
      </c>
      <c r="E6309" s="18" t="s">
        <v>0</v>
      </c>
      <c r="F6309" s="4">
        <v>1</v>
      </c>
      <c r="G6309" s="42">
        <v>8</v>
      </c>
      <c r="H6309" s="42">
        <v>23.750259999999997</v>
      </c>
    </row>
    <row r="6310" spans="1:8" s="15" customFormat="1" ht="16.5" hidden="1" customHeight="1" outlineLevel="1" x14ac:dyDescent="0.25">
      <c r="A6310" s="18">
        <v>1890</v>
      </c>
      <c r="B6310" s="4" t="s">
        <v>249</v>
      </c>
      <c r="C6310" s="38" t="s">
        <v>4149</v>
      </c>
      <c r="D6310" s="18">
        <v>2022</v>
      </c>
      <c r="E6310" s="18" t="s">
        <v>0</v>
      </c>
      <c r="F6310" s="4">
        <v>1</v>
      </c>
      <c r="G6310" s="42">
        <v>10</v>
      </c>
      <c r="H6310" s="42">
        <v>16.113700000000001</v>
      </c>
    </row>
    <row r="6311" spans="1:8" s="15" customFormat="1" ht="16.5" hidden="1" customHeight="1" outlineLevel="1" x14ac:dyDescent="0.25">
      <c r="A6311" s="18">
        <v>1899</v>
      </c>
      <c r="B6311" s="4" t="s">
        <v>249</v>
      </c>
      <c r="C6311" s="38" t="s">
        <v>5651</v>
      </c>
      <c r="D6311" s="18">
        <v>2022</v>
      </c>
      <c r="E6311" s="18" t="s">
        <v>0</v>
      </c>
      <c r="F6311" s="4">
        <v>1</v>
      </c>
      <c r="G6311" s="42">
        <v>10</v>
      </c>
      <c r="H6311" s="42">
        <v>23.431139999999999</v>
      </c>
    </row>
    <row r="6312" spans="1:8" s="15" customFormat="1" ht="16.5" hidden="1" customHeight="1" outlineLevel="1" x14ac:dyDescent="0.25">
      <c r="A6312" s="18">
        <v>1914</v>
      </c>
      <c r="B6312" s="4" t="s">
        <v>249</v>
      </c>
      <c r="C6312" s="38" t="s">
        <v>5652</v>
      </c>
      <c r="D6312" s="18">
        <v>2022</v>
      </c>
      <c r="E6312" s="18" t="s">
        <v>0</v>
      </c>
      <c r="F6312" s="4">
        <v>1</v>
      </c>
      <c r="G6312" s="42">
        <v>5</v>
      </c>
      <c r="H6312" s="42">
        <v>24.119599999999998</v>
      </c>
    </row>
    <row r="6313" spans="1:8" s="15" customFormat="1" ht="16.5" hidden="1" customHeight="1" outlineLevel="1" x14ac:dyDescent="0.25">
      <c r="A6313" s="18">
        <v>1919</v>
      </c>
      <c r="B6313" s="4" t="s">
        <v>249</v>
      </c>
      <c r="C6313" s="38" t="s">
        <v>5653</v>
      </c>
      <c r="D6313" s="18">
        <v>2022</v>
      </c>
      <c r="E6313" s="18" t="s">
        <v>0</v>
      </c>
      <c r="F6313" s="4">
        <v>1</v>
      </c>
      <c r="G6313" s="42">
        <v>10</v>
      </c>
      <c r="H6313" s="42">
        <v>23.750240000000002</v>
      </c>
    </row>
    <row r="6314" spans="1:8" s="15" customFormat="1" ht="16.5" hidden="1" customHeight="1" outlineLevel="1" x14ac:dyDescent="0.25">
      <c r="A6314" s="18">
        <v>1930</v>
      </c>
      <c r="B6314" s="4" t="s">
        <v>249</v>
      </c>
      <c r="C6314" s="38" t="s">
        <v>5654</v>
      </c>
      <c r="D6314" s="18">
        <v>2022</v>
      </c>
      <c r="E6314" s="18" t="s">
        <v>0</v>
      </c>
      <c r="F6314" s="4">
        <v>1</v>
      </c>
      <c r="G6314" s="42">
        <v>15</v>
      </c>
      <c r="H6314" s="42">
        <v>23.750250000000001</v>
      </c>
    </row>
    <row r="6315" spans="1:8" s="15" customFormat="1" ht="16.5" hidden="1" customHeight="1" outlineLevel="1" x14ac:dyDescent="0.25">
      <c r="A6315" s="18">
        <v>1934</v>
      </c>
      <c r="B6315" s="4" t="s">
        <v>249</v>
      </c>
      <c r="C6315" s="38" t="s">
        <v>5655</v>
      </c>
      <c r="D6315" s="18">
        <v>2022</v>
      </c>
      <c r="E6315" s="18" t="s">
        <v>0</v>
      </c>
      <c r="F6315" s="4">
        <v>1</v>
      </c>
      <c r="G6315" s="42">
        <v>5</v>
      </c>
      <c r="H6315" s="42">
        <v>23.750270000000004</v>
      </c>
    </row>
    <row r="6316" spans="1:8" s="15" customFormat="1" ht="16.5" hidden="1" customHeight="1" outlineLevel="1" x14ac:dyDescent="0.25">
      <c r="A6316" s="18">
        <v>1958</v>
      </c>
      <c r="B6316" s="4" t="s">
        <v>249</v>
      </c>
      <c r="C6316" s="38" t="s">
        <v>5656</v>
      </c>
      <c r="D6316" s="18">
        <v>2022</v>
      </c>
      <c r="E6316" s="18" t="s">
        <v>0</v>
      </c>
      <c r="F6316" s="4">
        <v>1</v>
      </c>
      <c r="G6316" s="42">
        <v>10</v>
      </c>
      <c r="H6316" s="42">
        <v>23.858000000000004</v>
      </c>
    </row>
    <row r="6317" spans="1:8" s="15" customFormat="1" ht="16.5" hidden="1" customHeight="1" outlineLevel="1" x14ac:dyDescent="0.25">
      <c r="A6317" s="18">
        <v>1963</v>
      </c>
      <c r="B6317" s="4" t="s">
        <v>249</v>
      </c>
      <c r="C6317" s="38" t="s">
        <v>5657</v>
      </c>
      <c r="D6317" s="18">
        <v>2022</v>
      </c>
      <c r="E6317" s="18" t="s">
        <v>0</v>
      </c>
      <c r="F6317" s="4">
        <v>1</v>
      </c>
      <c r="G6317" s="42">
        <v>10</v>
      </c>
      <c r="H6317" s="42">
        <v>24.462060000000001</v>
      </c>
    </row>
    <row r="6318" spans="1:8" s="15" customFormat="1" ht="16.5" hidden="1" customHeight="1" outlineLevel="1" x14ac:dyDescent="0.25">
      <c r="A6318" s="18">
        <v>1964</v>
      </c>
      <c r="B6318" s="4" t="s">
        <v>249</v>
      </c>
      <c r="C6318" s="38" t="s">
        <v>5658</v>
      </c>
      <c r="D6318" s="18">
        <v>2022</v>
      </c>
      <c r="E6318" s="18" t="s">
        <v>0</v>
      </c>
      <c r="F6318" s="4">
        <v>1</v>
      </c>
      <c r="G6318" s="42">
        <v>10</v>
      </c>
      <c r="H6318" s="42">
        <v>24.462060000000001</v>
      </c>
    </row>
    <row r="6319" spans="1:8" s="15" customFormat="1" ht="16.5" hidden="1" customHeight="1" outlineLevel="1" x14ac:dyDescent="0.25">
      <c r="A6319" s="18">
        <v>1965</v>
      </c>
      <c r="B6319" s="4" t="s">
        <v>249</v>
      </c>
      <c r="C6319" s="38" t="s">
        <v>5659</v>
      </c>
      <c r="D6319" s="18">
        <v>2022</v>
      </c>
      <c r="E6319" s="18" t="s">
        <v>0</v>
      </c>
      <c r="F6319" s="4">
        <v>1</v>
      </c>
      <c r="G6319" s="42">
        <v>10</v>
      </c>
      <c r="H6319" s="42">
        <v>24.507110000000001</v>
      </c>
    </row>
    <row r="6320" spans="1:8" s="15" customFormat="1" ht="16.5" hidden="1" customHeight="1" outlineLevel="1" x14ac:dyDescent="0.25">
      <c r="A6320" s="18">
        <v>1985</v>
      </c>
      <c r="B6320" s="4" t="s">
        <v>249</v>
      </c>
      <c r="C6320" s="38" t="s">
        <v>5660</v>
      </c>
      <c r="D6320" s="18">
        <v>2022</v>
      </c>
      <c r="E6320" s="18" t="s">
        <v>0</v>
      </c>
      <c r="F6320" s="4">
        <v>1</v>
      </c>
      <c r="G6320" s="42">
        <v>10</v>
      </c>
      <c r="H6320" s="42">
        <v>23.846320000000002</v>
      </c>
    </row>
    <row r="6321" spans="1:8" s="15" customFormat="1" ht="16.5" hidden="1" customHeight="1" outlineLevel="1" x14ac:dyDescent="0.25">
      <c r="A6321" s="18">
        <v>1987</v>
      </c>
      <c r="B6321" s="4" t="s">
        <v>249</v>
      </c>
      <c r="C6321" s="38" t="s">
        <v>5661</v>
      </c>
      <c r="D6321" s="18">
        <v>2022</v>
      </c>
      <c r="E6321" s="18" t="s">
        <v>0</v>
      </c>
      <c r="F6321" s="4">
        <v>1</v>
      </c>
      <c r="G6321" s="42">
        <v>10</v>
      </c>
      <c r="H6321" s="42">
        <v>23.846440000000001</v>
      </c>
    </row>
    <row r="6322" spans="1:8" s="15" customFormat="1" ht="16.5" hidden="1" customHeight="1" outlineLevel="1" x14ac:dyDescent="0.25">
      <c r="A6322" s="18">
        <v>2016</v>
      </c>
      <c r="B6322" s="4" t="s">
        <v>249</v>
      </c>
      <c r="C6322" s="38" t="s">
        <v>5662</v>
      </c>
      <c r="D6322" s="18">
        <v>2022</v>
      </c>
      <c r="E6322" s="18" t="s">
        <v>0</v>
      </c>
      <c r="F6322" s="4">
        <v>1</v>
      </c>
      <c r="G6322" s="42">
        <v>12</v>
      </c>
      <c r="H6322" s="42">
        <v>24.462060000000001</v>
      </c>
    </row>
    <row r="6323" spans="1:8" s="15" customFormat="1" ht="16.5" hidden="1" customHeight="1" outlineLevel="1" x14ac:dyDescent="0.25">
      <c r="A6323" s="18">
        <v>2050</v>
      </c>
      <c r="B6323" s="4" t="s">
        <v>249</v>
      </c>
      <c r="C6323" s="38" t="s">
        <v>5663</v>
      </c>
      <c r="D6323" s="18">
        <v>2022</v>
      </c>
      <c r="E6323" s="18" t="s">
        <v>0</v>
      </c>
      <c r="F6323" s="4">
        <v>1</v>
      </c>
      <c r="G6323" s="42">
        <v>16</v>
      </c>
      <c r="H6323" s="42">
        <v>49.497550000000004</v>
      </c>
    </row>
    <row r="6324" spans="1:8" s="15" customFormat="1" ht="16.5" hidden="1" customHeight="1" outlineLevel="1" x14ac:dyDescent="0.25">
      <c r="A6324" s="18">
        <v>2051</v>
      </c>
      <c r="B6324" s="4" t="s">
        <v>249</v>
      </c>
      <c r="C6324" s="38" t="s">
        <v>5664</v>
      </c>
      <c r="D6324" s="18">
        <v>2022</v>
      </c>
      <c r="E6324" s="18" t="s">
        <v>0</v>
      </c>
      <c r="F6324" s="4">
        <v>1</v>
      </c>
      <c r="G6324" s="42">
        <v>15</v>
      </c>
      <c r="H6324" s="42">
        <v>23.891490000000001</v>
      </c>
    </row>
    <row r="6325" spans="1:8" s="15" customFormat="1" ht="16.5" hidden="1" customHeight="1" outlineLevel="1" x14ac:dyDescent="0.25">
      <c r="A6325" s="18">
        <v>2055</v>
      </c>
      <c r="B6325" s="4" t="s">
        <v>249</v>
      </c>
      <c r="C6325" s="38" t="s">
        <v>5665</v>
      </c>
      <c r="D6325" s="18">
        <v>2022</v>
      </c>
      <c r="E6325" s="18" t="s">
        <v>0</v>
      </c>
      <c r="F6325" s="4">
        <v>1</v>
      </c>
      <c r="G6325" s="42">
        <v>15</v>
      </c>
      <c r="H6325" s="42">
        <v>30.002269999999999</v>
      </c>
    </row>
    <row r="6326" spans="1:8" s="15" customFormat="1" ht="16.5" hidden="1" customHeight="1" outlineLevel="1" x14ac:dyDescent="0.25">
      <c r="A6326" s="18">
        <v>2061</v>
      </c>
      <c r="B6326" s="4" t="s">
        <v>249</v>
      </c>
      <c r="C6326" s="38" t="s">
        <v>4151</v>
      </c>
      <c r="D6326" s="18">
        <v>2022</v>
      </c>
      <c r="E6326" s="18" t="s">
        <v>0</v>
      </c>
      <c r="F6326" s="4">
        <v>1</v>
      </c>
      <c r="G6326" s="42">
        <v>10</v>
      </c>
      <c r="H6326" s="42">
        <v>26.020000000000003</v>
      </c>
    </row>
    <row r="6327" spans="1:8" s="15" customFormat="1" ht="16.5" hidden="1" customHeight="1" outlineLevel="1" x14ac:dyDescent="0.25">
      <c r="A6327" s="18">
        <v>2101</v>
      </c>
      <c r="B6327" s="4" t="s">
        <v>249</v>
      </c>
      <c r="C6327" s="38" t="s">
        <v>5666</v>
      </c>
      <c r="D6327" s="18">
        <v>2022</v>
      </c>
      <c r="E6327" s="18" t="s">
        <v>0</v>
      </c>
      <c r="F6327" s="4">
        <v>1</v>
      </c>
      <c r="G6327" s="42">
        <v>3</v>
      </c>
      <c r="H6327" s="42">
        <v>24.536040000000003</v>
      </c>
    </row>
    <row r="6328" spans="1:8" s="15" customFormat="1" ht="16.5" hidden="1" customHeight="1" outlineLevel="1" x14ac:dyDescent="0.25">
      <c r="A6328" s="18">
        <v>2102</v>
      </c>
      <c r="B6328" s="4" t="s">
        <v>249</v>
      </c>
      <c r="C6328" s="38" t="s">
        <v>5667</v>
      </c>
      <c r="D6328" s="18">
        <v>2022</v>
      </c>
      <c r="E6328" s="18" t="s">
        <v>0</v>
      </c>
      <c r="F6328" s="4">
        <v>1</v>
      </c>
      <c r="G6328" s="42">
        <v>10</v>
      </c>
      <c r="H6328" s="42">
        <v>24.536020000000001</v>
      </c>
    </row>
    <row r="6329" spans="1:8" s="15" customFormat="1" ht="16.5" hidden="1" customHeight="1" outlineLevel="1" x14ac:dyDescent="0.25">
      <c r="A6329" s="18">
        <v>2147</v>
      </c>
      <c r="B6329" s="4" t="s">
        <v>249</v>
      </c>
      <c r="C6329" s="38" t="s">
        <v>5668</v>
      </c>
      <c r="D6329" s="18">
        <v>2022</v>
      </c>
      <c r="E6329" s="18" t="s">
        <v>0</v>
      </c>
      <c r="F6329" s="4">
        <v>1</v>
      </c>
      <c r="G6329" s="42">
        <v>12</v>
      </c>
      <c r="H6329" s="42">
        <v>23.324300000000001</v>
      </c>
    </row>
    <row r="6330" spans="1:8" s="15" customFormat="1" ht="16.5" hidden="1" customHeight="1" outlineLevel="1" x14ac:dyDescent="0.25">
      <c r="A6330" s="18">
        <v>2254</v>
      </c>
      <c r="B6330" s="4" t="s">
        <v>249</v>
      </c>
      <c r="C6330" s="38" t="s">
        <v>4155</v>
      </c>
      <c r="D6330" s="18">
        <v>2022</v>
      </c>
      <c r="E6330" s="18" t="s">
        <v>0</v>
      </c>
      <c r="F6330" s="4">
        <v>1</v>
      </c>
      <c r="G6330" s="42">
        <v>15</v>
      </c>
      <c r="H6330" s="42">
        <v>20.892330000000001</v>
      </c>
    </row>
    <row r="6331" spans="1:8" s="15" customFormat="1" ht="16.5" hidden="1" customHeight="1" outlineLevel="1" x14ac:dyDescent="0.25">
      <c r="A6331" s="18">
        <v>2330</v>
      </c>
      <c r="B6331" s="4" t="s">
        <v>249</v>
      </c>
      <c r="C6331" s="38" t="s">
        <v>5669</v>
      </c>
      <c r="D6331" s="18">
        <v>2022</v>
      </c>
      <c r="E6331" s="18" t="s">
        <v>0</v>
      </c>
      <c r="F6331" s="4">
        <v>1</v>
      </c>
      <c r="G6331" s="42">
        <v>15</v>
      </c>
      <c r="H6331" s="42">
        <v>27.68281</v>
      </c>
    </row>
    <row r="6332" spans="1:8" s="15" customFormat="1" ht="16.5" hidden="1" customHeight="1" outlineLevel="1" x14ac:dyDescent="0.25">
      <c r="A6332" s="18">
        <v>2358</v>
      </c>
      <c r="B6332" s="4" t="s">
        <v>249</v>
      </c>
      <c r="C6332" s="38" t="s">
        <v>5670</v>
      </c>
      <c r="D6332" s="18">
        <v>2022</v>
      </c>
      <c r="E6332" s="18" t="s">
        <v>0</v>
      </c>
      <c r="F6332" s="4">
        <v>1</v>
      </c>
      <c r="G6332" s="42">
        <v>5</v>
      </c>
      <c r="H6332" s="42">
        <v>25.959220000000002</v>
      </c>
    </row>
    <row r="6333" spans="1:8" s="15" customFormat="1" ht="16.5" hidden="1" customHeight="1" outlineLevel="1" x14ac:dyDescent="0.25">
      <c r="A6333" s="18">
        <v>2359</v>
      </c>
      <c r="B6333" s="4" t="s">
        <v>249</v>
      </c>
      <c r="C6333" s="38" t="s">
        <v>5671</v>
      </c>
      <c r="D6333" s="18">
        <v>2022</v>
      </c>
      <c r="E6333" s="18" t="s">
        <v>0</v>
      </c>
      <c r="F6333" s="4">
        <v>1</v>
      </c>
      <c r="G6333" s="42">
        <v>3</v>
      </c>
      <c r="H6333" s="42">
        <v>28.085570000000001</v>
      </c>
    </row>
    <row r="6334" spans="1:8" s="15" customFormat="1" ht="16.5" hidden="1" customHeight="1" outlineLevel="1" x14ac:dyDescent="0.25">
      <c r="A6334" s="18">
        <v>2402</v>
      </c>
      <c r="B6334" s="4" t="s">
        <v>249</v>
      </c>
      <c r="C6334" s="38" t="s">
        <v>5672</v>
      </c>
      <c r="D6334" s="18">
        <v>2022</v>
      </c>
      <c r="E6334" s="18" t="s">
        <v>0</v>
      </c>
      <c r="F6334" s="4">
        <v>1</v>
      </c>
      <c r="G6334" s="42">
        <v>10</v>
      </c>
      <c r="H6334" s="42">
        <v>19.49532</v>
      </c>
    </row>
    <row r="6335" spans="1:8" s="15" customFormat="1" ht="16.5" hidden="1" customHeight="1" outlineLevel="1" x14ac:dyDescent="0.25">
      <c r="A6335" s="18">
        <v>2480</v>
      </c>
      <c r="B6335" s="4" t="s">
        <v>249</v>
      </c>
      <c r="C6335" s="38" t="s">
        <v>5673</v>
      </c>
      <c r="D6335" s="18">
        <v>2022</v>
      </c>
      <c r="E6335" s="18" t="s">
        <v>0</v>
      </c>
      <c r="F6335" s="4">
        <v>1</v>
      </c>
      <c r="G6335" s="42">
        <v>3</v>
      </c>
      <c r="H6335" s="42">
        <v>11.504390000000001</v>
      </c>
    </row>
    <row r="6336" spans="1:8" s="15" customFormat="1" ht="16.5" hidden="1" customHeight="1" outlineLevel="1" x14ac:dyDescent="0.25">
      <c r="A6336" s="18">
        <v>2481</v>
      </c>
      <c r="B6336" s="4" t="s">
        <v>249</v>
      </c>
      <c r="C6336" s="38" t="s">
        <v>5674</v>
      </c>
      <c r="D6336" s="18">
        <v>2022</v>
      </c>
      <c r="E6336" s="18" t="s">
        <v>0</v>
      </c>
      <c r="F6336" s="4">
        <v>1</v>
      </c>
      <c r="G6336" s="42">
        <v>10</v>
      </c>
      <c r="H6336" s="42">
        <v>11.916329999999999</v>
      </c>
    </row>
    <row r="6337" spans="1:8" s="15" customFormat="1" ht="16.5" hidden="1" customHeight="1" outlineLevel="1" x14ac:dyDescent="0.25">
      <c r="A6337" s="18">
        <v>2482</v>
      </c>
      <c r="B6337" s="4" t="s">
        <v>249</v>
      </c>
      <c r="C6337" s="38" t="s">
        <v>5675</v>
      </c>
      <c r="D6337" s="18">
        <v>2022</v>
      </c>
      <c r="E6337" s="18" t="s">
        <v>0</v>
      </c>
      <c r="F6337" s="4">
        <v>1</v>
      </c>
      <c r="G6337" s="42">
        <v>7</v>
      </c>
      <c r="H6337" s="42">
        <v>12.197229999999999</v>
      </c>
    </row>
    <row r="6338" spans="1:8" s="15" customFormat="1" ht="16.5" hidden="1" customHeight="1" outlineLevel="1" x14ac:dyDescent="0.25">
      <c r="A6338" s="18">
        <v>2483</v>
      </c>
      <c r="B6338" s="4" t="s">
        <v>249</v>
      </c>
      <c r="C6338" s="38" t="s">
        <v>5676</v>
      </c>
      <c r="D6338" s="18">
        <v>2022</v>
      </c>
      <c r="E6338" s="18" t="s">
        <v>0</v>
      </c>
      <c r="F6338" s="4">
        <v>1</v>
      </c>
      <c r="G6338" s="42">
        <v>7</v>
      </c>
      <c r="H6338" s="42">
        <v>12.197229999999999</v>
      </c>
    </row>
    <row r="6339" spans="1:8" s="15" customFormat="1" ht="16.5" hidden="1" customHeight="1" outlineLevel="1" x14ac:dyDescent="0.25">
      <c r="A6339" s="18">
        <v>2484</v>
      </c>
      <c r="B6339" s="4" t="s">
        <v>249</v>
      </c>
      <c r="C6339" s="38" t="s">
        <v>5677</v>
      </c>
      <c r="D6339" s="18">
        <v>2022</v>
      </c>
      <c r="E6339" s="18" t="s">
        <v>0</v>
      </c>
      <c r="F6339" s="4">
        <v>1</v>
      </c>
      <c r="G6339" s="42">
        <v>10</v>
      </c>
      <c r="H6339" s="42">
        <v>11.63552</v>
      </c>
    </row>
    <row r="6340" spans="1:8" s="15" customFormat="1" ht="16.5" hidden="1" customHeight="1" outlineLevel="1" x14ac:dyDescent="0.25">
      <c r="A6340" s="18">
        <v>2486</v>
      </c>
      <c r="B6340" s="4" t="s">
        <v>249</v>
      </c>
      <c r="C6340" s="38" t="s">
        <v>5678</v>
      </c>
      <c r="D6340" s="18">
        <v>2022</v>
      </c>
      <c r="E6340" s="18" t="s">
        <v>0</v>
      </c>
      <c r="F6340" s="4">
        <v>1</v>
      </c>
      <c r="G6340" s="42">
        <v>15</v>
      </c>
      <c r="H6340" s="42">
        <v>11.916319999999999</v>
      </c>
    </row>
    <row r="6341" spans="1:8" s="15" customFormat="1" ht="16.5" hidden="1" customHeight="1" outlineLevel="1" x14ac:dyDescent="0.25">
      <c r="A6341" s="18">
        <v>2488</v>
      </c>
      <c r="B6341" s="4" t="s">
        <v>249</v>
      </c>
      <c r="C6341" s="38" t="s">
        <v>5679</v>
      </c>
      <c r="D6341" s="18">
        <v>2022</v>
      </c>
      <c r="E6341" s="18" t="s">
        <v>0</v>
      </c>
      <c r="F6341" s="4">
        <v>1</v>
      </c>
      <c r="G6341" s="42">
        <v>15</v>
      </c>
      <c r="H6341" s="42">
        <v>11.916329999999999</v>
      </c>
    </row>
    <row r="6342" spans="1:8" s="15" customFormat="1" ht="16.5" hidden="1" customHeight="1" outlineLevel="1" x14ac:dyDescent="0.25">
      <c r="A6342" s="18">
        <v>2489</v>
      </c>
      <c r="B6342" s="4" t="s">
        <v>249</v>
      </c>
      <c r="C6342" s="38" t="s">
        <v>5680</v>
      </c>
      <c r="D6342" s="18">
        <v>2022</v>
      </c>
      <c r="E6342" s="18" t="s">
        <v>0</v>
      </c>
      <c r="F6342" s="4">
        <v>1</v>
      </c>
      <c r="G6342" s="42">
        <v>10</v>
      </c>
      <c r="H6342" s="42">
        <v>11.86748</v>
      </c>
    </row>
    <row r="6343" spans="1:8" s="15" customFormat="1" ht="16.5" hidden="1" customHeight="1" outlineLevel="1" x14ac:dyDescent="0.25">
      <c r="A6343" s="18">
        <v>2490</v>
      </c>
      <c r="B6343" s="4" t="s">
        <v>249</v>
      </c>
      <c r="C6343" s="38" t="s">
        <v>5681</v>
      </c>
      <c r="D6343" s="18">
        <v>2022</v>
      </c>
      <c r="E6343" s="18" t="s">
        <v>0</v>
      </c>
      <c r="F6343" s="4">
        <v>1</v>
      </c>
      <c r="G6343" s="42">
        <v>15</v>
      </c>
      <c r="H6343" s="42">
        <v>11.916319999999999</v>
      </c>
    </row>
    <row r="6344" spans="1:8" s="15" customFormat="1" ht="16.5" hidden="1" customHeight="1" outlineLevel="1" x14ac:dyDescent="0.25">
      <c r="A6344" s="18">
        <v>2491</v>
      </c>
      <c r="B6344" s="4" t="s">
        <v>249</v>
      </c>
      <c r="C6344" s="38" t="s">
        <v>5682</v>
      </c>
      <c r="D6344" s="18">
        <v>2022</v>
      </c>
      <c r="E6344" s="18" t="s">
        <v>0</v>
      </c>
      <c r="F6344" s="4">
        <v>1</v>
      </c>
      <c r="G6344" s="42">
        <v>0.5</v>
      </c>
      <c r="H6344" s="42">
        <v>11.70593</v>
      </c>
    </row>
    <row r="6345" spans="1:8" s="15" customFormat="1" ht="16.5" hidden="1" customHeight="1" outlineLevel="1" x14ac:dyDescent="0.25">
      <c r="A6345" s="18">
        <v>2494</v>
      </c>
      <c r="B6345" s="4" t="s">
        <v>249</v>
      </c>
      <c r="C6345" s="38" t="s">
        <v>5683</v>
      </c>
      <c r="D6345" s="18">
        <v>2022</v>
      </c>
      <c r="E6345" s="18" t="s">
        <v>0</v>
      </c>
      <c r="F6345" s="4">
        <v>1</v>
      </c>
      <c r="G6345" s="42">
        <v>10</v>
      </c>
      <c r="H6345" s="42">
        <v>16.550750000000001</v>
      </c>
    </row>
    <row r="6346" spans="1:8" s="15" customFormat="1" ht="16.5" hidden="1" customHeight="1" outlineLevel="1" x14ac:dyDescent="0.25">
      <c r="A6346" s="18">
        <v>2495</v>
      </c>
      <c r="B6346" s="4" t="s">
        <v>249</v>
      </c>
      <c r="C6346" s="38" t="s">
        <v>5684</v>
      </c>
      <c r="D6346" s="18">
        <v>2022</v>
      </c>
      <c r="E6346" s="18" t="s">
        <v>0</v>
      </c>
      <c r="F6346" s="4">
        <v>1</v>
      </c>
      <c r="G6346" s="42">
        <v>10</v>
      </c>
      <c r="H6346" s="42">
        <v>11.354620000000001</v>
      </c>
    </row>
    <row r="6347" spans="1:8" s="15" customFormat="1" ht="16.5" hidden="1" customHeight="1" outlineLevel="1" x14ac:dyDescent="0.25">
      <c r="A6347" s="18">
        <v>2498</v>
      </c>
      <c r="B6347" s="4" t="s">
        <v>249</v>
      </c>
      <c r="C6347" s="38" t="s">
        <v>5685</v>
      </c>
      <c r="D6347" s="18">
        <v>2022</v>
      </c>
      <c r="E6347" s="18" t="s">
        <v>0</v>
      </c>
      <c r="F6347" s="4">
        <v>1</v>
      </c>
      <c r="G6347" s="42">
        <v>10</v>
      </c>
      <c r="H6347" s="42">
        <v>13.742059999999999</v>
      </c>
    </row>
    <row r="6348" spans="1:8" s="15" customFormat="1" ht="16.5" hidden="1" customHeight="1" outlineLevel="1" x14ac:dyDescent="0.25">
      <c r="A6348" s="18">
        <v>2192</v>
      </c>
      <c r="B6348" s="4" t="s">
        <v>249</v>
      </c>
      <c r="C6348" s="38" t="s">
        <v>5686</v>
      </c>
      <c r="D6348" s="18">
        <v>2022</v>
      </c>
      <c r="E6348" s="18" t="s">
        <v>0</v>
      </c>
      <c r="F6348" s="4">
        <v>1</v>
      </c>
      <c r="G6348" s="42">
        <v>10</v>
      </c>
      <c r="H6348" s="42">
        <v>24.738499999999998</v>
      </c>
    </row>
    <row r="6349" spans="1:8" s="15" customFormat="1" ht="16.5" hidden="1" customHeight="1" outlineLevel="1" x14ac:dyDescent="0.25">
      <c r="A6349" s="18">
        <v>2197</v>
      </c>
      <c r="B6349" s="4" t="s">
        <v>249</v>
      </c>
      <c r="C6349" s="38" t="s">
        <v>5687</v>
      </c>
      <c r="D6349" s="18">
        <v>2022</v>
      </c>
      <c r="E6349" s="18" t="s">
        <v>0</v>
      </c>
      <c r="F6349" s="4">
        <v>1</v>
      </c>
      <c r="G6349" s="42">
        <v>10</v>
      </c>
      <c r="H6349" s="42">
        <v>16.402259999999998</v>
      </c>
    </row>
    <row r="6350" spans="1:8" s="15" customFormat="1" ht="16.5" hidden="1" customHeight="1" outlineLevel="1" x14ac:dyDescent="0.25">
      <c r="A6350" s="18">
        <v>2210</v>
      </c>
      <c r="B6350" s="4" t="s">
        <v>249</v>
      </c>
      <c r="C6350" s="38" t="s">
        <v>5688</v>
      </c>
      <c r="D6350" s="18">
        <v>2022</v>
      </c>
      <c r="E6350" s="18" t="s">
        <v>0</v>
      </c>
      <c r="F6350" s="4">
        <v>1</v>
      </c>
      <c r="G6350" s="42">
        <v>15</v>
      </c>
      <c r="H6350" s="42">
        <v>24.738479999999999</v>
      </c>
    </row>
    <row r="6351" spans="1:8" s="15" customFormat="1" ht="16.5" hidden="1" customHeight="1" outlineLevel="1" x14ac:dyDescent="0.25">
      <c r="A6351" s="18">
        <v>2211</v>
      </c>
      <c r="B6351" s="4" t="s">
        <v>249</v>
      </c>
      <c r="C6351" s="38" t="s">
        <v>5689</v>
      </c>
      <c r="D6351" s="18">
        <v>2022</v>
      </c>
      <c r="E6351" s="18" t="s">
        <v>0</v>
      </c>
      <c r="F6351" s="4">
        <v>1</v>
      </c>
      <c r="G6351" s="42">
        <v>5</v>
      </c>
      <c r="H6351" s="42">
        <v>24.738480000000003</v>
      </c>
    </row>
    <row r="6352" spans="1:8" s="15" customFormat="1" ht="16.5" hidden="1" customHeight="1" outlineLevel="1" x14ac:dyDescent="0.25">
      <c r="A6352" s="18">
        <v>2215</v>
      </c>
      <c r="B6352" s="4" t="s">
        <v>249</v>
      </c>
      <c r="C6352" s="38" t="s">
        <v>5690</v>
      </c>
      <c r="D6352" s="18">
        <v>2022</v>
      </c>
      <c r="E6352" s="18" t="s">
        <v>0</v>
      </c>
      <c r="F6352" s="4">
        <v>1</v>
      </c>
      <c r="G6352" s="42">
        <v>10</v>
      </c>
      <c r="H6352" s="42">
        <v>26.478580000000001</v>
      </c>
    </row>
    <row r="6353" spans="1:8" s="15" customFormat="1" ht="16.5" hidden="1" customHeight="1" outlineLevel="1" x14ac:dyDescent="0.25">
      <c r="A6353" s="18">
        <v>2250</v>
      </c>
      <c r="B6353" s="4" t="s">
        <v>249</v>
      </c>
      <c r="C6353" s="38" t="s">
        <v>4164</v>
      </c>
      <c r="D6353" s="18">
        <v>2022</v>
      </c>
      <c r="E6353" s="18" t="s">
        <v>0</v>
      </c>
      <c r="F6353" s="4">
        <v>1</v>
      </c>
      <c r="G6353" s="42">
        <v>10</v>
      </c>
      <c r="H6353" s="42">
        <v>20.187360000000002</v>
      </c>
    </row>
    <row r="6354" spans="1:8" s="15" customFormat="1" ht="16.5" hidden="1" customHeight="1" outlineLevel="1" x14ac:dyDescent="0.25">
      <c r="A6354" s="18">
        <v>2253</v>
      </c>
      <c r="B6354" s="4" t="s">
        <v>249</v>
      </c>
      <c r="C6354" s="38" t="s">
        <v>4165</v>
      </c>
      <c r="D6354" s="18">
        <v>2022</v>
      </c>
      <c r="E6354" s="18" t="s">
        <v>0</v>
      </c>
      <c r="F6354" s="4">
        <v>1</v>
      </c>
      <c r="G6354" s="42">
        <v>14</v>
      </c>
      <c r="H6354" s="42">
        <v>23.437920000000002</v>
      </c>
    </row>
    <row r="6355" spans="1:8" s="15" customFormat="1" ht="16.5" hidden="1" customHeight="1" outlineLevel="1" x14ac:dyDescent="0.25">
      <c r="A6355" s="18">
        <v>2258</v>
      </c>
      <c r="B6355" s="4" t="s">
        <v>249</v>
      </c>
      <c r="C6355" s="38" t="s">
        <v>5691</v>
      </c>
      <c r="D6355" s="18">
        <v>2022</v>
      </c>
      <c r="E6355" s="18" t="s">
        <v>0</v>
      </c>
      <c r="F6355" s="4">
        <v>1</v>
      </c>
      <c r="G6355" s="42">
        <v>15</v>
      </c>
      <c r="H6355" s="42">
        <v>25.76172</v>
      </c>
    </row>
    <row r="6356" spans="1:8" s="15" customFormat="1" ht="16.5" hidden="1" customHeight="1" outlineLevel="1" x14ac:dyDescent="0.25">
      <c r="A6356" s="18">
        <v>2264</v>
      </c>
      <c r="B6356" s="4" t="s">
        <v>249</v>
      </c>
      <c r="C6356" s="38" t="s">
        <v>5692</v>
      </c>
      <c r="D6356" s="18">
        <v>2022</v>
      </c>
      <c r="E6356" s="18" t="s">
        <v>0</v>
      </c>
      <c r="F6356" s="4">
        <v>1</v>
      </c>
      <c r="G6356" s="42">
        <v>15</v>
      </c>
      <c r="H6356" s="42">
        <v>24.738499999999998</v>
      </c>
    </row>
    <row r="6357" spans="1:8" s="15" customFormat="1" ht="16.5" hidden="1" customHeight="1" outlineLevel="1" x14ac:dyDescent="0.25">
      <c r="A6357" s="18">
        <v>2269</v>
      </c>
      <c r="B6357" s="4" t="s">
        <v>249</v>
      </c>
      <c r="C6357" s="38" t="s">
        <v>5693</v>
      </c>
      <c r="D6357" s="18">
        <v>2022</v>
      </c>
      <c r="E6357" s="18" t="s">
        <v>0</v>
      </c>
      <c r="F6357" s="4">
        <v>1</v>
      </c>
      <c r="G6357" s="42">
        <v>10</v>
      </c>
      <c r="H6357" s="42">
        <v>24.738450000000004</v>
      </c>
    </row>
    <row r="6358" spans="1:8" s="15" customFormat="1" ht="16.5" hidden="1" customHeight="1" outlineLevel="1" x14ac:dyDescent="0.25">
      <c r="A6358" s="18">
        <v>2270</v>
      </c>
      <c r="B6358" s="4" t="s">
        <v>249</v>
      </c>
      <c r="C6358" s="38" t="s">
        <v>5694</v>
      </c>
      <c r="D6358" s="18">
        <v>2022</v>
      </c>
      <c r="E6358" s="18" t="s">
        <v>0</v>
      </c>
      <c r="F6358" s="4">
        <v>1</v>
      </c>
      <c r="G6358" s="42">
        <v>10</v>
      </c>
      <c r="H6358" s="42">
        <v>24.738470000000003</v>
      </c>
    </row>
    <row r="6359" spans="1:8" s="15" customFormat="1" ht="16.5" hidden="1" customHeight="1" outlineLevel="1" x14ac:dyDescent="0.25">
      <c r="A6359" s="18">
        <v>2288</v>
      </c>
      <c r="B6359" s="4" t="s">
        <v>249</v>
      </c>
      <c r="C6359" s="38" t="s">
        <v>5695</v>
      </c>
      <c r="D6359" s="18">
        <v>2022</v>
      </c>
      <c r="E6359" s="18" t="s">
        <v>0</v>
      </c>
      <c r="F6359" s="4">
        <v>1</v>
      </c>
      <c r="G6359" s="42">
        <v>10</v>
      </c>
      <c r="H6359" s="42">
        <v>24.738499999999998</v>
      </c>
    </row>
    <row r="6360" spans="1:8" s="15" customFormat="1" ht="16.5" hidden="1" customHeight="1" outlineLevel="1" x14ac:dyDescent="0.25">
      <c r="A6360" s="18">
        <v>2295</v>
      </c>
      <c r="B6360" s="4" t="s">
        <v>249</v>
      </c>
      <c r="C6360" s="38" t="s">
        <v>5696</v>
      </c>
      <c r="D6360" s="18">
        <v>2022</v>
      </c>
      <c r="E6360" s="18" t="s">
        <v>0</v>
      </c>
      <c r="F6360" s="4">
        <v>1</v>
      </c>
      <c r="G6360" s="42">
        <v>15</v>
      </c>
      <c r="H6360" s="42">
        <v>24.738120000000002</v>
      </c>
    </row>
    <row r="6361" spans="1:8" s="15" customFormat="1" ht="16.5" hidden="1" customHeight="1" outlineLevel="1" x14ac:dyDescent="0.25">
      <c r="A6361" s="18">
        <v>2328</v>
      </c>
      <c r="B6361" s="4" t="s">
        <v>249</v>
      </c>
      <c r="C6361" s="38" t="s">
        <v>5697</v>
      </c>
      <c r="D6361" s="18">
        <v>2022</v>
      </c>
      <c r="E6361" s="18" t="s">
        <v>0</v>
      </c>
      <c r="F6361" s="4">
        <v>1</v>
      </c>
      <c r="G6361" s="42">
        <v>1.5</v>
      </c>
      <c r="H6361" s="42">
        <v>16.402179999999998</v>
      </c>
    </row>
    <row r="6362" spans="1:8" s="15" customFormat="1" ht="16.5" hidden="1" customHeight="1" outlineLevel="1" x14ac:dyDescent="0.25">
      <c r="A6362" s="18">
        <v>2333</v>
      </c>
      <c r="B6362" s="4" t="s">
        <v>249</v>
      </c>
      <c r="C6362" s="38" t="s">
        <v>5698</v>
      </c>
      <c r="D6362" s="18">
        <v>2022</v>
      </c>
      <c r="E6362" s="18" t="s">
        <v>0</v>
      </c>
      <c r="F6362" s="4">
        <v>1</v>
      </c>
      <c r="G6362" s="42">
        <v>15</v>
      </c>
      <c r="H6362" s="42">
        <v>25.086510000000001</v>
      </c>
    </row>
    <row r="6363" spans="1:8" s="15" customFormat="1" ht="16.5" hidden="1" customHeight="1" outlineLevel="1" x14ac:dyDescent="0.25">
      <c r="A6363" s="18">
        <v>2341</v>
      </c>
      <c r="B6363" s="4" t="s">
        <v>249</v>
      </c>
      <c r="C6363" s="38" t="s">
        <v>5699</v>
      </c>
      <c r="D6363" s="18">
        <v>2022</v>
      </c>
      <c r="E6363" s="18" t="s">
        <v>0</v>
      </c>
      <c r="F6363" s="4">
        <v>1</v>
      </c>
      <c r="G6363" s="42">
        <v>15</v>
      </c>
      <c r="H6363" s="42">
        <v>24.738479999999999</v>
      </c>
    </row>
    <row r="6364" spans="1:8" s="15" customFormat="1" ht="16.5" hidden="1" customHeight="1" outlineLevel="1" x14ac:dyDescent="0.25">
      <c r="A6364" s="18">
        <v>2379</v>
      </c>
      <c r="B6364" s="4" t="s">
        <v>249</v>
      </c>
      <c r="C6364" s="38" t="s">
        <v>5700</v>
      </c>
      <c r="D6364" s="18">
        <v>2022</v>
      </c>
      <c r="E6364" s="18" t="s">
        <v>0</v>
      </c>
      <c r="F6364" s="4">
        <v>1</v>
      </c>
      <c r="G6364" s="42">
        <v>15</v>
      </c>
      <c r="H6364" s="42">
        <v>26.217400000000001</v>
      </c>
    </row>
    <row r="6365" spans="1:8" s="15" customFormat="1" ht="16.5" hidden="1" customHeight="1" outlineLevel="1" x14ac:dyDescent="0.25">
      <c r="A6365" s="18">
        <v>2380</v>
      </c>
      <c r="B6365" s="4" t="s">
        <v>249</v>
      </c>
      <c r="C6365" s="38" t="s">
        <v>5701</v>
      </c>
      <c r="D6365" s="18">
        <v>2022</v>
      </c>
      <c r="E6365" s="18" t="s">
        <v>0</v>
      </c>
      <c r="F6365" s="4">
        <v>1</v>
      </c>
      <c r="G6365" s="42">
        <v>12</v>
      </c>
      <c r="H6365" s="42">
        <v>18.229200000000002</v>
      </c>
    </row>
    <row r="6366" spans="1:8" s="15" customFormat="1" ht="16.5" hidden="1" customHeight="1" outlineLevel="1" x14ac:dyDescent="0.25">
      <c r="A6366" s="18">
        <v>2383</v>
      </c>
      <c r="B6366" s="4" t="s">
        <v>249</v>
      </c>
      <c r="C6366" s="38" t="s">
        <v>5702</v>
      </c>
      <c r="D6366" s="18">
        <v>2022</v>
      </c>
      <c r="E6366" s="18" t="s">
        <v>0</v>
      </c>
      <c r="F6366" s="4">
        <v>1</v>
      </c>
      <c r="G6366" s="42">
        <v>15</v>
      </c>
      <c r="H6366" s="42">
        <v>24.825369999999999</v>
      </c>
    </row>
    <row r="6367" spans="1:8" s="15" customFormat="1" ht="16.5" hidden="1" customHeight="1" outlineLevel="1" x14ac:dyDescent="0.25">
      <c r="A6367" s="18">
        <v>2385</v>
      </c>
      <c r="B6367" s="4" t="s">
        <v>249</v>
      </c>
      <c r="C6367" s="38" t="s">
        <v>5703</v>
      </c>
      <c r="D6367" s="18">
        <v>2022</v>
      </c>
      <c r="E6367" s="18" t="s">
        <v>0</v>
      </c>
      <c r="F6367" s="4">
        <v>1</v>
      </c>
      <c r="G6367" s="42">
        <v>10</v>
      </c>
      <c r="H6367" s="42">
        <v>24.82536</v>
      </c>
    </row>
    <row r="6368" spans="1:8" s="15" customFormat="1" ht="16.5" hidden="1" customHeight="1" outlineLevel="1" x14ac:dyDescent="0.25">
      <c r="A6368" s="18">
        <v>2390</v>
      </c>
      <c r="B6368" s="4" t="s">
        <v>249</v>
      </c>
      <c r="C6368" s="38" t="s">
        <v>5704</v>
      </c>
      <c r="D6368" s="18">
        <v>2022</v>
      </c>
      <c r="E6368" s="18" t="s">
        <v>0</v>
      </c>
      <c r="F6368" s="4">
        <v>1</v>
      </c>
      <c r="G6368" s="42">
        <v>7</v>
      </c>
      <c r="H6368" s="42">
        <v>24.825279999999999</v>
      </c>
    </row>
    <row r="6369" spans="1:8" s="15" customFormat="1" ht="16.5" hidden="1" customHeight="1" outlineLevel="1" x14ac:dyDescent="0.25">
      <c r="A6369" s="18">
        <v>2393</v>
      </c>
      <c r="B6369" s="4" t="s">
        <v>249</v>
      </c>
      <c r="C6369" s="38" t="s">
        <v>5705</v>
      </c>
      <c r="D6369" s="18">
        <v>2022</v>
      </c>
      <c r="E6369" s="18" t="s">
        <v>0</v>
      </c>
      <c r="F6369" s="4">
        <v>1</v>
      </c>
      <c r="G6369" s="42">
        <v>10</v>
      </c>
      <c r="H6369" s="42">
        <v>26.565479999999997</v>
      </c>
    </row>
    <row r="6370" spans="1:8" s="15" customFormat="1" ht="16.5" hidden="1" customHeight="1" outlineLevel="1" x14ac:dyDescent="0.25">
      <c r="A6370" s="18">
        <v>2397</v>
      </c>
      <c r="B6370" s="4" t="s">
        <v>249</v>
      </c>
      <c r="C6370" s="38" t="s">
        <v>5706</v>
      </c>
      <c r="D6370" s="18">
        <v>2022</v>
      </c>
      <c r="E6370" s="18" t="s">
        <v>0</v>
      </c>
      <c r="F6370" s="4">
        <v>1</v>
      </c>
      <c r="G6370" s="42">
        <v>8</v>
      </c>
      <c r="H6370" s="42">
        <v>25.6951</v>
      </c>
    </row>
    <row r="6371" spans="1:8" s="15" customFormat="1" ht="16.5" hidden="1" customHeight="1" outlineLevel="1" x14ac:dyDescent="0.25">
      <c r="A6371" s="18">
        <v>2399</v>
      </c>
      <c r="B6371" s="4" t="s">
        <v>249</v>
      </c>
      <c r="C6371" s="38" t="s">
        <v>5707</v>
      </c>
      <c r="D6371" s="18">
        <v>2022</v>
      </c>
      <c r="E6371" s="18" t="s">
        <v>0</v>
      </c>
      <c r="F6371" s="4">
        <v>1</v>
      </c>
      <c r="G6371" s="42">
        <v>15</v>
      </c>
      <c r="H6371" s="42">
        <v>18.293569999999999</v>
      </c>
    </row>
    <row r="6372" spans="1:8" s="15" customFormat="1" ht="16.5" hidden="1" customHeight="1" outlineLevel="1" x14ac:dyDescent="0.25">
      <c r="A6372" s="18">
        <v>2400</v>
      </c>
      <c r="B6372" s="4" t="s">
        <v>249</v>
      </c>
      <c r="C6372" s="38" t="s">
        <v>5708</v>
      </c>
      <c r="D6372" s="18">
        <v>2022</v>
      </c>
      <c r="E6372" s="18" t="s">
        <v>0</v>
      </c>
      <c r="F6372" s="4">
        <v>1</v>
      </c>
      <c r="G6372" s="42">
        <v>5</v>
      </c>
      <c r="H6372" s="42">
        <v>20.748060000000002</v>
      </c>
    </row>
    <row r="6373" spans="1:8" s="15" customFormat="1" ht="16.5" hidden="1" customHeight="1" outlineLevel="1" x14ac:dyDescent="0.25">
      <c r="A6373" s="18">
        <v>2514</v>
      </c>
      <c r="B6373" s="4" t="s">
        <v>249</v>
      </c>
      <c r="C6373" s="38" t="s">
        <v>5709</v>
      </c>
      <c r="D6373" s="18">
        <v>2022</v>
      </c>
      <c r="E6373" s="18" t="s">
        <v>0</v>
      </c>
      <c r="F6373" s="4">
        <v>1</v>
      </c>
      <c r="G6373" s="42">
        <v>5</v>
      </c>
      <c r="H6373" s="42">
        <v>12.247999999999999</v>
      </c>
    </row>
    <row r="6374" spans="1:8" s="15" customFormat="1" ht="16.5" hidden="1" customHeight="1" outlineLevel="1" x14ac:dyDescent="0.25">
      <c r="A6374" s="18">
        <v>2515</v>
      </c>
      <c r="B6374" s="4" t="s">
        <v>249</v>
      </c>
      <c r="C6374" s="38" t="s">
        <v>5710</v>
      </c>
      <c r="D6374" s="18">
        <v>2022</v>
      </c>
      <c r="E6374" s="18" t="s">
        <v>0</v>
      </c>
      <c r="F6374" s="4">
        <v>1</v>
      </c>
      <c r="G6374" s="42">
        <v>3</v>
      </c>
      <c r="H6374" s="42">
        <v>11.57034</v>
      </c>
    </row>
    <row r="6375" spans="1:8" s="15" customFormat="1" ht="16.5" hidden="1" customHeight="1" outlineLevel="1" x14ac:dyDescent="0.25">
      <c r="A6375" s="18">
        <v>2516</v>
      </c>
      <c r="B6375" s="4" t="s">
        <v>249</v>
      </c>
      <c r="C6375" s="38" t="s">
        <v>5711</v>
      </c>
      <c r="D6375" s="18">
        <v>2022</v>
      </c>
      <c r="E6375" s="18" t="s">
        <v>0</v>
      </c>
      <c r="F6375" s="4">
        <v>1</v>
      </c>
      <c r="G6375" s="42">
        <v>6</v>
      </c>
      <c r="H6375" s="42">
        <v>11.901349999999999</v>
      </c>
    </row>
    <row r="6376" spans="1:8" s="15" customFormat="1" ht="16.5" hidden="1" customHeight="1" outlineLevel="1" x14ac:dyDescent="0.25">
      <c r="A6376" s="18">
        <v>2517</v>
      </c>
      <c r="B6376" s="4" t="s">
        <v>249</v>
      </c>
      <c r="C6376" s="38" t="s">
        <v>5712</v>
      </c>
      <c r="D6376" s="18">
        <v>2022</v>
      </c>
      <c r="E6376" s="18" t="s">
        <v>0</v>
      </c>
      <c r="F6376" s="4">
        <v>1</v>
      </c>
      <c r="G6376" s="42">
        <v>5</v>
      </c>
      <c r="H6376" s="42">
        <v>12.275399999999999</v>
      </c>
    </row>
    <row r="6377" spans="1:8" s="15" customFormat="1" ht="16.5" hidden="1" customHeight="1" outlineLevel="1" x14ac:dyDescent="0.25">
      <c r="A6377" s="18">
        <v>2518</v>
      </c>
      <c r="B6377" s="4" t="s">
        <v>249</v>
      </c>
      <c r="C6377" s="38" t="s">
        <v>5713</v>
      </c>
      <c r="D6377" s="18">
        <v>2022</v>
      </c>
      <c r="E6377" s="18" t="s">
        <v>0</v>
      </c>
      <c r="F6377" s="4">
        <v>1</v>
      </c>
      <c r="G6377" s="42">
        <v>5</v>
      </c>
      <c r="H6377" s="42">
        <v>11.90136</v>
      </c>
    </row>
    <row r="6378" spans="1:8" s="15" customFormat="1" ht="16.5" hidden="1" customHeight="1" outlineLevel="1" x14ac:dyDescent="0.25">
      <c r="A6378" s="18">
        <v>2519</v>
      </c>
      <c r="B6378" s="4" t="s">
        <v>249</v>
      </c>
      <c r="C6378" s="38" t="s">
        <v>5714</v>
      </c>
      <c r="D6378" s="18">
        <v>2022</v>
      </c>
      <c r="E6378" s="18" t="s">
        <v>0</v>
      </c>
      <c r="F6378" s="4">
        <v>1</v>
      </c>
      <c r="G6378" s="42">
        <v>3</v>
      </c>
      <c r="H6378" s="42">
        <v>11.411860000000001</v>
      </c>
    </row>
    <row r="6379" spans="1:8" s="15" customFormat="1" ht="16.5" hidden="1" customHeight="1" outlineLevel="1" x14ac:dyDescent="0.25">
      <c r="A6379" s="18">
        <v>2520</v>
      </c>
      <c r="B6379" s="4" t="s">
        <v>249</v>
      </c>
      <c r="C6379" s="38" t="s">
        <v>5715</v>
      </c>
      <c r="D6379" s="18">
        <v>2022</v>
      </c>
      <c r="E6379" s="18" t="s">
        <v>0</v>
      </c>
      <c r="F6379" s="4">
        <v>1</v>
      </c>
      <c r="G6379" s="42">
        <v>6</v>
      </c>
      <c r="H6379" s="42">
        <v>12.247999999999999</v>
      </c>
    </row>
    <row r="6380" spans="1:8" s="15" customFormat="1" ht="16.5" hidden="1" customHeight="1" outlineLevel="1" x14ac:dyDescent="0.25">
      <c r="A6380" s="18">
        <v>2521</v>
      </c>
      <c r="B6380" s="4" t="s">
        <v>249</v>
      </c>
      <c r="C6380" s="38" t="s">
        <v>5716</v>
      </c>
      <c r="D6380" s="18">
        <v>2022</v>
      </c>
      <c r="E6380" s="18" t="s">
        <v>0</v>
      </c>
      <c r="F6380" s="4">
        <v>1</v>
      </c>
      <c r="G6380" s="42">
        <v>5</v>
      </c>
      <c r="H6380" s="42">
        <v>12.24799</v>
      </c>
    </row>
    <row r="6381" spans="1:8" s="15" customFormat="1" ht="16.5" hidden="1" customHeight="1" outlineLevel="1" x14ac:dyDescent="0.25">
      <c r="A6381" s="18">
        <v>2522</v>
      </c>
      <c r="B6381" s="4" t="s">
        <v>249</v>
      </c>
      <c r="C6381" s="38" t="s">
        <v>5717</v>
      </c>
      <c r="D6381" s="18">
        <v>2022</v>
      </c>
      <c r="E6381" s="18" t="s">
        <v>0</v>
      </c>
      <c r="F6381" s="4">
        <v>1</v>
      </c>
      <c r="G6381" s="42">
        <v>5</v>
      </c>
      <c r="H6381" s="42">
        <v>12.13139</v>
      </c>
    </row>
    <row r="6382" spans="1:8" s="15" customFormat="1" ht="16.5" hidden="1" customHeight="1" outlineLevel="1" x14ac:dyDescent="0.25">
      <c r="A6382" s="18">
        <v>2370</v>
      </c>
      <c r="B6382" s="4" t="s">
        <v>249</v>
      </c>
      <c r="C6382" s="38" t="s">
        <v>4182</v>
      </c>
      <c r="D6382" s="18">
        <v>2022</v>
      </c>
      <c r="E6382" s="18" t="s">
        <v>0</v>
      </c>
      <c r="F6382" s="4">
        <v>1</v>
      </c>
      <c r="G6382" s="42">
        <v>10</v>
      </c>
      <c r="H6382" s="42">
        <v>20.14</v>
      </c>
    </row>
    <row r="6383" spans="1:8" s="15" customFormat="1" ht="16.5" hidden="1" customHeight="1" outlineLevel="1" x14ac:dyDescent="0.25">
      <c r="A6383" s="18">
        <v>2564</v>
      </c>
      <c r="B6383" s="4" t="s">
        <v>249</v>
      </c>
      <c r="C6383" s="38" t="s">
        <v>5718</v>
      </c>
      <c r="D6383" s="18">
        <v>2022</v>
      </c>
      <c r="E6383" s="18" t="s">
        <v>0</v>
      </c>
      <c r="F6383" s="4">
        <v>1</v>
      </c>
      <c r="G6383" s="42">
        <v>5</v>
      </c>
      <c r="H6383" s="42">
        <v>11.996279999999999</v>
      </c>
    </row>
    <row r="6384" spans="1:8" s="15" customFormat="1" ht="16.5" hidden="1" customHeight="1" outlineLevel="1" x14ac:dyDescent="0.25">
      <c r="A6384" s="18">
        <v>2569</v>
      </c>
      <c r="B6384" s="4" t="s">
        <v>249</v>
      </c>
      <c r="C6384" s="38" t="s">
        <v>5719</v>
      </c>
      <c r="D6384" s="18">
        <v>2022</v>
      </c>
      <c r="E6384" s="18" t="s">
        <v>0</v>
      </c>
      <c r="F6384" s="4">
        <v>1</v>
      </c>
      <c r="G6384" s="42">
        <v>0.06</v>
      </c>
      <c r="H6384" s="42">
        <v>10.932790000000001</v>
      </c>
    </row>
    <row r="6385" spans="1:8" s="15" customFormat="1" ht="16.5" hidden="1" customHeight="1" outlineLevel="1" x14ac:dyDescent="0.25">
      <c r="A6385" s="18">
        <v>2570</v>
      </c>
      <c r="B6385" s="4" t="s">
        <v>249</v>
      </c>
      <c r="C6385" s="38" t="s">
        <v>5720</v>
      </c>
      <c r="D6385" s="18">
        <v>2022</v>
      </c>
      <c r="E6385" s="18" t="s">
        <v>0</v>
      </c>
      <c r="F6385" s="4">
        <v>1</v>
      </c>
      <c r="G6385" s="42">
        <v>10</v>
      </c>
      <c r="H6385" s="42">
        <v>32.52205</v>
      </c>
    </row>
    <row r="6386" spans="1:8" s="15" customFormat="1" ht="16.5" hidden="1" customHeight="1" outlineLevel="1" x14ac:dyDescent="0.25">
      <c r="A6386" s="18">
        <v>2571</v>
      </c>
      <c r="B6386" s="4" t="s">
        <v>249</v>
      </c>
      <c r="C6386" s="38" t="s">
        <v>5721</v>
      </c>
      <c r="D6386" s="18">
        <v>2022</v>
      </c>
      <c r="E6386" s="18" t="s">
        <v>0</v>
      </c>
      <c r="F6386" s="4">
        <v>1</v>
      </c>
      <c r="G6386" s="42">
        <v>5</v>
      </c>
      <c r="H6386" s="42">
        <v>13.841040000000001</v>
      </c>
    </row>
    <row r="6387" spans="1:8" s="15" customFormat="1" ht="16.5" hidden="1" customHeight="1" outlineLevel="1" x14ac:dyDescent="0.25">
      <c r="A6387" s="18">
        <v>2572</v>
      </c>
      <c r="B6387" s="4" t="s">
        <v>249</v>
      </c>
      <c r="C6387" s="38" t="s">
        <v>5722</v>
      </c>
      <c r="D6387" s="18">
        <v>2022</v>
      </c>
      <c r="E6387" s="18" t="s">
        <v>0</v>
      </c>
      <c r="F6387" s="4">
        <v>1</v>
      </c>
      <c r="G6387" s="42">
        <v>15</v>
      </c>
      <c r="H6387" s="42">
        <v>17.547029999999999</v>
      </c>
    </row>
    <row r="6388" spans="1:8" s="15" customFormat="1" ht="16.5" hidden="1" customHeight="1" outlineLevel="1" x14ac:dyDescent="0.25">
      <c r="A6388" s="18">
        <v>2573</v>
      </c>
      <c r="B6388" s="4" t="s">
        <v>249</v>
      </c>
      <c r="C6388" s="38" t="s">
        <v>5723</v>
      </c>
      <c r="D6388" s="18">
        <v>2022</v>
      </c>
      <c r="E6388" s="18" t="s">
        <v>0</v>
      </c>
      <c r="F6388" s="4">
        <v>1</v>
      </c>
      <c r="G6388" s="42">
        <v>5</v>
      </c>
      <c r="H6388" s="42">
        <v>12.32653</v>
      </c>
    </row>
    <row r="6389" spans="1:8" s="15" customFormat="1" ht="16.5" hidden="1" customHeight="1" outlineLevel="1" x14ac:dyDescent="0.25">
      <c r="A6389" s="18">
        <v>2574</v>
      </c>
      <c r="B6389" s="4" t="s">
        <v>249</v>
      </c>
      <c r="C6389" s="38" t="s">
        <v>5724</v>
      </c>
      <c r="D6389" s="18">
        <v>2022</v>
      </c>
      <c r="E6389" s="18" t="s">
        <v>0</v>
      </c>
      <c r="F6389" s="4">
        <v>1</v>
      </c>
      <c r="G6389" s="42">
        <v>15</v>
      </c>
      <c r="H6389" s="42">
        <v>12.32653</v>
      </c>
    </row>
    <row r="6390" spans="1:8" s="15" customFormat="1" ht="16.5" hidden="1" customHeight="1" outlineLevel="1" x14ac:dyDescent="0.25">
      <c r="A6390" s="18">
        <v>2575</v>
      </c>
      <c r="B6390" s="4" t="s">
        <v>249</v>
      </c>
      <c r="C6390" s="38" t="s">
        <v>5725</v>
      </c>
      <c r="D6390" s="18">
        <v>2022</v>
      </c>
      <c r="E6390" s="18" t="s">
        <v>0</v>
      </c>
      <c r="F6390" s="4">
        <v>1</v>
      </c>
      <c r="G6390" s="42">
        <v>10</v>
      </c>
      <c r="H6390" s="42">
        <v>16.50705</v>
      </c>
    </row>
    <row r="6391" spans="1:8" s="15" customFormat="1" ht="16.5" hidden="1" customHeight="1" outlineLevel="1" x14ac:dyDescent="0.25">
      <c r="A6391" s="18">
        <v>2576</v>
      </c>
      <c r="B6391" s="4" t="s">
        <v>249</v>
      </c>
      <c r="C6391" s="38" t="s">
        <v>5726</v>
      </c>
      <c r="D6391" s="18">
        <v>2022</v>
      </c>
      <c r="E6391" s="18" t="s">
        <v>0</v>
      </c>
      <c r="F6391" s="4">
        <v>1</v>
      </c>
      <c r="G6391" s="42">
        <v>10</v>
      </c>
      <c r="H6391" s="42">
        <v>12.32653</v>
      </c>
    </row>
    <row r="6392" spans="1:8" s="15" customFormat="1" ht="16.5" hidden="1" customHeight="1" outlineLevel="1" x14ac:dyDescent="0.25">
      <c r="A6392" s="18">
        <v>2577</v>
      </c>
      <c r="B6392" s="4" t="s">
        <v>249</v>
      </c>
      <c r="C6392" s="38" t="s">
        <v>5727</v>
      </c>
      <c r="D6392" s="18">
        <v>2022</v>
      </c>
      <c r="E6392" s="18" t="s">
        <v>0</v>
      </c>
      <c r="F6392" s="4">
        <v>1</v>
      </c>
      <c r="G6392" s="42">
        <v>15</v>
      </c>
      <c r="H6392" s="42">
        <v>12.32653</v>
      </c>
    </row>
    <row r="6393" spans="1:8" s="15" customFormat="1" ht="16.5" hidden="1" customHeight="1" outlineLevel="1" x14ac:dyDescent="0.25">
      <c r="A6393" s="18">
        <v>2578</v>
      </c>
      <c r="B6393" s="4" t="s">
        <v>249</v>
      </c>
      <c r="C6393" s="38" t="s">
        <v>5728</v>
      </c>
      <c r="D6393" s="18">
        <v>2022</v>
      </c>
      <c r="E6393" s="18" t="s">
        <v>0</v>
      </c>
      <c r="F6393" s="4">
        <v>1</v>
      </c>
      <c r="G6393" s="42">
        <v>10</v>
      </c>
      <c r="H6393" s="42">
        <v>10.932789999999999</v>
      </c>
    </row>
    <row r="6394" spans="1:8" s="15" customFormat="1" ht="16.5" hidden="1" customHeight="1" outlineLevel="1" x14ac:dyDescent="0.25">
      <c r="A6394" s="18">
        <v>2579</v>
      </c>
      <c r="B6394" s="4" t="s">
        <v>249</v>
      </c>
      <c r="C6394" s="38" t="s">
        <v>5729</v>
      </c>
      <c r="D6394" s="18">
        <v>2022</v>
      </c>
      <c r="E6394" s="18" t="s">
        <v>0</v>
      </c>
      <c r="F6394" s="4">
        <v>1</v>
      </c>
      <c r="G6394" s="42">
        <v>5.5</v>
      </c>
      <c r="H6394" s="42">
        <v>13.841040000000001</v>
      </c>
    </row>
    <row r="6395" spans="1:8" s="15" customFormat="1" ht="16.5" hidden="1" customHeight="1" outlineLevel="1" x14ac:dyDescent="0.25">
      <c r="A6395" s="18">
        <v>2580</v>
      </c>
      <c r="B6395" s="4" t="s">
        <v>249</v>
      </c>
      <c r="C6395" s="38" t="s">
        <v>5730</v>
      </c>
      <c r="D6395" s="18">
        <v>2022</v>
      </c>
      <c r="E6395" s="18" t="s">
        <v>0</v>
      </c>
      <c r="F6395" s="4">
        <v>1</v>
      </c>
      <c r="G6395" s="42">
        <v>15</v>
      </c>
      <c r="H6395" s="42">
        <v>12.326450000000001</v>
      </c>
    </row>
    <row r="6396" spans="1:8" s="15" customFormat="1" ht="16.5" hidden="1" customHeight="1" outlineLevel="1" x14ac:dyDescent="0.25">
      <c r="A6396" s="18">
        <v>2581</v>
      </c>
      <c r="B6396" s="4" t="s">
        <v>249</v>
      </c>
      <c r="C6396" s="38" t="s">
        <v>5731</v>
      </c>
      <c r="D6396" s="18">
        <v>2022</v>
      </c>
      <c r="E6396" s="18" t="s">
        <v>0</v>
      </c>
      <c r="F6396" s="4">
        <v>1</v>
      </c>
      <c r="G6396" s="42">
        <v>10</v>
      </c>
      <c r="H6396" s="42">
        <v>13.720040000000001</v>
      </c>
    </row>
    <row r="6397" spans="1:8" s="15" customFormat="1" ht="16.5" hidden="1" customHeight="1" outlineLevel="1" x14ac:dyDescent="0.25">
      <c r="A6397" s="18">
        <v>2582</v>
      </c>
      <c r="B6397" s="4" t="s">
        <v>249</v>
      </c>
      <c r="C6397" s="38" t="s">
        <v>5732</v>
      </c>
      <c r="D6397" s="18">
        <v>2022</v>
      </c>
      <c r="E6397" s="18" t="s">
        <v>0</v>
      </c>
      <c r="F6397" s="4">
        <v>1</v>
      </c>
      <c r="G6397" s="42">
        <v>10</v>
      </c>
      <c r="H6397" s="42">
        <v>25.554569999999998</v>
      </c>
    </row>
    <row r="6398" spans="1:8" s="15" customFormat="1" ht="16.5" hidden="1" customHeight="1" outlineLevel="1" x14ac:dyDescent="0.25">
      <c r="A6398" s="18">
        <v>2583</v>
      </c>
      <c r="B6398" s="4" t="s">
        <v>249</v>
      </c>
      <c r="C6398" s="38" t="s">
        <v>5733</v>
      </c>
      <c r="D6398" s="18">
        <v>2022</v>
      </c>
      <c r="E6398" s="18" t="s">
        <v>0</v>
      </c>
      <c r="F6398" s="4">
        <v>1</v>
      </c>
      <c r="G6398" s="42">
        <v>1</v>
      </c>
      <c r="H6398" s="42">
        <v>10.93305</v>
      </c>
    </row>
    <row r="6399" spans="1:8" s="15" customFormat="1" ht="16.5" hidden="1" customHeight="1" outlineLevel="1" x14ac:dyDescent="0.25">
      <c r="A6399" s="18">
        <v>2584</v>
      </c>
      <c r="B6399" s="4" t="s">
        <v>249</v>
      </c>
      <c r="C6399" s="38" t="s">
        <v>5734</v>
      </c>
      <c r="D6399" s="18">
        <v>2022</v>
      </c>
      <c r="E6399" s="18" t="s">
        <v>0</v>
      </c>
      <c r="F6399" s="4">
        <v>1</v>
      </c>
      <c r="G6399" s="42">
        <v>3</v>
      </c>
      <c r="H6399" s="42">
        <v>13.7196</v>
      </c>
    </row>
    <row r="6400" spans="1:8" s="15" customFormat="1" ht="16.5" hidden="1" customHeight="1" outlineLevel="1" x14ac:dyDescent="0.25">
      <c r="A6400" s="18">
        <v>2585</v>
      </c>
      <c r="B6400" s="4" t="s">
        <v>249</v>
      </c>
      <c r="C6400" s="38" t="s">
        <v>5735</v>
      </c>
      <c r="D6400" s="18">
        <v>2022</v>
      </c>
      <c r="E6400" s="18" t="s">
        <v>0</v>
      </c>
      <c r="F6400" s="4">
        <v>1</v>
      </c>
      <c r="G6400" s="42">
        <v>7</v>
      </c>
      <c r="H6400" s="42">
        <v>17.546980000000001</v>
      </c>
    </row>
    <row r="6401" spans="1:8" s="15" customFormat="1" ht="16.5" hidden="1" customHeight="1" outlineLevel="1" x14ac:dyDescent="0.25">
      <c r="A6401" s="18">
        <v>2586</v>
      </c>
      <c r="B6401" s="4" t="s">
        <v>249</v>
      </c>
      <c r="C6401" s="38" t="s">
        <v>5736</v>
      </c>
      <c r="D6401" s="18">
        <v>2022</v>
      </c>
      <c r="E6401" s="18" t="s">
        <v>0</v>
      </c>
      <c r="F6401" s="4">
        <v>1</v>
      </c>
      <c r="G6401" s="42">
        <v>15</v>
      </c>
      <c r="H6401" s="42">
        <v>12.326479999999998</v>
      </c>
    </row>
    <row r="6402" spans="1:8" s="15" customFormat="1" ht="16.5" hidden="1" customHeight="1" outlineLevel="1" x14ac:dyDescent="0.25">
      <c r="A6402" s="18">
        <v>2587</v>
      </c>
      <c r="B6402" s="4" t="s">
        <v>249</v>
      </c>
      <c r="C6402" s="38" t="s">
        <v>5737</v>
      </c>
      <c r="D6402" s="18">
        <v>2022</v>
      </c>
      <c r="E6402" s="18" t="s">
        <v>0</v>
      </c>
      <c r="F6402" s="4">
        <v>1</v>
      </c>
      <c r="G6402" s="42">
        <v>10</v>
      </c>
      <c r="H6402" s="42">
        <v>13.543239999999999</v>
      </c>
    </row>
    <row r="6403" spans="1:8" s="15" customFormat="1" ht="16.5" hidden="1" customHeight="1" outlineLevel="1" x14ac:dyDescent="0.25">
      <c r="A6403" s="18">
        <v>2588</v>
      </c>
      <c r="B6403" s="4" t="s">
        <v>249</v>
      </c>
      <c r="C6403" s="38" t="s">
        <v>5738</v>
      </c>
      <c r="D6403" s="18">
        <v>2022</v>
      </c>
      <c r="E6403" s="18" t="s">
        <v>0</v>
      </c>
      <c r="F6403" s="4">
        <v>1</v>
      </c>
      <c r="G6403" s="42">
        <v>10</v>
      </c>
      <c r="H6403" s="42">
        <v>12.326479999999998</v>
      </c>
    </row>
    <row r="6404" spans="1:8" s="15" customFormat="1" ht="16.5" hidden="1" customHeight="1" outlineLevel="1" x14ac:dyDescent="0.25">
      <c r="A6404" s="18">
        <v>2589</v>
      </c>
      <c r="B6404" s="4" t="s">
        <v>249</v>
      </c>
      <c r="C6404" s="38" t="s">
        <v>5739</v>
      </c>
      <c r="D6404" s="18">
        <v>2022</v>
      </c>
      <c r="E6404" s="18" t="s">
        <v>0</v>
      </c>
      <c r="F6404" s="4">
        <v>1</v>
      </c>
      <c r="G6404" s="42">
        <v>10</v>
      </c>
      <c r="H6404" s="42">
        <v>15.113480000000003</v>
      </c>
    </row>
    <row r="6405" spans="1:8" s="15" customFormat="1" ht="16.5" hidden="1" customHeight="1" outlineLevel="1" x14ac:dyDescent="0.25">
      <c r="A6405" s="18">
        <v>2590</v>
      </c>
      <c r="B6405" s="4" t="s">
        <v>249</v>
      </c>
      <c r="C6405" s="38" t="s">
        <v>5740</v>
      </c>
      <c r="D6405" s="18">
        <v>2022</v>
      </c>
      <c r="E6405" s="18" t="s">
        <v>0</v>
      </c>
      <c r="F6405" s="4">
        <v>1</v>
      </c>
      <c r="G6405" s="42">
        <v>5</v>
      </c>
      <c r="H6405" s="42">
        <v>10.933</v>
      </c>
    </row>
    <row r="6406" spans="1:8" s="15" customFormat="1" ht="16.5" hidden="1" customHeight="1" outlineLevel="1" x14ac:dyDescent="0.25">
      <c r="A6406" s="18">
        <v>2591</v>
      </c>
      <c r="B6406" s="4" t="s">
        <v>249</v>
      </c>
      <c r="C6406" s="38" t="s">
        <v>5741</v>
      </c>
      <c r="D6406" s="18">
        <v>2022</v>
      </c>
      <c r="E6406" s="18" t="s">
        <v>0</v>
      </c>
      <c r="F6406" s="4">
        <v>1</v>
      </c>
      <c r="G6406" s="42">
        <v>10</v>
      </c>
      <c r="H6406" s="42">
        <v>10.096920000000001</v>
      </c>
    </row>
    <row r="6407" spans="1:8" s="15" customFormat="1" ht="16.5" hidden="1" customHeight="1" outlineLevel="1" x14ac:dyDescent="0.25">
      <c r="A6407" s="18">
        <v>2592</v>
      </c>
      <c r="B6407" s="4" t="s">
        <v>249</v>
      </c>
      <c r="C6407" s="38" t="s">
        <v>5742</v>
      </c>
      <c r="D6407" s="18">
        <v>2022</v>
      </c>
      <c r="E6407" s="18" t="s">
        <v>0</v>
      </c>
      <c r="F6407" s="4">
        <v>1</v>
      </c>
      <c r="G6407" s="42">
        <v>5</v>
      </c>
      <c r="H6407" s="42">
        <v>17.900470000000002</v>
      </c>
    </row>
    <row r="6408" spans="1:8" s="15" customFormat="1" ht="16.5" hidden="1" customHeight="1" outlineLevel="1" x14ac:dyDescent="0.25">
      <c r="A6408" s="18">
        <v>2593</v>
      </c>
      <c r="B6408" s="4" t="s">
        <v>249</v>
      </c>
      <c r="C6408" s="38" t="s">
        <v>5743</v>
      </c>
      <c r="D6408" s="18">
        <v>2022</v>
      </c>
      <c r="E6408" s="18" t="s">
        <v>0</v>
      </c>
      <c r="F6408" s="4">
        <v>1</v>
      </c>
      <c r="G6408" s="42">
        <v>15</v>
      </c>
      <c r="H6408" s="42">
        <v>12.326479999999998</v>
      </c>
    </row>
    <row r="6409" spans="1:8" s="15" customFormat="1" ht="16.5" hidden="1" customHeight="1" outlineLevel="1" x14ac:dyDescent="0.25">
      <c r="A6409" s="18">
        <v>2594</v>
      </c>
      <c r="B6409" s="4" t="s">
        <v>249</v>
      </c>
      <c r="C6409" s="38" t="s">
        <v>5744</v>
      </c>
      <c r="D6409" s="18">
        <v>2022</v>
      </c>
      <c r="E6409" s="18" t="s">
        <v>0</v>
      </c>
      <c r="F6409" s="4">
        <v>1</v>
      </c>
      <c r="G6409" s="42">
        <v>10</v>
      </c>
      <c r="H6409" s="42">
        <v>15.113480000000001</v>
      </c>
    </row>
    <row r="6410" spans="1:8" s="15" customFormat="1" ht="16.5" hidden="1" customHeight="1" outlineLevel="1" x14ac:dyDescent="0.25">
      <c r="A6410" s="18">
        <v>2595</v>
      </c>
      <c r="B6410" s="4" t="s">
        <v>249</v>
      </c>
      <c r="C6410" s="38" t="s">
        <v>5745</v>
      </c>
      <c r="D6410" s="18">
        <v>2022</v>
      </c>
      <c r="E6410" s="18" t="s">
        <v>0</v>
      </c>
      <c r="F6410" s="4">
        <v>1</v>
      </c>
      <c r="G6410" s="42">
        <v>15</v>
      </c>
      <c r="H6410" s="42">
        <v>10.933</v>
      </c>
    </row>
    <row r="6411" spans="1:8" s="15" customFormat="1" ht="16.5" hidden="1" customHeight="1" outlineLevel="1" x14ac:dyDescent="0.25">
      <c r="A6411" s="18">
        <v>2596</v>
      </c>
      <c r="B6411" s="4" t="s">
        <v>249</v>
      </c>
      <c r="C6411" s="38" t="s">
        <v>5746</v>
      </c>
      <c r="D6411" s="18">
        <v>2022</v>
      </c>
      <c r="E6411" s="18" t="s">
        <v>0</v>
      </c>
      <c r="F6411" s="4">
        <v>1</v>
      </c>
      <c r="G6411" s="42">
        <v>10</v>
      </c>
      <c r="H6411" s="42">
        <v>12.326419999999999</v>
      </c>
    </row>
    <row r="6412" spans="1:8" s="15" customFormat="1" ht="16.5" hidden="1" customHeight="1" outlineLevel="1" x14ac:dyDescent="0.25">
      <c r="A6412" s="18">
        <v>2597</v>
      </c>
      <c r="B6412" s="4" t="s">
        <v>249</v>
      </c>
      <c r="C6412" s="38" t="s">
        <v>5747</v>
      </c>
      <c r="D6412" s="18">
        <v>2022</v>
      </c>
      <c r="E6412" s="18" t="s">
        <v>0</v>
      </c>
      <c r="F6412" s="4">
        <v>1</v>
      </c>
      <c r="G6412" s="42">
        <v>10</v>
      </c>
      <c r="H6412" s="42">
        <v>13.71993</v>
      </c>
    </row>
    <row r="6413" spans="1:8" s="15" customFormat="1" ht="16.5" hidden="1" customHeight="1" outlineLevel="1" x14ac:dyDescent="0.25">
      <c r="A6413" s="18">
        <v>2598</v>
      </c>
      <c r="B6413" s="4" t="s">
        <v>249</v>
      </c>
      <c r="C6413" s="38" t="s">
        <v>5748</v>
      </c>
      <c r="D6413" s="18">
        <v>2022</v>
      </c>
      <c r="E6413" s="18" t="s">
        <v>0</v>
      </c>
      <c r="F6413" s="4">
        <v>1</v>
      </c>
      <c r="G6413" s="42">
        <v>4</v>
      </c>
      <c r="H6413" s="42">
        <v>13.543239999999999</v>
      </c>
    </row>
    <row r="6414" spans="1:8" s="15" customFormat="1" ht="16.5" hidden="1" customHeight="1" outlineLevel="1" x14ac:dyDescent="0.25">
      <c r="A6414" s="18">
        <v>2599</v>
      </c>
      <c r="B6414" s="4" t="s">
        <v>249</v>
      </c>
      <c r="C6414" s="38" t="s">
        <v>5749</v>
      </c>
      <c r="D6414" s="18">
        <v>2022</v>
      </c>
      <c r="E6414" s="18" t="s">
        <v>0</v>
      </c>
      <c r="F6414" s="4">
        <v>1</v>
      </c>
      <c r="G6414" s="42">
        <v>4</v>
      </c>
      <c r="H6414" s="42">
        <v>25.55433</v>
      </c>
    </row>
    <row r="6415" spans="1:8" s="15" customFormat="1" ht="16.5" hidden="1" customHeight="1" outlineLevel="1" x14ac:dyDescent="0.25">
      <c r="A6415" s="18">
        <v>2600</v>
      </c>
      <c r="B6415" s="4" t="s">
        <v>249</v>
      </c>
      <c r="C6415" s="38" t="s">
        <v>5750</v>
      </c>
      <c r="D6415" s="18">
        <v>2022</v>
      </c>
      <c r="E6415" s="18" t="s">
        <v>0</v>
      </c>
      <c r="F6415" s="4">
        <v>1</v>
      </c>
      <c r="G6415" s="42">
        <v>13</v>
      </c>
      <c r="H6415" s="42">
        <v>12.326479999999998</v>
      </c>
    </row>
    <row r="6416" spans="1:8" s="15" customFormat="1" ht="16.5" hidden="1" customHeight="1" outlineLevel="1" x14ac:dyDescent="0.25">
      <c r="A6416" s="18">
        <v>2601</v>
      </c>
      <c r="B6416" s="4" t="s">
        <v>249</v>
      </c>
      <c r="C6416" s="38" t="s">
        <v>5751</v>
      </c>
      <c r="D6416" s="18">
        <v>2022</v>
      </c>
      <c r="E6416" s="18" t="s">
        <v>0</v>
      </c>
      <c r="F6416" s="4">
        <v>1</v>
      </c>
      <c r="G6416" s="42">
        <v>10</v>
      </c>
      <c r="H6416" s="42">
        <v>25.554510000000001</v>
      </c>
    </row>
    <row r="6417" spans="1:8" s="15" customFormat="1" ht="16.5" hidden="1" customHeight="1" outlineLevel="1" x14ac:dyDescent="0.25">
      <c r="A6417" s="18">
        <v>2602</v>
      </c>
      <c r="B6417" s="4" t="s">
        <v>249</v>
      </c>
      <c r="C6417" s="38" t="s">
        <v>5752</v>
      </c>
      <c r="D6417" s="18">
        <v>2022</v>
      </c>
      <c r="E6417" s="18" t="s">
        <v>0</v>
      </c>
      <c r="F6417" s="4">
        <v>1</v>
      </c>
      <c r="G6417" s="42">
        <v>15</v>
      </c>
      <c r="H6417" s="42">
        <v>13.719989999999999</v>
      </c>
    </row>
    <row r="6418" spans="1:8" s="15" customFormat="1" ht="16.5" hidden="1" customHeight="1" outlineLevel="1" x14ac:dyDescent="0.25">
      <c r="A6418" s="18">
        <v>2603</v>
      </c>
      <c r="B6418" s="4" t="s">
        <v>249</v>
      </c>
      <c r="C6418" s="38" t="s">
        <v>5753</v>
      </c>
      <c r="D6418" s="18">
        <v>2022</v>
      </c>
      <c r="E6418" s="18" t="s">
        <v>0</v>
      </c>
      <c r="F6418" s="4">
        <v>1</v>
      </c>
      <c r="G6418" s="42">
        <v>10</v>
      </c>
      <c r="H6418" s="42">
        <v>12.326474000000001</v>
      </c>
    </row>
    <row r="6419" spans="1:8" s="15" customFormat="1" ht="16.5" hidden="1" customHeight="1" outlineLevel="1" x14ac:dyDescent="0.25">
      <c r="A6419" s="18">
        <v>2604</v>
      </c>
      <c r="B6419" s="4" t="s">
        <v>249</v>
      </c>
      <c r="C6419" s="38" t="s">
        <v>5754</v>
      </c>
      <c r="D6419" s="18">
        <v>2022</v>
      </c>
      <c r="E6419" s="18" t="s">
        <v>0</v>
      </c>
      <c r="F6419" s="4">
        <v>1</v>
      </c>
      <c r="G6419" s="42">
        <v>10</v>
      </c>
      <c r="H6419" s="42">
        <v>25.55452</v>
      </c>
    </row>
    <row r="6420" spans="1:8" s="15" customFormat="1" ht="16.5" hidden="1" customHeight="1" outlineLevel="1" x14ac:dyDescent="0.25">
      <c r="A6420" s="18">
        <v>2605</v>
      </c>
      <c r="B6420" s="4" t="s">
        <v>249</v>
      </c>
      <c r="C6420" s="38" t="s">
        <v>5755</v>
      </c>
      <c r="D6420" s="18">
        <v>2022</v>
      </c>
      <c r="E6420" s="18" t="s">
        <v>0</v>
      </c>
      <c r="F6420" s="4">
        <v>1</v>
      </c>
      <c r="G6420" s="42">
        <v>10</v>
      </c>
      <c r="H6420" s="42">
        <v>13.49424</v>
      </c>
    </row>
    <row r="6421" spans="1:8" s="15" customFormat="1" ht="16.5" hidden="1" customHeight="1" outlineLevel="1" x14ac:dyDescent="0.25">
      <c r="A6421" s="18">
        <v>2606</v>
      </c>
      <c r="B6421" s="4" t="s">
        <v>249</v>
      </c>
      <c r="C6421" s="38" t="s">
        <v>5756</v>
      </c>
      <c r="D6421" s="18">
        <v>2022</v>
      </c>
      <c r="E6421" s="18" t="s">
        <v>0</v>
      </c>
      <c r="F6421" s="4">
        <v>1</v>
      </c>
      <c r="G6421" s="42">
        <v>10</v>
      </c>
      <c r="H6421" s="42">
        <v>12.326479999999998</v>
      </c>
    </row>
    <row r="6422" spans="1:8" s="15" customFormat="1" ht="16.5" hidden="1" customHeight="1" outlineLevel="1" x14ac:dyDescent="0.25">
      <c r="A6422" s="18">
        <v>2607</v>
      </c>
      <c r="B6422" s="4" t="s">
        <v>249</v>
      </c>
      <c r="C6422" s="38" t="s">
        <v>5757</v>
      </c>
      <c r="D6422" s="18">
        <v>2022</v>
      </c>
      <c r="E6422" s="18" t="s">
        <v>0</v>
      </c>
      <c r="F6422" s="4">
        <v>1</v>
      </c>
      <c r="G6422" s="42">
        <v>10</v>
      </c>
      <c r="H6422" s="42">
        <v>15.11347</v>
      </c>
    </row>
    <row r="6423" spans="1:8" s="15" customFormat="1" ht="16.5" hidden="1" customHeight="1" outlineLevel="1" x14ac:dyDescent="0.25">
      <c r="A6423" s="18">
        <v>2608</v>
      </c>
      <c r="B6423" s="4" t="s">
        <v>249</v>
      </c>
      <c r="C6423" s="38" t="s">
        <v>5758</v>
      </c>
      <c r="D6423" s="18">
        <v>2022</v>
      </c>
      <c r="E6423" s="18" t="s">
        <v>0</v>
      </c>
      <c r="F6423" s="4">
        <v>1</v>
      </c>
      <c r="G6423" s="42">
        <v>5</v>
      </c>
      <c r="H6423" s="42">
        <v>13.54318</v>
      </c>
    </row>
    <row r="6424" spans="1:8" s="15" customFormat="1" ht="16.5" hidden="1" customHeight="1" outlineLevel="1" x14ac:dyDescent="0.25">
      <c r="A6424" s="18">
        <v>2609</v>
      </c>
      <c r="B6424" s="4" t="s">
        <v>249</v>
      </c>
      <c r="C6424" s="38" t="s">
        <v>5759</v>
      </c>
      <c r="D6424" s="18">
        <v>2022</v>
      </c>
      <c r="E6424" s="18" t="s">
        <v>0</v>
      </c>
      <c r="F6424" s="4">
        <v>1</v>
      </c>
      <c r="G6424" s="42">
        <v>15</v>
      </c>
      <c r="H6424" s="42">
        <v>13.71998</v>
      </c>
    </row>
    <row r="6425" spans="1:8" s="15" customFormat="1" ht="16.5" hidden="1" customHeight="1" outlineLevel="1" x14ac:dyDescent="0.25">
      <c r="A6425" s="18">
        <v>2610</v>
      </c>
      <c r="B6425" s="4" t="s">
        <v>249</v>
      </c>
      <c r="C6425" s="38" t="s">
        <v>5760</v>
      </c>
      <c r="D6425" s="18">
        <v>2022</v>
      </c>
      <c r="E6425" s="18" t="s">
        <v>0</v>
      </c>
      <c r="F6425" s="4">
        <v>1</v>
      </c>
      <c r="G6425" s="42">
        <v>8</v>
      </c>
      <c r="H6425" s="42">
        <v>25.55452</v>
      </c>
    </row>
    <row r="6426" spans="1:8" s="15" customFormat="1" ht="16.5" hidden="1" customHeight="1" outlineLevel="1" x14ac:dyDescent="0.25">
      <c r="A6426" s="18">
        <v>2611</v>
      </c>
      <c r="B6426" s="4" t="s">
        <v>249</v>
      </c>
      <c r="C6426" s="38" t="s">
        <v>5761</v>
      </c>
      <c r="D6426" s="18">
        <v>2022</v>
      </c>
      <c r="E6426" s="18" t="s">
        <v>0</v>
      </c>
      <c r="F6426" s="4">
        <v>1</v>
      </c>
      <c r="G6426" s="42">
        <v>10</v>
      </c>
      <c r="H6426" s="42">
        <v>12.326409999999999</v>
      </c>
    </row>
    <row r="6427" spans="1:8" s="15" customFormat="1" ht="16.5" hidden="1" customHeight="1" outlineLevel="1" x14ac:dyDescent="0.25">
      <c r="A6427" s="18">
        <v>2612</v>
      </c>
      <c r="B6427" s="4" t="s">
        <v>249</v>
      </c>
      <c r="C6427" s="38" t="s">
        <v>5762</v>
      </c>
      <c r="D6427" s="18">
        <v>2022</v>
      </c>
      <c r="E6427" s="18" t="s">
        <v>0</v>
      </c>
      <c r="F6427" s="4">
        <v>1</v>
      </c>
      <c r="G6427" s="42">
        <v>3</v>
      </c>
      <c r="H6427" s="42">
        <v>13.543239999999999</v>
      </c>
    </row>
    <row r="6428" spans="1:8" s="15" customFormat="1" ht="16.5" hidden="1" customHeight="1" outlineLevel="1" x14ac:dyDescent="0.25">
      <c r="A6428" s="18">
        <v>2699</v>
      </c>
      <c r="B6428" s="4" t="s">
        <v>249</v>
      </c>
      <c r="C6428" s="38" t="s">
        <v>5763</v>
      </c>
      <c r="D6428" s="18">
        <v>2022</v>
      </c>
      <c r="E6428" s="18" t="s">
        <v>0</v>
      </c>
      <c r="F6428" s="4">
        <v>1</v>
      </c>
      <c r="G6428" s="42">
        <v>10</v>
      </c>
      <c r="H6428" s="42">
        <v>11.91268</v>
      </c>
    </row>
    <row r="6429" spans="1:8" s="15" customFormat="1" ht="16.5" hidden="1" customHeight="1" outlineLevel="1" x14ac:dyDescent="0.25">
      <c r="A6429" s="18">
        <v>2700</v>
      </c>
      <c r="B6429" s="4" t="s">
        <v>249</v>
      </c>
      <c r="C6429" s="38" t="s">
        <v>5764</v>
      </c>
      <c r="D6429" s="18">
        <v>2022</v>
      </c>
      <c r="E6429" s="18" t="s">
        <v>0</v>
      </c>
      <c r="F6429" s="4">
        <v>1</v>
      </c>
      <c r="G6429" s="42">
        <v>10</v>
      </c>
      <c r="H6429" s="42">
        <v>9.9988399999999995</v>
      </c>
    </row>
    <row r="6430" spans="1:8" s="15" customFormat="1" ht="16.5" hidden="1" customHeight="1" outlineLevel="1" x14ac:dyDescent="0.25">
      <c r="A6430" s="18">
        <v>2701</v>
      </c>
      <c r="B6430" s="4" t="s">
        <v>249</v>
      </c>
      <c r="C6430" s="38" t="s">
        <v>5765</v>
      </c>
      <c r="D6430" s="18">
        <v>2022</v>
      </c>
      <c r="E6430" s="18" t="s">
        <v>0</v>
      </c>
      <c r="F6430" s="4">
        <v>1</v>
      </c>
      <c r="G6430" s="42">
        <v>6</v>
      </c>
      <c r="H6430" s="42">
        <v>14.480799999999999</v>
      </c>
    </row>
    <row r="6431" spans="1:8" s="15" customFormat="1" ht="16.5" hidden="1" customHeight="1" outlineLevel="1" x14ac:dyDescent="0.25">
      <c r="A6431" s="18">
        <v>2702</v>
      </c>
      <c r="B6431" s="4" t="s">
        <v>249</v>
      </c>
      <c r="C6431" s="38" t="s">
        <v>5766</v>
      </c>
      <c r="D6431" s="18">
        <v>2022</v>
      </c>
      <c r="E6431" s="18" t="s">
        <v>0</v>
      </c>
      <c r="F6431" s="4">
        <v>1</v>
      </c>
      <c r="G6431" s="42">
        <v>1</v>
      </c>
      <c r="H6431" s="42">
        <v>14.44201</v>
      </c>
    </row>
    <row r="6432" spans="1:8" s="15" customFormat="1" ht="16.5" hidden="1" customHeight="1" outlineLevel="1" x14ac:dyDescent="0.25">
      <c r="A6432" s="18">
        <v>2703</v>
      </c>
      <c r="B6432" s="4" t="s">
        <v>249</v>
      </c>
      <c r="C6432" s="38" t="s">
        <v>5767</v>
      </c>
      <c r="D6432" s="18">
        <v>2022</v>
      </c>
      <c r="E6432" s="18" t="s">
        <v>0</v>
      </c>
      <c r="F6432" s="4">
        <v>1</v>
      </c>
      <c r="G6432" s="42">
        <v>5</v>
      </c>
      <c r="H6432" s="42">
        <v>11.22864</v>
      </c>
    </row>
    <row r="6433" spans="1:8" s="15" customFormat="1" ht="16.5" hidden="1" customHeight="1" outlineLevel="1" x14ac:dyDescent="0.25">
      <c r="A6433" s="18">
        <v>2704</v>
      </c>
      <c r="B6433" s="4" t="s">
        <v>249</v>
      </c>
      <c r="C6433" s="38" t="s">
        <v>5768</v>
      </c>
      <c r="D6433" s="18">
        <v>2022</v>
      </c>
      <c r="E6433" s="18" t="s">
        <v>0</v>
      </c>
      <c r="F6433" s="4">
        <v>1</v>
      </c>
      <c r="G6433" s="42">
        <v>15</v>
      </c>
      <c r="H6433" s="42">
        <v>11.22864</v>
      </c>
    </row>
    <row r="6434" spans="1:8" s="15" customFormat="1" ht="16.5" hidden="1" customHeight="1" outlineLevel="1" x14ac:dyDescent="0.25">
      <c r="A6434" s="18">
        <v>2705</v>
      </c>
      <c r="B6434" s="4" t="s">
        <v>249</v>
      </c>
      <c r="C6434" s="38" t="s">
        <v>5769</v>
      </c>
      <c r="D6434" s="18">
        <v>2022</v>
      </c>
      <c r="E6434" s="18" t="s">
        <v>0</v>
      </c>
      <c r="F6434" s="4">
        <v>1</v>
      </c>
      <c r="G6434" s="42">
        <v>15</v>
      </c>
      <c r="H6434" s="42">
        <v>16.517310000000002</v>
      </c>
    </row>
    <row r="6435" spans="1:8" s="15" customFormat="1" ht="16.5" hidden="1" customHeight="1" outlineLevel="1" x14ac:dyDescent="0.25">
      <c r="A6435" s="18">
        <v>2706</v>
      </c>
      <c r="B6435" s="4" t="s">
        <v>249</v>
      </c>
      <c r="C6435" s="38" t="s">
        <v>5770</v>
      </c>
      <c r="D6435" s="18">
        <v>2022</v>
      </c>
      <c r="E6435" s="18" t="s">
        <v>0</v>
      </c>
      <c r="F6435" s="4">
        <v>1</v>
      </c>
      <c r="G6435" s="42">
        <v>5</v>
      </c>
      <c r="H6435" s="42">
        <v>12.53665</v>
      </c>
    </row>
    <row r="6436" spans="1:8" s="15" customFormat="1" ht="16.5" hidden="1" customHeight="1" outlineLevel="1" x14ac:dyDescent="0.25">
      <c r="A6436" s="18">
        <v>2707</v>
      </c>
      <c r="B6436" s="4" t="s">
        <v>249</v>
      </c>
      <c r="C6436" s="38" t="s">
        <v>5771</v>
      </c>
      <c r="D6436" s="18">
        <v>2022</v>
      </c>
      <c r="E6436" s="18" t="s">
        <v>0</v>
      </c>
      <c r="F6436" s="4">
        <v>1</v>
      </c>
      <c r="G6436" s="42">
        <v>5</v>
      </c>
      <c r="H6436" s="42">
        <v>12.56401</v>
      </c>
    </row>
    <row r="6437" spans="1:8" s="15" customFormat="1" ht="16.5" hidden="1" customHeight="1" outlineLevel="1" x14ac:dyDescent="0.25">
      <c r="A6437" s="18">
        <v>2708</v>
      </c>
      <c r="B6437" s="4" t="s">
        <v>249</v>
      </c>
      <c r="C6437" s="38" t="s">
        <v>5772</v>
      </c>
      <c r="D6437" s="18">
        <v>2022</v>
      </c>
      <c r="E6437" s="18" t="s">
        <v>0</v>
      </c>
      <c r="F6437" s="4">
        <v>1</v>
      </c>
      <c r="G6437" s="42">
        <v>15</v>
      </c>
      <c r="H6437" s="42">
        <v>16.45064</v>
      </c>
    </row>
    <row r="6438" spans="1:8" s="15" customFormat="1" ht="16.5" hidden="1" customHeight="1" outlineLevel="1" x14ac:dyDescent="0.25">
      <c r="A6438" s="18">
        <v>2709</v>
      </c>
      <c r="B6438" s="4" t="s">
        <v>249</v>
      </c>
      <c r="C6438" s="38" t="s">
        <v>5773</v>
      </c>
      <c r="D6438" s="18">
        <v>2022</v>
      </c>
      <c r="E6438" s="18" t="s">
        <v>0</v>
      </c>
      <c r="F6438" s="4">
        <v>1</v>
      </c>
      <c r="G6438" s="42">
        <v>5</v>
      </c>
      <c r="H6438" s="42">
        <v>14.480780000000001</v>
      </c>
    </row>
    <row r="6439" spans="1:8" s="15" customFormat="1" ht="16.5" hidden="1" customHeight="1" outlineLevel="1" x14ac:dyDescent="0.25">
      <c r="A6439" s="18">
        <v>5548</v>
      </c>
      <c r="B6439" s="4" t="s">
        <v>249</v>
      </c>
      <c r="C6439" s="38" t="s">
        <v>3612</v>
      </c>
      <c r="D6439" s="18">
        <v>2022</v>
      </c>
      <c r="E6439" s="18" t="s">
        <v>0</v>
      </c>
      <c r="F6439" s="4">
        <v>1</v>
      </c>
      <c r="G6439" s="42">
        <v>1</v>
      </c>
      <c r="H6439" s="42">
        <v>39.890999999999998</v>
      </c>
    </row>
    <row r="6440" spans="1:8" s="15" customFormat="1" ht="16.5" hidden="1" customHeight="1" outlineLevel="1" x14ac:dyDescent="0.25">
      <c r="A6440" s="18">
        <v>5503</v>
      </c>
      <c r="B6440" s="4" t="s">
        <v>249</v>
      </c>
      <c r="C6440" s="38" t="s">
        <v>5774</v>
      </c>
      <c r="D6440" s="18">
        <v>2022</v>
      </c>
      <c r="E6440" s="18" t="s">
        <v>0</v>
      </c>
      <c r="F6440" s="4">
        <v>1</v>
      </c>
      <c r="G6440" s="42">
        <v>10</v>
      </c>
      <c r="H6440" s="42">
        <v>34.978000000000002</v>
      </c>
    </row>
    <row r="6441" spans="1:8" s="15" customFormat="1" ht="16.5" hidden="1" customHeight="1" outlineLevel="1" x14ac:dyDescent="0.25">
      <c r="A6441" s="18">
        <v>5899</v>
      </c>
      <c r="B6441" s="4" t="s">
        <v>249</v>
      </c>
      <c r="C6441" s="38" t="s">
        <v>5775</v>
      </c>
      <c r="D6441" s="18">
        <v>2022</v>
      </c>
      <c r="E6441" s="18" t="s">
        <v>0</v>
      </c>
      <c r="F6441" s="4">
        <v>1</v>
      </c>
      <c r="G6441" s="42">
        <v>10</v>
      </c>
      <c r="H6441" s="42">
        <v>70.724999999999994</v>
      </c>
    </row>
    <row r="6442" spans="1:8" s="15" customFormat="1" ht="16.5" hidden="1" customHeight="1" outlineLevel="1" x14ac:dyDescent="0.25">
      <c r="A6442" s="18">
        <v>5517</v>
      </c>
      <c r="B6442" s="4" t="s">
        <v>249</v>
      </c>
      <c r="C6442" s="38" t="s">
        <v>5776</v>
      </c>
      <c r="D6442" s="18">
        <v>2022</v>
      </c>
      <c r="E6442" s="18" t="s">
        <v>0</v>
      </c>
      <c r="F6442" s="4">
        <v>1</v>
      </c>
      <c r="G6442" s="42">
        <v>10</v>
      </c>
      <c r="H6442" s="42">
        <v>68.971999999999994</v>
      </c>
    </row>
    <row r="6443" spans="1:8" s="15" customFormat="1" ht="16.5" hidden="1" customHeight="1" outlineLevel="1" x14ac:dyDescent="0.25">
      <c r="A6443" s="18">
        <v>5451</v>
      </c>
      <c r="B6443" s="4" t="s">
        <v>249</v>
      </c>
      <c r="C6443" s="38" t="s">
        <v>5777</v>
      </c>
      <c r="D6443" s="18">
        <v>2022</v>
      </c>
      <c r="E6443" s="18" t="s">
        <v>0</v>
      </c>
      <c r="F6443" s="4">
        <v>1</v>
      </c>
      <c r="G6443" s="42">
        <v>15</v>
      </c>
      <c r="H6443" s="42">
        <v>70.832999999999998</v>
      </c>
    </row>
    <row r="6444" spans="1:8" s="15" customFormat="1" ht="16.5" hidden="1" customHeight="1" outlineLevel="1" x14ac:dyDescent="0.25">
      <c r="A6444" s="18">
        <v>5540</v>
      </c>
      <c r="B6444" s="4" t="s">
        <v>249</v>
      </c>
      <c r="C6444" s="38" t="s">
        <v>5778</v>
      </c>
      <c r="D6444" s="18">
        <v>2022</v>
      </c>
      <c r="E6444" s="18" t="s">
        <v>0</v>
      </c>
      <c r="F6444" s="4">
        <v>1</v>
      </c>
      <c r="G6444" s="42">
        <v>1.5</v>
      </c>
      <c r="H6444" s="42">
        <v>74.278999999999996</v>
      </c>
    </row>
    <row r="6445" spans="1:8" s="15" customFormat="1" ht="16.5" hidden="1" customHeight="1" outlineLevel="1" x14ac:dyDescent="0.25">
      <c r="A6445" s="18">
        <v>5433</v>
      </c>
      <c r="B6445" s="4" t="s">
        <v>249</v>
      </c>
      <c r="C6445" s="38" t="s">
        <v>5779</v>
      </c>
      <c r="D6445" s="18">
        <v>2022</v>
      </c>
      <c r="E6445" s="18" t="s">
        <v>0</v>
      </c>
      <c r="F6445" s="4">
        <v>1</v>
      </c>
      <c r="G6445" s="42">
        <v>3</v>
      </c>
      <c r="H6445" s="42">
        <v>68.128</v>
      </c>
    </row>
    <row r="6446" spans="1:8" s="15" customFormat="1" ht="16.5" hidden="1" customHeight="1" outlineLevel="1" x14ac:dyDescent="0.25">
      <c r="A6446" s="18">
        <v>5568</v>
      </c>
      <c r="B6446" s="4" t="s">
        <v>249</v>
      </c>
      <c r="C6446" s="38" t="s">
        <v>5780</v>
      </c>
      <c r="D6446" s="18">
        <v>2022</v>
      </c>
      <c r="E6446" s="18" t="s">
        <v>0</v>
      </c>
      <c r="F6446" s="4">
        <v>1</v>
      </c>
      <c r="G6446" s="42">
        <v>10</v>
      </c>
      <c r="H6446" s="42">
        <v>77.570999999999998</v>
      </c>
    </row>
    <row r="6447" spans="1:8" s="15" customFormat="1" ht="16.5" hidden="1" customHeight="1" outlineLevel="1" x14ac:dyDescent="0.25">
      <c r="A6447" s="18">
        <v>5454</v>
      </c>
      <c r="B6447" s="4" t="s">
        <v>249</v>
      </c>
      <c r="C6447" s="38" t="s">
        <v>5781</v>
      </c>
      <c r="D6447" s="18">
        <v>2022</v>
      </c>
      <c r="E6447" s="18" t="s">
        <v>0</v>
      </c>
      <c r="F6447" s="4">
        <v>1</v>
      </c>
      <c r="G6447" s="42">
        <v>15</v>
      </c>
      <c r="H6447" s="42">
        <v>85.945999999999998</v>
      </c>
    </row>
    <row r="6448" spans="1:8" s="15" customFormat="1" ht="16.5" hidden="1" customHeight="1" outlineLevel="1" x14ac:dyDescent="0.25">
      <c r="A6448" s="18">
        <v>5452</v>
      </c>
      <c r="B6448" s="4" t="s">
        <v>249</v>
      </c>
      <c r="C6448" s="38" t="s">
        <v>5782</v>
      </c>
      <c r="D6448" s="18">
        <v>2022</v>
      </c>
      <c r="E6448" s="18" t="s">
        <v>0</v>
      </c>
      <c r="F6448" s="4">
        <v>1</v>
      </c>
      <c r="G6448" s="42">
        <v>15</v>
      </c>
      <c r="H6448" s="42">
        <v>76.765000000000001</v>
      </c>
    </row>
    <row r="6449" spans="1:8" s="15" customFormat="1" ht="16.5" hidden="1" customHeight="1" outlineLevel="1" x14ac:dyDescent="0.25">
      <c r="A6449" s="18">
        <v>5545</v>
      </c>
      <c r="B6449" s="4" t="s">
        <v>249</v>
      </c>
      <c r="C6449" s="38" t="s">
        <v>5783</v>
      </c>
      <c r="D6449" s="18">
        <v>2022</v>
      </c>
      <c r="E6449" s="18" t="s">
        <v>0</v>
      </c>
      <c r="F6449" s="4">
        <v>1</v>
      </c>
      <c r="G6449" s="42">
        <v>15</v>
      </c>
      <c r="H6449" s="42">
        <v>76.138999999999996</v>
      </c>
    </row>
    <row r="6450" spans="1:8" s="15" customFormat="1" ht="16.5" hidden="1" customHeight="1" outlineLevel="1" x14ac:dyDescent="0.25">
      <c r="A6450" s="18">
        <v>5636</v>
      </c>
      <c r="B6450" s="4" t="s">
        <v>249</v>
      </c>
      <c r="C6450" s="38" t="s">
        <v>5784</v>
      </c>
      <c r="D6450" s="18">
        <v>2022</v>
      </c>
      <c r="E6450" s="18" t="s">
        <v>0</v>
      </c>
      <c r="F6450" s="4">
        <v>1</v>
      </c>
      <c r="G6450" s="42">
        <v>10</v>
      </c>
      <c r="H6450" s="42">
        <v>77.161000000000001</v>
      </c>
    </row>
    <row r="6451" spans="1:8" s="15" customFormat="1" ht="16.5" hidden="1" customHeight="1" outlineLevel="1" x14ac:dyDescent="0.25">
      <c r="A6451" s="18">
        <v>5511</v>
      </c>
      <c r="B6451" s="4" t="s">
        <v>249</v>
      </c>
      <c r="C6451" s="38" t="s">
        <v>5785</v>
      </c>
      <c r="D6451" s="18">
        <v>2022</v>
      </c>
      <c r="E6451" s="18" t="s">
        <v>0</v>
      </c>
      <c r="F6451" s="4">
        <v>1</v>
      </c>
      <c r="G6451" s="42">
        <v>10</v>
      </c>
      <c r="H6451" s="42">
        <v>84.156999999999996</v>
      </c>
    </row>
    <row r="6452" spans="1:8" s="15" customFormat="1" ht="16.5" hidden="1" customHeight="1" outlineLevel="1" x14ac:dyDescent="0.25">
      <c r="A6452" s="18">
        <v>5691</v>
      </c>
      <c r="B6452" s="4" t="s">
        <v>249</v>
      </c>
      <c r="C6452" s="38" t="s">
        <v>3622</v>
      </c>
      <c r="D6452" s="18">
        <v>2022</v>
      </c>
      <c r="E6452" s="18" t="s">
        <v>0</v>
      </c>
      <c r="F6452" s="4">
        <v>1</v>
      </c>
      <c r="G6452" s="42">
        <v>15</v>
      </c>
      <c r="H6452" s="42">
        <v>55.384999999999998</v>
      </c>
    </row>
    <row r="6453" spans="1:8" s="15" customFormat="1" ht="16.5" hidden="1" customHeight="1" outlineLevel="1" x14ac:dyDescent="0.25">
      <c r="A6453" s="18">
        <v>5608</v>
      </c>
      <c r="B6453" s="4" t="s">
        <v>249</v>
      </c>
      <c r="C6453" s="38" t="s">
        <v>5786</v>
      </c>
      <c r="D6453" s="18">
        <v>2022</v>
      </c>
      <c r="E6453" s="18" t="s">
        <v>0</v>
      </c>
      <c r="F6453" s="4">
        <v>1</v>
      </c>
      <c r="G6453" s="42">
        <v>15</v>
      </c>
      <c r="H6453" s="42">
        <v>64.015000000000001</v>
      </c>
    </row>
    <row r="6454" spans="1:8" s="15" customFormat="1" ht="16.5" hidden="1" customHeight="1" outlineLevel="1" x14ac:dyDescent="0.25">
      <c r="A6454" s="18">
        <v>5633</v>
      </c>
      <c r="B6454" s="4" t="s">
        <v>249</v>
      </c>
      <c r="C6454" s="38" t="s">
        <v>5787</v>
      </c>
      <c r="D6454" s="18">
        <v>2022</v>
      </c>
      <c r="E6454" s="18" t="s">
        <v>0</v>
      </c>
      <c r="F6454" s="4">
        <v>1</v>
      </c>
      <c r="G6454" s="42">
        <v>0.05</v>
      </c>
      <c r="H6454" s="42">
        <v>67.262</v>
      </c>
    </row>
    <row r="6455" spans="1:8" s="15" customFormat="1" ht="16.5" hidden="1" customHeight="1" outlineLevel="1" x14ac:dyDescent="0.25">
      <c r="A6455" s="18">
        <v>5640</v>
      </c>
      <c r="B6455" s="4" t="s">
        <v>249</v>
      </c>
      <c r="C6455" s="38" t="s">
        <v>5788</v>
      </c>
      <c r="D6455" s="18">
        <v>2022</v>
      </c>
      <c r="E6455" s="18" t="s">
        <v>0</v>
      </c>
      <c r="F6455" s="4">
        <v>1</v>
      </c>
      <c r="G6455" s="42">
        <v>0.05</v>
      </c>
      <c r="H6455" s="42">
        <v>69.73</v>
      </c>
    </row>
    <row r="6456" spans="1:8" s="15" customFormat="1" ht="16.5" hidden="1" customHeight="1" outlineLevel="1" x14ac:dyDescent="0.25">
      <c r="A6456" s="18">
        <v>5634</v>
      </c>
      <c r="B6456" s="4" t="s">
        <v>249</v>
      </c>
      <c r="C6456" s="38" t="s">
        <v>5789</v>
      </c>
      <c r="D6456" s="18">
        <v>2022</v>
      </c>
      <c r="E6456" s="18" t="s">
        <v>0</v>
      </c>
      <c r="F6456" s="4">
        <v>1</v>
      </c>
      <c r="G6456" s="42">
        <v>0.05</v>
      </c>
      <c r="H6456" s="42">
        <v>62.765999999999998</v>
      </c>
    </row>
    <row r="6457" spans="1:8" s="15" customFormat="1" ht="16.5" hidden="1" customHeight="1" outlineLevel="1" x14ac:dyDescent="0.25">
      <c r="A6457" s="18">
        <v>5635</v>
      </c>
      <c r="B6457" s="4" t="s">
        <v>249</v>
      </c>
      <c r="C6457" s="38" t="s">
        <v>5790</v>
      </c>
      <c r="D6457" s="18">
        <v>2022</v>
      </c>
      <c r="E6457" s="18" t="s">
        <v>0</v>
      </c>
      <c r="F6457" s="4">
        <v>1</v>
      </c>
      <c r="G6457" s="42">
        <v>0.05</v>
      </c>
      <c r="H6457" s="42">
        <v>62.765999999999998</v>
      </c>
    </row>
    <row r="6458" spans="1:8" s="15" customFormat="1" ht="16.5" hidden="1" customHeight="1" outlineLevel="1" x14ac:dyDescent="0.25">
      <c r="A6458" s="18">
        <v>5637</v>
      </c>
      <c r="B6458" s="4" t="s">
        <v>249</v>
      </c>
      <c r="C6458" s="38" t="s">
        <v>5791</v>
      </c>
      <c r="D6458" s="18">
        <v>2022</v>
      </c>
      <c r="E6458" s="18" t="s">
        <v>0</v>
      </c>
      <c r="F6458" s="4">
        <v>1</v>
      </c>
      <c r="G6458" s="42">
        <v>5</v>
      </c>
      <c r="H6458" s="42">
        <v>60.548999999999999</v>
      </c>
    </row>
    <row r="6459" spans="1:8" s="15" customFormat="1" ht="16.5" hidden="1" customHeight="1" outlineLevel="1" x14ac:dyDescent="0.25">
      <c r="A6459" s="18">
        <v>5663</v>
      </c>
      <c r="B6459" s="4" t="s">
        <v>249</v>
      </c>
      <c r="C6459" s="38" t="s">
        <v>5792</v>
      </c>
      <c r="D6459" s="18">
        <v>2022</v>
      </c>
      <c r="E6459" s="18" t="s">
        <v>0</v>
      </c>
      <c r="F6459" s="4">
        <v>1</v>
      </c>
      <c r="G6459" s="42">
        <v>6</v>
      </c>
      <c r="H6459" s="42">
        <v>61.540999999999997</v>
      </c>
    </row>
    <row r="6460" spans="1:8" s="15" customFormat="1" ht="16.5" hidden="1" customHeight="1" outlineLevel="1" x14ac:dyDescent="0.25">
      <c r="A6460" s="18">
        <v>5625</v>
      </c>
      <c r="B6460" s="4" t="s">
        <v>249</v>
      </c>
      <c r="C6460" s="38" t="s">
        <v>5793</v>
      </c>
      <c r="D6460" s="18">
        <v>2022</v>
      </c>
      <c r="E6460" s="18" t="s">
        <v>0</v>
      </c>
      <c r="F6460" s="4">
        <v>1</v>
      </c>
      <c r="G6460" s="42">
        <v>5</v>
      </c>
      <c r="H6460" s="42">
        <v>60.548999999999999</v>
      </c>
    </row>
    <row r="6461" spans="1:8" s="15" customFormat="1" ht="16.5" hidden="1" customHeight="1" outlineLevel="1" x14ac:dyDescent="0.25">
      <c r="A6461" s="18">
        <v>5641</v>
      </c>
      <c r="B6461" s="4" t="s">
        <v>249</v>
      </c>
      <c r="C6461" s="38" t="s">
        <v>5794</v>
      </c>
      <c r="D6461" s="18">
        <v>2022</v>
      </c>
      <c r="E6461" s="18" t="s">
        <v>0</v>
      </c>
      <c r="F6461" s="4">
        <v>1</v>
      </c>
      <c r="G6461" s="42">
        <v>6</v>
      </c>
      <c r="H6461" s="42">
        <v>63.067999999999998</v>
      </c>
    </row>
    <row r="6462" spans="1:8" s="15" customFormat="1" ht="16.5" hidden="1" customHeight="1" outlineLevel="1" x14ac:dyDescent="0.25">
      <c r="A6462" s="18">
        <v>5673</v>
      </c>
      <c r="B6462" s="4" t="s">
        <v>249</v>
      </c>
      <c r="C6462" s="38" t="s">
        <v>5795</v>
      </c>
      <c r="D6462" s="18">
        <v>2022</v>
      </c>
      <c r="E6462" s="18" t="s">
        <v>0</v>
      </c>
      <c r="F6462" s="4">
        <v>1</v>
      </c>
      <c r="G6462" s="42">
        <v>7</v>
      </c>
      <c r="H6462" s="42">
        <v>59.357999999999997</v>
      </c>
    </row>
    <row r="6463" spans="1:8" s="15" customFormat="1" ht="16.5" hidden="1" customHeight="1" outlineLevel="1" x14ac:dyDescent="0.25">
      <c r="A6463" s="18">
        <v>5428</v>
      </c>
      <c r="B6463" s="4" t="s">
        <v>249</v>
      </c>
      <c r="C6463" s="38" t="s">
        <v>5796</v>
      </c>
      <c r="D6463" s="18">
        <v>2022</v>
      </c>
      <c r="E6463" s="18" t="s">
        <v>0</v>
      </c>
      <c r="F6463" s="4">
        <v>1</v>
      </c>
      <c r="G6463" s="42">
        <v>10</v>
      </c>
      <c r="H6463" s="42">
        <v>68.679000000000002</v>
      </c>
    </row>
    <row r="6464" spans="1:8" s="15" customFormat="1" ht="16.5" hidden="1" customHeight="1" outlineLevel="1" x14ac:dyDescent="0.25">
      <c r="A6464" s="18">
        <v>5715</v>
      </c>
      <c r="B6464" s="4" t="s">
        <v>249</v>
      </c>
      <c r="C6464" s="38" t="s">
        <v>5797</v>
      </c>
      <c r="D6464" s="18">
        <v>2022</v>
      </c>
      <c r="E6464" s="18" t="s">
        <v>0</v>
      </c>
      <c r="F6464" s="4">
        <v>1</v>
      </c>
      <c r="G6464" s="42">
        <v>7</v>
      </c>
      <c r="H6464" s="42">
        <v>63.098999999999997</v>
      </c>
    </row>
    <row r="6465" spans="1:8" s="15" customFormat="1" ht="16.5" hidden="1" customHeight="1" outlineLevel="1" x14ac:dyDescent="0.25">
      <c r="A6465" s="18">
        <v>5690</v>
      </c>
      <c r="B6465" s="4" t="s">
        <v>249</v>
      </c>
      <c r="C6465" s="38" t="s">
        <v>3624</v>
      </c>
      <c r="D6465" s="18">
        <v>2022</v>
      </c>
      <c r="E6465" s="18" t="s">
        <v>0</v>
      </c>
      <c r="F6465" s="4">
        <v>1</v>
      </c>
      <c r="G6465" s="42">
        <v>10</v>
      </c>
      <c r="H6465" s="42">
        <v>48.317999999999998</v>
      </c>
    </row>
    <row r="6466" spans="1:8" s="15" customFormat="1" ht="16.5" hidden="1" customHeight="1" outlineLevel="1" x14ac:dyDescent="0.25">
      <c r="A6466" s="18">
        <v>5574</v>
      </c>
      <c r="B6466" s="4" t="s">
        <v>249</v>
      </c>
      <c r="C6466" s="38" t="s">
        <v>5798</v>
      </c>
      <c r="D6466" s="18">
        <v>2022</v>
      </c>
      <c r="E6466" s="18" t="s">
        <v>0</v>
      </c>
      <c r="F6466" s="4">
        <v>1</v>
      </c>
      <c r="G6466" s="42">
        <v>10</v>
      </c>
      <c r="H6466" s="42">
        <v>20.812999999999999</v>
      </c>
    </row>
    <row r="6467" spans="1:8" s="15" customFormat="1" ht="16.5" hidden="1" customHeight="1" outlineLevel="1" x14ac:dyDescent="0.25">
      <c r="A6467" s="18">
        <v>5575</v>
      </c>
      <c r="B6467" s="4" t="s">
        <v>249</v>
      </c>
      <c r="C6467" s="38" t="s">
        <v>5799</v>
      </c>
      <c r="D6467" s="18">
        <v>2022</v>
      </c>
      <c r="E6467" s="18" t="s">
        <v>0</v>
      </c>
      <c r="F6467" s="4">
        <v>1</v>
      </c>
      <c r="G6467" s="42">
        <v>10</v>
      </c>
      <c r="H6467" s="42">
        <v>20.812999999999999</v>
      </c>
    </row>
    <row r="6468" spans="1:8" s="15" customFormat="1" ht="16.5" hidden="1" customHeight="1" outlineLevel="1" x14ac:dyDescent="0.25">
      <c r="A6468" s="18">
        <v>5471</v>
      </c>
      <c r="B6468" s="4" t="s">
        <v>249</v>
      </c>
      <c r="C6468" s="38" t="s">
        <v>5800</v>
      </c>
      <c r="D6468" s="18">
        <v>2022</v>
      </c>
      <c r="E6468" s="18" t="s">
        <v>0</v>
      </c>
      <c r="F6468" s="4">
        <v>1</v>
      </c>
      <c r="G6468" s="42">
        <v>10</v>
      </c>
      <c r="H6468" s="42">
        <v>18.850000000000001</v>
      </c>
    </row>
    <row r="6469" spans="1:8" s="15" customFormat="1" ht="16.5" hidden="1" customHeight="1" outlineLevel="1" x14ac:dyDescent="0.25">
      <c r="A6469" s="18">
        <v>5559</v>
      </c>
      <c r="B6469" s="4" t="s">
        <v>249</v>
      </c>
      <c r="C6469" s="38" t="s">
        <v>5801</v>
      </c>
      <c r="D6469" s="18">
        <v>2022</v>
      </c>
      <c r="E6469" s="18" t="s">
        <v>0</v>
      </c>
      <c r="F6469" s="4">
        <v>1</v>
      </c>
      <c r="G6469" s="42">
        <v>15</v>
      </c>
      <c r="H6469" s="42">
        <v>22.457000000000001</v>
      </c>
    </row>
    <row r="6470" spans="1:8" s="15" customFormat="1" ht="16.5" hidden="1" customHeight="1" outlineLevel="1" x14ac:dyDescent="0.25">
      <c r="A6470" s="18">
        <v>5712</v>
      </c>
      <c r="B6470" s="4" t="s">
        <v>249</v>
      </c>
      <c r="C6470" s="38" t="s">
        <v>5802</v>
      </c>
      <c r="D6470" s="18">
        <v>2022</v>
      </c>
      <c r="E6470" s="18" t="s">
        <v>0</v>
      </c>
      <c r="F6470" s="4">
        <v>1</v>
      </c>
      <c r="G6470" s="42">
        <v>7</v>
      </c>
      <c r="H6470" s="42">
        <v>12.122</v>
      </c>
    </row>
    <row r="6471" spans="1:8" s="15" customFormat="1" ht="16.5" hidden="1" customHeight="1" outlineLevel="1" x14ac:dyDescent="0.25">
      <c r="A6471" s="18">
        <v>5432</v>
      </c>
      <c r="B6471" s="4" t="s">
        <v>249</v>
      </c>
      <c r="C6471" s="38" t="s">
        <v>5803</v>
      </c>
      <c r="D6471" s="18">
        <v>2022</v>
      </c>
      <c r="E6471" s="18" t="s">
        <v>0</v>
      </c>
      <c r="F6471" s="4">
        <v>1</v>
      </c>
      <c r="G6471" s="42">
        <v>5</v>
      </c>
      <c r="H6471" s="42">
        <v>18.222000000000001</v>
      </c>
    </row>
    <row r="6472" spans="1:8" s="15" customFormat="1" ht="16.5" hidden="1" customHeight="1" outlineLevel="1" x14ac:dyDescent="0.25">
      <c r="A6472" s="18">
        <v>5438</v>
      </c>
      <c r="B6472" s="4" t="s">
        <v>249</v>
      </c>
      <c r="C6472" s="38" t="s">
        <v>5804</v>
      </c>
      <c r="D6472" s="18">
        <v>2022</v>
      </c>
      <c r="E6472" s="18" t="s">
        <v>0</v>
      </c>
      <c r="F6472" s="4">
        <v>1</v>
      </c>
      <c r="G6472" s="42">
        <v>15</v>
      </c>
      <c r="H6472" s="42">
        <v>25.358000000000001</v>
      </c>
    </row>
    <row r="6473" spans="1:8" s="15" customFormat="1" ht="16.5" hidden="1" customHeight="1" outlineLevel="1" x14ac:dyDescent="0.25">
      <c r="A6473" s="18">
        <v>5444</v>
      </c>
      <c r="B6473" s="4" t="s">
        <v>249</v>
      </c>
      <c r="C6473" s="38" t="s">
        <v>5805</v>
      </c>
      <c r="D6473" s="18">
        <v>2022</v>
      </c>
      <c r="E6473" s="18" t="s">
        <v>0</v>
      </c>
      <c r="F6473" s="4">
        <v>1</v>
      </c>
      <c r="G6473" s="42">
        <v>15</v>
      </c>
      <c r="H6473" s="42">
        <v>28.556000000000001</v>
      </c>
    </row>
    <row r="6474" spans="1:8" s="15" customFormat="1" ht="16.5" hidden="1" customHeight="1" outlineLevel="1" x14ac:dyDescent="0.25">
      <c r="A6474" s="18">
        <v>5458</v>
      </c>
      <c r="B6474" s="4" t="s">
        <v>249</v>
      </c>
      <c r="C6474" s="38" t="s">
        <v>5806</v>
      </c>
      <c r="D6474" s="18">
        <v>2022</v>
      </c>
      <c r="E6474" s="18" t="s">
        <v>0</v>
      </c>
      <c r="F6474" s="4">
        <v>1</v>
      </c>
      <c r="G6474" s="42">
        <v>15</v>
      </c>
      <c r="H6474" s="42">
        <v>26.22</v>
      </c>
    </row>
    <row r="6475" spans="1:8" s="15" customFormat="1" ht="16.5" hidden="1" customHeight="1" outlineLevel="1" x14ac:dyDescent="0.25">
      <c r="A6475" s="18">
        <v>5459</v>
      </c>
      <c r="B6475" s="4" t="s">
        <v>249</v>
      </c>
      <c r="C6475" s="38" t="s">
        <v>5807</v>
      </c>
      <c r="D6475" s="18">
        <v>2022</v>
      </c>
      <c r="E6475" s="18" t="s">
        <v>0</v>
      </c>
      <c r="F6475" s="4">
        <v>1</v>
      </c>
      <c r="G6475" s="42">
        <v>15</v>
      </c>
      <c r="H6475" s="42">
        <v>23.843</v>
      </c>
    </row>
    <row r="6476" spans="1:8" s="15" customFormat="1" ht="16.5" hidden="1" customHeight="1" outlineLevel="1" x14ac:dyDescent="0.25">
      <c r="A6476" s="18">
        <v>5493</v>
      </c>
      <c r="B6476" s="4" t="s">
        <v>249</v>
      </c>
      <c r="C6476" s="38" t="s">
        <v>5808</v>
      </c>
      <c r="D6476" s="18">
        <v>2022</v>
      </c>
      <c r="E6476" s="18" t="s">
        <v>0</v>
      </c>
      <c r="F6476" s="4">
        <v>1</v>
      </c>
      <c r="G6476" s="42">
        <v>10</v>
      </c>
      <c r="H6476" s="42">
        <v>23.867000000000001</v>
      </c>
    </row>
    <row r="6477" spans="1:8" s="15" customFormat="1" ht="16.5" hidden="1" customHeight="1" outlineLevel="1" x14ac:dyDescent="0.25">
      <c r="A6477" s="18">
        <v>5561</v>
      </c>
      <c r="B6477" s="4" t="s">
        <v>249</v>
      </c>
      <c r="C6477" s="38" t="s">
        <v>5809</v>
      </c>
      <c r="D6477" s="18">
        <v>2022</v>
      </c>
      <c r="E6477" s="18" t="s">
        <v>0</v>
      </c>
      <c r="F6477" s="4">
        <v>1</v>
      </c>
      <c r="G6477" s="42">
        <v>1.5</v>
      </c>
      <c r="H6477" s="42">
        <v>20.390999999999998</v>
      </c>
    </row>
    <row r="6478" spans="1:8" s="15" customFormat="1" ht="16.5" hidden="1" customHeight="1" outlineLevel="1" x14ac:dyDescent="0.25">
      <c r="A6478" s="18">
        <v>5704</v>
      </c>
      <c r="B6478" s="4" t="s">
        <v>249</v>
      </c>
      <c r="C6478" s="38" t="s">
        <v>5810</v>
      </c>
      <c r="D6478" s="18">
        <v>2022</v>
      </c>
      <c r="E6478" s="18" t="s">
        <v>0</v>
      </c>
      <c r="F6478" s="4">
        <v>1</v>
      </c>
      <c r="G6478" s="42">
        <v>15</v>
      </c>
      <c r="H6478" s="42">
        <v>22.256</v>
      </c>
    </row>
    <row r="6479" spans="1:8" s="15" customFormat="1" ht="16.5" hidden="1" customHeight="1" outlineLevel="1" x14ac:dyDescent="0.25">
      <c r="A6479" s="18">
        <v>5706</v>
      </c>
      <c r="B6479" s="4" t="s">
        <v>249</v>
      </c>
      <c r="C6479" s="38" t="s">
        <v>5811</v>
      </c>
      <c r="D6479" s="18">
        <v>2022</v>
      </c>
      <c r="E6479" s="18" t="s">
        <v>0</v>
      </c>
      <c r="F6479" s="4">
        <v>1</v>
      </c>
      <c r="G6479" s="42">
        <v>10</v>
      </c>
      <c r="H6479" s="42">
        <v>28.731000000000002</v>
      </c>
    </row>
    <row r="6480" spans="1:8" s="15" customFormat="1" ht="16.5" hidden="1" customHeight="1" outlineLevel="1" x14ac:dyDescent="0.25">
      <c r="A6480" s="18">
        <v>5717</v>
      </c>
      <c r="B6480" s="4" t="s">
        <v>249</v>
      </c>
      <c r="C6480" s="38" t="s">
        <v>5812</v>
      </c>
      <c r="D6480" s="18">
        <v>2022</v>
      </c>
      <c r="E6480" s="18" t="s">
        <v>0</v>
      </c>
      <c r="F6480" s="4">
        <v>1</v>
      </c>
      <c r="G6480" s="42">
        <v>10</v>
      </c>
      <c r="H6480" s="42">
        <v>14.722</v>
      </c>
    </row>
    <row r="6481" spans="1:8" s="15" customFormat="1" ht="16.5" hidden="1" customHeight="1" outlineLevel="1" x14ac:dyDescent="0.25">
      <c r="A6481" s="18">
        <v>5718</v>
      </c>
      <c r="B6481" s="4" t="s">
        <v>249</v>
      </c>
      <c r="C6481" s="38" t="s">
        <v>5813</v>
      </c>
      <c r="D6481" s="18">
        <v>2022</v>
      </c>
      <c r="E6481" s="18" t="s">
        <v>0</v>
      </c>
      <c r="F6481" s="4">
        <v>1</v>
      </c>
      <c r="G6481" s="42">
        <v>15</v>
      </c>
      <c r="H6481" s="42">
        <v>13.387</v>
      </c>
    </row>
    <row r="6482" spans="1:8" s="15" customFormat="1" ht="16.5" hidden="1" customHeight="1" outlineLevel="1" x14ac:dyDescent="0.25">
      <c r="A6482" s="18">
        <v>5726</v>
      </c>
      <c r="B6482" s="4" t="s">
        <v>249</v>
      </c>
      <c r="C6482" s="38" t="s">
        <v>5814</v>
      </c>
      <c r="D6482" s="18">
        <v>2022</v>
      </c>
      <c r="E6482" s="18" t="s">
        <v>0</v>
      </c>
      <c r="F6482" s="4">
        <v>1</v>
      </c>
      <c r="G6482" s="42">
        <v>15</v>
      </c>
      <c r="H6482" s="42">
        <v>12.595000000000001</v>
      </c>
    </row>
    <row r="6483" spans="1:8" s="15" customFormat="1" ht="16.5" hidden="1" customHeight="1" outlineLevel="1" x14ac:dyDescent="0.25">
      <c r="A6483" s="18">
        <v>5734</v>
      </c>
      <c r="B6483" s="4" t="s">
        <v>249</v>
      </c>
      <c r="C6483" s="38" t="s">
        <v>5815</v>
      </c>
      <c r="D6483" s="18">
        <v>2022</v>
      </c>
      <c r="E6483" s="18" t="s">
        <v>0</v>
      </c>
      <c r="F6483" s="4">
        <v>1</v>
      </c>
      <c r="G6483" s="42">
        <v>15</v>
      </c>
      <c r="H6483" s="42">
        <v>12.596</v>
      </c>
    </row>
    <row r="6484" spans="1:8" s="15" customFormat="1" ht="16.5" hidden="1" customHeight="1" outlineLevel="1" x14ac:dyDescent="0.25">
      <c r="A6484" s="18">
        <v>5737</v>
      </c>
      <c r="B6484" s="4" t="s">
        <v>249</v>
      </c>
      <c r="C6484" s="38" t="s">
        <v>5816</v>
      </c>
      <c r="D6484" s="18">
        <v>2022</v>
      </c>
      <c r="E6484" s="18" t="s">
        <v>0</v>
      </c>
      <c r="F6484" s="4">
        <v>1</v>
      </c>
      <c r="G6484" s="42">
        <v>7</v>
      </c>
      <c r="H6484" s="42">
        <v>10.603</v>
      </c>
    </row>
    <row r="6485" spans="1:8" s="15" customFormat="1" ht="16.5" hidden="1" customHeight="1" outlineLevel="1" x14ac:dyDescent="0.25">
      <c r="A6485" s="18">
        <v>5739</v>
      </c>
      <c r="B6485" s="4" t="s">
        <v>249</v>
      </c>
      <c r="C6485" s="38" t="s">
        <v>5817</v>
      </c>
      <c r="D6485" s="18">
        <v>2022</v>
      </c>
      <c r="E6485" s="18" t="s">
        <v>0</v>
      </c>
      <c r="F6485" s="4">
        <v>1</v>
      </c>
      <c r="G6485" s="42">
        <v>5</v>
      </c>
      <c r="H6485" s="42">
        <v>21.82</v>
      </c>
    </row>
    <row r="6486" spans="1:8" s="15" customFormat="1" ht="16.5" hidden="1" customHeight="1" outlineLevel="1" x14ac:dyDescent="0.25">
      <c r="A6486" s="18">
        <v>5743</v>
      </c>
      <c r="B6486" s="4" t="s">
        <v>249</v>
      </c>
      <c r="C6486" s="38" t="s">
        <v>5818</v>
      </c>
      <c r="D6486" s="18">
        <v>2022</v>
      </c>
      <c r="E6486" s="18" t="s">
        <v>0</v>
      </c>
      <c r="F6486" s="4">
        <v>1</v>
      </c>
      <c r="G6486" s="42">
        <v>0.2</v>
      </c>
      <c r="H6486" s="42">
        <v>21.768999999999998</v>
      </c>
    </row>
    <row r="6487" spans="1:8" s="15" customFormat="1" ht="16.5" hidden="1" customHeight="1" outlineLevel="1" x14ac:dyDescent="0.25">
      <c r="A6487" s="18">
        <v>5760</v>
      </c>
      <c r="B6487" s="4" t="s">
        <v>249</v>
      </c>
      <c r="C6487" s="38" t="s">
        <v>5819</v>
      </c>
      <c r="D6487" s="18">
        <v>2022</v>
      </c>
      <c r="E6487" s="18" t="s">
        <v>0</v>
      </c>
      <c r="F6487" s="4">
        <v>1</v>
      </c>
      <c r="G6487" s="42">
        <v>10</v>
      </c>
      <c r="H6487" s="42">
        <v>13.157</v>
      </c>
    </row>
    <row r="6488" spans="1:8" s="15" customFormat="1" ht="16.5" hidden="1" customHeight="1" outlineLevel="1" x14ac:dyDescent="0.25">
      <c r="A6488" s="18">
        <v>5771</v>
      </c>
      <c r="B6488" s="4" t="s">
        <v>249</v>
      </c>
      <c r="C6488" s="38" t="s">
        <v>5820</v>
      </c>
      <c r="D6488" s="18">
        <v>2022</v>
      </c>
      <c r="E6488" s="18" t="s">
        <v>0</v>
      </c>
      <c r="F6488" s="4">
        <v>1</v>
      </c>
      <c r="G6488" s="42">
        <v>15</v>
      </c>
      <c r="H6488" s="42">
        <v>13.464</v>
      </c>
    </row>
    <row r="6489" spans="1:8" s="15" customFormat="1" ht="16.5" hidden="1" customHeight="1" outlineLevel="1" x14ac:dyDescent="0.25">
      <c r="A6489" s="18">
        <v>5775</v>
      </c>
      <c r="B6489" s="4" t="s">
        <v>249</v>
      </c>
      <c r="C6489" s="38" t="s">
        <v>5821</v>
      </c>
      <c r="D6489" s="18">
        <v>2022</v>
      </c>
      <c r="E6489" s="18" t="s">
        <v>0</v>
      </c>
      <c r="F6489" s="4">
        <v>1</v>
      </c>
      <c r="G6489" s="42">
        <v>5</v>
      </c>
      <c r="H6489" s="42">
        <v>10.603</v>
      </c>
    </row>
    <row r="6490" spans="1:8" s="15" customFormat="1" ht="16.5" hidden="1" customHeight="1" outlineLevel="1" x14ac:dyDescent="0.25">
      <c r="A6490" s="18">
        <v>5784</v>
      </c>
      <c r="B6490" s="4" t="s">
        <v>249</v>
      </c>
      <c r="C6490" s="38" t="s">
        <v>5822</v>
      </c>
      <c r="D6490" s="18">
        <v>2022</v>
      </c>
      <c r="E6490" s="18" t="s">
        <v>0</v>
      </c>
      <c r="F6490" s="4">
        <v>1</v>
      </c>
      <c r="G6490" s="42">
        <v>5</v>
      </c>
      <c r="H6490" s="42">
        <v>10.369</v>
      </c>
    </row>
    <row r="6491" spans="1:8" s="15" customFormat="1" ht="16.5" hidden="1" customHeight="1" outlineLevel="1" x14ac:dyDescent="0.25">
      <c r="A6491" s="18">
        <v>5794</v>
      </c>
      <c r="B6491" s="4" t="s">
        <v>249</v>
      </c>
      <c r="C6491" s="38" t="s">
        <v>5823</v>
      </c>
      <c r="D6491" s="18">
        <v>2022</v>
      </c>
      <c r="E6491" s="18" t="s">
        <v>0</v>
      </c>
      <c r="F6491" s="4">
        <v>1</v>
      </c>
      <c r="G6491" s="42">
        <v>5</v>
      </c>
      <c r="H6491" s="42">
        <v>10.603</v>
      </c>
    </row>
    <row r="6492" spans="1:8" s="15" customFormat="1" ht="16.5" hidden="1" customHeight="1" outlineLevel="1" x14ac:dyDescent="0.25">
      <c r="A6492" s="18">
        <v>5805</v>
      </c>
      <c r="B6492" s="4" t="s">
        <v>249</v>
      </c>
      <c r="C6492" s="38" t="s">
        <v>5824</v>
      </c>
      <c r="D6492" s="18">
        <v>2022</v>
      </c>
      <c r="E6492" s="18" t="s">
        <v>0</v>
      </c>
      <c r="F6492" s="4">
        <v>1</v>
      </c>
      <c r="G6492" s="42">
        <v>10</v>
      </c>
      <c r="H6492" s="42">
        <v>16.547000000000001</v>
      </c>
    </row>
    <row r="6493" spans="1:8" s="15" customFormat="1" ht="16.5" hidden="1" customHeight="1" outlineLevel="1" x14ac:dyDescent="0.25">
      <c r="A6493" s="18">
        <v>5811</v>
      </c>
      <c r="B6493" s="4" t="s">
        <v>249</v>
      </c>
      <c r="C6493" s="38" t="s">
        <v>5825</v>
      </c>
      <c r="D6493" s="18">
        <v>2022</v>
      </c>
      <c r="E6493" s="18" t="s">
        <v>0</v>
      </c>
      <c r="F6493" s="4">
        <v>1</v>
      </c>
      <c r="G6493" s="42">
        <v>5</v>
      </c>
      <c r="H6493" s="42">
        <v>10.097</v>
      </c>
    </row>
    <row r="6494" spans="1:8" s="15" customFormat="1" ht="16.5" hidden="1" customHeight="1" outlineLevel="1" x14ac:dyDescent="0.25">
      <c r="A6494" s="18">
        <v>5819</v>
      </c>
      <c r="B6494" s="4" t="s">
        <v>249</v>
      </c>
      <c r="C6494" s="38" t="s">
        <v>5826</v>
      </c>
      <c r="D6494" s="18">
        <v>2022</v>
      </c>
      <c r="E6494" s="18" t="s">
        <v>0</v>
      </c>
      <c r="F6494" s="4">
        <v>1</v>
      </c>
      <c r="G6494" s="42">
        <v>3</v>
      </c>
      <c r="H6494" s="42">
        <v>11.553000000000001</v>
      </c>
    </row>
    <row r="6495" spans="1:8" s="15" customFormat="1" ht="16.5" hidden="1" customHeight="1" outlineLevel="1" x14ac:dyDescent="0.25">
      <c r="A6495" s="18">
        <v>5820</v>
      </c>
      <c r="B6495" s="4" t="s">
        <v>249</v>
      </c>
      <c r="C6495" s="38" t="s">
        <v>5827</v>
      </c>
      <c r="D6495" s="18">
        <v>2022</v>
      </c>
      <c r="E6495" s="18" t="s">
        <v>0</v>
      </c>
      <c r="F6495" s="4">
        <v>1</v>
      </c>
      <c r="G6495" s="42">
        <v>5</v>
      </c>
      <c r="H6495" s="42">
        <v>11.292999999999999</v>
      </c>
    </row>
    <row r="6496" spans="1:8" s="15" customFormat="1" ht="16.5" hidden="1" customHeight="1" outlineLevel="1" x14ac:dyDescent="0.25">
      <c r="A6496" s="18">
        <v>5821</v>
      </c>
      <c r="B6496" s="4" t="s">
        <v>249</v>
      </c>
      <c r="C6496" s="38" t="s">
        <v>5828</v>
      </c>
      <c r="D6496" s="18">
        <v>2022</v>
      </c>
      <c r="E6496" s="18" t="s">
        <v>0</v>
      </c>
      <c r="F6496" s="4">
        <v>1</v>
      </c>
      <c r="G6496" s="42">
        <v>5</v>
      </c>
      <c r="H6496" s="42">
        <v>11.554</v>
      </c>
    </row>
    <row r="6497" spans="1:8" s="15" customFormat="1" ht="16.5" hidden="1" customHeight="1" outlineLevel="1" x14ac:dyDescent="0.25">
      <c r="A6497" s="18">
        <v>5823</v>
      </c>
      <c r="B6497" s="4" t="s">
        <v>249</v>
      </c>
      <c r="C6497" s="38" t="s">
        <v>5829</v>
      </c>
      <c r="D6497" s="18">
        <v>2022</v>
      </c>
      <c r="E6497" s="18" t="s">
        <v>0</v>
      </c>
      <c r="F6497" s="4">
        <v>1</v>
      </c>
      <c r="G6497" s="42">
        <v>5</v>
      </c>
      <c r="H6497" s="42">
        <v>10.097</v>
      </c>
    </row>
    <row r="6498" spans="1:8" s="15" customFormat="1" ht="16.5" hidden="1" customHeight="1" outlineLevel="1" x14ac:dyDescent="0.25">
      <c r="A6498" s="18">
        <v>5831</v>
      </c>
      <c r="B6498" s="4" t="s">
        <v>249</v>
      </c>
      <c r="C6498" s="38" t="s">
        <v>5830</v>
      </c>
      <c r="D6498" s="18">
        <v>2022</v>
      </c>
      <c r="E6498" s="18" t="s">
        <v>0</v>
      </c>
      <c r="F6498" s="4">
        <v>1</v>
      </c>
      <c r="G6498" s="42">
        <v>15</v>
      </c>
      <c r="H6498" s="42">
        <v>12.582000000000001</v>
      </c>
    </row>
    <row r="6499" spans="1:8" s="15" customFormat="1" ht="16.5" hidden="1" customHeight="1" outlineLevel="1" x14ac:dyDescent="0.25">
      <c r="A6499" s="18">
        <v>5900</v>
      </c>
      <c r="B6499" s="4" t="s">
        <v>249</v>
      </c>
      <c r="C6499" s="38" t="s">
        <v>5831</v>
      </c>
      <c r="D6499" s="18">
        <v>2022</v>
      </c>
      <c r="E6499" s="18" t="s">
        <v>0</v>
      </c>
      <c r="F6499" s="4">
        <v>1</v>
      </c>
      <c r="G6499" s="42">
        <v>5</v>
      </c>
      <c r="H6499" s="42">
        <v>15.282</v>
      </c>
    </row>
    <row r="6500" spans="1:8" s="15" customFormat="1" ht="16.5" hidden="1" customHeight="1" outlineLevel="1" x14ac:dyDescent="0.25">
      <c r="A6500" s="18">
        <v>5453</v>
      </c>
      <c r="B6500" s="4" t="s">
        <v>249</v>
      </c>
      <c r="C6500" s="38" t="s">
        <v>5832</v>
      </c>
      <c r="D6500" s="18">
        <v>2022</v>
      </c>
      <c r="E6500" s="18" t="s">
        <v>0</v>
      </c>
      <c r="F6500" s="4">
        <v>1</v>
      </c>
      <c r="G6500" s="42">
        <v>15</v>
      </c>
      <c r="H6500" s="42">
        <v>26.497</v>
      </c>
    </row>
    <row r="6501" spans="1:8" s="15" customFormat="1" ht="16.5" hidden="1" customHeight="1" outlineLevel="1" x14ac:dyDescent="0.25">
      <c r="A6501" s="18">
        <v>5484</v>
      </c>
      <c r="B6501" s="4" t="s">
        <v>249</v>
      </c>
      <c r="C6501" s="38" t="s">
        <v>5833</v>
      </c>
      <c r="D6501" s="18">
        <v>2022</v>
      </c>
      <c r="E6501" s="18" t="s">
        <v>0</v>
      </c>
      <c r="F6501" s="4">
        <v>1</v>
      </c>
      <c r="G6501" s="42">
        <v>6.3</v>
      </c>
      <c r="H6501" s="42">
        <v>21.654</v>
      </c>
    </row>
    <row r="6502" spans="1:8" s="15" customFormat="1" ht="16.5" hidden="1" customHeight="1" outlineLevel="1" x14ac:dyDescent="0.25">
      <c r="A6502" s="18">
        <v>5565</v>
      </c>
      <c r="B6502" s="4" t="s">
        <v>249</v>
      </c>
      <c r="C6502" s="38" t="s">
        <v>5834</v>
      </c>
      <c r="D6502" s="18">
        <v>2022</v>
      </c>
      <c r="E6502" s="18" t="s">
        <v>0</v>
      </c>
      <c r="F6502" s="4">
        <v>1</v>
      </c>
      <c r="G6502" s="42">
        <v>15</v>
      </c>
      <c r="H6502" s="42">
        <v>21.602</v>
      </c>
    </row>
    <row r="6503" spans="1:8" s="15" customFormat="1" ht="16.5" hidden="1" customHeight="1" outlineLevel="1" x14ac:dyDescent="0.25">
      <c r="A6503" s="18">
        <v>5670</v>
      </c>
      <c r="B6503" s="4" t="s">
        <v>249</v>
      </c>
      <c r="C6503" s="38" t="s">
        <v>5835</v>
      </c>
      <c r="D6503" s="18">
        <v>2022</v>
      </c>
      <c r="E6503" s="18" t="s">
        <v>0</v>
      </c>
      <c r="F6503" s="4">
        <v>1</v>
      </c>
      <c r="G6503" s="42">
        <v>10</v>
      </c>
      <c r="H6503" s="42">
        <v>29.896999999999998</v>
      </c>
    </row>
    <row r="6504" spans="1:8" s="15" customFormat="1" ht="16.5" hidden="1" customHeight="1" outlineLevel="1" x14ac:dyDescent="0.25">
      <c r="A6504" s="18">
        <v>5683</v>
      </c>
      <c r="B6504" s="4" t="s">
        <v>249</v>
      </c>
      <c r="C6504" s="38" t="s">
        <v>5836</v>
      </c>
      <c r="D6504" s="18">
        <v>2022</v>
      </c>
      <c r="E6504" s="18" t="s">
        <v>0</v>
      </c>
      <c r="F6504" s="4">
        <v>1</v>
      </c>
      <c r="G6504" s="42">
        <v>10</v>
      </c>
      <c r="H6504" s="42">
        <v>22.603000000000002</v>
      </c>
    </row>
    <row r="6505" spans="1:8" s="15" customFormat="1" ht="16.5" hidden="1" customHeight="1" outlineLevel="1" x14ac:dyDescent="0.25">
      <c r="A6505" s="18">
        <v>5721</v>
      </c>
      <c r="B6505" s="4" t="s">
        <v>249</v>
      </c>
      <c r="C6505" s="38" t="s">
        <v>5837</v>
      </c>
      <c r="D6505" s="18">
        <v>2022</v>
      </c>
      <c r="E6505" s="18" t="s">
        <v>0</v>
      </c>
      <c r="F6505" s="4">
        <v>1</v>
      </c>
      <c r="G6505" s="42">
        <v>10</v>
      </c>
      <c r="H6505" s="42">
        <v>13.686</v>
      </c>
    </row>
    <row r="6506" spans="1:8" s="15" customFormat="1" ht="16.5" hidden="1" customHeight="1" outlineLevel="1" x14ac:dyDescent="0.25">
      <c r="A6506" s="18">
        <v>5733</v>
      </c>
      <c r="B6506" s="4" t="s">
        <v>249</v>
      </c>
      <c r="C6506" s="38" t="s">
        <v>5838</v>
      </c>
      <c r="D6506" s="18">
        <v>2022</v>
      </c>
      <c r="E6506" s="18" t="s">
        <v>0</v>
      </c>
      <c r="F6506" s="4">
        <v>1</v>
      </c>
      <c r="G6506" s="42">
        <v>7</v>
      </c>
      <c r="H6506" s="42">
        <v>13.522</v>
      </c>
    </row>
    <row r="6507" spans="1:8" s="15" customFormat="1" ht="16.5" hidden="1" customHeight="1" outlineLevel="1" x14ac:dyDescent="0.25">
      <c r="A6507" s="18">
        <v>5796</v>
      </c>
      <c r="B6507" s="4" t="s">
        <v>249</v>
      </c>
      <c r="C6507" s="38" t="s">
        <v>5839</v>
      </c>
      <c r="D6507" s="18">
        <v>2022</v>
      </c>
      <c r="E6507" s="18" t="s">
        <v>0</v>
      </c>
      <c r="F6507" s="4">
        <v>1</v>
      </c>
      <c r="G6507" s="42">
        <v>10</v>
      </c>
      <c r="H6507" s="42">
        <v>15.308</v>
      </c>
    </row>
    <row r="6508" spans="1:8" s="15" customFormat="1" ht="16.5" hidden="1" customHeight="1" outlineLevel="1" x14ac:dyDescent="0.25">
      <c r="A6508" s="18">
        <v>5799</v>
      </c>
      <c r="B6508" s="4" t="s">
        <v>249</v>
      </c>
      <c r="C6508" s="38" t="s">
        <v>5840</v>
      </c>
      <c r="D6508" s="18">
        <v>2022</v>
      </c>
      <c r="E6508" s="18" t="s">
        <v>0</v>
      </c>
      <c r="F6508" s="4">
        <v>1</v>
      </c>
      <c r="G6508" s="42">
        <v>5</v>
      </c>
      <c r="H6508" s="42">
        <v>10.856</v>
      </c>
    </row>
    <row r="6509" spans="1:8" s="15" customFormat="1" ht="16.5" hidden="1" customHeight="1" outlineLevel="1" x14ac:dyDescent="0.25">
      <c r="A6509" s="18">
        <v>5803</v>
      </c>
      <c r="B6509" s="4" t="s">
        <v>249</v>
      </c>
      <c r="C6509" s="38" t="s">
        <v>5841</v>
      </c>
      <c r="D6509" s="18">
        <v>2022</v>
      </c>
      <c r="E6509" s="18" t="s">
        <v>0</v>
      </c>
      <c r="F6509" s="4">
        <v>1</v>
      </c>
      <c r="G6509" s="42">
        <v>5</v>
      </c>
      <c r="H6509" s="42">
        <v>10.856</v>
      </c>
    </row>
    <row r="6510" spans="1:8" s="15" customFormat="1" ht="16.5" hidden="1" customHeight="1" outlineLevel="1" x14ac:dyDescent="0.25">
      <c r="A6510" s="18">
        <v>5814</v>
      </c>
      <c r="B6510" s="4" t="s">
        <v>249</v>
      </c>
      <c r="C6510" s="38" t="s">
        <v>5842</v>
      </c>
      <c r="D6510" s="18">
        <v>2022</v>
      </c>
      <c r="E6510" s="18" t="s">
        <v>0</v>
      </c>
      <c r="F6510" s="4">
        <v>1</v>
      </c>
      <c r="G6510" s="42">
        <v>10</v>
      </c>
      <c r="H6510" s="42">
        <v>15.769</v>
      </c>
    </row>
    <row r="6511" spans="1:8" s="15" customFormat="1" ht="16.5" hidden="1" customHeight="1" outlineLevel="1" x14ac:dyDescent="0.25">
      <c r="A6511" s="18">
        <v>5832</v>
      </c>
      <c r="B6511" s="4" t="s">
        <v>249</v>
      </c>
      <c r="C6511" s="38" t="s">
        <v>5843</v>
      </c>
      <c r="D6511" s="18">
        <v>2022</v>
      </c>
      <c r="E6511" s="18" t="s">
        <v>0</v>
      </c>
      <c r="F6511" s="4">
        <v>1</v>
      </c>
      <c r="G6511" s="42">
        <v>7</v>
      </c>
      <c r="H6511" s="42">
        <v>10.856</v>
      </c>
    </row>
    <row r="6512" spans="1:8" s="15" customFormat="1" ht="16.5" hidden="1" customHeight="1" outlineLevel="1" x14ac:dyDescent="0.25">
      <c r="A6512" s="18">
        <v>5441</v>
      </c>
      <c r="B6512" s="4" t="s">
        <v>249</v>
      </c>
      <c r="C6512" s="38" t="s">
        <v>5844</v>
      </c>
      <c r="D6512" s="18">
        <v>2022</v>
      </c>
      <c r="E6512" s="18" t="s">
        <v>0</v>
      </c>
      <c r="F6512" s="4">
        <v>1</v>
      </c>
      <c r="G6512" s="42">
        <v>15</v>
      </c>
      <c r="H6512" s="42">
        <v>27.181000000000001</v>
      </c>
    </row>
    <row r="6513" spans="1:8" s="15" customFormat="1" ht="16.5" hidden="1" customHeight="1" outlineLevel="1" x14ac:dyDescent="0.25">
      <c r="A6513" s="18">
        <v>5452</v>
      </c>
      <c r="B6513" s="4" t="s">
        <v>249</v>
      </c>
      <c r="C6513" s="38" t="s">
        <v>5845</v>
      </c>
      <c r="D6513" s="18">
        <v>2022</v>
      </c>
      <c r="E6513" s="18" t="s">
        <v>0</v>
      </c>
      <c r="F6513" s="4">
        <v>1</v>
      </c>
      <c r="G6513" s="42">
        <v>15</v>
      </c>
      <c r="H6513" s="42">
        <v>25.472999999999999</v>
      </c>
    </row>
    <row r="6514" spans="1:8" s="15" customFormat="1" ht="16.5" hidden="1" customHeight="1" outlineLevel="1" x14ac:dyDescent="0.25">
      <c r="A6514" s="18">
        <v>5465</v>
      </c>
      <c r="B6514" s="4" t="s">
        <v>249</v>
      </c>
      <c r="C6514" s="38" t="s">
        <v>5846</v>
      </c>
      <c r="D6514" s="18">
        <v>2022</v>
      </c>
      <c r="E6514" s="18" t="s">
        <v>0</v>
      </c>
      <c r="F6514" s="4">
        <v>1</v>
      </c>
      <c r="G6514" s="42">
        <v>10</v>
      </c>
      <c r="H6514" s="42">
        <v>17.271999999999998</v>
      </c>
    </row>
    <row r="6515" spans="1:8" s="15" customFormat="1" ht="16.5" hidden="1" customHeight="1" outlineLevel="1" x14ac:dyDescent="0.25">
      <c r="A6515" s="18">
        <v>5497</v>
      </c>
      <c r="B6515" s="4" t="s">
        <v>249</v>
      </c>
      <c r="C6515" s="38" t="s">
        <v>5847</v>
      </c>
      <c r="D6515" s="18">
        <v>2022</v>
      </c>
      <c r="E6515" s="18" t="s">
        <v>0</v>
      </c>
      <c r="F6515" s="4">
        <v>1</v>
      </c>
      <c r="G6515" s="42">
        <v>15</v>
      </c>
      <c r="H6515" s="42">
        <v>14.347</v>
      </c>
    </row>
    <row r="6516" spans="1:8" s="15" customFormat="1" ht="16.5" hidden="1" customHeight="1" outlineLevel="1" x14ac:dyDescent="0.25">
      <c r="A6516" s="18">
        <v>5564</v>
      </c>
      <c r="B6516" s="4" t="s">
        <v>249</v>
      </c>
      <c r="C6516" s="38" t="s">
        <v>5848</v>
      </c>
      <c r="D6516" s="18">
        <v>2022</v>
      </c>
      <c r="E6516" s="18" t="s">
        <v>0</v>
      </c>
      <c r="F6516" s="4">
        <v>1</v>
      </c>
      <c r="G6516" s="42">
        <v>15</v>
      </c>
      <c r="H6516" s="42">
        <v>20.044</v>
      </c>
    </row>
    <row r="6517" spans="1:8" s="15" customFormat="1" ht="16.5" hidden="1" customHeight="1" outlineLevel="1" x14ac:dyDescent="0.25">
      <c r="A6517" s="18">
        <v>5609</v>
      </c>
      <c r="B6517" s="4" t="s">
        <v>249</v>
      </c>
      <c r="C6517" s="38" t="s">
        <v>5849</v>
      </c>
      <c r="D6517" s="18">
        <v>2022</v>
      </c>
      <c r="E6517" s="18" t="s">
        <v>0</v>
      </c>
      <c r="F6517" s="4">
        <v>1</v>
      </c>
      <c r="G6517" s="42">
        <v>15</v>
      </c>
      <c r="H6517" s="42">
        <v>20.523</v>
      </c>
    </row>
    <row r="6518" spans="1:8" s="15" customFormat="1" ht="16.5" hidden="1" customHeight="1" outlineLevel="1" x14ac:dyDescent="0.25">
      <c r="A6518" s="18">
        <v>5845</v>
      </c>
      <c r="B6518" s="4" t="s">
        <v>249</v>
      </c>
      <c r="C6518" s="38" t="s">
        <v>5850</v>
      </c>
      <c r="D6518" s="18">
        <v>2022</v>
      </c>
      <c r="E6518" s="18" t="s">
        <v>0</v>
      </c>
      <c r="F6518" s="4">
        <v>1</v>
      </c>
      <c r="G6518" s="42">
        <v>5</v>
      </c>
      <c r="H6518" s="42">
        <v>13.259</v>
      </c>
    </row>
    <row r="6519" spans="1:8" s="15" customFormat="1" ht="16.5" hidden="1" customHeight="1" outlineLevel="1" x14ac:dyDescent="0.25">
      <c r="A6519" s="18">
        <v>5846</v>
      </c>
      <c r="B6519" s="4" t="s">
        <v>249</v>
      </c>
      <c r="C6519" s="38" t="s">
        <v>5851</v>
      </c>
      <c r="D6519" s="18">
        <v>2022</v>
      </c>
      <c r="E6519" s="18" t="s">
        <v>0</v>
      </c>
      <c r="F6519" s="4">
        <v>1</v>
      </c>
      <c r="G6519" s="42">
        <v>5</v>
      </c>
      <c r="H6519" s="42">
        <v>13.295999999999999</v>
      </c>
    </row>
    <row r="6520" spans="1:8" s="15" customFormat="1" ht="16.5" hidden="1" customHeight="1" outlineLevel="1" x14ac:dyDescent="0.25">
      <c r="A6520" s="18">
        <v>5847</v>
      </c>
      <c r="B6520" s="4" t="s">
        <v>249</v>
      </c>
      <c r="C6520" s="38" t="s">
        <v>5852</v>
      </c>
      <c r="D6520" s="18">
        <v>2022</v>
      </c>
      <c r="E6520" s="18" t="s">
        <v>0</v>
      </c>
      <c r="F6520" s="4">
        <v>1</v>
      </c>
      <c r="G6520" s="42">
        <v>5</v>
      </c>
      <c r="H6520" s="42">
        <v>13.288</v>
      </c>
    </row>
    <row r="6521" spans="1:8" s="15" customFormat="1" ht="16.5" hidden="1" customHeight="1" outlineLevel="1" x14ac:dyDescent="0.25">
      <c r="A6521" s="18">
        <v>5859</v>
      </c>
      <c r="B6521" s="4" t="s">
        <v>249</v>
      </c>
      <c r="C6521" s="38" t="s">
        <v>5853</v>
      </c>
      <c r="D6521" s="18">
        <v>2022</v>
      </c>
      <c r="E6521" s="18" t="s">
        <v>0</v>
      </c>
      <c r="F6521" s="4">
        <v>1</v>
      </c>
      <c r="G6521" s="42">
        <v>2.2000000000000002</v>
      </c>
      <c r="H6521" s="42">
        <v>10.39</v>
      </c>
    </row>
    <row r="6522" spans="1:8" s="15" customFormat="1" ht="16.5" hidden="1" customHeight="1" outlineLevel="1" x14ac:dyDescent="0.25">
      <c r="A6522" s="18">
        <v>5865</v>
      </c>
      <c r="B6522" s="4" t="s">
        <v>249</v>
      </c>
      <c r="C6522" s="38" t="s">
        <v>5854</v>
      </c>
      <c r="D6522" s="18">
        <v>2022</v>
      </c>
      <c r="E6522" s="18" t="s">
        <v>0</v>
      </c>
      <c r="F6522" s="4">
        <v>1</v>
      </c>
      <c r="G6522" s="42">
        <v>7</v>
      </c>
      <c r="H6522" s="42">
        <v>10.932</v>
      </c>
    </row>
    <row r="6523" spans="1:8" s="15" customFormat="1" ht="16.5" hidden="1" customHeight="1" outlineLevel="1" x14ac:dyDescent="0.25">
      <c r="A6523" s="18">
        <v>5490</v>
      </c>
      <c r="B6523" s="4" t="s">
        <v>249</v>
      </c>
      <c r="C6523" s="38" t="s">
        <v>5855</v>
      </c>
      <c r="D6523" s="18">
        <v>2022</v>
      </c>
      <c r="E6523" s="18" t="s">
        <v>0</v>
      </c>
      <c r="F6523" s="4">
        <v>1</v>
      </c>
      <c r="G6523" s="42">
        <v>5</v>
      </c>
      <c r="H6523" s="42">
        <v>16.638999999999999</v>
      </c>
    </row>
    <row r="6524" spans="1:8" s="15" customFormat="1" ht="16.5" hidden="1" customHeight="1" outlineLevel="1" x14ac:dyDescent="0.25">
      <c r="A6524" s="18">
        <v>5539</v>
      </c>
      <c r="B6524" s="4" t="s">
        <v>249</v>
      </c>
      <c r="C6524" s="38" t="s">
        <v>5856</v>
      </c>
      <c r="D6524" s="18">
        <v>2022</v>
      </c>
      <c r="E6524" s="18" t="s">
        <v>0</v>
      </c>
      <c r="F6524" s="4" t="s">
        <v>2204</v>
      </c>
      <c r="G6524" s="42">
        <v>0.44</v>
      </c>
      <c r="H6524" s="42">
        <v>18.989000000000001</v>
      </c>
    </row>
    <row r="6525" spans="1:8" s="15" customFormat="1" ht="16.5" hidden="1" customHeight="1" outlineLevel="1" x14ac:dyDescent="0.25">
      <c r="A6525" s="18">
        <v>115</v>
      </c>
      <c r="B6525" s="4" t="s">
        <v>249</v>
      </c>
      <c r="C6525" s="38" t="s">
        <v>3689</v>
      </c>
      <c r="D6525" s="18">
        <v>2022</v>
      </c>
      <c r="E6525" s="18" t="s">
        <v>0</v>
      </c>
      <c r="F6525" s="4">
        <v>1</v>
      </c>
      <c r="G6525" s="42">
        <v>5</v>
      </c>
      <c r="H6525" s="42">
        <v>24</v>
      </c>
    </row>
    <row r="6526" spans="1:8" s="15" customFormat="1" ht="16.5" hidden="1" customHeight="1" outlineLevel="1" x14ac:dyDescent="0.25">
      <c r="A6526" s="18">
        <v>204</v>
      </c>
      <c r="B6526" s="4" t="s">
        <v>249</v>
      </c>
      <c r="C6526" s="38" t="s">
        <v>3708</v>
      </c>
      <c r="D6526" s="18">
        <v>2022</v>
      </c>
      <c r="E6526" s="18" t="s">
        <v>0</v>
      </c>
      <c r="F6526" s="4">
        <v>1</v>
      </c>
      <c r="G6526" s="42">
        <v>5</v>
      </c>
      <c r="H6526" s="42">
        <v>35</v>
      </c>
    </row>
    <row r="6527" spans="1:8" s="15" customFormat="1" ht="16.5" hidden="1" customHeight="1" outlineLevel="1" x14ac:dyDescent="0.25">
      <c r="A6527" s="18">
        <v>146</v>
      </c>
      <c r="B6527" s="4" t="s">
        <v>249</v>
      </c>
      <c r="C6527" s="38" t="s">
        <v>3717</v>
      </c>
      <c r="D6527" s="18">
        <v>2022</v>
      </c>
      <c r="E6527" s="18" t="s">
        <v>0</v>
      </c>
      <c r="F6527" s="4">
        <v>1</v>
      </c>
      <c r="G6527" s="42">
        <v>10</v>
      </c>
      <c r="H6527" s="42">
        <v>29</v>
      </c>
    </row>
    <row r="6528" spans="1:8" s="15" customFormat="1" ht="16.5" hidden="1" customHeight="1" outlineLevel="1" x14ac:dyDescent="0.25">
      <c r="A6528" s="18">
        <v>40</v>
      </c>
      <c r="B6528" s="4" t="s">
        <v>249</v>
      </c>
      <c r="C6528" s="38" t="s">
        <v>3747</v>
      </c>
      <c r="D6528" s="18">
        <v>2022</v>
      </c>
      <c r="E6528" s="18" t="s">
        <v>0</v>
      </c>
      <c r="F6528" s="4">
        <v>3</v>
      </c>
      <c r="G6528" s="42">
        <v>15</v>
      </c>
      <c r="H6528" s="42">
        <v>42</v>
      </c>
    </row>
    <row r="6529" spans="1:8" s="15" customFormat="1" ht="16.5" hidden="1" customHeight="1" outlineLevel="1" x14ac:dyDescent="0.25">
      <c r="A6529" s="18">
        <v>28</v>
      </c>
      <c r="B6529" s="4" t="s">
        <v>249</v>
      </c>
      <c r="C6529" s="38" t="s">
        <v>3759</v>
      </c>
      <c r="D6529" s="18">
        <v>2022</v>
      </c>
      <c r="E6529" s="18" t="s">
        <v>0</v>
      </c>
      <c r="F6529" s="4">
        <v>1</v>
      </c>
      <c r="G6529" s="42">
        <v>5</v>
      </c>
      <c r="H6529" s="42">
        <v>16</v>
      </c>
    </row>
    <row r="6530" spans="1:8" s="15" customFormat="1" ht="16.5" hidden="1" customHeight="1" outlineLevel="1" x14ac:dyDescent="0.25">
      <c r="A6530" s="18">
        <v>24</v>
      </c>
      <c r="B6530" s="4" t="s">
        <v>249</v>
      </c>
      <c r="C6530" s="38" t="s">
        <v>3761</v>
      </c>
      <c r="D6530" s="18">
        <v>2022</v>
      </c>
      <c r="E6530" s="18" t="s">
        <v>0</v>
      </c>
      <c r="F6530" s="4">
        <v>1</v>
      </c>
      <c r="G6530" s="42">
        <v>3</v>
      </c>
      <c r="H6530" s="42">
        <v>17</v>
      </c>
    </row>
    <row r="6531" spans="1:8" s="15" customFormat="1" ht="16.5" hidden="1" customHeight="1" outlineLevel="1" x14ac:dyDescent="0.25">
      <c r="A6531" s="18">
        <v>91</v>
      </c>
      <c r="B6531" s="4" t="s">
        <v>249</v>
      </c>
      <c r="C6531" s="38" t="s">
        <v>3767</v>
      </c>
      <c r="D6531" s="18">
        <v>2022</v>
      </c>
      <c r="E6531" s="18" t="s">
        <v>0</v>
      </c>
      <c r="F6531" s="4">
        <v>1</v>
      </c>
      <c r="G6531" s="42">
        <v>5</v>
      </c>
      <c r="H6531" s="42">
        <v>17</v>
      </c>
    </row>
    <row r="6532" spans="1:8" s="15" customFormat="1" ht="16.5" hidden="1" customHeight="1" outlineLevel="1" x14ac:dyDescent="0.25">
      <c r="A6532" s="18">
        <v>46</v>
      </c>
      <c r="B6532" s="4" t="s">
        <v>249</v>
      </c>
      <c r="C6532" s="38" t="s">
        <v>3768</v>
      </c>
      <c r="D6532" s="18">
        <v>2022</v>
      </c>
      <c r="E6532" s="18" t="s">
        <v>0</v>
      </c>
      <c r="F6532" s="4">
        <v>1</v>
      </c>
      <c r="G6532" s="42">
        <v>50</v>
      </c>
      <c r="H6532" s="42">
        <v>38</v>
      </c>
    </row>
    <row r="6533" spans="1:8" s="15" customFormat="1" ht="16.5" hidden="1" customHeight="1" outlineLevel="1" x14ac:dyDescent="0.25">
      <c r="A6533" s="18">
        <v>92</v>
      </c>
      <c r="B6533" s="4" t="s">
        <v>249</v>
      </c>
      <c r="C6533" s="38" t="s">
        <v>3770</v>
      </c>
      <c r="D6533" s="18">
        <v>2022</v>
      </c>
      <c r="E6533" s="18" t="s">
        <v>0</v>
      </c>
      <c r="F6533" s="4">
        <v>1</v>
      </c>
      <c r="G6533" s="42">
        <v>6</v>
      </c>
      <c r="H6533" s="42">
        <v>17</v>
      </c>
    </row>
    <row r="6534" spans="1:8" s="15" customFormat="1" ht="16.5" hidden="1" customHeight="1" outlineLevel="1" x14ac:dyDescent="0.25">
      <c r="A6534" s="18">
        <v>176</v>
      </c>
      <c r="B6534" s="4" t="s">
        <v>249</v>
      </c>
      <c r="C6534" s="38" t="s">
        <v>5857</v>
      </c>
      <c r="D6534" s="18">
        <v>2022</v>
      </c>
      <c r="E6534" s="18" t="s">
        <v>0</v>
      </c>
      <c r="F6534" s="4">
        <v>24</v>
      </c>
      <c r="G6534" s="42">
        <v>159</v>
      </c>
      <c r="H6534" s="42">
        <v>281</v>
      </c>
    </row>
    <row r="6535" spans="1:8" s="15" customFormat="1" ht="16.5" hidden="1" customHeight="1" outlineLevel="1" x14ac:dyDescent="0.25">
      <c r="A6535" s="18">
        <v>162</v>
      </c>
      <c r="B6535" s="4" t="s">
        <v>249</v>
      </c>
      <c r="C6535" s="38" t="s">
        <v>5858</v>
      </c>
      <c r="D6535" s="18">
        <v>2022</v>
      </c>
      <c r="E6535" s="18" t="s">
        <v>0</v>
      </c>
      <c r="F6535" s="4">
        <v>2</v>
      </c>
      <c r="G6535" s="42">
        <v>20</v>
      </c>
      <c r="H6535" s="42">
        <v>25</v>
      </c>
    </row>
    <row r="6536" spans="1:8" s="15" customFormat="1" ht="16.5" hidden="1" customHeight="1" outlineLevel="1" x14ac:dyDescent="0.25">
      <c r="A6536" s="18">
        <v>160</v>
      </c>
      <c r="B6536" s="4" t="s">
        <v>249</v>
      </c>
      <c r="C6536" s="38" t="s">
        <v>5859</v>
      </c>
      <c r="D6536" s="18">
        <v>2022</v>
      </c>
      <c r="E6536" s="18" t="s">
        <v>0</v>
      </c>
      <c r="F6536" s="4">
        <v>1</v>
      </c>
      <c r="G6536" s="42">
        <v>5</v>
      </c>
      <c r="H6536" s="42">
        <v>12</v>
      </c>
    </row>
    <row r="6537" spans="1:8" s="15" customFormat="1" ht="16.5" hidden="1" customHeight="1" outlineLevel="1" x14ac:dyDescent="0.25">
      <c r="A6537" s="18">
        <v>167</v>
      </c>
      <c r="B6537" s="4" t="s">
        <v>249</v>
      </c>
      <c r="C6537" s="38" t="s">
        <v>5860</v>
      </c>
      <c r="D6537" s="18">
        <v>2022</v>
      </c>
      <c r="E6537" s="18" t="s">
        <v>0</v>
      </c>
      <c r="F6537" s="4">
        <v>2</v>
      </c>
      <c r="G6537" s="42">
        <v>10</v>
      </c>
      <c r="H6537" s="42">
        <v>24</v>
      </c>
    </row>
    <row r="6538" spans="1:8" s="15" customFormat="1" ht="16.5" hidden="1" customHeight="1" outlineLevel="1" x14ac:dyDescent="0.25">
      <c r="A6538" s="18">
        <v>168</v>
      </c>
      <c r="B6538" s="4" t="s">
        <v>249</v>
      </c>
      <c r="C6538" s="38" t="s">
        <v>5861</v>
      </c>
      <c r="D6538" s="18">
        <v>2022</v>
      </c>
      <c r="E6538" s="18" t="s">
        <v>0</v>
      </c>
      <c r="F6538" s="4">
        <v>1</v>
      </c>
      <c r="G6538" s="42">
        <v>5</v>
      </c>
      <c r="H6538" s="42">
        <v>12</v>
      </c>
    </row>
    <row r="6539" spans="1:8" s="15" customFormat="1" ht="16.5" hidden="1" customHeight="1" outlineLevel="1" x14ac:dyDescent="0.25">
      <c r="A6539" s="18">
        <v>198</v>
      </c>
      <c r="B6539" s="4" t="s">
        <v>249</v>
      </c>
      <c r="C6539" s="38" t="s">
        <v>5862</v>
      </c>
      <c r="D6539" s="18">
        <v>2022</v>
      </c>
      <c r="E6539" s="18" t="s">
        <v>0</v>
      </c>
      <c r="F6539" s="4">
        <v>1</v>
      </c>
      <c r="G6539" s="42">
        <v>15</v>
      </c>
      <c r="H6539" s="42">
        <v>11</v>
      </c>
    </row>
    <row r="6540" spans="1:8" s="15" customFormat="1" ht="16.5" hidden="1" customHeight="1" outlineLevel="1" x14ac:dyDescent="0.25">
      <c r="A6540" s="18">
        <v>226</v>
      </c>
      <c r="B6540" s="4" t="s">
        <v>249</v>
      </c>
      <c r="C6540" s="38" t="s">
        <v>5863</v>
      </c>
      <c r="D6540" s="18">
        <v>2022</v>
      </c>
      <c r="E6540" s="18" t="s">
        <v>0</v>
      </c>
      <c r="F6540" s="4">
        <v>1</v>
      </c>
      <c r="G6540" s="42">
        <v>5</v>
      </c>
      <c r="H6540" s="42">
        <v>10</v>
      </c>
    </row>
    <row r="6541" spans="1:8" s="15" customFormat="1" ht="16.5" hidden="1" customHeight="1" outlineLevel="1" x14ac:dyDescent="0.25">
      <c r="A6541" s="18">
        <v>49</v>
      </c>
      <c r="B6541" s="4" t="s">
        <v>249</v>
      </c>
      <c r="C6541" s="38" t="s">
        <v>5864</v>
      </c>
      <c r="D6541" s="18">
        <v>2022</v>
      </c>
      <c r="E6541" s="18" t="s">
        <v>0</v>
      </c>
      <c r="F6541" s="4">
        <v>1</v>
      </c>
      <c r="G6541" s="42">
        <v>5</v>
      </c>
      <c r="H6541" s="42">
        <v>13</v>
      </c>
    </row>
    <row r="6542" spans="1:8" s="15" customFormat="1" ht="16.5" hidden="1" customHeight="1" outlineLevel="1" x14ac:dyDescent="0.25">
      <c r="A6542" s="18">
        <v>53</v>
      </c>
      <c r="B6542" s="4" t="s">
        <v>249</v>
      </c>
      <c r="C6542" s="38" t="s">
        <v>5865</v>
      </c>
      <c r="D6542" s="18">
        <v>2022</v>
      </c>
      <c r="E6542" s="18" t="s">
        <v>0</v>
      </c>
      <c r="F6542" s="4">
        <v>1</v>
      </c>
      <c r="G6542" s="42">
        <v>3</v>
      </c>
      <c r="H6542" s="42">
        <v>13</v>
      </c>
    </row>
    <row r="6543" spans="1:8" s="15" customFormat="1" ht="16.5" hidden="1" customHeight="1" outlineLevel="1" x14ac:dyDescent="0.25">
      <c r="A6543" s="18">
        <v>58</v>
      </c>
      <c r="B6543" s="4" t="s">
        <v>249</v>
      </c>
      <c r="C6543" s="38" t="s">
        <v>5866</v>
      </c>
      <c r="D6543" s="18">
        <v>2022</v>
      </c>
      <c r="E6543" s="18" t="s">
        <v>0</v>
      </c>
      <c r="F6543" s="4">
        <v>1</v>
      </c>
      <c r="G6543" s="42">
        <v>5</v>
      </c>
      <c r="H6543" s="42">
        <v>13</v>
      </c>
    </row>
    <row r="6544" spans="1:8" s="15" customFormat="1" ht="16.5" hidden="1" customHeight="1" outlineLevel="1" x14ac:dyDescent="0.25">
      <c r="A6544" s="18">
        <v>52</v>
      </c>
      <c r="B6544" s="4" t="s">
        <v>249</v>
      </c>
      <c r="C6544" s="38" t="s">
        <v>5867</v>
      </c>
      <c r="D6544" s="18">
        <v>2022</v>
      </c>
      <c r="E6544" s="18" t="s">
        <v>0</v>
      </c>
      <c r="F6544" s="4">
        <v>1</v>
      </c>
      <c r="G6544" s="42">
        <v>5</v>
      </c>
      <c r="H6544" s="42">
        <v>13</v>
      </c>
    </row>
    <row r="6545" spans="1:8" s="15" customFormat="1" ht="16.5" hidden="1" customHeight="1" outlineLevel="1" x14ac:dyDescent="0.25">
      <c r="A6545" s="18">
        <v>54</v>
      </c>
      <c r="B6545" s="4" t="s">
        <v>249</v>
      </c>
      <c r="C6545" s="38" t="s">
        <v>5868</v>
      </c>
      <c r="D6545" s="18">
        <v>2022</v>
      </c>
      <c r="E6545" s="18" t="s">
        <v>0</v>
      </c>
      <c r="F6545" s="4">
        <v>1</v>
      </c>
      <c r="G6545" s="42">
        <v>5</v>
      </c>
      <c r="H6545" s="42">
        <v>13</v>
      </c>
    </row>
    <row r="6546" spans="1:8" s="15" customFormat="1" ht="16.5" hidden="1" customHeight="1" outlineLevel="1" x14ac:dyDescent="0.25">
      <c r="A6546" s="18">
        <v>123</v>
      </c>
      <c r="B6546" s="4" t="s">
        <v>249</v>
      </c>
      <c r="C6546" s="38" t="s">
        <v>5869</v>
      </c>
      <c r="D6546" s="18">
        <v>2022</v>
      </c>
      <c r="E6546" s="18" t="s">
        <v>0</v>
      </c>
      <c r="F6546" s="4">
        <v>1</v>
      </c>
      <c r="G6546" s="42">
        <v>7</v>
      </c>
      <c r="H6546" s="42">
        <v>13</v>
      </c>
    </row>
    <row r="6547" spans="1:8" s="15" customFormat="1" ht="16.5" hidden="1" customHeight="1" outlineLevel="1" x14ac:dyDescent="0.25">
      <c r="A6547" s="18">
        <v>72</v>
      </c>
      <c r="B6547" s="4" t="s">
        <v>249</v>
      </c>
      <c r="C6547" s="38" t="s">
        <v>5870</v>
      </c>
      <c r="D6547" s="18">
        <v>2022</v>
      </c>
      <c r="E6547" s="18" t="s">
        <v>0</v>
      </c>
      <c r="F6547" s="4">
        <v>8</v>
      </c>
      <c r="G6547" s="42">
        <v>45</v>
      </c>
      <c r="H6547" s="42">
        <v>104</v>
      </c>
    </row>
    <row r="6548" spans="1:8" s="15" customFormat="1" ht="16.5" hidden="1" customHeight="1" outlineLevel="1" x14ac:dyDescent="0.25">
      <c r="A6548" s="18">
        <v>98</v>
      </c>
      <c r="B6548" s="4" t="s">
        <v>249</v>
      </c>
      <c r="C6548" s="38" t="s">
        <v>5871</v>
      </c>
      <c r="D6548" s="18">
        <v>2022</v>
      </c>
      <c r="E6548" s="18" t="s">
        <v>0</v>
      </c>
      <c r="F6548" s="4">
        <v>217</v>
      </c>
      <c r="G6548" s="42">
        <v>1469.04</v>
      </c>
      <c r="H6548" s="42">
        <v>2999</v>
      </c>
    </row>
    <row r="6549" spans="1:8" s="15" customFormat="1" ht="16.5" hidden="1" customHeight="1" outlineLevel="1" x14ac:dyDescent="0.25">
      <c r="A6549" s="18">
        <v>67</v>
      </c>
      <c r="B6549" s="4" t="s">
        <v>249</v>
      </c>
      <c r="C6549" s="38" t="s">
        <v>5872</v>
      </c>
      <c r="D6549" s="18">
        <v>2022</v>
      </c>
      <c r="E6549" s="18" t="s">
        <v>0</v>
      </c>
      <c r="F6549" s="4">
        <v>1</v>
      </c>
      <c r="G6549" s="42">
        <v>5</v>
      </c>
      <c r="H6549" s="42">
        <v>14</v>
      </c>
    </row>
    <row r="6550" spans="1:8" s="15" customFormat="1" ht="16.5" hidden="1" customHeight="1" outlineLevel="1" x14ac:dyDescent="0.25">
      <c r="A6550" s="18">
        <v>63</v>
      </c>
      <c r="B6550" s="4" t="s">
        <v>249</v>
      </c>
      <c r="C6550" s="38" t="s">
        <v>5873</v>
      </c>
      <c r="D6550" s="18">
        <v>2022</v>
      </c>
      <c r="E6550" s="18" t="s">
        <v>0</v>
      </c>
      <c r="F6550" s="4">
        <v>1</v>
      </c>
      <c r="G6550" s="42">
        <v>5</v>
      </c>
      <c r="H6550" s="42">
        <v>14</v>
      </c>
    </row>
    <row r="6551" spans="1:8" s="15" customFormat="1" ht="16.5" hidden="1" customHeight="1" outlineLevel="1" x14ac:dyDescent="0.25">
      <c r="A6551" s="18">
        <v>65</v>
      </c>
      <c r="B6551" s="4" t="s">
        <v>249</v>
      </c>
      <c r="C6551" s="38" t="s">
        <v>5874</v>
      </c>
      <c r="D6551" s="18">
        <v>2022</v>
      </c>
      <c r="E6551" s="18" t="s">
        <v>0</v>
      </c>
      <c r="F6551" s="4">
        <v>1</v>
      </c>
      <c r="G6551" s="42">
        <v>5</v>
      </c>
      <c r="H6551" s="42">
        <v>14</v>
      </c>
    </row>
    <row r="6552" spans="1:8" s="15" customFormat="1" ht="16.5" hidden="1" customHeight="1" outlineLevel="1" x14ac:dyDescent="0.25">
      <c r="A6552" s="18">
        <v>59</v>
      </c>
      <c r="B6552" s="4" t="s">
        <v>249</v>
      </c>
      <c r="C6552" s="38" t="s">
        <v>5875</v>
      </c>
      <c r="D6552" s="18">
        <v>2022</v>
      </c>
      <c r="E6552" s="18" t="s">
        <v>0</v>
      </c>
      <c r="F6552" s="4">
        <v>1</v>
      </c>
      <c r="G6552" s="42">
        <v>5</v>
      </c>
      <c r="H6552" s="42">
        <v>14</v>
      </c>
    </row>
    <row r="6553" spans="1:8" s="15" customFormat="1" ht="16.5" hidden="1" customHeight="1" outlineLevel="1" x14ac:dyDescent="0.25">
      <c r="A6553" s="18">
        <v>75</v>
      </c>
      <c r="B6553" s="4" t="s">
        <v>249</v>
      </c>
      <c r="C6553" s="38" t="s">
        <v>5876</v>
      </c>
      <c r="D6553" s="18">
        <v>2022</v>
      </c>
      <c r="E6553" s="18" t="s">
        <v>0</v>
      </c>
      <c r="F6553" s="4">
        <v>1</v>
      </c>
      <c r="G6553" s="42">
        <v>3</v>
      </c>
      <c r="H6553" s="42">
        <v>14</v>
      </c>
    </row>
    <row r="6554" spans="1:8" s="15" customFormat="1" ht="16.5" hidden="1" customHeight="1" outlineLevel="1" x14ac:dyDescent="0.25">
      <c r="A6554" s="18">
        <v>282</v>
      </c>
      <c r="B6554" s="4" t="s">
        <v>249</v>
      </c>
      <c r="C6554" s="38" t="s">
        <v>3981</v>
      </c>
      <c r="D6554" s="18">
        <v>2022</v>
      </c>
      <c r="E6554" s="18" t="s">
        <v>0</v>
      </c>
      <c r="F6554" s="4">
        <v>22</v>
      </c>
      <c r="G6554" s="42">
        <v>160</v>
      </c>
      <c r="H6554" s="42">
        <v>515</v>
      </c>
    </row>
    <row r="6555" spans="1:8" s="15" customFormat="1" ht="16.5" hidden="1" customHeight="1" outlineLevel="1" x14ac:dyDescent="0.25">
      <c r="A6555" s="18">
        <v>221</v>
      </c>
      <c r="B6555" s="4" t="s">
        <v>249</v>
      </c>
      <c r="C6555" s="38" t="s">
        <v>3782</v>
      </c>
      <c r="D6555" s="18">
        <v>2022</v>
      </c>
      <c r="E6555" s="18" t="s">
        <v>0</v>
      </c>
      <c r="F6555" s="4">
        <v>1</v>
      </c>
      <c r="G6555" s="42">
        <v>6</v>
      </c>
      <c r="H6555" s="42">
        <v>26</v>
      </c>
    </row>
    <row r="6556" spans="1:8" s="15" customFormat="1" ht="16.5" hidden="1" customHeight="1" outlineLevel="1" x14ac:dyDescent="0.25">
      <c r="A6556" s="18">
        <v>271</v>
      </c>
      <c r="B6556" s="4" t="s">
        <v>249</v>
      </c>
      <c r="C6556" s="38" t="s">
        <v>5877</v>
      </c>
      <c r="D6556" s="18">
        <v>2022</v>
      </c>
      <c r="E6556" s="18" t="s">
        <v>0</v>
      </c>
      <c r="F6556" s="4">
        <v>2</v>
      </c>
      <c r="G6556" s="42">
        <v>10</v>
      </c>
      <c r="H6556" s="42">
        <v>16</v>
      </c>
    </row>
    <row r="6557" spans="1:8" s="15" customFormat="1" ht="16.5" hidden="1" customHeight="1" outlineLevel="1" x14ac:dyDescent="0.25">
      <c r="A6557" s="18">
        <v>263</v>
      </c>
      <c r="B6557" s="4" t="s">
        <v>249</v>
      </c>
      <c r="C6557" s="38" t="s">
        <v>5878</v>
      </c>
      <c r="D6557" s="18">
        <v>2022</v>
      </c>
      <c r="E6557" s="18" t="s">
        <v>0</v>
      </c>
      <c r="F6557" s="4">
        <v>2</v>
      </c>
      <c r="G6557" s="42">
        <v>30</v>
      </c>
      <c r="H6557" s="42">
        <v>17</v>
      </c>
    </row>
    <row r="6558" spans="1:8" s="15" customFormat="1" ht="16.5" hidden="1" customHeight="1" outlineLevel="1" x14ac:dyDescent="0.25">
      <c r="A6558" s="18">
        <v>210</v>
      </c>
      <c r="B6558" s="4" t="s">
        <v>249</v>
      </c>
      <c r="C6558" s="38" t="s">
        <v>3810</v>
      </c>
      <c r="D6558" s="18">
        <v>2022</v>
      </c>
      <c r="E6558" s="18" t="s">
        <v>0</v>
      </c>
      <c r="F6558" s="4">
        <v>1</v>
      </c>
      <c r="G6558" s="42">
        <v>10</v>
      </c>
      <c r="H6558" s="42">
        <v>16</v>
      </c>
    </row>
    <row r="6559" spans="1:8" s="15" customFormat="1" ht="16.5" hidden="1" customHeight="1" outlineLevel="1" x14ac:dyDescent="0.25">
      <c r="A6559" s="18">
        <v>255</v>
      </c>
      <c r="B6559" s="4" t="s">
        <v>249</v>
      </c>
      <c r="C6559" s="38" t="s">
        <v>3813</v>
      </c>
      <c r="D6559" s="18">
        <v>2022</v>
      </c>
      <c r="E6559" s="18" t="s">
        <v>0</v>
      </c>
      <c r="F6559" s="4">
        <v>1</v>
      </c>
      <c r="G6559" s="42">
        <v>6</v>
      </c>
      <c r="H6559" s="42">
        <v>16</v>
      </c>
    </row>
    <row r="6560" spans="1:8" s="15" customFormat="1" ht="16.5" hidden="1" customHeight="1" outlineLevel="1" x14ac:dyDescent="0.25">
      <c r="A6560" s="18">
        <v>278</v>
      </c>
      <c r="B6560" s="4" t="s">
        <v>249</v>
      </c>
      <c r="C6560" s="38" t="s">
        <v>3819</v>
      </c>
      <c r="D6560" s="18">
        <v>2022</v>
      </c>
      <c r="E6560" s="18" t="s">
        <v>0</v>
      </c>
      <c r="F6560" s="4">
        <v>1</v>
      </c>
      <c r="G6560" s="42">
        <v>15</v>
      </c>
      <c r="H6560" s="42">
        <v>21</v>
      </c>
    </row>
    <row r="6561" spans="1:8" s="15" customFormat="1" ht="16.5" hidden="1" customHeight="1" outlineLevel="1" x14ac:dyDescent="0.25">
      <c r="A6561" s="18">
        <v>312</v>
      </c>
      <c r="B6561" s="4" t="s">
        <v>249</v>
      </c>
      <c r="C6561" s="38" t="s">
        <v>5879</v>
      </c>
      <c r="D6561" s="18">
        <v>2022</v>
      </c>
      <c r="E6561" s="18" t="s">
        <v>0</v>
      </c>
      <c r="F6561" s="4">
        <v>2</v>
      </c>
      <c r="G6561" s="42">
        <v>10</v>
      </c>
      <c r="H6561" s="42">
        <v>21</v>
      </c>
    </row>
    <row r="6562" spans="1:8" s="15" customFormat="1" ht="16.5" hidden="1" customHeight="1" outlineLevel="1" x14ac:dyDescent="0.25">
      <c r="A6562" s="18">
        <v>358</v>
      </c>
      <c r="B6562" s="4" t="s">
        <v>249</v>
      </c>
      <c r="C6562" s="38" t="s">
        <v>3985</v>
      </c>
      <c r="D6562" s="18">
        <v>2022</v>
      </c>
      <c r="E6562" s="18" t="s">
        <v>0</v>
      </c>
      <c r="F6562" s="4">
        <v>1</v>
      </c>
      <c r="G6562" s="42">
        <v>30</v>
      </c>
      <c r="H6562" s="42">
        <v>32</v>
      </c>
    </row>
    <row r="6563" spans="1:8" s="15" customFormat="1" ht="16.5" hidden="1" customHeight="1" outlineLevel="1" x14ac:dyDescent="0.25">
      <c r="A6563" s="18">
        <v>277</v>
      </c>
      <c r="B6563" s="4" t="s">
        <v>249</v>
      </c>
      <c r="C6563" s="38" t="s">
        <v>5880</v>
      </c>
      <c r="D6563" s="18">
        <v>2022</v>
      </c>
      <c r="E6563" s="18" t="s">
        <v>0</v>
      </c>
      <c r="F6563" s="4">
        <v>21</v>
      </c>
      <c r="G6563" s="42">
        <v>148</v>
      </c>
      <c r="H6563" s="42">
        <v>217</v>
      </c>
    </row>
    <row r="6564" spans="1:8" s="15" customFormat="1" ht="16.5" hidden="1" customHeight="1" outlineLevel="1" x14ac:dyDescent="0.25">
      <c r="A6564" s="18">
        <v>334</v>
      </c>
      <c r="B6564" s="4" t="s">
        <v>249</v>
      </c>
      <c r="C6564" s="38" t="s">
        <v>5881</v>
      </c>
      <c r="D6564" s="18">
        <v>2022</v>
      </c>
      <c r="E6564" s="18" t="s">
        <v>0</v>
      </c>
      <c r="F6564" s="4">
        <v>1</v>
      </c>
      <c r="G6564" s="42">
        <v>4</v>
      </c>
      <c r="H6564" s="42">
        <v>9</v>
      </c>
    </row>
    <row r="6565" spans="1:8" s="15" customFormat="1" ht="16.5" hidden="1" customHeight="1" outlineLevel="1" x14ac:dyDescent="0.25">
      <c r="A6565" s="18">
        <v>225</v>
      </c>
      <c r="B6565" s="4" t="s">
        <v>249</v>
      </c>
      <c r="C6565" s="38" t="s">
        <v>5882</v>
      </c>
      <c r="D6565" s="18">
        <v>2022</v>
      </c>
      <c r="E6565" s="18" t="s">
        <v>0</v>
      </c>
      <c r="F6565" s="4">
        <v>1</v>
      </c>
      <c r="G6565" s="42">
        <v>8</v>
      </c>
      <c r="H6565" s="42">
        <v>10</v>
      </c>
    </row>
    <row r="6566" spans="1:8" s="15" customFormat="1" ht="16.5" hidden="1" customHeight="1" outlineLevel="1" x14ac:dyDescent="0.25">
      <c r="A6566" s="18">
        <v>345</v>
      </c>
      <c r="B6566" s="4" t="s">
        <v>249</v>
      </c>
      <c r="C6566" s="38" t="s">
        <v>5883</v>
      </c>
      <c r="D6566" s="18">
        <v>2022</v>
      </c>
      <c r="E6566" s="18" t="s">
        <v>0</v>
      </c>
      <c r="F6566" s="4">
        <v>6</v>
      </c>
      <c r="G6566" s="42">
        <v>34</v>
      </c>
      <c r="H6566" s="42">
        <v>48</v>
      </c>
    </row>
    <row r="6567" spans="1:8" s="15" customFormat="1" ht="16.5" hidden="1" customHeight="1" outlineLevel="1" x14ac:dyDescent="0.25">
      <c r="A6567" s="18">
        <v>347</v>
      </c>
      <c r="B6567" s="4" t="s">
        <v>249</v>
      </c>
      <c r="C6567" s="38" t="s">
        <v>5884</v>
      </c>
      <c r="D6567" s="18">
        <v>2022</v>
      </c>
      <c r="E6567" s="18" t="s">
        <v>0</v>
      </c>
      <c r="F6567" s="4">
        <v>5</v>
      </c>
      <c r="G6567" s="42">
        <v>35</v>
      </c>
      <c r="H6567" s="42">
        <v>48</v>
      </c>
    </row>
    <row r="6568" spans="1:8" s="15" customFormat="1" ht="16.5" hidden="1" customHeight="1" outlineLevel="1" x14ac:dyDescent="0.25">
      <c r="A6568" s="18">
        <v>366</v>
      </c>
      <c r="B6568" s="4" t="s">
        <v>249</v>
      </c>
      <c r="C6568" s="38" t="s">
        <v>3852</v>
      </c>
      <c r="D6568" s="18">
        <v>2022</v>
      </c>
      <c r="E6568" s="18" t="s">
        <v>0</v>
      </c>
      <c r="F6568" s="4">
        <v>1</v>
      </c>
      <c r="G6568" s="42">
        <v>6</v>
      </c>
      <c r="H6568" s="42">
        <v>15</v>
      </c>
    </row>
    <row r="6569" spans="1:8" s="15" customFormat="1" ht="16.5" hidden="1" customHeight="1" outlineLevel="1" x14ac:dyDescent="0.25">
      <c r="A6569" s="18">
        <v>214</v>
      </c>
      <c r="B6569" s="4" t="s">
        <v>249</v>
      </c>
      <c r="C6569" s="38" t="s">
        <v>3856</v>
      </c>
      <c r="D6569" s="18">
        <v>2022</v>
      </c>
      <c r="E6569" s="18" t="s">
        <v>0</v>
      </c>
      <c r="F6569" s="4">
        <v>1</v>
      </c>
      <c r="G6569" s="42">
        <v>15</v>
      </c>
      <c r="H6569" s="42">
        <v>25</v>
      </c>
    </row>
    <row r="6570" spans="1:8" s="15" customFormat="1" ht="16.5" hidden="1" customHeight="1" outlineLevel="1" x14ac:dyDescent="0.25">
      <c r="A6570" s="18">
        <v>343</v>
      </c>
      <c r="B6570" s="4" t="s">
        <v>249</v>
      </c>
      <c r="C6570" s="38" t="s">
        <v>5885</v>
      </c>
      <c r="D6570" s="18">
        <v>2022</v>
      </c>
      <c r="E6570" s="18" t="s">
        <v>0</v>
      </c>
      <c r="F6570" s="4">
        <v>4</v>
      </c>
      <c r="G6570" s="42">
        <v>35</v>
      </c>
      <c r="H6570" s="42">
        <v>40</v>
      </c>
    </row>
    <row r="6571" spans="1:8" s="15" customFormat="1" ht="16.5" hidden="1" customHeight="1" outlineLevel="1" x14ac:dyDescent="0.25">
      <c r="A6571" s="18">
        <v>384</v>
      </c>
      <c r="B6571" s="4" t="s">
        <v>249</v>
      </c>
      <c r="C6571" s="38" t="s">
        <v>5886</v>
      </c>
      <c r="D6571" s="18">
        <v>2022</v>
      </c>
      <c r="E6571" s="18" t="s">
        <v>0</v>
      </c>
      <c r="F6571" s="4">
        <v>3</v>
      </c>
      <c r="G6571" s="42">
        <v>12</v>
      </c>
      <c r="H6571" s="42">
        <v>24</v>
      </c>
    </row>
    <row r="6572" spans="1:8" s="15" customFormat="1" ht="16.5" hidden="1" customHeight="1" outlineLevel="1" x14ac:dyDescent="0.25">
      <c r="A6572" s="18">
        <v>419</v>
      </c>
      <c r="B6572" s="4" t="s">
        <v>249</v>
      </c>
      <c r="C6572" s="38" t="s">
        <v>5887</v>
      </c>
      <c r="D6572" s="18">
        <v>2022</v>
      </c>
      <c r="E6572" s="18" t="s">
        <v>0</v>
      </c>
      <c r="F6572" s="4">
        <v>2</v>
      </c>
      <c r="G6572" s="42">
        <v>20</v>
      </c>
      <c r="H6572" s="42">
        <v>19</v>
      </c>
    </row>
    <row r="6573" spans="1:8" s="15" customFormat="1" ht="16.5" hidden="1" customHeight="1" outlineLevel="1" x14ac:dyDescent="0.25">
      <c r="A6573" s="18">
        <v>390</v>
      </c>
      <c r="B6573" s="4" t="s">
        <v>249</v>
      </c>
      <c r="C6573" s="38" t="s">
        <v>5888</v>
      </c>
      <c r="D6573" s="18">
        <v>2022</v>
      </c>
      <c r="E6573" s="18" t="s">
        <v>0</v>
      </c>
      <c r="F6573" s="4">
        <v>1</v>
      </c>
      <c r="G6573" s="42">
        <v>5</v>
      </c>
      <c r="H6573" s="42">
        <v>8</v>
      </c>
    </row>
    <row r="6574" spans="1:8" s="15" customFormat="1" ht="16.5" hidden="1" customHeight="1" outlineLevel="1" x14ac:dyDescent="0.25">
      <c r="A6574" s="18">
        <v>420</v>
      </c>
      <c r="B6574" s="4" t="s">
        <v>249</v>
      </c>
      <c r="C6574" s="38" t="s">
        <v>5889</v>
      </c>
      <c r="D6574" s="18">
        <v>2022</v>
      </c>
      <c r="E6574" s="18" t="s">
        <v>0</v>
      </c>
      <c r="F6574" s="4">
        <v>6</v>
      </c>
      <c r="G6574" s="42">
        <v>42</v>
      </c>
      <c r="H6574" s="42">
        <v>60</v>
      </c>
    </row>
    <row r="6575" spans="1:8" s="15" customFormat="1" ht="16.5" hidden="1" customHeight="1" outlineLevel="1" x14ac:dyDescent="0.25">
      <c r="A6575" s="18">
        <v>292</v>
      </c>
      <c r="B6575" s="4" t="s">
        <v>249</v>
      </c>
      <c r="C6575" s="38" t="s">
        <v>3861</v>
      </c>
      <c r="D6575" s="18">
        <v>2022</v>
      </c>
      <c r="E6575" s="18" t="s">
        <v>0</v>
      </c>
      <c r="F6575" s="4">
        <v>1</v>
      </c>
      <c r="G6575" s="42">
        <v>7.0000000000000007E-2</v>
      </c>
      <c r="H6575" s="42">
        <v>17</v>
      </c>
    </row>
    <row r="6576" spans="1:8" s="15" customFormat="1" ht="16.5" hidden="1" customHeight="1" outlineLevel="1" x14ac:dyDescent="0.25">
      <c r="A6576" s="18">
        <v>298</v>
      </c>
      <c r="B6576" s="4" t="s">
        <v>249</v>
      </c>
      <c r="C6576" s="38" t="s">
        <v>3864</v>
      </c>
      <c r="D6576" s="18">
        <v>2022</v>
      </c>
      <c r="E6576" s="18" t="s">
        <v>0</v>
      </c>
      <c r="F6576" s="4">
        <v>1</v>
      </c>
      <c r="G6576" s="42">
        <v>5</v>
      </c>
      <c r="H6576" s="42">
        <v>14</v>
      </c>
    </row>
    <row r="6577" spans="1:8" s="15" customFormat="1" ht="16.5" hidden="1" customHeight="1" outlineLevel="1" x14ac:dyDescent="0.25">
      <c r="A6577" s="18">
        <v>381</v>
      </c>
      <c r="B6577" s="4" t="s">
        <v>249</v>
      </c>
      <c r="C6577" s="38" t="s">
        <v>3866</v>
      </c>
      <c r="D6577" s="18">
        <v>2022</v>
      </c>
      <c r="E6577" s="18" t="s">
        <v>0</v>
      </c>
      <c r="F6577" s="4">
        <v>1</v>
      </c>
      <c r="G6577" s="42">
        <v>15</v>
      </c>
      <c r="H6577" s="42">
        <v>14</v>
      </c>
    </row>
    <row r="6578" spans="1:8" s="15" customFormat="1" ht="16.5" hidden="1" customHeight="1" outlineLevel="1" x14ac:dyDescent="0.25">
      <c r="A6578" s="18">
        <v>412</v>
      </c>
      <c r="B6578" s="4" t="s">
        <v>249</v>
      </c>
      <c r="C6578" s="38" t="s">
        <v>5890</v>
      </c>
      <c r="D6578" s="18">
        <v>2022</v>
      </c>
      <c r="E6578" s="18" t="s">
        <v>0</v>
      </c>
      <c r="F6578" s="4">
        <v>1</v>
      </c>
      <c r="G6578" s="42">
        <v>5</v>
      </c>
      <c r="H6578" s="42">
        <v>9</v>
      </c>
    </row>
    <row r="6579" spans="1:8" s="15" customFormat="1" ht="16.5" hidden="1" customHeight="1" outlineLevel="1" x14ac:dyDescent="0.25">
      <c r="A6579" s="18">
        <v>440</v>
      </c>
      <c r="B6579" s="4" t="s">
        <v>249</v>
      </c>
      <c r="C6579" s="38" t="s">
        <v>5891</v>
      </c>
      <c r="D6579" s="18">
        <v>2022</v>
      </c>
      <c r="E6579" s="18" t="s">
        <v>0</v>
      </c>
      <c r="F6579" s="4">
        <v>8</v>
      </c>
      <c r="G6579" s="42">
        <v>55</v>
      </c>
      <c r="H6579" s="42">
        <v>68</v>
      </c>
    </row>
    <row r="6580" spans="1:8" s="15" customFormat="1" ht="16.5" hidden="1" customHeight="1" outlineLevel="1" x14ac:dyDescent="0.25">
      <c r="A6580" s="18">
        <v>411</v>
      </c>
      <c r="B6580" s="4" t="s">
        <v>249</v>
      </c>
      <c r="C6580" s="38" t="s">
        <v>5892</v>
      </c>
      <c r="D6580" s="18">
        <v>2022</v>
      </c>
      <c r="E6580" s="18" t="s">
        <v>0</v>
      </c>
      <c r="F6580" s="4">
        <v>12</v>
      </c>
      <c r="G6580" s="42">
        <v>63</v>
      </c>
      <c r="H6580" s="42">
        <v>117</v>
      </c>
    </row>
    <row r="6581" spans="1:8" s="15" customFormat="1" ht="16.5" hidden="1" customHeight="1" outlineLevel="1" x14ac:dyDescent="0.25">
      <c r="A6581" s="18">
        <v>418</v>
      </c>
      <c r="B6581" s="4" t="s">
        <v>249</v>
      </c>
      <c r="C6581" s="38" t="s">
        <v>5893</v>
      </c>
      <c r="D6581" s="18">
        <v>2022</v>
      </c>
      <c r="E6581" s="18" t="s">
        <v>0</v>
      </c>
      <c r="F6581" s="4">
        <v>2</v>
      </c>
      <c r="G6581" s="42">
        <v>30</v>
      </c>
      <c r="H6581" s="42">
        <v>20</v>
      </c>
    </row>
    <row r="6582" spans="1:8" s="15" customFormat="1" ht="16.5" hidden="1" customHeight="1" outlineLevel="1" x14ac:dyDescent="0.25">
      <c r="A6582" s="18">
        <v>439</v>
      </c>
      <c r="B6582" s="4" t="s">
        <v>249</v>
      </c>
      <c r="C6582" s="38" t="s">
        <v>5894</v>
      </c>
      <c r="D6582" s="18">
        <v>2022</v>
      </c>
      <c r="E6582" s="18" t="s">
        <v>0</v>
      </c>
      <c r="F6582" s="4">
        <v>3</v>
      </c>
      <c r="G6582" s="42">
        <v>21</v>
      </c>
      <c r="H6582" s="42">
        <v>25</v>
      </c>
    </row>
    <row r="6583" spans="1:8" s="15" customFormat="1" ht="16.5" hidden="1" customHeight="1" outlineLevel="1" x14ac:dyDescent="0.25">
      <c r="A6583" s="18">
        <v>438</v>
      </c>
      <c r="B6583" s="4" t="s">
        <v>249</v>
      </c>
      <c r="C6583" s="38" t="s">
        <v>5895</v>
      </c>
      <c r="D6583" s="18">
        <v>2022</v>
      </c>
      <c r="E6583" s="18" t="s">
        <v>0</v>
      </c>
      <c r="F6583" s="4">
        <v>3</v>
      </c>
      <c r="G6583" s="42">
        <v>15</v>
      </c>
      <c r="H6583" s="42">
        <v>24</v>
      </c>
    </row>
    <row r="6584" spans="1:8" s="15" customFormat="1" ht="16.5" hidden="1" customHeight="1" outlineLevel="1" x14ac:dyDescent="0.25">
      <c r="A6584" s="18">
        <v>414</v>
      </c>
      <c r="B6584" s="4" t="s">
        <v>249</v>
      </c>
      <c r="C6584" s="38" t="s">
        <v>5896</v>
      </c>
      <c r="D6584" s="18">
        <v>2022</v>
      </c>
      <c r="E6584" s="18" t="s">
        <v>0</v>
      </c>
      <c r="F6584" s="4">
        <v>1</v>
      </c>
      <c r="G6584" s="42">
        <v>5</v>
      </c>
      <c r="H6584" s="42">
        <v>9</v>
      </c>
    </row>
    <row r="6585" spans="1:8" s="15" customFormat="1" ht="16.5" hidden="1" customHeight="1" outlineLevel="1" x14ac:dyDescent="0.25">
      <c r="A6585" s="18">
        <v>5231</v>
      </c>
      <c r="B6585" s="4" t="s">
        <v>249</v>
      </c>
      <c r="C6585" s="38" t="s">
        <v>5897</v>
      </c>
      <c r="D6585" s="18">
        <v>2022</v>
      </c>
      <c r="E6585" s="18" t="s">
        <v>0</v>
      </c>
      <c r="F6585" s="4">
        <v>1</v>
      </c>
      <c r="G6585" s="42">
        <v>7.5</v>
      </c>
      <c r="H6585" s="42">
        <v>29.321429999999999</v>
      </c>
    </row>
    <row r="6586" spans="1:8" s="15" customFormat="1" ht="16.5" hidden="1" customHeight="1" outlineLevel="1" x14ac:dyDescent="0.25">
      <c r="A6586" s="18">
        <v>5126</v>
      </c>
      <c r="B6586" s="4" t="s">
        <v>249</v>
      </c>
      <c r="C6586" s="38" t="s">
        <v>5898</v>
      </c>
      <c r="D6586" s="18">
        <v>2022</v>
      </c>
      <c r="E6586" s="18" t="s">
        <v>0</v>
      </c>
      <c r="F6586" s="4">
        <v>1</v>
      </c>
      <c r="G6586" s="42">
        <v>7</v>
      </c>
      <c r="H6586" s="42">
        <v>15.50534</v>
      </c>
    </row>
    <row r="6587" spans="1:8" s="15" customFormat="1" ht="16.5" hidden="1" customHeight="1" outlineLevel="1" x14ac:dyDescent="0.25">
      <c r="A6587" s="18">
        <v>5125</v>
      </c>
      <c r="B6587" s="4" t="s">
        <v>249</v>
      </c>
      <c r="C6587" s="38" t="s">
        <v>5899</v>
      </c>
      <c r="D6587" s="18">
        <v>2022</v>
      </c>
      <c r="E6587" s="18" t="s">
        <v>0</v>
      </c>
      <c r="F6587" s="4">
        <v>1</v>
      </c>
      <c r="G6587" s="42">
        <v>7</v>
      </c>
      <c r="H6587" s="42">
        <v>10.249459999999999</v>
      </c>
    </row>
    <row r="6588" spans="1:8" s="15" customFormat="1" ht="16.5" hidden="1" customHeight="1" outlineLevel="1" x14ac:dyDescent="0.25">
      <c r="A6588" s="18">
        <v>5128</v>
      </c>
      <c r="B6588" s="4" t="s">
        <v>249</v>
      </c>
      <c r="C6588" s="38" t="s">
        <v>5900</v>
      </c>
      <c r="D6588" s="18">
        <v>2022</v>
      </c>
      <c r="E6588" s="18" t="s">
        <v>0</v>
      </c>
      <c r="F6588" s="4">
        <v>1</v>
      </c>
      <c r="G6588" s="42">
        <v>5</v>
      </c>
      <c r="H6588" s="42">
        <v>9.1832799999999999</v>
      </c>
    </row>
    <row r="6589" spans="1:8" s="15" customFormat="1" ht="16.5" hidden="1" customHeight="1" outlineLevel="1" x14ac:dyDescent="0.25">
      <c r="A6589" s="18">
        <v>5124</v>
      </c>
      <c r="B6589" s="4" t="s">
        <v>249</v>
      </c>
      <c r="C6589" s="38" t="s">
        <v>5901</v>
      </c>
      <c r="D6589" s="18">
        <v>2022</v>
      </c>
      <c r="E6589" s="18" t="s">
        <v>0</v>
      </c>
      <c r="F6589" s="4">
        <v>1</v>
      </c>
      <c r="G6589" s="42">
        <v>7</v>
      </c>
      <c r="H6589" s="42">
        <v>10.249459999999999</v>
      </c>
    </row>
    <row r="6590" spans="1:8" s="15" customFormat="1" ht="16.5" hidden="1" customHeight="1" outlineLevel="1" x14ac:dyDescent="0.25">
      <c r="A6590" s="18">
        <v>5123</v>
      </c>
      <c r="B6590" s="4" t="s">
        <v>249</v>
      </c>
      <c r="C6590" s="38" t="s">
        <v>5902</v>
      </c>
      <c r="D6590" s="18">
        <v>2022</v>
      </c>
      <c r="E6590" s="18" t="s">
        <v>0</v>
      </c>
      <c r="F6590" s="4">
        <v>1</v>
      </c>
      <c r="G6590" s="42">
        <v>6</v>
      </c>
      <c r="H6590" s="42">
        <v>10.24944</v>
      </c>
    </row>
    <row r="6591" spans="1:8" s="15" customFormat="1" ht="16.5" hidden="1" customHeight="1" outlineLevel="1" x14ac:dyDescent="0.25">
      <c r="A6591" s="18">
        <v>5122</v>
      </c>
      <c r="B6591" s="4" t="s">
        <v>249</v>
      </c>
      <c r="C6591" s="38" t="s">
        <v>5903</v>
      </c>
      <c r="D6591" s="18">
        <v>2022</v>
      </c>
      <c r="E6591" s="18" t="s">
        <v>0</v>
      </c>
      <c r="F6591" s="4">
        <v>1</v>
      </c>
      <c r="G6591" s="42">
        <v>5</v>
      </c>
      <c r="H6591" s="42">
        <v>10.249420000000001</v>
      </c>
    </row>
    <row r="6592" spans="1:8" s="15" customFormat="1" ht="16.5" hidden="1" customHeight="1" outlineLevel="1" x14ac:dyDescent="0.25">
      <c r="A6592" s="18">
        <v>5121</v>
      </c>
      <c r="B6592" s="4" t="s">
        <v>249</v>
      </c>
      <c r="C6592" s="38" t="s">
        <v>5904</v>
      </c>
      <c r="D6592" s="18">
        <v>2022</v>
      </c>
      <c r="E6592" s="18" t="s">
        <v>0</v>
      </c>
      <c r="F6592" s="4">
        <v>1</v>
      </c>
      <c r="G6592" s="42">
        <v>7</v>
      </c>
      <c r="H6592" s="42">
        <v>10.209059999999999</v>
      </c>
    </row>
    <row r="6593" spans="1:8" s="15" customFormat="1" ht="16.5" hidden="1" customHeight="1" outlineLevel="1" x14ac:dyDescent="0.25">
      <c r="A6593" s="18">
        <v>5120</v>
      </c>
      <c r="B6593" s="4" t="s">
        <v>249</v>
      </c>
      <c r="C6593" s="38" t="s">
        <v>5905</v>
      </c>
      <c r="D6593" s="18">
        <v>2022</v>
      </c>
      <c r="E6593" s="18" t="s">
        <v>0</v>
      </c>
      <c r="F6593" s="4">
        <v>1</v>
      </c>
      <c r="G6593" s="42">
        <v>1.5</v>
      </c>
      <c r="H6593" s="42">
        <v>10.209059999999999</v>
      </c>
    </row>
    <row r="6594" spans="1:8" s="15" customFormat="1" ht="16.5" hidden="1" customHeight="1" outlineLevel="1" x14ac:dyDescent="0.25">
      <c r="A6594" s="18">
        <v>5111</v>
      </c>
      <c r="B6594" s="4" t="s">
        <v>249</v>
      </c>
      <c r="C6594" s="38" t="s">
        <v>5906</v>
      </c>
      <c r="D6594" s="18">
        <v>2022</v>
      </c>
      <c r="E6594" s="18" t="s">
        <v>0</v>
      </c>
      <c r="F6594" s="4">
        <v>1</v>
      </c>
      <c r="G6594" s="42">
        <v>5</v>
      </c>
      <c r="H6594" s="42">
        <v>13.76728</v>
      </c>
    </row>
    <row r="6595" spans="1:8" s="15" customFormat="1" ht="16.5" hidden="1" customHeight="1" outlineLevel="1" x14ac:dyDescent="0.25">
      <c r="A6595" s="18">
        <v>5108</v>
      </c>
      <c r="B6595" s="4" t="s">
        <v>249</v>
      </c>
      <c r="C6595" s="38" t="s">
        <v>5907</v>
      </c>
      <c r="D6595" s="18">
        <v>2022</v>
      </c>
      <c r="E6595" s="18" t="s">
        <v>0</v>
      </c>
      <c r="F6595" s="4">
        <v>1</v>
      </c>
      <c r="G6595" s="42">
        <v>4.5</v>
      </c>
      <c r="H6595" s="42">
        <v>12.21833</v>
      </c>
    </row>
    <row r="6596" spans="1:8" s="15" customFormat="1" ht="16.5" hidden="1" customHeight="1" outlineLevel="1" x14ac:dyDescent="0.25">
      <c r="A6596" s="18">
        <v>5107</v>
      </c>
      <c r="B6596" s="4" t="s">
        <v>249</v>
      </c>
      <c r="C6596" s="38" t="s">
        <v>5908</v>
      </c>
      <c r="D6596" s="18">
        <v>2022</v>
      </c>
      <c r="E6596" s="18" t="s">
        <v>0</v>
      </c>
      <c r="F6596" s="4">
        <v>1</v>
      </c>
      <c r="G6596" s="42">
        <v>4.5</v>
      </c>
      <c r="H6596" s="42">
        <v>12.11458</v>
      </c>
    </row>
    <row r="6597" spans="1:8" s="15" customFormat="1" ht="16.5" hidden="1" customHeight="1" outlineLevel="1" x14ac:dyDescent="0.25">
      <c r="A6597" s="18">
        <v>5106</v>
      </c>
      <c r="B6597" s="4" t="s">
        <v>249</v>
      </c>
      <c r="C6597" s="38" t="s">
        <v>5909</v>
      </c>
      <c r="D6597" s="18">
        <v>2022</v>
      </c>
      <c r="E6597" s="18" t="s">
        <v>0</v>
      </c>
      <c r="F6597" s="4">
        <v>1</v>
      </c>
      <c r="G6597" s="42">
        <v>0.25</v>
      </c>
      <c r="H6597" s="42">
        <v>15.096220000000001</v>
      </c>
    </row>
    <row r="6598" spans="1:8" s="15" customFormat="1" ht="16.5" hidden="1" customHeight="1" outlineLevel="1" x14ac:dyDescent="0.25">
      <c r="A6598" s="18">
        <v>5105</v>
      </c>
      <c r="B6598" s="4" t="s">
        <v>249</v>
      </c>
      <c r="C6598" s="38" t="s">
        <v>5910</v>
      </c>
      <c r="D6598" s="18">
        <v>2022</v>
      </c>
      <c r="E6598" s="18" t="s">
        <v>0</v>
      </c>
      <c r="F6598" s="4">
        <v>1</v>
      </c>
      <c r="G6598" s="42">
        <v>4.9400000000000004</v>
      </c>
      <c r="H6598" s="42">
        <v>15.096209999999999</v>
      </c>
    </row>
    <row r="6599" spans="1:8" s="15" customFormat="1" ht="16.5" hidden="1" customHeight="1" outlineLevel="1" x14ac:dyDescent="0.25">
      <c r="A6599" s="18">
        <v>5284</v>
      </c>
      <c r="B6599" s="4" t="s">
        <v>249</v>
      </c>
      <c r="C6599" s="38" t="s">
        <v>5911</v>
      </c>
      <c r="D6599" s="18">
        <v>2022</v>
      </c>
      <c r="E6599" s="18" t="s">
        <v>0</v>
      </c>
      <c r="F6599" s="4">
        <v>1</v>
      </c>
      <c r="G6599" s="42">
        <v>6.5</v>
      </c>
      <c r="H6599" s="42">
        <v>12.9552</v>
      </c>
    </row>
    <row r="6600" spans="1:8" s="15" customFormat="1" ht="16.5" hidden="1" customHeight="1" outlineLevel="1" x14ac:dyDescent="0.25">
      <c r="A6600" s="18">
        <v>5283</v>
      </c>
      <c r="B6600" s="4" t="s">
        <v>249</v>
      </c>
      <c r="C6600" s="38" t="s">
        <v>5912</v>
      </c>
      <c r="D6600" s="18">
        <v>2022</v>
      </c>
      <c r="E6600" s="18" t="s">
        <v>0</v>
      </c>
      <c r="F6600" s="4">
        <v>1</v>
      </c>
      <c r="G6600" s="42">
        <v>6</v>
      </c>
      <c r="H6600" s="42">
        <v>12.2669</v>
      </c>
    </row>
    <row r="6601" spans="1:8" s="15" customFormat="1" ht="16.5" hidden="1" customHeight="1" outlineLevel="1" x14ac:dyDescent="0.25">
      <c r="A6601" s="18">
        <v>5282</v>
      </c>
      <c r="B6601" s="4" t="s">
        <v>249</v>
      </c>
      <c r="C6601" s="38" t="s">
        <v>5913</v>
      </c>
      <c r="D6601" s="18">
        <v>2022</v>
      </c>
      <c r="E6601" s="18" t="s">
        <v>0</v>
      </c>
      <c r="F6601" s="4">
        <v>1</v>
      </c>
      <c r="G6601" s="42">
        <v>5</v>
      </c>
      <c r="H6601" s="42">
        <v>12.266870000000001</v>
      </c>
    </row>
    <row r="6602" spans="1:8" s="15" customFormat="1" ht="16.5" hidden="1" customHeight="1" outlineLevel="1" x14ac:dyDescent="0.25">
      <c r="A6602" s="18">
        <v>5278</v>
      </c>
      <c r="B6602" s="4" t="s">
        <v>249</v>
      </c>
      <c r="C6602" s="38" t="s">
        <v>5914</v>
      </c>
      <c r="D6602" s="18">
        <v>2022</v>
      </c>
      <c r="E6602" s="18" t="s">
        <v>0</v>
      </c>
      <c r="F6602" s="4">
        <v>1</v>
      </c>
      <c r="G6602" s="42">
        <v>7</v>
      </c>
      <c r="H6602" s="42">
        <v>11.587389999999999</v>
      </c>
    </row>
    <row r="6603" spans="1:8" s="15" customFormat="1" ht="16.5" hidden="1" customHeight="1" outlineLevel="1" x14ac:dyDescent="0.25">
      <c r="A6603" s="18">
        <v>5327</v>
      </c>
      <c r="B6603" s="4" t="s">
        <v>249</v>
      </c>
      <c r="C6603" s="38" t="s">
        <v>5915</v>
      </c>
      <c r="D6603" s="18">
        <v>2022</v>
      </c>
      <c r="E6603" s="18" t="s">
        <v>0</v>
      </c>
      <c r="F6603" s="4">
        <v>1</v>
      </c>
      <c r="G6603" s="42">
        <v>6</v>
      </c>
      <c r="H6603" s="42">
        <v>12.15283</v>
      </c>
    </row>
    <row r="6604" spans="1:8" s="15" customFormat="1" ht="16.5" hidden="1" customHeight="1" outlineLevel="1" x14ac:dyDescent="0.25">
      <c r="A6604" s="18">
        <v>5325</v>
      </c>
      <c r="B6604" s="4" t="s">
        <v>249</v>
      </c>
      <c r="C6604" s="38" t="s">
        <v>5916</v>
      </c>
      <c r="D6604" s="18">
        <v>2022</v>
      </c>
      <c r="E6604" s="18" t="s">
        <v>0</v>
      </c>
      <c r="F6604" s="4">
        <v>1</v>
      </c>
      <c r="G6604" s="42">
        <v>7</v>
      </c>
      <c r="H6604" s="42">
        <v>11.699619999999999</v>
      </c>
    </row>
    <row r="6605" spans="1:8" s="15" customFormat="1" ht="16.5" hidden="1" customHeight="1" outlineLevel="1" x14ac:dyDescent="0.25">
      <c r="A6605" s="18">
        <v>5324</v>
      </c>
      <c r="B6605" s="4" t="s">
        <v>249</v>
      </c>
      <c r="C6605" s="38" t="s">
        <v>5917</v>
      </c>
      <c r="D6605" s="18">
        <v>2022</v>
      </c>
      <c r="E6605" s="18" t="s">
        <v>0</v>
      </c>
      <c r="F6605" s="4">
        <v>1</v>
      </c>
      <c r="G6605" s="42">
        <v>5</v>
      </c>
      <c r="H6605" s="42">
        <v>10.067349999999999</v>
      </c>
    </row>
    <row r="6606" spans="1:8" s="15" customFormat="1" ht="16.5" hidden="1" customHeight="1" outlineLevel="1" x14ac:dyDescent="0.25">
      <c r="A6606" s="18">
        <v>5323</v>
      </c>
      <c r="B6606" s="4" t="s">
        <v>249</v>
      </c>
      <c r="C6606" s="38" t="s">
        <v>5918</v>
      </c>
      <c r="D6606" s="18">
        <v>2022</v>
      </c>
      <c r="E6606" s="18" t="s">
        <v>0</v>
      </c>
      <c r="F6606" s="4">
        <v>1</v>
      </c>
      <c r="G6606" s="42">
        <v>7</v>
      </c>
      <c r="H6606" s="42">
        <v>10.06748</v>
      </c>
    </row>
    <row r="6607" spans="1:8" s="15" customFormat="1" ht="16.5" hidden="1" customHeight="1" outlineLevel="1" x14ac:dyDescent="0.25">
      <c r="A6607" s="18">
        <v>5322</v>
      </c>
      <c r="B6607" s="4" t="s">
        <v>249</v>
      </c>
      <c r="C6607" s="38" t="s">
        <v>5919</v>
      </c>
      <c r="D6607" s="18">
        <v>2022</v>
      </c>
      <c r="E6607" s="18" t="s">
        <v>0</v>
      </c>
      <c r="F6607" s="4">
        <v>1</v>
      </c>
      <c r="G6607" s="42">
        <v>5</v>
      </c>
      <c r="H6607" s="42">
        <v>10.085520000000001</v>
      </c>
    </row>
    <row r="6608" spans="1:8" s="15" customFormat="1" ht="16.5" hidden="1" customHeight="1" outlineLevel="1" x14ac:dyDescent="0.25">
      <c r="A6608" s="18">
        <v>5321</v>
      </c>
      <c r="B6608" s="4" t="s">
        <v>249</v>
      </c>
      <c r="C6608" s="38" t="s">
        <v>5920</v>
      </c>
      <c r="D6608" s="18">
        <v>2022</v>
      </c>
      <c r="E6608" s="18" t="s">
        <v>0</v>
      </c>
      <c r="F6608" s="4">
        <v>1</v>
      </c>
      <c r="G6608" s="42">
        <v>5</v>
      </c>
      <c r="H6608" s="42">
        <v>10.067500000000001</v>
      </c>
    </row>
    <row r="6609" spans="1:8" s="15" customFormat="1" ht="16.5" hidden="1" customHeight="1" outlineLevel="1" x14ac:dyDescent="0.25">
      <c r="A6609" s="18">
        <v>5320</v>
      </c>
      <c r="B6609" s="4" t="s">
        <v>249</v>
      </c>
      <c r="C6609" s="38" t="s">
        <v>5921</v>
      </c>
      <c r="D6609" s="18">
        <v>2022</v>
      </c>
      <c r="E6609" s="18" t="s">
        <v>0</v>
      </c>
      <c r="F6609" s="4">
        <v>1</v>
      </c>
      <c r="G6609" s="42">
        <v>7</v>
      </c>
      <c r="H6609" s="42">
        <v>10.06748</v>
      </c>
    </row>
    <row r="6610" spans="1:8" s="15" customFormat="1" ht="16.5" hidden="1" customHeight="1" outlineLevel="1" x14ac:dyDescent="0.25">
      <c r="A6610" s="18">
        <v>5309</v>
      </c>
      <c r="B6610" s="4" t="s">
        <v>249</v>
      </c>
      <c r="C6610" s="38" t="s">
        <v>5922</v>
      </c>
      <c r="D6610" s="18">
        <v>2022</v>
      </c>
      <c r="E6610" s="18" t="s">
        <v>0</v>
      </c>
      <c r="F6610" s="4">
        <v>1</v>
      </c>
      <c r="G6610" s="42">
        <v>14</v>
      </c>
      <c r="H6610" s="42">
        <v>11.164020000000001</v>
      </c>
    </row>
    <row r="6611" spans="1:8" s="15" customFormat="1" ht="16.5" hidden="1" customHeight="1" outlineLevel="1" x14ac:dyDescent="0.25">
      <c r="A6611" s="18">
        <v>5308</v>
      </c>
      <c r="B6611" s="4" t="s">
        <v>249</v>
      </c>
      <c r="C6611" s="38" t="s">
        <v>5923</v>
      </c>
      <c r="D6611" s="18">
        <v>2022</v>
      </c>
      <c r="E6611" s="18" t="s">
        <v>0</v>
      </c>
      <c r="F6611" s="4">
        <v>1</v>
      </c>
      <c r="G6611" s="42">
        <v>10</v>
      </c>
      <c r="H6611" s="42">
        <v>11.34779</v>
      </c>
    </row>
    <row r="6612" spans="1:8" s="15" customFormat="1" ht="16.5" hidden="1" customHeight="1" outlineLevel="1" x14ac:dyDescent="0.25">
      <c r="A6612" s="18">
        <v>5306</v>
      </c>
      <c r="B6612" s="4" t="s">
        <v>249</v>
      </c>
      <c r="C6612" s="38" t="s">
        <v>5924</v>
      </c>
      <c r="D6612" s="18">
        <v>2022</v>
      </c>
      <c r="E6612" s="18" t="s">
        <v>0</v>
      </c>
      <c r="F6612" s="4">
        <v>1</v>
      </c>
      <c r="G6612" s="42">
        <v>7</v>
      </c>
      <c r="H6612" s="42">
        <v>10.06748</v>
      </c>
    </row>
    <row r="6613" spans="1:8" s="15" customFormat="1" ht="16.5" hidden="1" customHeight="1" outlineLevel="1" x14ac:dyDescent="0.25">
      <c r="A6613" s="18">
        <v>5305</v>
      </c>
      <c r="B6613" s="4" t="s">
        <v>249</v>
      </c>
      <c r="C6613" s="38" t="s">
        <v>5925</v>
      </c>
      <c r="D6613" s="18">
        <v>2022</v>
      </c>
      <c r="E6613" s="18" t="s">
        <v>0</v>
      </c>
      <c r="F6613" s="4">
        <v>1</v>
      </c>
      <c r="G6613" s="42">
        <v>5</v>
      </c>
      <c r="H6613" s="42">
        <v>10.06748</v>
      </c>
    </row>
    <row r="6614" spans="1:8" s="15" customFormat="1" ht="16.5" hidden="1" customHeight="1" outlineLevel="1" x14ac:dyDescent="0.25">
      <c r="A6614" s="18">
        <v>5073</v>
      </c>
      <c r="B6614" s="4" t="s">
        <v>249</v>
      </c>
      <c r="C6614" s="38" t="s">
        <v>5926</v>
      </c>
      <c r="D6614" s="18">
        <v>2022</v>
      </c>
      <c r="E6614" s="18" t="s">
        <v>0</v>
      </c>
      <c r="F6614" s="4">
        <v>1</v>
      </c>
      <c r="G6614" s="42">
        <v>20</v>
      </c>
      <c r="H6614" s="42">
        <v>28.303529999999999</v>
      </c>
    </row>
    <row r="6615" spans="1:8" s="15" customFormat="1" ht="16.5" hidden="1" customHeight="1" outlineLevel="1" x14ac:dyDescent="0.25">
      <c r="A6615" s="18">
        <v>5352</v>
      </c>
      <c r="B6615" s="4" t="s">
        <v>249</v>
      </c>
      <c r="C6615" s="38" t="s">
        <v>5927</v>
      </c>
      <c r="D6615" s="18">
        <v>2022</v>
      </c>
      <c r="E6615" s="18" t="s">
        <v>0</v>
      </c>
      <c r="F6615" s="4">
        <v>1</v>
      </c>
      <c r="G6615" s="42">
        <v>15</v>
      </c>
      <c r="H6615" s="42">
        <v>9.7935599999999994</v>
      </c>
    </row>
    <row r="6616" spans="1:8" s="15" customFormat="1" ht="16.5" hidden="1" customHeight="1" outlineLevel="1" x14ac:dyDescent="0.25">
      <c r="A6616" s="18">
        <v>5354</v>
      </c>
      <c r="B6616" s="4" t="s">
        <v>249</v>
      </c>
      <c r="C6616" s="38" t="s">
        <v>5928</v>
      </c>
      <c r="D6616" s="18">
        <v>2022</v>
      </c>
      <c r="E6616" s="18" t="s">
        <v>0</v>
      </c>
      <c r="F6616" s="4">
        <v>1</v>
      </c>
      <c r="G6616" s="42">
        <v>10</v>
      </c>
      <c r="H6616" s="42">
        <v>9.8389299999999995</v>
      </c>
    </row>
    <row r="6617" spans="1:8" s="15" customFormat="1" ht="16.5" hidden="1" customHeight="1" outlineLevel="1" x14ac:dyDescent="0.25">
      <c r="A6617" s="18">
        <v>5351</v>
      </c>
      <c r="B6617" s="4" t="s">
        <v>249</v>
      </c>
      <c r="C6617" s="38" t="s">
        <v>5929</v>
      </c>
      <c r="D6617" s="18">
        <v>2022</v>
      </c>
      <c r="E6617" s="18" t="s">
        <v>0</v>
      </c>
      <c r="F6617" s="4">
        <v>1</v>
      </c>
      <c r="G6617" s="42">
        <v>15</v>
      </c>
      <c r="H6617" s="42">
        <v>9.8469099999999994</v>
      </c>
    </row>
    <row r="6618" spans="1:8" s="15" customFormat="1" ht="16.5" hidden="1" customHeight="1" outlineLevel="1" x14ac:dyDescent="0.25">
      <c r="A6618" s="18">
        <v>5350</v>
      </c>
      <c r="B6618" s="4" t="s">
        <v>249</v>
      </c>
      <c r="C6618" s="38" t="s">
        <v>5930</v>
      </c>
      <c r="D6618" s="18">
        <v>2022</v>
      </c>
      <c r="E6618" s="18" t="s">
        <v>0</v>
      </c>
      <c r="F6618" s="4">
        <v>1</v>
      </c>
      <c r="G6618" s="42">
        <v>15</v>
      </c>
      <c r="H6618" s="42">
        <v>9.5934100000000004</v>
      </c>
    </row>
    <row r="6619" spans="1:8" s="15" customFormat="1" ht="16.5" hidden="1" customHeight="1" outlineLevel="1" x14ac:dyDescent="0.25">
      <c r="A6619" s="18">
        <v>5353</v>
      </c>
      <c r="B6619" s="4" t="s">
        <v>249</v>
      </c>
      <c r="C6619" s="38" t="s">
        <v>5931</v>
      </c>
      <c r="D6619" s="18">
        <v>2022</v>
      </c>
      <c r="E6619" s="18" t="s">
        <v>0</v>
      </c>
      <c r="F6619" s="4">
        <v>1</v>
      </c>
      <c r="G6619" s="42">
        <v>7</v>
      </c>
      <c r="H6619" s="42">
        <v>9.7935700000000008</v>
      </c>
    </row>
    <row r="6620" spans="1:8" s="15" customFormat="1" ht="16.5" hidden="1" customHeight="1" outlineLevel="1" x14ac:dyDescent="0.25">
      <c r="A6620" s="18">
        <v>5062</v>
      </c>
      <c r="B6620" s="4" t="s">
        <v>249</v>
      </c>
      <c r="C6620" s="38" t="s">
        <v>5932</v>
      </c>
      <c r="D6620" s="18">
        <v>2022</v>
      </c>
      <c r="E6620" s="18" t="s">
        <v>0</v>
      </c>
      <c r="F6620" s="4">
        <v>1</v>
      </c>
      <c r="G6620" s="42">
        <v>7</v>
      </c>
      <c r="H6620" s="42">
        <v>17.078499999999998</v>
      </c>
    </row>
    <row r="6621" spans="1:8" s="15" customFormat="1" ht="16.5" hidden="1" customHeight="1" outlineLevel="1" x14ac:dyDescent="0.25">
      <c r="A6621" s="18">
        <v>5069</v>
      </c>
      <c r="B6621" s="4" t="s">
        <v>249</v>
      </c>
      <c r="C6621" s="38" t="s">
        <v>5933</v>
      </c>
      <c r="D6621" s="18">
        <v>2022</v>
      </c>
      <c r="E6621" s="18" t="s">
        <v>0</v>
      </c>
      <c r="F6621" s="4">
        <v>1</v>
      </c>
      <c r="G6621" s="42">
        <v>10</v>
      </c>
      <c r="H6621" s="42">
        <v>18.858889999999999</v>
      </c>
    </row>
    <row r="6622" spans="1:8" s="15" customFormat="1" ht="16.5" hidden="1" customHeight="1" outlineLevel="1" x14ac:dyDescent="0.25">
      <c r="A6622" s="18">
        <v>5355</v>
      </c>
      <c r="B6622" s="4" t="s">
        <v>249</v>
      </c>
      <c r="C6622" s="38" t="s">
        <v>5934</v>
      </c>
      <c r="D6622" s="18">
        <v>2022</v>
      </c>
      <c r="E6622" s="18" t="s">
        <v>0</v>
      </c>
      <c r="F6622" s="4">
        <v>1</v>
      </c>
      <c r="G6622" s="42">
        <v>5</v>
      </c>
      <c r="H6622" s="42">
        <v>9.8456200000000003</v>
      </c>
    </row>
    <row r="6623" spans="1:8" s="15" customFormat="1" ht="16.5" hidden="1" customHeight="1" outlineLevel="1" x14ac:dyDescent="0.25">
      <c r="A6623" s="18">
        <v>5204</v>
      </c>
      <c r="B6623" s="4" t="s">
        <v>249</v>
      </c>
      <c r="C6623" s="38" t="s">
        <v>5935</v>
      </c>
      <c r="D6623" s="18">
        <v>2022</v>
      </c>
      <c r="E6623" s="18" t="s">
        <v>0</v>
      </c>
      <c r="F6623" s="4">
        <v>1</v>
      </c>
      <c r="G6623" s="42">
        <v>7</v>
      </c>
      <c r="H6623" s="42">
        <v>12.07874</v>
      </c>
    </row>
    <row r="6624" spans="1:8" s="15" customFormat="1" ht="16.5" hidden="1" customHeight="1" outlineLevel="1" x14ac:dyDescent="0.25">
      <c r="A6624" s="18">
        <v>5201</v>
      </c>
      <c r="B6624" s="4" t="s">
        <v>249</v>
      </c>
      <c r="C6624" s="38" t="s">
        <v>5936</v>
      </c>
      <c r="D6624" s="18">
        <v>2022</v>
      </c>
      <c r="E6624" s="18" t="s">
        <v>0</v>
      </c>
      <c r="F6624" s="4">
        <v>1</v>
      </c>
      <c r="G6624" s="42">
        <v>10</v>
      </c>
      <c r="H6624" s="42">
        <v>9.9039400000000004</v>
      </c>
    </row>
    <row r="6625" spans="1:8" s="15" customFormat="1" ht="16.5" hidden="1" customHeight="1" outlineLevel="1" x14ac:dyDescent="0.25">
      <c r="A6625" s="18">
        <v>5162</v>
      </c>
      <c r="B6625" s="4" t="s">
        <v>249</v>
      </c>
      <c r="C6625" s="38" t="s">
        <v>5937</v>
      </c>
      <c r="D6625" s="18">
        <v>2022</v>
      </c>
      <c r="E6625" s="18" t="s">
        <v>0</v>
      </c>
      <c r="F6625" s="4">
        <v>1</v>
      </c>
      <c r="G6625" s="42">
        <v>4.5</v>
      </c>
      <c r="H6625" s="42">
        <v>12.93398</v>
      </c>
    </row>
    <row r="6626" spans="1:8" s="15" customFormat="1" ht="16.5" hidden="1" customHeight="1" outlineLevel="1" x14ac:dyDescent="0.25">
      <c r="A6626" s="18">
        <v>5163</v>
      </c>
      <c r="B6626" s="4" t="s">
        <v>249</v>
      </c>
      <c r="C6626" s="38" t="s">
        <v>5938</v>
      </c>
      <c r="D6626" s="18">
        <v>2022</v>
      </c>
      <c r="E6626" s="18" t="s">
        <v>0</v>
      </c>
      <c r="F6626" s="4">
        <v>1</v>
      </c>
      <c r="G6626" s="42">
        <v>6</v>
      </c>
      <c r="H6626" s="42">
        <v>13.8771</v>
      </c>
    </row>
    <row r="6627" spans="1:8" s="15" customFormat="1" ht="16.5" hidden="1" customHeight="1" outlineLevel="1" x14ac:dyDescent="0.25">
      <c r="A6627" s="18">
        <v>5160</v>
      </c>
      <c r="B6627" s="4" t="s">
        <v>249</v>
      </c>
      <c r="C6627" s="38" t="s">
        <v>5939</v>
      </c>
      <c r="D6627" s="18">
        <v>2022</v>
      </c>
      <c r="E6627" s="18" t="s">
        <v>0</v>
      </c>
      <c r="F6627" s="4">
        <v>1</v>
      </c>
      <c r="G6627" s="42">
        <v>6</v>
      </c>
      <c r="H6627" s="42">
        <v>10.11003</v>
      </c>
    </row>
    <row r="6628" spans="1:8" s="15" customFormat="1" ht="16.5" hidden="1" customHeight="1" outlineLevel="1" x14ac:dyDescent="0.25">
      <c r="A6628" s="18">
        <v>5216</v>
      </c>
      <c r="B6628" s="4" t="s">
        <v>249</v>
      </c>
      <c r="C6628" s="38" t="s">
        <v>5940</v>
      </c>
      <c r="D6628" s="18">
        <v>2022</v>
      </c>
      <c r="E6628" s="18" t="s">
        <v>0</v>
      </c>
      <c r="F6628" s="4">
        <v>1</v>
      </c>
      <c r="G6628" s="42">
        <v>7</v>
      </c>
      <c r="H6628" s="42">
        <v>9.9791699999999999</v>
      </c>
    </row>
    <row r="6629" spans="1:8" s="15" customFormat="1" ht="16.5" hidden="1" customHeight="1" outlineLevel="1" x14ac:dyDescent="0.25">
      <c r="A6629" s="18">
        <v>5214</v>
      </c>
      <c r="B6629" s="4" t="s">
        <v>249</v>
      </c>
      <c r="C6629" s="38" t="s">
        <v>5941</v>
      </c>
      <c r="D6629" s="18">
        <v>2022</v>
      </c>
      <c r="E6629" s="18" t="s">
        <v>0</v>
      </c>
      <c r="F6629" s="4">
        <v>1</v>
      </c>
      <c r="G6629" s="42">
        <v>5</v>
      </c>
      <c r="H6629" s="42">
        <v>10.22566</v>
      </c>
    </row>
    <row r="6630" spans="1:8" s="15" customFormat="1" ht="16.5" hidden="1" customHeight="1" outlineLevel="1" x14ac:dyDescent="0.25">
      <c r="A6630" s="18">
        <v>5087</v>
      </c>
      <c r="B6630" s="4" t="s">
        <v>249</v>
      </c>
      <c r="C6630" s="38" t="s">
        <v>5942</v>
      </c>
      <c r="D6630" s="18">
        <v>2022</v>
      </c>
      <c r="E6630" s="18" t="s">
        <v>0</v>
      </c>
      <c r="F6630" s="4">
        <v>1</v>
      </c>
      <c r="G6630" s="42">
        <v>7</v>
      </c>
      <c r="H6630" s="42">
        <v>21.481780000000001</v>
      </c>
    </row>
    <row r="6631" spans="1:8" s="15" customFormat="1" ht="16.5" hidden="1" customHeight="1" outlineLevel="1" x14ac:dyDescent="0.25">
      <c r="A6631" s="18">
        <v>5083</v>
      </c>
      <c r="B6631" s="4" t="s">
        <v>249</v>
      </c>
      <c r="C6631" s="38" t="s">
        <v>5943</v>
      </c>
      <c r="D6631" s="18">
        <v>2022</v>
      </c>
      <c r="E6631" s="18" t="s">
        <v>0</v>
      </c>
      <c r="F6631" s="4">
        <v>1</v>
      </c>
      <c r="G6631" s="42">
        <v>5</v>
      </c>
      <c r="H6631" s="42">
        <v>20.137789999999999</v>
      </c>
    </row>
    <row r="6632" spans="1:8" s="15" customFormat="1" ht="16.5" hidden="1" customHeight="1" outlineLevel="1" x14ac:dyDescent="0.25">
      <c r="A6632" s="18">
        <v>5079</v>
      </c>
      <c r="B6632" s="4" t="s">
        <v>249</v>
      </c>
      <c r="C6632" s="38" t="s">
        <v>5944</v>
      </c>
      <c r="D6632" s="18">
        <v>2022</v>
      </c>
      <c r="E6632" s="18" t="s">
        <v>0</v>
      </c>
      <c r="F6632" s="4">
        <v>1</v>
      </c>
      <c r="G6632" s="42">
        <v>8</v>
      </c>
      <c r="H6632" s="42">
        <v>22.775729999999999</v>
      </c>
    </row>
    <row r="6633" spans="1:8" s="15" customFormat="1" ht="16.5" hidden="1" customHeight="1" outlineLevel="1" x14ac:dyDescent="0.25">
      <c r="A6633" s="18">
        <v>5078</v>
      </c>
      <c r="B6633" s="4" t="s">
        <v>249</v>
      </c>
      <c r="C6633" s="38" t="s">
        <v>5945</v>
      </c>
      <c r="D6633" s="18">
        <v>2022</v>
      </c>
      <c r="E6633" s="18" t="s">
        <v>0</v>
      </c>
      <c r="F6633" s="4">
        <v>1</v>
      </c>
      <c r="G6633" s="42">
        <v>5</v>
      </c>
      <c r="H6633" s="42">
        <v>20.12482</v>
      </c>
    </row>
    <row r="6634" spans="1:8" s="15" customFormat="1" ht="16.5" hidden="1" customHeight="1" outlineLevel="1" x14ac:dyDescent="0.25">
      <c r="A6634" s="18">
        <v>5363</v>
      </c>
      <c r="B6634" s="4" t="s">
        <v>249</v>
      </c>
      <c r="C6634" s="38" t="s">
        <v>5946</v>
      </c>
      <c r="D6634" s="18">
        <v>2022</v>
      </c>
      <c r="E6634" s="18" t="s">
        <v>0</v>
      </c>
      <c r="F6634" s="4">
        <v>1</v>
      </c>
      <c r="G6634" s="42">
        <v>7</v>
      </c>
      <c r="H6634" s="42">
        <v>43.062489999999997</v>
      </c>
    </row>
    <row r="6635" spans="1:8" s="15" customFormat="1" ht="16.5" hidden="1" customHeight="1" outlineLevel="1" x14ac:dyDescent="0.25">
      <c r="A6635" s="18">
        <v>5410</v>
      </c>
      <c r="B6635" s="4" t="s">
        <v>249</v>
      </c>
      <c r="C6635" s="38" t="s">
        <v>5947</v>
      </c>
      <c r="D6635" s="18">
        <v>2022</v>
      </c>
      <c r="E6635" s="18" t="s">
        <v>0</v>
      </c>
      <c r="F6635" s="4">
        <v>1</v>
      </c>
      <c r="G6635" s="42">
        <v>7</v>
      </c>
      <c r="H6635" s="42">
        <v>19.362660000000002</v>
      </c>
    </row>
    <row r="6636" spans="1:8" s="15" customFormat="1" ht="16.5" hidden="1" customHeight="1" outlineLevel="1" x14ac:dyDescent="0.25">
      <c r="A6636" s="18">
        <v>5404</v>
      </c>
      <c r="B6636" s="4" t="s">
        <v>249</v>
      </c>
      <c r="C6636" s="38" t="s">
        <v>5948</v>
      </c>
      <c r="D6636" s="18">
        <v>2022</v>
      </c>
      <c r="E6636" s="18" t="s">
        <v>0</v>
      </c>
      <c r="F6636" s="4">
        <v>1</v>
      </c>
      <c r="G6636" s="42">
        <v>7</v>
      </c>
      <c r="H6636" s="42">
        <v>24.57405</v>
      </c>
    </row>
    <row r="6637" spans="1:8" s="15" customFormat="1" ht="16.5" hidden="1" customHeight="1" outlineLevel="1" x14ac:dyDescent="0.25">
      <c r="A6637" s="18">
        <v>5375</v>
      </c>
      <c r="B6637" s="4" t="s">
        <v>249</v>
      </c>
      <c r="C6637" s="38" t="s">
        <v>5949</v>
      </c>
      <c r="D6637" s="18">
        <v>2022</v>
      </c>
      <c r="E6637" s="18" t="s">
        <v>0</v>
      </c>
      <c r="F6637" s="4">
        <v>1</v>
      </c>
      <c r="G6637" s="42">
        <v>7</v>
      </c>
      <c r="H6637" s="42">
        <v>19.734259999999999</v>
      </c>
    </row>
    <row r="6638" spans="1:8" s="15" customFormat="1" ht="16.5" hidden="1" customHeight="1" outlineLevel="1" x14ac:dyDescent="0.25">
      <c r="A6638" s="18">
        <v>5382</v>
      </c>
      <c r="B6638" s="4" t="s">
        <v>249</v>
      </c>
      <c r="C6638" s="38" t="s">
        <v>5950</v>
      </c>
      <c r="D6638" s="18">
        <v>2022</v>
      </c>
      <c r="E6638" s="18" t="s">
        <v>0</v>
      </c>
      <c r="F6638" s="4">
        <v>1</v>
      </c>
      <c r="G6638" s="42">
        <v>6</v>
      </c>
      <c r="H6638" s="42">
        <v>24.465789999999998</v>
      </c>
    </row>
    <row r="6639" spans="1:8" s="15" customFormat="1" ht="16.5" hidden="1" customHeight="1" outlineLevel="1" x14ac:dyDescent="0.25">
      <c r="A6639" s="18">
        <v>5387</v>
      </c>
      <c r="B6639" s="4" t="s">
        <v>249</v>
      </c>
      <c r="C6639" s="38" t="s">
        <v>5951</v>
      </c>
      <c r="D6639" s="18">
        <v>2022</v>
      </c>
      <c r="E6639" s="18" t="s">
        <v>0</v>
      </c>
      <c r="F6639" s="4">
        <v>1</v>
      </c>
      <c r="G6639" s="42">
        <v>6</v>
      </c>
      <c r="H6639" s="42">
        <v>21.07058</v>
      </c>
    </row>
    <row r="6640" spans="1:8" s="15" customFormat="1" ht="16.5" hidden="1" customHeight="1" outlineLevel="1" x14ac:dyDescent="0.25">
      <c r="A6640" s="18">
        <v>5388</v>
      </c>
      <c r="B6640" s="4" t="s">
        <v>249</v>
      </c>
      <c r="C6640" s="38" t="s">
        <v>5952</v>
      </c>
      <c r="D6640" s="18">
        <v>2022</v>
      </c>
      <c r="E6640" s="18" t="s">
        <v>0</v>
      </c>
      <c r="F6640" s="4">
        <v>1</v>
      </c>
      <c r="G6640" s="42">
        <v>6</v>
      </c>
      <c r="H6640" s="42">
        <v>22.090520000000001</v>
      </c>
    </row>
    <row r="6641" spans="1:8" s="15" customFormat="1" ht="16.5" hidden="1" customHeight="1" outlineLevel="1" x14ac:dyDescent="0.25">
      <c r="A6641" s="18">
        <v>5390</v>
      </c>
      <c r="B6641" s="4" t="s">
        <v>249</v>
      </c>
      <c r="C6641" s="38" t="s">
        <v>5953</v>
      </c>
      <c r="D6641" s="18">
        <v>2022</v>
      </c>
      <c r="E6641" s="18" t="s">
        <v>0</v>
      </c>
      <c r="F6641" s="4">
        <v>1</v>
      </c>
      <c r="G6641" s="42">
        <v>6</v>
      </c>
      <c r="H6641" s="42">
        <v>20.24391</v>
      </c>
    </row>
    <row r="6642" spans="1:8" s="15" customFormat="1" ht="16.5" hidden="1" customHeight="1" outlineLevel="1" x14ac:dyDescent="0.25">
      <c r="A6642" s="18">
        <v>5245</v>
      </c>
      <c r="B6642" s="4" t="s">
        <v>249</v>
      </c>
      <c r="C6642" s="38" t="s">
        <v>5914</v>
      </c>
      <c r="D6642" s="18">
        <v>2022</v>
      </c>
      <c r="E6642" s="18" t="s">
        <v>0</v>
      </c>
      <c r="F6642" s="4">
        <v>1</v>
      </c>
      <c r="G6642" s="42">
        <v>13</v>
      </c>
      <c r="H6642" s="42">
        <v>11.587389999999999</v>
      </c>
    </row>
    <row r="6643" spans="1:8" s="15" customFormat="1" ht="16.5" hidden="1" customHeight="1" outlineLevel="1" x14ac:dyDescent="0.25">
      <c r="A6643" s="18">
        <v>5239</v>
      </c>
      <c r="B6643" s="4" t="s">
        <v>249</v>
      </c>
      <c r="C6643" s="38" t="s">
        <v>5954</v>
      </c>
      <c r="D6643" s="18">
        <v>2022</v>
      </c>
      <c r="E6643" s="18" t="s">
        <v>0</v>
      </c>
      <c r="F6643" s="4">
        <v>1</v>
      </c>
      <c r="G6643" s="42">
        <v>1</v>
      </c>
      <c r="H6643" s="42">
        <v>19.814820000000001</v>
      </c>
    </row>
    <row r="6644" spans="1:8" s="15" customFormat="1" ht="16.5" hidden="1" customHeight="1" outlineLevel="1" x14ac:dyDescent="0.25">
      <c r="A6644" s="18">
        <v>5240</v>
      </c>
      <c r="B6644" s="4" t="s">
        <v>249</v>
      </c>
      <c r="C6644" s="38" t="s">
        <v>5955</v>
      </c>
      <c r="D6644" s="18">
        <v>2022</v>
      </c>
      <c r="E6644" s="18" t="s">
        <v>0</v>
      </c>
      <c r="F6644" s="4">
        <v>1</v>
      </c>
      <c r="G6644" s="42">
        <v>5</v>
      </c>
      <c r="H6644" s="42">
        <v>19.814789999999999</v>
      </c>
    </row>
    <row r="6645" spans="1:8" s="15" customFormat="1" ht="16.5" hidden="1" customHeight="1" outlineLevel="1" x14ac:dyDescent="0.25">
      <c r="A6645" s="18">
        <v>5241</v>
      </c>
      <c r="B6645" s="4" t="s">
        <v>249</v>
      </c>
      <c r="C6645" s="38" t="s">
        <v>5956</v>
      </c>
      <c r="D6645" s="18">
        <v>2022</v>
      </c>
      <c r="E6645" s="18" t="s">
        <v>0</v>
      </c>
      <c r="F6645" s="4">
        <v>1</v>
      </c>
      <c r="G6645" s="42">
        <v>7</v>
      </c>
      <c r="H6645" s="42">
        <v>19.814910000000001</v>
      </c>
    </row>
    <row r="6646" spans="1:8" s="15" customFormat="1" ht="16.5" hidden="1" customHeight="1" outlineLevel="1" x14ac:dyDescent="0.25">
      <c r="A6646" s="18">
        <v>5236</v>
      </c>
      <c r="B6646" s="4" t="s">
        <v>249</v>
      </c>
      <c r="C6646" s="38" t="s">
        <v>5957</v>
      </c>
      <c r="D6646" s="18">
        <v>2022</v>
      </c>
      <c r="E6646" s="18" t="s">
        <v>0</v>
      </c>
      <c r="F6646" s="4">
        <v>1</v>
      </c>
      <c r="G6646" s="42">
        <v>0.75</v>
      </c>
      <c r="H6646" s="42">
        <v>21.621279999999999</v>
      </c>
    </row>
    <row r="6647" spans="1:8" s="15" customFormat="1" ht="16.5" hidden="1" customHeight="1" outlineLevel="1" x14ac:dyDescent="0.25">
      <c r="A6647" s="18">
        <v>5235</v>
      </c>
      <c r="B6647" s="4" t="s">
        <v>249</v>
      </c>
      <c r="C6647" s="38" t="s">
        <v>5958</v>
      </c>
      <c r="D6647" s="18">
        <v>2022</v>
      </c>
      <c r="E6647" s="18" t="s">
        <v>0</v>
      </c>
      <c r="F6647" s="4">
        <v>1</v>
      </c>
      <c r="G6647" s="42">
        <v>0.75</v>
      </c>
      <c r="H6647" s="42">
        <v>20.77796</v>
      </c>
    </row>
    <row r="6648" spans="1:8" s="15" customFormat="1" ht="16.5" hidden="1" customHeight="1" outlineLevel="1" x14ac:dyDescent="0.25">
      <c r="A6648" s="18">
        <v>5213</v>
      </c>
      <c r="B6648" s="4" t="s">
        <v>249</v>
      </c>
      <c r="C6648" s="38" t="s">
        <v>5959</v>
      </c>
      <c r="D6648" s="18">
        <v>2022</v>
      </c>
      <c r="E6648" s="18" t="s">
        <v>0</v>
      </c>
      <c r="F6648" s="4">
        <v>1</v>
      </c>
      <c r="G6648" s="42">
        <v>0.75</v>
      </c>
      <c r="H6648" s="42">
        <v>29</v>
      </c>
    </row>
    <row r="6649" spans="1:8" s="15" customFormat="1" ht="16.5" hidden="1" customHeight="1" outlineLevel="1" x14ac:dyDescent="0.25">
      <c r="A6649" s="18">
        <v>5337</v>
      </c>
      <c r="B6649" s="4" t="s">
        <v>249</v>
      </c>
      <c r="C6649" s="38" t="s">
        <v>3911</v>
      </c>
      <c r="D6649" s="18">
        <v>2022</v>
      </c>
      <c r="E6649" s="18" t="s">
        <v>0</v>
      </c>
      <c r="F6649" s="4">
        <v>1</v>
      </c>
      <c r="G6649" s="42">
        <v>0.75</v>
      </c>
      <c r="H6649" s="42">
        <v>15</v>
      </c>
    </row>
    <row r="6650" spans="1:8" s="15" customFormat="1" ht="16.5" hidden="1" customHeight="1" outlineLevel="1" x14ac:dyDescent="0.25">
      <c r="A6650" s="18">
        <v>5335</v>
      </c>
      <c r="B6650" s="4" t="s">
        <v>249</v>
      </c>
      <c r="C6650" s="38" t="s">
        <v>5960</v>
      </c>
      <c r="D6650" s="18">
        <v>2022</v>
      </c>
      <c r="E6650" s="18" t="s">
        <v>0</v>
      </c>
      <c r="F6650" s="4">
        <v>1</v>
      </c>
      <c r="G6650" s="42">
        <v>15</v>
      </c>
      <c r="H6650" s="42">
        <v>24</v>
      </c>
    </row>
    <row r="6651" spans="1:8" s="15" customFormat="1" ht="38.25" hidden="1" customHeight="1" outlineLevel="1" x14ac:dyDescent="0.25">
      <c r="A6651" s="18">
        <v>1235</v>
      </c>
      <c r="B6651" s="4" t="s">
        <v>249</v>
      </c>
      <c r="C6651" s="22" t="s">
        <v>1119</v>
      </c>
      <c r="D6651" s="129" t="s">
        <v>1120</v>
      </c>
      <c r="E6651" s="18" t="s">
        <v>0</v>
      </c>
      <c r="F6651" s="4">
        <v>1</v>
      </c>
      <c r="G6651" s="4">
        <v>1</v>
      </c>
      <c r="H6651" s="4">
        <v>50.615000000000002</v>
      </c>
    </row>
    <row r="6652" spans="1:8" s="15" customFormat="1" ht="27.75" hidden="1" customHeight="1" outlineLevel="1" x14ac:dyDescent="0.25">
      <c r="A6652" s="18">
        <v>1238</v>
      </c>
      <c r="B6652" s="4" t="s">
        <v>249</v>
      </c>
      <c r="C6652" s="22" t="s">
        <v>1121</v>
      </c>
      <c r="D6652" s="129" t="s">
        <v>1120</v>
      </c>
      <c r="E6652" s="18" t="s">
        <v>0</v>
      </c>
      <c r="F6652" s="4">
        <v>1</v>
      </c>
      <c r="G6652" s="4">
        <v>15</v>
      </c>
      <c r="H6652" s="4">
        <v>59.034999999999997</v>
      </c>
    </row>
    <row r="6653" spans="1:8" s="15" customFormat="1" ht="36.75" hidden="1" customHeight="1" outlineLevel="1" x14ac:dyDescent="0.25">
      <c r="A6653" s="18">
        <v>1174</v>
      </c>
      <c r="B6653" s="4" t="s">
        <v>249</v>
      </c>
      <c r="C6653" s="22" t="s">
        <v>1122</v>
      </c>
      <c r="D6653" s="129" t="s">
        <v>1120</v>
      </c>
      <c r="E6653" s="18" t="s">
        <v>0</v>
      </c>
      <c r="F6653" s="4">
        <v>1</v>
      </c>
      <c r="G6653" s="4">
        <v>1</v>
      </c>
      <c r="H6653" s="4">
        <v>42.566000000000003</v>
      </c>
    </row>
    <row r="6654" spans="1:8" s="15" customFormat="1" ht="27.75" hidden="1" customHeight="1" outlineLevel="1" x14ac:dyDescent="0.25">
      <c r="A6654" s="18">
        <v>1217</v>
      </c>
      <c r="B6654" s="4" t="s">
        <v>249</v>
      </c>
      <c r="C6654" s="22" t="s">
        <v>1133</v>
      </c>
      <c r="D6654" s="127" t="s">
        <v>1120</v>
      </c>
      <c r="E6654" s="18" t="s">
        <v>0</v>
      </c>
      <c r="F6654" s="4">
        <v>1</v>
      </c>
      <c r="G6654" s="4">
        <v>10</v>
      </c>
      <c r="H6654" s="4">
        <v>19.489000000000001</v>
      </c>
    </row>
    <row r="6655" spans="1:8" s="15" customFormat="1" ht="27.75" hidden="1" customHeight="1" outlineLevel="1" x14ac:dyDescent="0.25">
      <c r="A6655" s="18">
        <v>1201</v>
      </c>
      <c r="B6655" s="4" t="s">
        <v>249</v>
      </c>
      <c r="C6655" s="22" t="s">
        <v>1134</v>
      </c>
      <c r="D6655" s="127" t="s">
        <v>1120</v>
      </c>
      <c r="E6655" s="18" t="s">
        <v>0</v>
      </c>
      <c r="F6655" s="4">
        <v>1</v>
      </c>
      <c r="G6655" s="4">
        <v>8</v>
      </c>
      <c r="H6655" s="4">
        <v>19.489000000000001</v>
      </c>
    </row>
    <row r="6656" spans="1:8" s="15" customFormat="1" ht="27.75" hidden="1" customHeight="1" outlineLevel="1" x14ac:dyDescent="0.25">
      <c r="A6656" s="18">
        <v>1204</v>
      </c>
      <c r="B6656" s="4" t="s">
        <v>249</v>
      </c>
      <c r="C6656" s="22" t="s">
        <v>1135</v>
      </c>
      <c r="D6656" s="127" t="s">
        <v>1120</v>
      </c>
      <c r="E6656" s="18" t="s">
        <v>0</v>
      </c>
      <c r="F6656" s="4">
        <v>1</v>
      </c>
      <c r="G6656" s="4">
        <v>15</v>
      </c>
      <c r="H6656" s="4">
        <v>20.709800000000001</v>
      </c>
    </row>
    <row r="6657" spans="1:8" s="15" customFormat="1" ht="27.75" hidden="1" customHeight="1" outlineLevel="1" x14ac:dyDescent="0.25">
      <c r="A6657" s="18">
        <v>1196</v>
      </c>
      <c r="B6657" s="4" t="s">
        <v>249</v>
      </c>
      <c r="C6657" s="22" t="s">
        <v>1136</v>
      </c>
      <c r="D6657" s="127" t="s">
        <v>1120</v>
      </c>
      <c r="E6657" s="18" t="s">
        <v>0</v>
      </c>
      <c r="F6657" s="4">
        <v>1</v>
      </c>
      <c r="G6657" s="4">
        <v>5</v>
      </c>
      <c r="H6657" s="4">
        <v>37.436</v>
      </c>
    </row>
    <row r="6658" spans="1:8" s="15" customFormat="1" ht="27.75" hidden="1" customHeight="1" outlineLevel="1" x14ac:dyDescent="0.25">
      <c r="A6658" s="18">
        <v>1197</v>
      </c>
      <c r="B6658" s="4" t="s">
        <v>249</v>
      </c>
      <c r="C6658" s="22" t="s">
        <v>1137</v>
      </c>
      <c r="D6658" s="127" t="s">
        <v>1120</v>
      </c>
      <c r="E6658" s="18" t="s">
        <v>0</v>
      </c>
      <c r="F6658" s="4">
        <v>1</v>
      </c>
      <c r="G6658" s="4">
        <v>5</v>
      </c>
      <c r="H6658" s="4">
        <v>38.590000000000003</v>
      </c>
    </row>
    <row r="6659" spans="1:8" s="15" customFormat="1" ht="27.75" hidden="1" customHeight="1" outlineLevel="1" x14ac:dyDescent="0.25">
      <c r="A6659" s="18">
        <v>1221</v>
      </c>
      <c r="B6659" s="4" t="s">
        <v>249</v>
      </c>
      <c r="C6659" s="22" t="s">
        <v>1138</v>
      </c>
      <c r="D6659" s="127" t="s">
        <v>1120</v>
      </c>
      <c r="E6659" s="18" t="s">
        <v>0</v>
      </c>
      <c r="F6659" s="4">
        <v>1</v>
      </c>
      <c r="G6659" s="4">
        <v>5</v>
      </c>
      <c r="H6659" s="4">
        <v>43.646000000000001</v>
      </c>
    </row>
    <row r="6660" spans="1:8" s="15" customFormat="1" ht="27.75" hidden="1" customHeight="1" outlineLevel="1" x14ac:dyDescent="0.25">
      <c r="A6660" s="18">
        <v>1208</v>
      </c>
      <c r="B6660" s="4" t="s">
        <v>249</v>
      </c>
      <c r="C6660" s="22" t="s">
        <v>1139</v>
      </c>
      <c r="D6660" s="127" t="s">
        <v>1120</v>
      </c>
      <c r="E6660" s="18" t="s">
        <v>0</v>
      </c>
      <c r="F6660" s="4">
        <v>1</v>
      </c>
      <c r="G6660" s="4">
        <v>5</v>
      </c>
      <c r="H6660" s="4">
        <v>39.255000000000003</v>
      </c>
    </row>
    <row r="6661" spans="1:8" s="15" customFormat="1" ht="28.5" hidden="1" customHeight="1" outlineLevel="1" x14ac:dyDescent="0.25">
      <c r="A6661" s="46">
        <v>9160</v>
      </c>
      <c r="B6661" s="4" t="s">
        <v>249</v>
      </c>
      <c r="C6661" s="22" t="s">
        <v>2028</v>
      </c>
      <c r="D6661" s="18">
        <v>2021</v>
      </c>
      <c r="E6661" s="18" t="s">
        <v>0</v>
      </c>
      <c r="F6661" s="4">
        <v>1</v>
      </c>
      <c r="G6661" s="4">
        <v>5</v>
      </c>
      <c r="H6661" s="4">
        <v>54</v>
      </c>
    </row>
    <row r="6662" spans="1:8" s="15" customFormat="1" ht="28.5" hidden="1" customHeight="1" outlineLevel="1" x14ac:dyDescent="0.25">
      <c r="A6662" s="45">
        <v>254</v>
      </c>
      <c r="B6662" s="4" t="s">
        <v>249</v>
      </c>
      <c r="C6662" s="22" t="s">
        <v>2029</v>
      </c>
      <c r="D6662" s="18">
        <v>2021</v>
      </c>
      <c r="E6662" s="18" t="s">
        <v>0</v>
      </c>
      <c r="F6662" s="4">
        <v>1</v>
      </c>
      <c r="G6662" s="4">
        <v>5</v>
      </c>
      <c r="H6662" s="4">
        <v>56</v>
      </c>
    </row>
    <row r="6663" spans="1:8" s="15" customFormat="1" ht="28.5" hidden="1" customHeight="1" outlineLevel="1" x14ac:dyDescent="0.25">
      <c r="A6663" s="45">
        <v>255</v>
      </c>
      <c r="B6663" s="4" t="s">
        <v>249</v>
      </c>
      <c r="C6663" s="22" t="s">
        <v>2030</v>
      </c>
      <c r="D6663" s="18">
        <v>2021</v>
      </c>
      <c r="E6663" s="18" t="s">
        <v>0</v>
      </c>
      <c r="F6663" s="4">
        <v>1</v>
      </c>
      <c r="G6663" s="4">
        <v>5</v>
      </c>
      <c r="H6663" s="4">
        <v>76</v>
      </c>
    </row>
    <row r="6664" spans="1:8" s="15" customFormat="1" ht="28.5" hidden="1" customHeight="1" outlineLevel="1" x14ac:dyDescent="0.25">
      <c r="A6664" s="46">
        <v>9244</v>
      </c>
      <c r="B6664" s="4" t="s">
        <v>249</v>
      </c>
      <c r="C6664" s="22" t="s">
        <v>2031</v>
      </c>
      <c r="D6664" s="18">
        <v>2021</v>
      </c>
      <c r="E6664" s="18" t="s">
        <v>0</v>
      </c>
      <c r="F6664" s="4">
        <v>1</v>
      </c>
      <c r="G6664" s="4">
        <v>5</v>
      </c>
      <c r="H6664" s="4">
        <v>64</v>
      </c>
    </row>
    <row r="6665" spans="1:8" s="15" customFormat="1" ht="28.5" hidden="1" customHeight="1" outlineLevel="1" x14ac:dyDescent="0.25">
      <c r="A6665" s="46">
        <v>9897</v>
      </c>
      <c r="B6665" s="4" t="s">
        <v>249</v>
      </c>
      <c r="C6665" s="22" t="s">
        <v>2032</v>
      </c>
      <c r="D6665" s="18">
        <v>2021</v>
      </c>
      <c r="E6665" s="18" t="s">
        <v>0</v>
      </c>
      <c r="F6665" s="4">
        <v>1</v>
      </c>
      <c r="G6665" s="4">
        <v>2.5</v>
      </c>
      <c r="H6665" s="4">
        <v>63</v>
      </c>
    </row>
    <row r="6666" spans="1:8" s="15" customFormat="1" ht="28.5" hidden="1" customHeight="1" outlineLevel="1" x14ac:dyDescent="0.25">
      <c r="A6666" s="45">
        <v>26</v>
      </c>
      <c r="B6666" s="4" t="s">
        <v>249</v>
      </c>
      <c r="C6666" s="22" t="s">
        <v>2033</v>
      </c>
      <c r="D6666" s="18">
        <v>2021</v>
      </c>
      <c r="E6666" s="18" t="s">
        <v>0</v>
      </c>
      <c r="F6666" s="4">
        <v>1</v>
      </c>
      <c r="G6666" s="4">
        <v>5</v>
      </c>
      <c r="H6666" s="4">
        <v>63</v>
      </c>
    </row>
    <row r="6667" spans="1:8" s="15" customFormat="1" ht="28.5" hidden="1" customHeight="1" outlineLevel="1" x14ac:dyDescent="0.25">
      <c r="A6667" s="46">
        <v>9245</v>
      </c>
      <c r="B6667" s="4" t="s">
        <v>249</v>
      </c>
      <c r="C6667" s="22" t="s">
        <v>2034</v>
      </c>
      <c r="D6667" s="18">
        <v>2021</v>
      </c>
      <c r="E6667" s="18" t="s">
        <v>0</v>
      </c>
      <c r="F6667" s="4">
        <v>1</v>
      </c>
      <c r="G6667" s="4">
        <v>6</v>
      </c>
      <c r="H6667" s="4">
        <v>42</v>
      </c>
    </row>
    <row r="6668" spans="1:8" s="15" customFormat="1" ht="28.5" hidden="1" customHeight="1" outlineLevel="1" x14ac:dyDescent="0.25">
      <c r="A6668" s="45">
        <v>162</v>
      </c>
      <c r="B6668" s="4" t="s">
        <v>249</v>
      </c>
      <c r="C6668" s="22" t="s">
        <v>2035</v>
      </c>
      <c r="D6668" s="18">
        <v>2021</v>
      </c>
      <c r="E6668" s="18" t="s">
        <v>0</v>
      </c>
      <c r="F6668" s="4">
        <v>1</v>
      </c>
      <c r="G6668" s="4">
        <v>6</v>
      </c>
      <c r="H6668" s="4">
        <v>71</v>
      </c>
    </row>
    <row r="6669" spans="1:8" s="15" customFormat="1" ht="28.5" hidden="1" customHeight="1" outlineLevel="1" x14ac:dyDescent="0.25">
      <c r="A6669" s="45">
        <v>168</v>
      </c>
      <c r="B6669" s="4" t="s">
        <v>249</v>
      </c>
      <c r="C6669" s="22" t="s">
        <v>2036</v>
      </c>
      <c r="D6669" s="18">
        <v>2021</v>
      </c>
      <c r="E6669" s="18" t="s">
        <v>0</v>
      </c>
      <c r="F6669" s="4">
        <v>1</v>
      </c>
      <c r="G6669" s="4">
        <v>5</v>
      </c>
      <c r="H6669" s="4">
        <v>114</v>
      </c>
    </row>
    <row r="6670" spans="1:8" s="15" customFormat="1" ht="28.5" hidden="1" customHeight="1" outlineLevel="1" x14ac:dyDescent="0.25">
      <c r="A6670" s="45">
        <v>28</v>
      </c>
      <c r="B6670" s="4" t="s">
        <v>249</v>
      </c>
      <c r="C6670" s="22" t="s">
        <v>2037</v>
      </c>
      <c r="D6670" s="18">
        <v>2021</v>
      </c>
      <c r="E6670" s="18" t="s">
        <v>0</v>
      </c>
      <c r="F6670" s="4">
        <v>1</v>
      </c>
      <c r="G6670" s="4">
        <v>5</v>
      </c>
      <c r="H6670" s="4">
        <v>108</v>
      </c>
    </row>
    <row r="6671" spans="1:8" s="15" customFormat="1" ht="28.5" hidden="1" customHeight="1" outlineLevel="1" x14ac:dyDescent="0.25">
      <c r="A6671" s="46">
        <v>9896</v>
      </c>
      <c r="B6671" s="4" t="s">
        <v>249</v>
      </c>
      <c r="C6671" s="22" t="s">
        <v>2038</v>
      </c>
      <c r="D6671" s="18">
        <v>2021</v>
      </c>
      <c r="E6671" s="18" t="s">
        <v>0</v>
      </c>
      <c r="F6671" s="4">
        <v>1</v>
      </c>
      <c r="G6671" s="4">
        <v>5</v>
      </c>
      <c r="H6671" s="4">
        <v>106</v>
      </c>
    </row>
    <row r="6672" spans="1:8" s="15" customFormat="1" ht="28.5" hidden="1" customHeight="1" outlineLevel="1" x14ac:dyDescent="0.25">
      <c r="A6672" s="45">
        <v>1273</v>
      </c>
      <c r="B6672" s="4" t="s">
        <v>249</v>
      </c>
      <c r="C6672" s="22" t="s">
        <v>1411</v>
      </c>
      <c r="D6672" s="18">
        <v>2021</v>
      </c>
      <c r="E6672" s="18" t="s">
        <v>0</v>
      </c>
      <c r="F6672" s="4">
        <v>1</v>
      </c>
      <c r="G6672" s="4">
        <v>40</v>
      </c>
      <c r="H6672" s="4">
        <v>34</v>
      </c>
    </row>
    <row r="6673" spans="1:8" s="15" customFormat="1" ht="28.5" hidden="1" customHeight="1" outlineLevel="1" x14ac:dyDescent="0.25">
      <c r="A6673" s="45">
        <v>17</v>
      </c>
      <c r="B6673" s="4" t="s">
        <v>249</v>
      </c>
      <c r="C6673" s="22" t="s">
        <v>2039</v>
      </c>
      <c r="D6673" s="18">
        <v>2021</v>
      </c>
      <c r="E6673" s="18" t="s">
        <v>0</v>
      </c>
      <c r="F6673" s="4">
        <v>1</v>
      </c>
      <c r="G6673" s="4">
        <v>5</v>
      </c>
      <c r="H6673" s="4">
        <v>54</v>
      </c>
    </row>
    <row r="6674" spans="1:8" s="15" customFormat="1" ht="28.5" hidden="1" customHeight="1" outlineLevel="1" x14ac:dyDescent="0.25">
      <c r="A6674" s="45">
        <v>1559</v>
      </c>
      <c r="B6674" s="4" t="s">
        <v>249</v>
      </c>
      <c r="C6674" s="22" t="s">
        <v>2040</v>
      </c>
      <c r="D6674" s="18">
        <v>2021</v>
      </c>
      <c r="E6674" s="18" t="s">
        <v>0</v>
      </c>
      <c r="F6674" s="4">
        <v>1</v>
      </c>
      <c r="G6674" s="4">
        <v>5</v>
      </c>
      <c r="H6674" s="4">
        <v>51</v>
      </c>
    </row>
    <row r="6675" spans="1:8" s="15" customFormat="1" ht="28.5" hidden="1" customHeight="1" outlineLevel="1" x14ac:dyDescent="0.25">
      <c r="A6675" s="46">
        <v>9159</v>
      </c>
      <c r="B6675" s="4" t="s">
        <v>249</v>
      </c>
      <c r="C6675" s="22" t="s">
        <v>2041</v>
      </c>
      <c r="D6675" s="18">
        <v>2021</v>
      </c>
      <c r="E6675" s="18" t="s">
        <v>0</v>
      </c>
      <c r="F6675" s="4">
        <v>1</v>
      </c>
      <c r="G6675" s="4">
        <v>5</v>
      </c>
      <c r="H6675" s="4">
        <v>54</v>
      </c>
    </row>
    <row r="6676" spans="1:8" s="15" customFormat="1" ht="28.5" hidden="1" customHeight="1" outlineLevel="1" x14ac:dyDescent="0.25">
      <c r="A6676" s="45">
        <v>21</v>
      </c>
      <c r="B6676" s="4" t="s">
        <v>249</v>
      </c>
      <c r="C6676" s="22" t="s">
        <v>2042</v>
      </c>
      <c r="D6676" s="18">
        <v>2021</v>
      </c>
      <c r="E6676" s="18" t="s">
        <v>0</v>
      </c>
      <c r="F6676" s="4">
        <v>1</v>
      </c>
      <c r="G6676" s="4">
        <v>5</v>
      </c>
      <c r="H6676" s="4">
        <v>97</v>
      </c>
    </row>
    <row r="6677" spans="1:8" s="15" customFormat="1" ht="28.5" hidden="1" customHeight="1" outlineLevel="1" x14ac:dyDescent="0.25">
      <c r="A6677" s="45">
        <v>1573</v>
      </c>
      <c r="B6677" s="4" t="s">
        <v>249</v>
      </c>
      <c r="C6677" s="22" t="s">
        <v>2043</v>
      </c>
      <c r="D6677" s="18">
        <v>2021</v>
      </c>
      <c r="E6677" s="18" t="s">
        <v>0</v>
      </c>
      <c r="F6677" s="4">
        <v>1</v>
      </c>
      <c r="G6677" s="4">
        <v>15</v>
      </c>
      <c r="H6677" s="4">
        <v>86</v>
      </c>
    </row>
    <row r="6678" spans="1:8" s="15" customFormat="1" ht="28.5" hidden="1" customHeight="1" outlineLevel="1" x14ac:dyDescent="0.25">
      <c r="A6678" s="46">
        <v>9157</v>
      </c>
      <c r="B6678" s="4" t="s">
        <v>249</v>
      </c>
      <c r="C6678" s="22" t="s">
        <v>2044</v>
      </c>
      <c r="D6678" s="18">
        <v>2021</v>
      </c>
      <c r="E6678" s="18" t="s">
        <v>0</v>
      </c>
      <c r="F6678" s="4">
        <v>1</v>
      </c>
      <c r="G6678" s="4">
        <v>5</v>
      </c>
      <c r="H6678" s="4">
        <v>109</v>
      </c>
    </row>
    <row r="6679" spans="1:8" s="15" customFormat="1" ht="28.5" hidden="1" customHeight="1" outlineLevel="1" x14ac:dyDescent="0.25">
      <c r="A6679" s="45">
        <v>1563</v>
      </c>
      <c r="B6679" s="4" t="s">
        <v>249</v>
      </c>
      <c r="C6679" s="22" t="s">
        <v>2045</v>
      </c>
      <c r="D6679" s="18">
        <v>2021</v>
      </c>
      <c r="E6679" s="18" t="s">
        <v>0</v>
      </c>
      <c r="F6679" s="4">
        <v>1</v>
      </c>
      <c r="G6679" s="4">
        <v>5</v>
      </c>
      <c r="H6679" s="4">
        <v>91</v>
      </c>
    </row>
    <row r="6680" spans="1:8" s="15" customFormat="1" ht="28.5" hidden="1" customHeight="1" outlineLevel="1" x14ac:dyDescent="0.25">
      <c r="A6680" s="45">
        <v>23</v>
      </c>
      <c r="B6680" s="4" t="s">
        <v>249</v>
      </c>
      <c r="C6680" s="22" t="s">
        <v>2046</v>
      </c>
      <c r="D6680" s="18">
        <v>2021</v>
      </c>
      <c r="E6680" s="18" t="s">
        <v>0</v>
      </c>
      <c r="F6680" s="4">
        <v>1</v>
      </c>
      <c r="G6680" s="4">
        <v>5</v>
      </c>
      <c r="H6680" s="4">
        <v>121</v>
      </c>
    </row>
    <row r="6681" spans="1:8" s="15" customFormat="1" ht="28.5" hidden="1" customHeight="1" outlineLevel="1" x14ac:dyDescent="0.25">
      <c r="A6681" s="45">
        <v>1562</v>
      </c>
      <c r="B6681" s="4" t="s">
        <v>249</v>
      </c>
      <c r="C6681" s="22" t="s">
        <v>2047</v>
      </c>
      <c r="D6681" s="18">
        <v>2021</v>
      </c>
      <c r="E6681" s="18" t="s">
        <v>0</v>
      </c>
      <c r="F6681" s="4">
        <v>1</v>
      </c>
      <c r="G6681" s="4">
        <v>5</v>
      </c>
      <c r="H6681" s="4">
        <v>96</v>
      </c>
    </row>
    <row r="6682" spans="1:8" s="15" customFormat="1" ht="28.5" hidden="1" customHeight="1" outlineLevel="1" x14ac:dyDescent="0.25">
      <c r="A6682" s="45">
        <v>1560</v>
      </c>
      <c r="B6682" s="4" t="s">
        <v>249</v>
      </c>
      <c r="C6682" s="22" t="s">
        <v>2048</v>
      </c>
      <c r="D6682" s="18">
        <v>2021</v>
      </c>
      <c r="E6682" s="18" t="s">
        <v>0</v>
      </c>
      <c r="F6682" s="4">
        <v>1</v>
      </c>
      <c r="G6682" s="4">
        <v>5</v>
      </c>
      <c r="H6682" s="4">
        <v>90</v>
      </c>
    </row>
    <row r="6683" spans="1:8" s="15" customFormat="1" ht="28.5" hidden="1" customHeight="1" outlineLevel="1" x14ac:dyDescent="0.25">
      <c r="A6683" s="45">
        <v>29</v>
      </c>
      <c r="B6683" s="4" t="s">
        <v>249</v>
      </c>
      <c r="C6683" s="22" t="s">
        <v>2049</v>
      </c>
      <c r="D6683" s="18">
        <v>2021</v>
      </c>
      <c r="E6683" s="18" t="s">
        <v>0</v>
      </c>
      <c r="F6683" s="4">
        <v>1</v>
      </c>
      <c r="G6683" s="4">
        <v>5</v>
      </c>
      <c r="H6683" s="4">
        <v>62</v>
      </c>
    </row>
    <row r="6684" spans="1:8" s="15" customFormat="1" ht="28.5" hidden="1" customHeight="1" outlineLevel="1" x14ac:dyDescent="0.25">
      <c r="A6684" s="45">
        <v>30</v>
      </c>
      <c r="B6684" s="4" t="s">
        <v>249</v>
      </c>
      <c r="C6684" s="22" t="s">
        <v>2050</v>
      </c>
      <c r="D6684" s="18">
        <v>2021</v>
      </c>
      <c r="E6684" s="18" t="s">
        <v>0</v>
      </c>
      <c r="F6684" s="4">
        <v>1</v>
      </c>
      <c r="G6684" s="4">
        <v>5</v>
      </c>
      <c r="H6684" s="4">
        <v>65</v>
      </c>
    </row>
    <row r="6685" spans="1:8" s="15" customFormat="1" ht="28.5" hidden="1" customHeight="1" outlineLevel="1" x14ac:dyDescent="0.25">
      <c r="A6685" s="45">
        <v>19</v>
      </c>
      <c r="B6685" s="4" t="s">
        <v>249</v>
      </c>
      <c r="C6685" s="22" t="s">
        <v>2051</v>
      </c>
      <c r="D6685" s="18">
        <v>2021</v>
      </c>
      <c r="E6685" s="18" t="s">
        <v>0</v>
      </c>
      <c r="F6685" s="4">
        <v>1</v>
      </c>
      <c r="G6685" s="4">
        <v>5</v>
      </c>
      <c r="H6685" s="4">
        <v>45</v>
      </c>
    </row>
    <row r="6686" spans="1:8" s="15" customFormat="1" ht="28.5" hidden="1" customHeight="1" outlineLevel="1" x14ac:dyDescent="0.25">
      <c r="A6686" s="45">
        <v>1747</v>
      </c>
      <c r="B6686" s="4" t="s">
        <v>249</v>
      </c>
      <c r="C6686" s="22" t="s">
        <v>2052</v>
      </c>
      <c r="D6686" s="18">
        <v>2021</v>
      </c>
      <c r="E6686" s="18" t="s">
        <v>0</v>
      </c>
      <c r="F6686" s="4">
        <v>1</v>
      </c>
      <c r="G6686" s="4">
        <v>5</v>
      </c>
      <c r="H6686" s="4">
        <v>70</v>
      </c>
    </row>
    <row r="6687" spans="1:8" s="15" customFormat="1" ht="28.5" hidden="1" customHeight="1" outlineLevel="1" x14ac:dyDescent="0.25">
      <c r="A6687" s="46">
        <v>9779</v>
      </c>
      <c r="B6687" s="4" t="s">
        <v>249</v>
      </c>
      <c r="C6687" s="22" t="s">
        <v>1422</v>
      </c>
      <c r="D6687" s="18">
        <v>2021</v>
      </c>
      <c r="E6687" s="18" t="s">
        <v>0</v>
      </c>
      <c r="F6687" s="4">
        <v>1</v>
      </c>
      <c r="G6687" s="4">
        <v>5</v>
      </c>
      <c r="H6687" s="4">
        <v>31</v>
      </c>
    </row>
    <row r="6688" spans="1:8" s="15" customFormat="1" ht="28.5" hidden="1" customHeight="1" outlineLevel="1" x14ac:dyDescent="0.25">
      <c r="A6688" s="45">
        <v>1561</v>
      </c>
      <c r="B6688" s="4" t="s">
        <v>249</v>
      </c>
      <c r="C6688" s="22" t="s">
        <v>2053</v>
      </c>
      <c r="D6688" s="18">
        <v>2021</v>
      </c>
      <c r="E6688" s="18" t="s">
        <v>0</v>
      </c>
      <c r="F6688" s="4">
        <v>1</v>
      </c>
      <c r="G6688" s="4">
        <v>7</v>
      </c>
      <c r="H6688" s="4">
        <v>36</v>
      </c>
    </row>
    <row r="6689" spans="1:8" s="15" customFormat="1" ht="28.5" hidden="1" customHeight="1" outlineLevel="1" x14ac:dyDescent="0.25">
      <c r="A6689" s="45">
        <v>1558</v>
      </c>
      <c r="B6689" s="4" t="s">
        <v>249</v>
      </c>
      <c r="C6689" s="22" t="s">
        <v>2054</v>
      </c>
      <c r="D6689" s="18">
        <v>2021</v>
      </c>
      <c r="E6689" s="18" t="s">
        <v>0</v>
      </c>
      <c r="F6689" s="4">
        <v>1</v>
      </c>
      <c r="G6689" s="4">
        <v>5</v>
      </c>
      <c r="H6689" s="4">
        <v>32</v>
      </c>
    </row>
    <row r="6690" spans="1:8" s="15" customFormat="1" ht="28.5" hidden="1" customHeight="1" outlineLevel="1" x14ac:dyDescent="0.25">
      <c r="A6690" s="45">
        <v>1700</v>
      </c>
      <c r="B6690" s="4" t="s">
        <v>249</v>
      </c>
      <c r="C6690" s="22" t="s">
        <v>2055</v>
      </c>
      <c r="D6690" s="18">
        <v>2021</v>
      </c>
      <c r="E6690" s="18" t="s">
        <v>0</v>
      </c>
      <c r="F6690" s="4">
        <v>1</v>
      </c>
      <c r="G6690" s="4">
        <v>5</v>
      </c>
      <c r="H6690" s="4">
        <v>43</v>
      </c>
    </row>
    <row r="6691" spans="1:8" s="15" customFormat="1" ht="28.5" hidden="1" customHeight="1" outlineLevel="1" x14ac:dyDescent="0.25">
      <c r="A6691" s="45">
        <v>166</v>
      </c>
      <c r="B6691" s="4" t="s">
        <v>249</v>
      </c>
      <c r="C6691" s="22" t="s">
        <v>2056</v>
      </c>
      <c r="D6691" s="18">
        <v>2021</v>
      </c>
      <c r="E6691" s="18" t="s">
        <v>0</v>
      </c>
      <c r="F6691" s="4">
        <v>1</v>
      </c>
      <c r="G6691" s="4">
        <v>5</v>
      </c>
      <c r="H6691" s="4">
        <v>46</v>
      </c>
    </row>
    <row r="6692" spans="1:8" s="15" customFormat="1" ht="28.5" hidden="1" customHeight="1" outlineLevel="1" x14ac:dyDescent="0.25">
      <c r="A6692" s="46">
        <v>9790</v>
      </c>
      <c r="B6692" s="4" t="s">
        <v>249</v>
      </c>
      <c r="C6692" s="22" t="s">
        <v>1432</v>
      </c>
      <c r="D6692" s="18">
        <v>2021</v>
      </c>
      <c r="E6692" s="18" t="s">
        <v>0</v>
      </c>
      <c r="F6692" s="4">
        <v>1</v>
      </c>
      <c r="G6692" s="4">
        <v>5</v>
      </c>
      <c r="H6692" s="4">
        <v>37</v>
      </c>
    </row>
    <row r="6693" spans="1:8" s="15" customFormat="1" ht="28.5" hidden="1" customHeight="1" outlineLevel="1" x14ac:dyDescent="0.25">
      <c r="A6693" s="45">
        <v>1669</v>
      </c>
      <c r="B6693" s="4" t="s">
        <v>249</v>
      </c>
      <c r="C6693" s="22" t="s">
        <v>2057</v>
      </c>
      <c r="D6693" s="18">
        <v>2021</v>
      </c>
      <c r="E6693" s="18" t="s">
        <v>0</v>
      </c>
      <c r="F6693" s="4">
        <v>1</v>
      </c>
      <c r="G6693" s="4">
        <v>5</v>
      </c>
      <c r="H6693" s="4">
        <v>40</v>
      </c>
    </row>
    <row r="6694" spans="1:8" s="15" customFormat="1" ht="28.5" hidden="1" customHeight="1" outlineLevel="1" x14ac:dyDescent="0.25">
      <c r="A6694" s="46">
        <v>9963</v>
      </c>
      <c r="B6694" s="4" t="s">
        <v>249</v>
      </c>
      <c r="C6694" s="22" t="s">
        <v>2058</v>
      </c>
      <c r="D6694" s="18">
        <v>2021</v>
      </c>
      <c r="E6694" s="18" t="s">
        <v>0</v>
      </c>
      <c r="F6694" s="4">
        <v>1</v>
      </c>
      <c r="G6694" s="4">
        <v>6</v>
      </c>
      <c r="H6694" s="4">
        <v>33</v>
      </c>
    </row>
    <row r="6695" spans="1:8" s="15" customFormat="1" ht="28.5" hidden="1" customHeight="1" outlineLevel="1" x14ac:dyDescent="0.25">
      <c r="A6695" s="45">
        <v>1751</v>
      </c>
      <c r="B6695" s="4" t="s">
        <v>249</v>
      </c>
      <c r="C6695" s="22" t="s">
        <v>2059</v>
      </c>
      <c r="D6695" s="18">
        <v>2021</v>
      </c>
      <c r="E6695" s="18" t="s">
        <v>0</v>
      </c>
      <c r="F6695" s="4">
        <v>1</v>
      </c>
      <c r="G6695" s="4">
        <v>0.42</v>
      </c>
      <c r="H6695" s="4">
        <v>31</v>
      </c>
    </row>
    <row r="6696" spans="1:8" s="15" customFormat="1" ht="28.5" hidden="1" customHeight="1" outlineLevel="1" x14ac:dyDescent="0.25">
      <c r="A6696" s="45">
        <v>216</v>
      </c>
      <c r="B6696" s="4" t="s">
        <v>249</v>
      </c>
      <c r="C6696" s="22" t="s">
        <v>2060</v>
      </c>
      <c r="D6696" s="18">
        <v>2021</v>
      </c>
      <c r="E6696" s="18" t="s">
        <v>0</v>
      </c>
      <c r="F6696" s="4">
        <v>1</v>
      </c>
      <c r="G6696" s="4">
        <v>8</v>
      </c>
      <c r="H6696" s="4">
        <v>46.555079999999997</v>
      </c>
    </row>
    <row r="6697" spans="1:8" s="15" customFormat="1" ht="28.5" hidden="1" customHeight="1" outlineLevel="1" x14ac:dyDescent="0.25">
      <c r="A6697" s="45">
        <v>217</v>
      </c>
      <c r="B6697" s="4" t="s">
        <v>249</v>
      </c>
      <c r="C6697" s="22" t="s">
        <v>2061</v>
      </c>
      <c r="D6697" s="18">
        <v>2021</v>
      </c>
      <c r="E6697" s="18" t="s">
        <v>0</v>
      </c>
      <c r="F6697" s="4">
        <v>1</v>
      </c>
      <c r="G6697" s="4">
        <v>8</v>
      </c>
      <c r="H6697" s="4">
        <v>46.555529999999997</v>
      </c>
    </row>
    <row r="6698" spans="1:8" s="15" customFormat="1" ht="28.5" hidden="1" customHeight="1" outlineLevel="1" x14ac:dyDescent="0.25">
      <c r="A6698" s="45">
        <v>212</v>
      </c>
      <c r="B6698" s="4" t="s">
        <v>249</v>
      </c>
      <c r="C6698" s="22" t="s">
        <v>2062</v>
      </c>
      <c r="D6698" s="18">
        <v>2021</v>
      </c>
      <c r="E6698" s="18" t="s">
        <v>0</v>
      </c>
      <c r="F6698" s="4">
        <v>1</v>
      </c>
      <c r="G6698" s="4">
        <v>8</v>
      </c>
      <c r="H6698" s="4">
        <v>64.278919999999999</v>
      </c>
    </row>
    <row r="6699" spans="1:8" s="15" customFormat="1" ht="28.5" hidden="1" customHeight="1" outlineLevel="1" x14ac:dyDescent="0.25">
      <c r="A6699" s="45">
        <v>210</v>
      </c>
      <c r="B6699" s="4" t="s">
        <v>249</v>
      </c>
      <c r="C6699" s="22" t="s">
        <v>2063</v>
      </c>
      <c r="D6699" s="18">
        <v>2021</v>
      </c>
      <c r="E6699" s="18" t="s">
        <v>0</v>
      </c>
      <c r="F6699" s="4">
        <v>2</v>
      </c>
      <c r="G6699" s="4">
        <v>23</v>
      </c>
      <c r="H6699" s="4">
        <v>65.617230000000006</v>
      </c>
    </row>
    <row r="6700" spans="1:8" s="15" customFormat="1" ht="28.5" hidden="1" customHeight="1" outlineLevel="1" x14ac:dyDescent="0.25">
      <c r="A6700" s="45">
        <v>220</v>
      </c>
      <c r="B6700" s="4" t="s">
        <v>249</v>
      </c>
      <c r="C6700" s="22" t="s">
        <v>2064</v>
      </c>
      <c r="D6700" s="18">
        <v>2021</v>
      </c>
      <c r="E6700" s="18" t="s">
        <v>0</v>
      </c>
      <c r="F6700" s="4">
        <v>1</v>
      </c>
      <c r="G6700" s="4">
        <v>8</v>
      </c>
      <c r="H6700" s="4">
        <v>72.380610000000004</v>
      </c>
    </row>
    <row r="6701" spans="1:8" s="15" customFormat="1" ht="28.5" hidden="1" customHeight="1" outlineLevel="1" x14ac:dyDescent="0.25">
      <c r="A6701" s="46">
        <v>9236</v>
      </c>
      <c r="B6701" s="4" t="s">
        <v>249</v>
      </c>
      <c r="C6701" s="22" t="s">
        <v>2065</v>
      </c>
      <c r="D6701" s="18">
        <v>2021</v>
      </c>
      <c r="E6701" s="18" t="s">
        <v>0</v>
      </c>
      <c r="F6701" s="4">
        <v>1</v>
      </c>
      <c r="G6701" s="4">
        <v>8</v>
      </c>
      <c r="H6701" s="4">
        <v>55.563890000000001</v>
      </c>
    </row>
    <row r="6702" spans="1:8" s="15" customFormat="1" ht="28.5" hidden="1" customHeight="1" outlineLevel="1" x14ac:dyDescent="0.25">
      <c r="A6702" s="45">
        <v>223</v>
      </c>
      <c r="B6702" s="4" t="s">
        <v>249</v>
      </c>
      <c r="C6702" s="22" t="s">
        <v>2066</v>
      </c>
      <c r="D6702" s="18">
        <v>2021</v>
      </c>
      <c r="E6702" s="18" t="s">
        <v>0</v>
      </c>
      <c r="F6702" s="4">
        <v>1</v>
      </c>
      <c r="G6702" s="4">
        <v>2</v>
      </c>
      <c r="H6702" s="4">
        <v>47.77617</v>
      </c>
    </row>
    <row r="6703" spans="1:8" s="15" customFormat="1" ht="28.5" hidden="1" customHeight="1" outlineLevel="1" x14ac:dyDescent="0.25">
      <c r="A6703" s="45">
        <v>183</v>
      </c>
      <c r="B6703" s="4" t="s">
        <v>249</v>
      </c>
      <c r="C6703" s="22" t="s">
        <v>2067</v>
      </c>
      <c r="D6703" s="18">
        <v>2021</v>
      </c>
      <c r="E6703" s="18" t="s">
        <v>0</v>
      </c>
      <c r="F6703" s="4">
        <v>1</v>
      </c>
      <c r="G6703" s="4">
        <v>8</v>
      </c>
      <c r="H6703" s="4">
        <v>47.976599999999998</v>
      </c>
    </row>
    <row r="6704" spans="1:8" s="15" customFormat="1" ht="28.5" hidden="1" customHeight="1" outlineLevel="1" x14ac:dyDescent="0.25">
      <c r="A6704" s="45">
        <v>199</v>
      </c>
      <c r="B6704" s="4" t="s">
        <v>249</v>
      </c>
      <c r="C6704" s="22" t="s">
        <v>2068</v>
      </c>
      <c r="D6704" s="18">
        <v>2021</v>
      </c>
      <c r="E6704" s="18" t="s">
        <v>0</v>
      </c>
      <c r="F6704" s="4">
        <v>3</v>
      </c>
      <c r="G6704" s="4">
        <v>24</v>
      </c>
      <c r="H6704" s="4">
        <v>90.030529999999999</v>
      </c>
    </row>
    <row r="6705" spans="1:8" s="15" customFormat="1" ht="28.5" hidden="1" customHeight="1" outlineLevel="1" x14ac:dyDescent="0.25">
      <c r="A6705" s="45">
        <v>182</v>
      </c>
      <c r="B6705" s="4" t="s">
        <v>249</v>
      </c>
      <c r="C6705" s="22" t="s">
        <v>2069</v>
      </c>
      <c r="D6705" s="18">
        <v>2021</v>
      </c>
      <c r="E6705" s="18" t="s">
        <v>0</v>
      </c>
      <c r="F6705" s="4">
        <v>1</v>
      </c>
      <c r="G6705" s="4">
        <v>8</v>
      </c>
      <c r="H6705" s="4">
        <v>48.23227</v>
      </c>
    </row>
    <row r="6706" spans="1:8" s="15" customFormat="1" ht="28.5" hidden="1" customHeight="1" outlineLevel="1" x14ac:dyDescent="0.25">
      <c r="A6706" s="45">
        <v>186</v>
      </c>
      <c r="B6706" s="4" t="s">
        <v>249</v>
      </c>
      <c r="C6706" s="22" t="s">
        <v>2070</v>
      </c>
      <c r="D6706" s="18">
        <v>2021</v>
      </c>
      <c r="E6706" s="18" t="s">
        <v>0</v>
      </c>
      <c r="F6706" s="4">
        <v>1</v>
      </c>
      <c r="G6706" s="4">
        <v>8</v>
      </c>
      <c r="H6706" s="4">
        <v>47.74832</v>
      </c>
    </row>
    <row r="6707" spans="1:8" s="15" customFormat="1" ht="28.5" hidden="1" customHeight="1" outlineLevel="1" x14ac:dyDescent="0.25">
      <c r="A6707" s="45">
        <v>185</v>
      </c>
      <c r="B6707" s="4" t="s">
        <v>249</v>
      </c>
      <c r="C6707" s="22" t="s">
        <v>2071</v>
      </c>
      <c r="D6707" s="18">
        <v>2021</v>
      </c>
      <c r="E6707" s="18" t="s">
        <v>0</v>
      </c>
      <c r="F6707" s="4">
        <v>1</v>
      </c>
      <c r="G6707" s="4">
        <v>8</v>
      </c>
      <c r="H6707" s="4">
        <v>47.987050000000004</v>
      </c>
    </row>
    <row r="6708" spans="1:8" s="15" customFormat="1" ht="28.5" hidden="1" customHeight="1" outlineLevel="1" x14ac:dyDescent="0.25">
      <c r="A6708" s="46">
        <v>9005</v>
      </c>
      <c r="B6708" s="4" t="s">
        <v>249</v>
      </c>
      <c r="C6708" s="22" t="s">
        <v>2072</v>
      </c>
      <c r="D6708" s="18">
        <v>2021</v>
      </c>
      <c r="E6708" s="18" t="s">
        <v>0</v>
      </c>
      <c r="F6708" s="4">
        <v>1</v>
      </c>
      <c r="G6708" s="4">
        <v>10</v>
      </c>
      <c r="H6708" s="4">
        <v>49.790280000000003</v>
      </c>
    </row>
    <row r="6709" spans="1:8" s="15" customFormat="1" ht="28.5" hidden="1" customHeight="1" outlineLevel="1" x14ac:dyDescent="0.25">
      <c r="A6709" s="45">
        <v>187</v>
      </c>
      <c r="B6709" s="4" t="s">
        <v>249</v>
      </c>
      <c r="C6709" s="22" t="s">
        <v>2073</v>
      </c>
      <c r="D6709" s="18">
        <v>2021</v>
      </c>
      <c r="E6709" s="18" t="s">
        <v>0</v>
      </c>
      <c r="F6709" s="4">
        <v>1</v>
      </c>
      <c r="G6709" s="4">
        <v>8</v>
      </c>
      <c r="H6709" s="4">
        <v>49.790280000000003</v>
      </c>
    </row>
    <row r="6710" spans="1:8" s="15" customFormat="1" ht="28.5" hidden="1" customHeight="1" outlineLevel="1" x14ac:dyDescent="0.25">
      <c r="A6710" s="45">
        <v>190</v>
      </c>
      <c r="B6710" s="4" t="s">
        <v>249</v>
      </c>
      <c r="C6710" s="22" t="s">
        <v>2074</v>
      </c>
      <c r="D6710" s="18">
        <v>2021</v>
      </c>
      <c r="E6710" s="18" t="s">
        <v>0</v>
      </c>
      <c r="F6710" s="4">
        <v>1</v>
      </c>
      <c r="G6710" s="4">
        <v>8</v>
      </c>
      <c r="H6710" s="4">
        <v>47.98677</v>
      </c>
    </row>
    <row r="6711" spans="1:8" s="15" customFormat="1" ht="28.5" hidden="1" customHeight="1" outlineLevel="1" x14ac:dyDescent="0.25">
      <c r="A6711" s="45">
        <v>189</v>
      </c>
      <c r="B6711" s="4" t="s">
        <v>249</v>
      </c>
      <c r="C6711" s="22" t="s">
        <v>2075</v>
      </c>
      <c r="D6711" s="18">
        <v>2021</v>
      </c>
      <c r="E6711" s="18" t="s">
        <v>0</v>
      </c>
      <c r="F6711" s="4">
        <v>1</v>
      </c>
      <c r="G6711" s="4">
        <v>10</v>
      </c>
      <c r="H6711" s="4">
        <v>53.205640000000002</v>
      </c>
    </row>
    <row r="6712" spans="1:8" s="15" customFormat="1" ht="28.5" hidden="1" customHeight="1" outlineLevel="1" x14ac:dyDescent="0.25">
      <c r="A6712" s="45">
        <v>194</v>
      </c>
      <c r="B6712" s="4" t="s">
        <v>249</v>
      </c>
      <c r="C6712" s="22" t="s">
        <v>2076</v>
      </c>
      <c r="D6712" s="18">
        <v>2021</v>
      </c>
      <c r="E6712" s="18" t="s">
        <v>0</v>
      </c>
      <c r="F6712" s="4">
        <v>1</v>
      </c>
      <c r="G6712" s="4">
        <v>6</v>
      </c>
      <c r="H6712" s="4">
        <v>55.218400000000003</v>
      </c>
    </row>
    <row r="6713" spans="1:8" s="15" customFormat="1" ht="28.5" hidden="1" customHeight="1" outlineLevel="1" x14ac:dyDescent="0.25">
      <c r="A6713" s="46">
        <v>9179</v>
      </c>
      <c r="B6713" s="4" t="s">
        <v>249</v>
      </c>
      <c r="C6713" s="22" t="s">
        <v>2077</v>
      </c>
      <c r="D6713" s="18">
        <v>2021</v>
      </c>
      <c r="E6713" s="18" t="s">
        <v>0</v>
      </c>
      <c r="F6713" s="4">
        <v>1</v>
      </c>
      <c r="G6713" s="4">
        <v>15</v>
      </c>
      <c r="H6713" s="4">
        <v>47.673459999999999</v>
      </c>
    </row>
    <row r="6714" spans="1:8" s="15" customFormat="1" ht="28.5" hidden="1" customHeight="1" outlineLevel="1" x14ac:dyDescent="0.25">
      <c r="A6714" s="46">
        <v>9178</v>
      </c>
      <c r="B6714" s="4" t="s">
        <v>249</v>
      </c>
      <c r="C6714" s="22" t="s">
        <v>2078</v>
      </c>
      <c r="D6714" s="18">
        <v>2021</v>
      </c>
      <c r="E6714" s="18" t="s">
        <v>0</v>
      </c>
      <c r="F6714" s="4">
        <v>1</v>
      </c>
      <c r="G6714" s="4">
        <v>6</v>
      </c>
      <c r="H6714" s="4">
        <v>45.903170000000003</v>
      </c>
    </row>
    <row r="6715" spans="1:8" s="15" customFormat="1" ht="28.5" hidden="1" customHeight="1" outlineLevel="1" x14ac:dyDescent="0.25">
      <c r="A6715" s="45">
        <v>195</v>
      </c>
      <c r="B6715" s="4" t="s">
        <v>249</v>
      </c>
      <c r="C6715" s="22" t="s">
        <v>2079</v>
      </c>
      <c r="D6715" s="18">
        <v>2021</v>
      </c>
      <c r="E6715" s="18" t="s">
        <v>0</v>
      </c>
      <c r="F6715" s="4">
        <v>1</v>
      </c>
      <c r="G6715" s="4">
        <v>2</v>
      </c>
      <c r="H6715" s="4">
        <v>46.345599999999997</v>
      </c>
    </row>
    <row r="6716" spans="1:8" s="15" customFormat="1" ht="28.5" hidden="1" customHeight="1" outlineLevel="1" x14ac:dyDescent="0.25">
      <c r="A6716" s="45">
        <v>193</v>
      </c>
      <c r="B6716" s="4" t="s">
        <v>249</v>
      </c>
      <c r="C6716" s="22" t="s">
        <v>2080</v>
      </c>
      <c r="D6716" s="18">
        <v>2021</v>
      </c>
      <c r="E6716" s="18" t="s">
        <v>0</v>
      </c>
      <c r="F6716" s="4">
        <v>1</v>
      </c>
      <c r="G6716" s="4">
        <v>6</v>
      </c>
      <c r="H6716" s="4">
        <v>62.096249999999998</v>
      </c>
    </row>
    <row r="6717" spans="1:8" s="15" customFormat="1" ht="28.5" hidden="1" customHeight="1" outlineLevel="1" x14ac:dyDescent="0.25">
      <c r="A6717" s="45">
        <v>230</v>
      </c>
      <c r="B6717" s="4" t="s">
        <v>249</v>
      </c>
      <c r="C6717" s="22" t="s">
        <v>2081</v>
      </c>
      <c r="D6717" s="18">
        <v>2021</v>
      </c>
      <c r="E6717" s="18" t="s">
        <v>0</v>
      </c>
      <c r="F6717" s="4">
        <v>2</v>
      </c>
      <c r="G6717" s="4">
        <v>20</v>
      </c>
      <c r="H6717" s="4">
        <v>92.015190000000004</v>
      </c>
    </row>
    <row r="6718" spans="1:8" s="15" customFormat="1" ht="28.5" hidden="1" customHeight="1" outlineLevel="1" x14ac:dyDescent="0.25">
      <c r="A6718" s="45">
        <v>196</v>
      </c>
      <c r="B6718" s="4" t="s">
        <v>249</v>
      </c>
      <c r="C6718" s="22" t="s">
        <v>2082</v>
      </c>
      <c r="D6718" s="18">
        <v>2021</v>
      </c>
      <c r="E6718" s="18" t="s">
        <v>0</v>
      </c>
      <c r="F6718" s="4">
        <v>1</v>
      </c>
      <c r="G6718" s="4">
        <v>30</v>
      </c>
      <c r="H6718" s="4">
        <v>22.257739999999998</v>
      </c>
    </row>
    <row r="6719" spans="1:8" s="15" customFormat="1" ht="28.5" hidden="1" customHeight="1" outlineLevel="1" x14ac:dyDescent="0.25">
      <c r="A6719" s="46">
        <v>9680</v>
      </c>
      <c r="B6719" s="4" t="s">
        <v>249</v>
      </c>
      <c r="C6719" s="53" t="s">
        <v>1156</v>
      </c>
      <c r="D6719" s="18">
        <v>2021</v>
      </c>
      <c r="E6719" s="18" t="s">
        <v>0</v>
      </c>
      <c r="F6719" s="4">
        <v>1</v>
      </c>
      <c r="G6719" s="4">
        <v>15</v>
      </c>
      <c r="H6719" s="4">
        <v>24.980129999999999</v>
      </c>
    </row>
    <row r="6720" spans="1:8" s="15" customFormat="1" ht="28.5" hidden="1" customHeight="1" outlineLevel="1" x14ac:dyDescent="0.25">
      <c r="A6720" s="45">
        <v>225</v>
      </c>
      <c r="B6720" s="4" t="s">
        <v>249</v>
      </c>
      <c r="C6720" s="22" t="s">
        <v>2083</v>
      </c>
      <c r="D6720" s="18">
        <v>2021</v>
      </c>
      <c r="E6720" s="18" t="s">
        <v>0</v>
      </c>
      <c r="F6720" s="4">
        <v>2</v>
      </c>
      <c r="G6720" s="4">
        <v>20</v>
      </c>
      <c r="H6720" s="4">
        <v>48.47533</v>
      </c>
    </row>
    <row r="6721" spans="1:8" s="15" customFormat="1" ht="28.5" hidden="1" customHeight="1" outlineLevel="1" x14ac:dyDescent="0.25">
      <c r="A6721" s="45">
        <v>242</v>
      </c>
      <c r="B6721" s="4" t="s">
        <v>249</v>
      </c>
      <c r="C6721" s="22" t="s">
        <v>2084</v>
      </c>
      <c r="D6721" s="18">
        <v>2021</v>
      </c>
      <c r="E6721" s="18" t="s">
        <v>0</v>
      </c>
      <c r="F6721" s="4">
        <v>1</v>
      </c>
      <c r="G6721" s="4">
        <v>10</v>
      </c>
      <c r="H6721" s="4">
        <v>22.927969999999998</v>
      </c>
    </row>
    <row r="6722" spans="1:8" s="15" customFormat="1" ht="28.5" hidden="1" customHeight="1" outlineLevel="1" x14ac:dyDescent="0.25">
      <c r="A6722" s="45">
        <v>234</v>
      </c>
      <c r="B6722" s="4" t="s">
        <v>249</v>
      </c>
      <c r="C6722" s="22" t="s">
        <v>2085</v>
      </c>
      <c r="D6722" s="18">
        <v>2021</v>
      </c>
      <c r="E6722" s="18" t="s">
        <v>0</v>
      </c>
      <c r="F6722" s="4">
        <v>2</v>
      </c>
      <c r="G6722" s="4">
        <v>50</v>
      </c>
      <c r="H6722" s="4">
        <v>35.091000000000001</v>
      </c>
    </row>
    <row r="6723" spans="1:8" s="15" customFormat="1" ht="28.5" hidden="1" customHeight="1" outlineLevel="1" x14ac:dyDescent="0.25">
      <c r="A6723" s="45">
        <v>237</v>
      </c>
      <c r="B6723" s="4" t="s">
        <v>249</v>
      </c>
      <c r="C6723" s="22" t="s">
        <v>2086</v>
      </c>
      <c r="D6723" s="18">
        <v>2021</v>
      </c>
      <c r="E6723" s="18" t="s">
        <v>0</v>
      </c>
      <c r="F6723" s="4">
        <v>2</v>
      </c>
      <c r="G6723" s="4">
        <v>35</v>
      </c>
      <c r="H6723" s="4">
        <v>35.1</v>
      </c>
    </row>
    <row r="6724" spans="1:8" s="15" customFormat="1" ht="28.5" hidden="1" customHeight="1" outlineLevel="1" x14ac:dyDescent="0.25">
      <c r="A6724" s="45">
        <v>247</v>
      </c>
      <c r="B6724" s="4" t="s">
        <v>249</v>
      </c>
      <c r="C6724" s="22" t="s">
        <v>2087</v>
      </c>
      <c r="D6724" s="18">
        <v>2021</v>
      </c>
      <c r="E6724" s="18" t="s">
        <v>0</v>
      </c>
      <c r="F6724" s="4">
        <v>1</v>
      </c>
      <c r="G6724" s="4">
        <v>55</v>
      </c>
      <c r="H6724" s="4">
        <v>25.1</v>
      </c>
    </row>
    <row r="6725" spans="1:8" s="15" customFormat="1" ht="28.5" hidden="1" customHeight="1" outlineLevel="1" x14ac:dyDescent="0.25">
      <c r="A6725" s="18">
        <v>59</v>
      </c>
      <c r="B6725" s="4" t="s">
        <v>249</v>
      </c>
      <c r="C6725" s="22" t="s">
        <v>2088</v>
      </c>
      <c r="D6725" s="18">
        <v>2021</v>
      </c>
      <c r="E6725" s="18" t="s">
        <v>0</v>
      </c>
      <c r="F6725" s="4">
        <v>4</v>
      </c>
      <c r="G6725" s="4">
        <v>36</v>
      </c>
      <c r="H6725" s="4">
        <v>142.89403999999999</v>
      </c>
    </row>
    <row r="6726" spans="1:8" s="15" customFormat="1" ht="28.5" hidden="1" customHeight="1" outlineLevel="1" x14ac:dyDescent="0.25">
      <c r="A6726" s="45">
        <v>240</v>
      </c>
      <c r="B6726" s="4" t="s">
        <v>249</v>
      </c>
      <c r="C6726" s="22" t="s">
        <v>2089</v>
      </c>
      <c r="D6726" s="18">
        <v>2021</v>
      </c>
      <c r="E6726" s="18" t="s">
        <v>0</v>
      </c>
      <c r="F6726" s="4">
        <v>1</v>
      </c>
      <c r="G6726" s="4">
        <v>25</v>
      </c>
      <c r="H6726" s="4">
        <v>47.001300000000001</v>
      </c>
    </row>
    <row r="6727" spans="1:8" s="15" customFormat="1" ht="28.5" hidden="1" customHeight="1" outlineLevel="1" x14ac:dyDescent="0.25">
      <c r="A6727" s="18">
        <v>224</v>
      </c>
      <c r="B6727" s="4" t="s">
        <v>249</v>
      </c>
      <c r="C6727" s="22" t="s">
        <v>2090</v>
      </c>
      <c r="D6727" s="18">
        <v>2021</v>
      </c>
      <c r="E6727" s="18" t="s">
        <v>0</v>
      </c>
      <c r="F6727" s="4">
        <v>1</v>
      </c>
      <c r="G6727" s="4">
        <v>8</v>
      </c>
      <c r="H6727" s="4">
        <v>30.00056</v>
      </c>
    </row>
    <row r="6728" spans="1:8" s="15" customFormat="1" ht="28.5" hidden="1" customHeight="1" outlineLevel="1" x14ac:dyDescent="0.25">
      <c r="A6728" s="45">
        <v>202</v>
      </c>
      <c r="B6728" s="4" t="s">
        <v>249</v>
      </c>
      <c r="C6728" s="22" t="s">
        <v>2091</v>
      </c>
      <c r="D6728" s="18">
        <v>2021</v>
      </c>
      <c r="E6728" s="18" t="s">
        <v>0</v>
      </c>
      <c r="F6728" s="4">
        <v>2</v>
      </c>
      <c r="G6728" s="4">
        <v>31</v>
      </c>
      <c r="H6728" s="4">
        <v>50.00085</v>
      </c>
    </row>
    <row r="6729" spans="1:8" s="15" customFormat="1" ht="28.5" hidden="1" customHeight="1" outlineLevel="1" x14ac:dyDescent="0.25">
      <c r="A6729" s="45">
        <v>205</v>
      </c>
      <c r="B6729" s="4" t="s">
        <v>249</v>
      </c>
      <c r="C6729" s="22" t="s">
        <v>2092</v>
      </c>
      <c r="D6729" s="18">
        <v>2021</v>
      </c>
      <c r="E6729" s="18" t="s">
        <v>0</v>
      </c>
      <c r="F6729" s="4">
        <v>1</v>
      </c>
      <c r="G6729" s="4">
        <v>23</v>
      </c>
      <c r="H6729" s="4">
        <v>29</v>
      </c>
    </row>
    <row r="6730" spans="1:8" s="15" customFormat="1" ht="28.5" hidden="1" customHeight="1" outlineLevel="1" x14ac:dyDescent="0.25">
      <c r="A6730" s="45">
        <v>206</v>
      </c>
      <c r="B6730" s="4" t="s">
        <v>249</v>
      </c>
      <c r="C6730" s="22" t="s">
        <v>2093</v>
      </c>
      <c r="D6730" s="18">
        <v>2021</v>
      </c>
      <c r="E6730" s="18" t="s">
        <v>0</v>
      </c>
      <c r="F6730" s="4">
        <v>1</v>
      </c>
      <c r="G6730" s="4">
        <v>25</v>
      </c>
      <c r="H6730" s="4">
        <v>31.000509999999998</v>
      </c>
    </row>
    <row r="6731" spans="1:8" s="15" customFormat="1" ht="28.5" hidden="1" customHeight="1" outlineLevel="1" x14ac:dyDescent="0.25">
      <c r="A6731" s="46">
        <v>10186</v>
      </c>
      <c r="B6731" s="4" t="s">
        <v>249</v>
      </c>
      <c r="C6731" s="22" t="s">
        <v>2094</v>
      </c>
      <c r="D6731" s="18">
        <v>2021</v>
      </c>
      <c r="E6731" s="18" t="s">
        <v>0</v>
      </c>
      <c r="F6731" s="4">
        <v>1</v>
      </c>
      <c r="G6731" s="4">
        <v>5</v>
      </c>
      <c r="H6731" s="4">
        <v>12.854990000000001</v>
      </c>
    </row>
    <row r="6732" spans="1:8" s="15" customFormat="1" ht="28.5" hidden="1" customHeight="1" outlineLevel="1" x14ac:dyDescent="0.25">
      <c r="A6732" s="45">
        <v>599</v>
      </c>
      <c r="B6732" s="4" t="s">
        <v>249</v>
      </c>
      <c r="C6732" s="22" t="s">
        <v>2095</v>
      </c>
      <c r="D6732" s="18">
        <v>2021</v>
      </c>
      <c r="E6732" s="18" t="s">
        <v>0</v>
      </c>
      <c r="F6732" s="4">
        <v>1</v>
      </c>
      <c r="G6732" s="4">
        <v>6</v>
      </c>
      <c r="H6732" s="4">
        <v>28.887029999999999</v>
      </c>
    </row>
    <row r="6733" spans="1:8" s="15" customFormat="1" ht="28.5" hidden="1" customHeight="1" outlineLevel="1" x14ac:dyDescent="0.25">
      <c r="A6733" s="45">
        <v>221</v>
      </c>
      <c r="B6733" s="4" t="s">
        <v>249</v>
      </c>
      <c r="C6733" s="22" t="s">
        <v>2096</v>
      </c>
      <c r="D6733" s="18">
        <v>2021</v>
      </c>
      <c r="E6733" s="18" t="s">
        <v>0</v>
      </c>
      <c r="F6733" s="4">
        <v>1</v>
      </c>
      <c r="G6733" s="4">
        <v>8</v>
      </c>
      <c r="H6733" s="4">
        <v>23.56869</v>
      </c>
    </row>
    <row r="6734" spans="1:8" s="15" customFormat="1" ht="28.5" hidden="1" customHeight="1" outlineLevel="1" x14ac:dyDescent="0.25">
      <c r="A6734" s="46">
        <v>9537</v>
      </c>
      <c r="B6734" s="4" t="s">
        <v>249</v>
      </c>
      <c r="C6734" s="22" t="s">
        <v>1333</v>
      </c>
      <c r="D6734" s="18">
        <v>2021</v>
      </c>
      <c r="E6734" s="18" t="s">
        <v>0</v>
      </c>
      <c r="F6734" s="4">
        <v>1</v>
      </c>
      <c r="G6734" s="4">
        <v>6</v>
      </c>
      <c r="H6734" s="4">
        <v>10.789</v>
      </c>
    </row>
    <row r="6735" spans="1:8" s="15" customFormat="1" ht="28.5" hidden="1" customHeight="1" outlineLevel="1" x14ac:dyDescent="0.25">
      <c r="A6735" s="46">
        <v>9536</v>
      </c>
      <c r="B6735" s="4" t="s">
        <v>249</v>
      </c>
      <c r="C6735" s="22" t="s">
        <v>1166</v>
      </c>
      <c r="D6735" s="18">
        <v>2021</v>
      </c>
      <c r="E6735" s="18" t="s">
        <v>0</v>
      </c>
      <c r="F6735" s="4">
        <v>1</v>
      </c>
      <c r="G6735" s="4">
        <v>6</v>
      </c>
      <c r="H6735" s="4">
        <v>12.029</v>
      </c>
    </row>
    <row r="6736" spans="1:8" s="15" customFormat="1" ht="28.5" hidden="1" customHeight="1" outlineLevel="1" x14ac:dyDescent="0.25">
      <c r="A6736" s="46">
        <v>10238</v>
      </c>
      <c r="B6736" s="4" t="s">
        <v>249</v>
      </c>
      <c r="C6736" s="22" t="s">
        <v>2097</v>
      </c>
      <c r="D6736" s="18">
        <v>2021</v>
      </c>
      <c r="E6736" s="18" t="s">
        <v>0</v>
      </c>
      <c r="F6736" s="4">
        <v>1</v>
      </c>
      <c r="G6736" s="4">
        <v>6</v>
      </c>
      <c r="H6736" s="4">
        <v>17.7</v>
      </c>
    </row>
    <row r="6737" spans="1:8" s="15" customFormat="1" ht="28.5" hidden="1" customHeight="1" outlineLevel="1" x14ac:dyDescent="0.25">
      <c r="A6737" s="46">
        <v>10229</v>
      </c>
      <c r="B6737" s="4" t="s">
        <v>249</v>
      </c>
      <c r="C6737" s="22" t="s">
        <v>2098</v>
      </c>
      <c r="D6737" s="18">
        <v>2021</v>
      </c>
      <c r="E6737" s="18" t="s">
        <v>0</v>
      </c>
      <c r="F6737" s="4">
        <v>1</v>
      </c>
      <c r="G6737" s="4">
        <v>6</v>
      </c>
      <c r="H6737" s="4">
        <v>17.876000000000001</v>
      </c>
    </row>
    <row r="6738" spans="1:8" s="15" customFormat="1" ht="28.5" hidden="1" customHeight="1" outlineLevel="1" x14ac:dyDescent="0.25">
      <c r="A6738" s="46">
        <v>10239</v>
      </c>
      <c r="B6738" s="4" t="s">
        <v>249</v>
      </c>
      <c r="C6738" s="22" t="s">
        <v>2099</v>
      </c>
      <c r="D6738" s="18">
        <v>2021</v>
      </c>
      <c r="E6738" s="18" t="s">
        <v>0</v>
      </c>
      <c r="F6738" s="4">
        <v>1</v>
      </c>
      <c r="G6738" s="4">
        <v>6</v>
      </c>
      <c r="H6738" s="4">
        <v>17.698</v>
      </c>
    </row>
    <row r="6739" spans="1:8" s="15" customFormat="1" ht="28.5" hidden="1" customHeight="1" outlineLevel="1" x14ac:dyDescent="0.25">
      <c r="A6739" s="46">
        <v>10240</v>
      </c>
      <c r="B6739" s="4" t="s">
        <v>249</v>
      </c>
      <c r="C6739" s="22" t="s">
        <v>2100</v>
      </c>
      <c r="D6739" s="18">
        <v>2021</v>
      </c>
      <c r="E6739" s="18" t="s">
        <v>0</v>
      </c>
      <c r="F6739" s="4">
        <v>1</v>
      </c>
      <c r="G6739" s="4">
        <v>6</v>
      </c>
      <c r="H6739" s="4">
        <v>17.417000000000002</v>
      </c>
    </row>
    <row r="6740" spans="1:8" s="15" customFormat="1" ht="28.5" hidden="1" customHeight="1" outlineLevel="1" x14ac:dyDescent="0.25">
      <c r="A6740" s="45">
        <v>2130</v>
      </c>
      <c r="B6740" s="4" t="s">
        <v>249</v>
      </c>
      <c r="C6740" s="22" t="s">
        <v>2101</v>
      </c>
      <c r="D6740" s="18">
        <v>2021</v>
      </c>
      <c r="E6740" s="18" t="s">
        <v>0</v>
      </c>
      <c r="F6740" s="4">
        <v>1</v>
      </c>
      <c r="G6740" s="4">
        <v>6</v>
      </c>
      <c r="H6740" s="4">
        <v>17.417000000000002</v>
      </c>
    </row>
    <row r="6741" spans="1:8" s="15" customFormat="1" ht="28.5" hidden="1" customHeight="1" outlineLevel="1" x14ac:dyDescent="0.25">
      <c r="A6741" s="46">
        <v>10167</v>
      </c>
      <c r="B6741" s="4" t="s">
        <v>249</v>
      </c>
      <c r="C6741" s="22" t="s">
        <v>2102</v>
      </c>
      <c r="D6741" s="18">
        <v>2021</v>
      </c>
      <c r="E6741" s="18" t="s">
        <v>0</v>
      </c>
      <c r="F6741" s="4">
        <v>1</v>
      </c>
      <c r="G6741" s="4">
        <v>6</v>
      </c>
      <c r="H6741" s="4">
        <v>17.417999999999999</v>
      </c>
    </row>
    <row r="6742" spans="1:8" s="15" customFormat="1" ht="28.5" hidden="1" customHeight="1" outlineLevel="1" x14ac:dyDescent="0.25">
      <c r="A6742" s="46">
        <v>10219</v>
      </c>
      <c r="B6742" s="4" t="s">
        <v>249</v>
      </c>
      <c r="C6742" s="22" t="s">
        <v>2103</v>
      </c>
      <c r="D6742" s="18">
        <v>2021</v>
      </c>
      <c r="E6742" s="18" t="s">
        <v>0</v>
      </c>
      <c r="F6742" s="4">
        <v>1</v>
      </c>
      <c r="G6742" s="4">
        <v>6</v>
      </c>
      <c r="H6742" s="4">
        <v>17.539000000000001</v>
      </c>
    </row>
    <row r="6743" spans="1:8" s="15" customFormat="1" ht="28.5" hidden="1" customHeight="1" outlineLevel="1" x14ac:dyDescent="0.25">
      <c r="A6743" s="46">
        <v>10231</v>
      </c>
      <c r="B6743" s="4" t="s">
        <v>249</v>
      </c>
      <c r="C6743" s="22" t="s">
        <v>2104</v>
      </c>
      <c r="D6743" s="18">
        <v>2021</v>
      </c>
      <c r="E6743" s="18" t="s">
        <v>0</v>
      </c>
      <c r="F6743" s="4">
        <v>1</v>
      </c>
      <c r="G6743" s="4">
        <v>6</v>
      </c>
      <c r="H6743" s="4">
        <v>17.902999999999999</v>
      </c>
    </row>
    <row r="6744" spans="1:8" s="15" customFormat="1" ht="28.5" hidden="1" customHeight="1" outlineLevel="1" x14ac:dyDescent="0.25">
      <c r="A6744" s="46">
        <v>10142</v>
      </c>
      <c r="B6744" s="4" t="s">
        <v>249</v>
      </c>
      <c r="C6744" s="22" t="s">
        <v>2105</v>
      </c>
      <c r="D6744" s="18">
        <v>2021</v>
      </c>
      <c r="E6744" s="18" t="s">
        <v>0</v>
      </c>
      <c r="F6744" s="4">
        <v>1</v>
      </c>
      <c r="G6744" s="4">
        <v>6</v>
      </c>
      <c r="H6744" s="4">
        <v>17.754000000000001</v>
      </c>
    </row>
    <row r="6745" spans="1:8" s="15" customFormat="1" ht="28.5" hidden="1" customHeight="1" outlineLevel="1" x14ac:dyDescent="0.25">
      <c r="A6745" s="45">
        <v>2104</v>
      </c>
      <c r="B6745" s="4" t="s">
        <v>249</v>
      </c>
      <c r="C6745" s="22" t="s">
        <v>2106</v>
      </c>
      <c r="D6745" s="18">
        <v>2021</v>
      </c>
      <c r="E6745" s="18" t="s">
        <v>0</v>
      </c>
      <c r="F6745" s="4">
        <v>1</v>
      </c>
      <c r="G6745" s="4">
        <v>6</v>
      </c>
      <c r="H6745" s="4">
        <v>20.236000000000001</v>
      </c>
    </row>
    <row r="6746" spans="1:8" s="15" customFormat="1" ht="28.5" hidden="1" customHeight="1" outlineLevel="1" x14ac:dyDescent="0.25">
      <c r="A6746" s="46">
        <v>10192</v>
      </c>
      <c r="B6746" s="4" t="s">
        <v>249</v>
      </c>
      <c r="C6746" s="22" t="s">
        <v>2107</v>
      </c>
      <c r="D6746" s="18">
        <v>2021</v>
      </c>
      <c r="E6746" s="18" t="s">
        <v>0</v>
      </c>
      <c r="F6746" s="4">
        <v>1</v>
      </c>
      <c r="G6746" s="4">
        <v>6</v>
      </c>
      <c r="H6746" s="4">
        <v>11.509</v>
      </c>
    </row>
    <row r="6747" spans="1:8" s="15" customFormat="1" ht="28.5" hidden="1" customHeight="1" outlineLevel="1" x14ac:dyDescent="0.25">
      <c r="A6747" s="45">
        <v>2090</v>
      </c>
      <c r="B6747" s="4" t="s">
        <v>249</v>
      </c>
      <c r="C6747" s="22" t="s">
        <v>2108</v>
      </c>
      <c r="D6747" s="18">
        <v>2021</v>
      </c>
      <c r="E6747" s="18" t="s">
        <v>0</v>
      </c>
      <c r="F6747" s="4">
        <v>1</v>
      </c>
      <c r="G6747" s="4">
        <v>6</v>
      </c>
      <c r="H6747" s="4">
        <v>11.747999999999999</v>
      </c>
    </row>
    <row r="6748" spans="1:8" s="15" customFormat="1" ht="28.5" hidden="1" customHeight="1" outlineLevel="1" x14ac:dyDescent="0.25">
      <c r="A6748" s="46">
        <v>10112</v>
      </c>
      <c r="B6748" s="4" t="s">
        <v>249</v>
      </c>
      <c r="C6748" s="22" t="s">
        <v>2109</v>
      </c>
      <c r="D6748" s="18">
        <v>2021</v>
      </c>
      <c r="E6748" s="18" t="s">
        <v>0</v>
      </c>
      <c r="F6748" s="4">
        <v>1</v>
      </c>
      <c r="G6748" s="4">
        <v>6</v>
      </c>
      <c r="H6748" s="4">
        <v>17.54</v>
      </c>
    </row>
    <row r="6749" spans="1:8" s="15" customFormat="1" ht="28.5" hidden="1" customHeight="1" outlineLevel="1" x14ac:dyDescent="0.25">
      <c r="A6749" s="46">
        <v>10174</v>
      </c>
      <c r="B6749" s="4" t="s">
        <v>249</v>
      </c>
      <c r="C6749" s="22" t="s">
        <v>2110</v>
      </c>
      <c r="D6749" s="18">
        <v>2021</v>
      </c>
      <c r="E6749" s="18" t="s">
        <v>0</v>
      </c>
      <c r="F6749" s="4">
        <v>1</v>
      </c>
      <c r="G6749" s="4">
        <v>6</v>
      </c>
      <c r="H6749" s="4">
        <v>20.257000000000001</v>
      </c>
    </row>
    <row r="6750" spans="1:8" s="15" customFormat="1" ht="28.5" hidden="1" customHeight="1" outlineLevel="1" x14ac:dyDescent="0.25">
      <c r="A6750" s="46">
        <v>10251</v>
      </c>
      <c r="B6750" s="4" t="s">
        <v>249</v>
      </c>
      <c r="C6750" s="22" t="s">
        <v>2111</v>
      </c>
      <c r="D6750" s="18">
        <v>2021</v>
      </c>
      <c r="E6750" s="18" t="s">
        <v>0</v>
      </c>
      <c r="F6750" s="4">
        <v>1</v>
      </c>
      <c r="G6750" s="4">
        <v>6</v>
      </c>
      <c r="H6750" s="4">
        <v>17.576000000000001</v>
      </c>
    </row>
    <row r="6751" spans="1:8" s="15" customFormat="1" ht="28.5" hidden="1" customHeight="1" outlineLevel="1" x14ac:dyDescent="0.25">
      <c r="A6751" s="46">
        <v>10199</v>
      </c>
      <c r="B6751" s="4" t="s">
        <v>249</v>
      </c>
      <c r="C6751" s="22" t="s">
        <v>2112</v>
      </c>
      <c r="D6751" s="18">
        <v>2021</v>
      </c>
      <c r="E6751" s="18" t="s">
        <v>0</v>
      </c>
      <c r="F6751" s="4">
        <v>1</v>
      </c>
      <c r="G6751" s="4">
        <v>6</v>
      </c>
      <c r="H6751" s="4">
        <v>17.698</v>
      </c>
    </row>
    <row r="6752" spans="1:8" s="15" customFormat="1" ht="28.5" hidden="1" customHeight="1" outlineLevel="1" x14ac:dyDescent="0.25">
      <c r="A6752" s="46">
        <v>10244</v>
      </c>
      <c r="B6752" s="4" t="s">
        <v>249</v>
      </c>
      <c r="C6752" s="22" t="s">
        <v>2113</v>
      </c>
      <c r="D6752" s="18">
        <v>2021</v>
      </c>
      <c r="E6752" s="18" t="s">
        <v>0</v>
      </c>
      <c r="F6752" s="4">
        <v>1</v>
      </c>
      <c r="G6752" s="4">
        <v>6</v>
      </c>
      <c r="H6752" s="4">
        <v>19.295000000000002</v>
      </c>
    </row>
    <row r="6753" spans="1:8" s="15" customFormat="1" ht="28.5" hidden="1" customHeight="1" outlineLevel="1" x14ac:dyDescent="0.25">
      <c r="A6753" s="45">
        <v>2083</v>
      </c>
      <c r="B6753" s="4" t="s">
        <v>249</v>
      </c>
      <c r="C6753" s="22" t="s">
        <v>2114</v>
      </c>
      <c r="D6753" s="18">
        <v>2021</v>
      </c>
      <c r="E6753" s="18" t="s">
        <v>0</v>
      </c>
      <c r="F6753" s="4">
        <v>1</v>
      </c>
      <c r="G6753" s="4">
        <v>8</v>
      </c>
      <c r="H6753" s="4">
        <v>20.135999999999999</v>
      </c>
    </row>
    <row r="6754" spans="1:8" s="15" customFormat="1" ht="28.5" hidden="1" customHeight="1" outlineLevel="1" x14ac:dyDescent="0.25">
      <c r="A6754" s="46">
        <v>9240</v>
      </c>
      <c r="B6754" s="4" t="s">
        <v>249</v>
      </c>
      <c r="C6754" s="22" t="s">
        <v>2115</v>
      </c>
      <c r="D6754" s="18">
        <v>2021</v>
      </c>
      <c r="E6754" s="18" t="s">
        <v>0</v>
      </c>
      <c r="F6754" s="4">
        <v>1</v>
      </c>
      <c r="G6754" s="4">
        <v>6</v>
      </c>
      <c r="H6754" s="4">
        <v>18.207999999999998</v>
      </c>
    </row>
    <row r="6755" spans="1:8" s="15" customFormat="1" ht="28.5" hidden="1" customHeight="1" outlineLevel="1" x14ac:dyDescent="0.25">
      <c r="A6755" s="46">
        <v>10114</v>
      </c>
      <c r="B6755" s="4" t="s">
        <v>249</v>
      </c>
      <c r="C6755" s="22" t="s">
        <v>2116</v>
      </c>
      <c r="D6755" s="18">
        <v>2021</v>
      </c>
      <c r="E6755" s="18" t="s">
        <v>0</v>
      </c>
      <c r="F6755" s="4">
        <v>1</v>
      </c>
      <c r="G6755" s="4">
        <v>6</v>
      </c>
      <c r="H6755" s="4">
        <v>21.42</v>
      </c>
    </row>
    <row r="6756" spans="1:8" s="15" customFormat="1" ht="28.5" hidden="1" customHeight="1" outlineLevel="1" x14ac:dyDescent="0.25">
      <c r="A6756" s="46">
        <v>10113</v>
      </c>
      <c r="B6756" s="4" t="s">
        <v>249</v>
      </c>
      <c r="C6756" s="22" t="s">
        <v>2117</v>
      </c>
      <c r="D6756" s="18">
        <v>2021</v>
      </c>
      <c r="E6756" s="18" t="s">
        <v>0</v>
      </c>
      <c r="F6756" s="4">
        <v>1</v>
      </c>
      <c r="G6756" s="4">
        <v>6</v>
      </c>
      <c r="H6756" s="4">
        <v>19.332999999999998</v>
      </c>
    </row>
    <row r="6757" spans="1:8" s="15" customFormat="1" ht="28.5" hidden="1" customHeight="1" outlineLevel="1" x14ac:dyDescent="0.25">
      <c r="A6757" s="46">
        <v>10052</v>
      </c>
      <c r="B6757" s="4" t="s">
        <v>249</v>
      </c>
      <c r="C6757" s="22" t="s">
        <v>2118</v>
      </c>
      <c r="D6757" s="18">
        <v>2021</v>
      </c>
      <c r="E6757" s="18" t="s">
        <v>0</v>
      </c>
      <c r="F6757" s="4">
        <v>1</v>
      </c>
      <c r="G6757" s="4">
        <v>8</v>
      </c>
      <c r="H6757" s="4">
        <v>19.812000000000001</v>
      </c>
    </row>
    <row r="6758" spans="1:8" s="15" customFormat="1" ht="28.5" hidden="1" customHeight="1" outlineLevel="1" x14ac:dyDescent="0.25">
      <c r="A6758" s="45">
        <v>1181</v>
      </c>
      <c r="B6758" s="4" t="s">
        <v>249</v>
      </c>
      <c r="C6758" s="22" t="s">
        <v>1335</v>
      </c>
      <c r="D6758" s="18">
        <v>2021</v>
      </c>
      <c r="E6758" s="18" t="s">
        <v>0</v>
      </c>
      <c r="F6758" s="4">
        <v>7</v>
      </c>
      <c r="G6758" s="4">
        <v>100</v>
      </c>
      <c r="H6758" s="4">
        <v>147.19999999999999</v>
      </c>
    </row>
    <row r="6759" spans="1:8" s="15" customFormat="1" ht="28.5" hidden="1" customHeight="1" outlineLevel="1" x14ac:dyDescent="0.25">
      <c r="A6759" s="46">
        <v>10198</v>
      </c>
      <c r="B6759" s="4" t="s">
        <v>249</v>
      </c>
      <c r="C6759" s="22" t="s">
        <v>2119</v>
      </c>
      <c r="D6759" s="18">
        <v>2021</v>
      </c>
      <c r="E6759" s="18" t="s">
        <v>0</v>
      </c>
      <c r="F6759" s="4">
        <v>1</v>
      </c>
      <c r="G6759" s="4">
        <v>6</v>
      </c>
      <c r="H6759" s="4">
        <v>19.766999999999999</v>
      </c>
    </row>
    <row r="6760" spans="1:8" s="15" customFormat="1" ht="28.5" hidden="1" customHeight="1" outlineLevel="1" x14ac:dyDescent="0.25">
      <c r="A6760" s="46">
        <v>10323</v>
      </c>
      <c r="B6760" s="4" t="s">
        <v>249</v>
      </c>
      <c r="C6760" s="22" t="s">
        <v>2120</v>
      </c>
      <c r="D6760" s="18">
        <v>2021</v>
      </c>
      <c r="E6760" s="18" t="s">
        <v>0</v>
      </c>
      <c r="F6760" s="4">
        <v>1</v>
      </c>
      <c r="G6760" s="4">
        <v>8</v>
      </c>
      <c r="H6760" s="4">
        <v>20.533999999999999</v>
      </c>
    </row>
    <row r="6761" spans="1:8" s="15" customFormat="1" ht="28.5" hidden="1" customHeight="1" outlineLevel="1" x14ac:dyDescent="0.25">
      <c r="A6761" s="46">
        <v>10122</v>
      </c>
      <c r="B6761" s="4" t="s">
        <v>249</v>
      </c>
      <c r="C6761" s="22" t="s">
        <v>2121</v>
      </c>
      <c r="D6761" s="18">
        <v>2021</v>
      </c>
      <c r="E6761" s="18" t="s">
        <v>0</v>
      </c>
      <c r="F6761" s="4">
        <v>1</v>
      </c>
      <c r="G6761" s="4">
        <v>6</v>
      </c>
      <c r="H6761" s="4">
        <v>17.552</v>
      </c>
    </row>
    <row r="6762" spans="1:8" s="15" customFormat="1" ht="28.5" hidden="1" customHeight="1" outlineLevel="1" x14ac:dyDescent="0.25">
      <c r="A6762" s="46">
        <v>9549</v>
      </c>
      <c r="B6762" s="4" t="s">
        <v>249</v>
      </c>
      <c r="C6762" s="38" t="s">
        <v>2122</v>
      </c>
      <c r="D6762" s="18">
        <v>2021</v>
      </c>
      <c r="E6762" s="18" t="s">
        <v>0</v>
      </c>
      <c r="F6762" s="4">
        <v>1</v>
      </c>
      <c r="G6762" s="4">
        <v>14</v>
      </c>
      <c r="H6762" s="4">
        <v>49.688000000000002</v>
      </c>
    </row>
    <row r="6763" spans="1:8" s="15" customFormat="1" ht="28.5" hidden="1" customHeight="1" outlineLevel="1" x14ac:dyDescent="0.25">
      <c r="A6763" s="46">
        <v>9235</v>
      </c>
      <c r="B6763" s="4" t="s">
        <v>249</v>
      </c>
      <c r="C6763" s="22" t="s">
        <v>2123</v>
      </c>
      <c r="D6763" s="18">
        <v>2021</v>
      </c>
      <c r="E6763" s="18" t="s">
        <v>0</v>
      </c>
      <c r="F6763" s="4">
        <v>2</v>
      </c>
      <c r="G6763" s="4">
        <v>16</v>
      </c>
      <c r="H6763" s="4">
        <v>43.06</v>
      </c>
    </row>
    <row r="6764" spans="1:8" s="15" customFormat="1" ht="28.5" hidden="1" customHeight="1" outlineLevel="1" x14ac:dyDescent="0.25">
      <c r="A6764" s="46">
        <v>9228</v>
      </c>
      <c r="B6764" s="4" t="s">
        <v>249</v>
      </c>
      <c r="C6764" s="22" t="s">
        <v>2124</v>
      </c>
      <c r="D6764" s="18">
        <v>2021</v>
      </c>
      <c r="E6764" s="18" t="s">
        <v>0</v>
      </c>
      <c r="F6764" s="4">
        <v>1</v>
      </c>
      <c r="G6764" s="4">
        <v>15</v>
      </c>
      <c r="H6764" s="4">
        <v>23.3</v>
      </c>
    </row>
    <row r="6765" spans="1:8" s="15" customFormat="1" ht="28.5" hidden="1" customHeight="1" outlineLevel="1" x14ac:dyDescent="0.25">
      <c r="A6765" s="45">
        <v>1170</v>
      </c>
      <c r="B6765" s="4" t="s">
        <v>249</v>
      </c>
      <c r="C6765" s="22" t="s">
        <v>1340</v>
      </c>
      <c r="D6765" s="18">
        <v>2021</v>
      </c>
      <c r="E6765" s="18" t="s">
        <v>0</v>
      </c>
      <c r="F6765" s="4">
        <v>6</v>
      </c>
      <c r="G6765" s="4">
        <v>60</v>
      </c>
      <c r="H6765" s="4">
        <v>210.35</v>
      </c>
    </row>
    <row r="6766" spans="1:8" s="15" customFormat="1" ht="28.5" hidden="1" customHeight="1" outlineLevel="1" x14ac:dyDescent="0.25">
      <c r="A6766" s="46">
        <v>10107</v>
      </c>
      <c r="B6766" s="4" t="s">
        <v>249</v>
      </c>
      <c r="C6766" s="22" t="s">
        <v>2125</v>
      </c>
      <c r="D6766" s="18">
        <v>2021</v>
      </c>
      <c r="E6766" s="18" t="s">
        <v>0</v>
      </c>
      <c r="F6766" s="4">
        <v>1</v>
      </c>
      <c r="G6766" s="4">
        <v>9</v>
      </c>
      <c r="H6766" s="4">
        <v>16.7</v>
      </c>
    </row>
    <row r="6767" spans="1:8" s="15" customFormat="1" ht="28.5" hidden="1" customHeight="1" outlineLevel="1" x14ac:dyDescent="0.25">
      <c r="A6767" s="46">
        <v>10233</v>
      </c>
      <c r="B6767" s="4" t="s">
        <v>249</v>
      </c>
      <c r="C6767" s="22" t="s">
        <v>2126</v>
      </c>
      <c r="D6767" s="18">
        <v>2021</v>
      </c>
      <c r="E6767" s="18" t="s">
        <v>0</v>
      </c>
      <c r="F6767" s="4">
        <v>1</v>
      </c>
      <c r="G6767" s="4">
        <v>3</v>
      </c>
      <c r="H6767" s="4">
        <v>16.713000000000001</v>
      </c>
    </row>
    <row r="6768" spans="1:8" s="15" customFormat="1" ht="28.5" hidden="1" customHeight="1" outlineLevel="1" x14ac:dyDescent="0.25">
      <c r="A6768" s="46">
        <v>10110</v>
      </c>
      <c r="B6768" s="4" t="s">
        <v>249</v>
      </c>
      <c r="C6768" s="22" t="s">
        <v>2127</v>
      </c>
      <c r="D6768" s="18">
        <v>2021</v>
      </c>
      <c r="E6768" s="18" t="s">
        <v>0</v>
      </c>
      <c r="F6768" s="4">
        <v>1</v>
      </c>
      <c r="G6768" s="4">
        <v>3</v>
      </c>
      <c r="H6768" s="4">
        <v>12.709</v>
      </c>
    </row>
    <row r="6769" spans="1:8" s="15" customFormat="1" ht="28.5" hidden="1" customHeight="1" outlineLevel="1" x14ac:dyDescent="0.25">
      <c r="A6769" s="46">
        <v>10109</v>
      </c>
      <c r="B6769" s="4" t="s">
        <v>249</v>
      </c>
      <c r="C6769" s="22" t="s">
        <v>2128</v>
      </c>
      <c r="D6769" s="18">
        <v>2021</v>
      </c>
      <c r="E6769" s="18" t="s">
        <v>0</v>
      </c>
      <c r="F6769" s="4">
        <v>1</v>
      </c>
      <c r="G6769" s="4">
        <v>10</v>
      </c>
      <c r="H6769" s="4">
        <v>18.138000000000002</v>
      </c>
    </row>
    <row r="6770" spans="1:8" s="15" customFormat="1" ht="28.5" hidden="1" customHeight="1" outlineLevel="1" x14ac:dyDescent="0.25">
      <c r="A6770" s="18">
        <v>10901</v>
      </c>
      <c r="B6770" s="4" t="s">
        <v>249</v>
      </c>
      <c r="C6770" s="35" t="s">
        <v>1532</v>
      </c>
      <c r="D6770" s="18">
        <v>2021</v>
      </c>
      <c r="E6770" s="18" t="s">
        <v>0</v>
      </c>
      <c r="F6770" s="4">
        <v>1</v>
      </c>
      <c r="G6770" s="4">
        <v>15</v>
      </c>
      <c r="H6770" s="4">
        <v>18.138000000000002</v>
      </c>
    </row>
    <row r="6771" spans="1:8" s="15" customFormat="1" ht="28.5" hidden="1" customHeight="1" outlineLevel="1" x14ac:dyDescent="0.25">
      <c r="A6771" s="46">
        <v>10108</v>
      </c>
      <c r="B6771" s="4" t="s">
        <v>249</v>
      </c>
      <c r="C6771" s="22" t="s">
        <v>2129</v>
      </c>
      <c r="D6771" s="18">
        <v>2021</v>
      </c>
      <c r="E6771" s="18" t="s">
        <v>0</v>
      </c>
      <c r="F6771" s="4">
        <v>1</v>
      </c>
      <c r="G6771" s="4">
        <v>10</v>
      </c>
      <c r="H6771" s="4">
        <v>18.138000000000002</v>
      </c>
    </row>
    <row r="6772" spans="1:8" s="15" customFormat="1" ht="28.5" hidden="1" customHeight="1" outlineLevel="1" x14ac:dyDescent="0.25">
      <c r="A6772" s="46">
        <v>10234</v>
      </c>
      <c r="B6772" s="4" t="s">
        <v>249</v>
      </c>
      <c r="C6772" s="22" t="s">
        <v>2130</v>
      </c>
      <c r="D6772" s="18">
        <v>2021</v>
      </c>
      <c r="E6772" s="18" t="s">
        <v>0</v>
      </c>
      <c r="F6772" s="4">
        <v>1</v>
      </c>
      <c r="G6772" s="4">
        <v>9</v>
      </c>
      <c r="H6772" s="4">
        <v>15.532</v>
      </c>
    </row>
    <row r="6773" spans="1:8" s="15" customFormat="1" ht="28.5" hidden="1" customHeight="1" outlineLevel="1" x14ac:dyDescent="0.25">
      <c r="A6773" s="46">
        <v>10166</v>
      </c>
      <c r="B6773" s="4" t="s">
        <v>249</v>
      </c>
      <c r="C6773" s="22" t="s">
        <v>2131</v>
      </c>
      <c r="D6773" s="18">
        <v>2021</v>
      </c>
      <c r="E6773" s="18" t="s">
        <v>0</v>
      </c>
      <c r="F6773" s="4">
        <v>1</v>
      </c>
      <c r="G6773" s="4">
        <v>15</v>
      </c>
      <c r="H6773" s="4">
        <v>18.125</v>
      </c>
    </row>
    <row r="6774" spans="1:8" s="15" customFormat="1" ht="28.5" hidden="1" customHeight="1" outlineLevel="1" x14ac:dyDescent="0.25">
      <c r="A6774" s="46">
        <v>10324</v>
      </c>
      <c r="B6774" s="4" t="s">
        <v>249</v>
      </c>
      <c r="C6774" s="22" t="s">
        <v>2132</v>
      </c>
      <c r="D6774" s="18">
        <v>2021</v>
      </c>
      <c r="E6774" s="18" t="s">
        <v>0</v>
      </c>
      <c r="F6774" s="4">
        <v>1</v>
      </c>
      <c r="G6774" s="4">
        <v>10</v>
      </c>
      <c r="H6774" s="4">
        <v>18.138000000000002</v>
      </c>
    </row>
    <row r="6775" spans="1:8" s="15" customFormat="1" ht="28.5" hidden="1" customHeight="1" outlineLevel="1" x14ac:dyDescent="0.25">
      <c r="A6775" s="46">
        <v>9555</v>
      </c>
      <c r="B6775" s="4" t="s">
        <v>249</v>
      </c>
      <c r="C6775" s="22" t="s">
        <v>1174</v>
      </c>
      <c r="D6775" s="18">
        <v>2021</v>
      </c>
      <c r="E6775" s="18" t="s">
        <v>0</v>
      </c>
      <c r="F6775" s="4">
        <v>1</v>
      </c>
      <c r="G6775" s="4">
        <v>6</v>
      </c>
      <c r="H6775" s="4">
        <v>20.288</v>
      </c>
    </row>
    <row r="6776" spans="1:8" s="15" customFormat="1" ht="28.5" hidden="1" customHeight="1" outlineLevel="1" x14ac:dyDescent="0.25">
      <c r="A6776" s="46">
        <v>10230</v>
      </c>
      <c r="B6776" s="4" t="s">
        <v>249</v>
      </c>
      <c r="C6776" s="22" t="s">
        <v>2133</v>
      </c>
      <c r="D6776" s="18">
        <v>2021</v>
      </c>
      <c r="E6776" s="18" t="s">
        <v>0</v>
      </c>
      <c r="F6776" s="4">
        <v>1</v>
      </c>
      <c r="G6776" s="4">
        <v>6</v>
      </c>
      <c r="H6776" s="4">
        <v>17.518999999999998</v>
      </c>
    </row>
    <row r="6777" spans="1:8" s="15" customFormat="1" ht="28.5" hidden="1" customHeight="1" outlineLevel="1" x14ac:dyDescent="0.25">
      <c r="A6777" s="46">
        <v>10232</v>
      </c>
      <c r="B6777" s="4" t="s">
        <v>249</v>
      </c>
      <c r="C6777" s="22" t="s">
        <v>2134</v>
      </c>
      <c r="D6777" s="18">
        <v>2021</v>
      </c>
      <c r="E6777" s="18" t="s">
        <v>0</v>
      </c>
      <c r="F6777" s="4">
        <v>1</v>
      </c>
      <c r="G6777" s="4">
        <v>6</v>
      </c>
      <c r="H6777" s="4">
        <v>19.3</v>
      </c>
    </row>
    <row r="6778" spans="1:8" s="15" customFormat="1" ht="28.5" hidden="1" customHeight="1" outlineLevel="1" x14ac:dyDescent="0.25">
      <c r="A6778" s="46">
        <v>10228</v>
      </c>
      <c r="B6778" s="4" t="s">
        <v>249</v>
      </c>
      <c r="C6778" s="22" t="s">
        <v>2135</v>
      </c>
      <c r="D6778" s="18">
        <v>2021</v>
      </c>
      <c r="E6778" s="18" t="s">
        <v>0</v>
      </c>
      <c r="F6778" s="4">
        <v>1</v>
      </c>
      <c r="G6778" s="4">
        <v>6</v>
      </c>
      <c r="H6778" s="4">
        <v>17.518000000000001</v>
      </c>
    </row>
    <row r="6779" spans="1:8" s="15" customFormat="1" ht="28.5" hidden="1" customHeight="1" outlineLevel="1" x14ac:dyDescent="0.25">
      <c r="A6779" s="46">
        <v>10054</v>
      </c>
      <c r="B6779" s="4" t="s">
        <v>249</v>
      </c>
      <c r="C6779" s="22" t="s">
        <v>2136</v>
      </c>
      <c r="D6779" s="18">
        <v>2021</v>
      </c>
      <c r="E6779" s="18" t="s">
        <v>0</v>
      </c>
      <c r="F6779" s="4">
        <v>1</v>
      </c>
      <c r="G6779" s="4">
        <v>6</v>
      </c>
      <c r="H6779" s="4">
        <v>16.954999999999998</v>
      </c>
    </row>
    <row r="6780" spans="1:8" s="15" customFormat="1" ht="28.5" hidden="1" customHeight="1" outlineLevel="1" x14ac:dyDescent="0.25">
      <c r="A6780" s="46">
        <v>10212</v>
      </c>
      <c r="B6780" s="4" t="s">
        <v>249</v>
      </c>
      <c r="C6780" s="22" t="s">
        <v>2137</v>
      </c>
      <c r="D6780" s="18">
        <v>2021</v>
      </c>
      <c r="E6780" s="18" t="s">
        <v>0</v>
      </c>
      <c r="F6780" s="4">
        <v>1</v>
      </c>
      <c r="G6780" s="4">
        <v>6</v>
      </c>
      <c r="H6780" s="4">
        <v>18.190000000000001</v>
      </c>
    </row>
    <row r="6781" spans="1:8" s="15" customFormat="1" ht="28.5" hidden="1" customHeight="1" outlineLevel="1" x14ac:dyDescent="0.25">
      <c r="A6781" s="46">
        <v>9242</v>
      </c>
      <c r="B6781" s="4" t="s">
        <v>249</v>
      </c>
      <c r="C6781" s="22" t="s">
        <v>2138</v>
      </c>
      <c r="D6781" s="18">
        <v>2021</v>
      </c>
      <c r="E6781" s="18" t="s">
        <v>0</v>
      </c>
      <c r="F6781" s="4">
        <v>2</v>
      </c>
      <c r="G6781" s="4">
        <v>12</v>
      </c>
      <c r="H6781" s="4">
        <v>31.145</v>
      </c>
    </row>
    <row r="6782" spans="1:8" s="15" customFormat="1" ht="28.5" hidden="1" customHeight="1" outlineLevel="1" x14ac:dyDescent="0.25">
      <c r="A6782" s="46">
        <v>9231</v>
      </c>
      <c r="B6782" s="4" t="s">
        <v>249</v>
      </c>
      <c r="C6782" s="22" t="s">
        <v>2139</v>
      </c>
      <c r="D6782" s="18">
        <v>2021</v>
      </c>
      <c r="E6782" s="18" t="s">
        <v>0</v>
      </c>
      <c r="F6782" s="4">
        <v>1</v>
      </c>
      <c r="G6782" s="4">
        <v>30</v>
      </c>
      <c r="H6782" s="4">
        <v>16.719000000000001</v>
      </c>
    </row>
    <row r="6783" spans="1:8" s="15" customFormat="1" ht="28.5" hidden="1" customHeight="1" outlineLevel="1" x14ac:dyDescent="0.25">
      <c r="A6783" s="46">
        <v>10241</v>
      </c>
      <c r="B6783" s="4" t="s">
        <v>249</v>
      </c>
      <c r="C6783" s="22" t="s">
        <v>2140</v>
      </c>
      <c r="D6783" s="18">
        <v>2021</v>
      </c>
      <c r="E6783" s="18" t="s">
        <v>0</v>
      </c>
      <c r="F6783" s="4">
        <v>1</v>
      </c>
      <c r="G6783" s="4">
        <v>6</v>
      </c>
      <c r="H6783" s="4">
        <v>18.289000000000001</v>
      </c>
    </row>
    <row r="6784" spans="1:8" s="15" customFormat="1" ht="28.5" hidden="1" customHeight="1" outlineLevel="1" x14ac:dyDescent="0.25">
      <c r="A6784" s="46">
        <v>10226</v>
      </c>
      <c r="B6784" s="4" t="s">
        <v>249</v>
      </c>
      <c r="C6784" s="22" t="s">
        <v>2141</v>
      </c>
      <c r="D6784" s="18">
        <v>2021</v>
      </c>
      <c r="E6784" s="18" t="s">
        <v>0</v>
      </c>
      <c r="F6784" s="4">
        <v>1</v>
      </c>
      <c r="G6784" s="4">
        <v>6</v>
      </c>
      <c r="H6784" s="4">
        <v>17.809000000000001</v>
      </c>
    </row>
    <row r="6785" spans="1:8" s="15" customFormat="1" ht="28.5" hidden="1" customHeight="1" outlineLevel="1" x14ac:dyDescent="0.25">
      <c r="A6785" s="46">
        <v>10224</v>
      </c>
      <c r="B6785" s="4" t="s">
        <v>249</v>
      </c>
      <c r="C6785" s="22" t="s">
        <v>2142</v>
      </c>
      <c r="D6785" s="18">
        <v>2021</v>
      </c>
      <c r="E6785" s="18" t="s">
        <v>0</v>
      </c>
      <c r="F6785" s="4">
        <v>1</v>
      </c>
      <c r="G6785" s="4">
        <v>6</v>
      </c>
      <c r="H6785" s="4">
        <v>16.902000000000001</v>
      </c>
    </row>
    <row r="6786" spans="1:8" s="15" customFormat="1" ht="28.5" hidden="1" customHeight="1" outlineLevel="1" x14ac:dyDescent="0.25">
      <c r="A6786" s="46">
        <v>10243</v>
      </c>
      <c r="B6786" s="4" t="s">
        <v>249</v>
      </c>
      <c r="C6786" s="22" t="s">
        <v>2143</v>
      </c>
      <c r="D6786" s="18">
        <v>2021</v>
      </c>
      <c r="E6786" s="18" t="s">
        <v>0</v>
      </c>
      <c r="F6786" s="4">
        <v>1</v>
      </c>
      <c r="G6786" s="4">
        <v>6</v>
      </c>
      <c r="H6786" s="4">
        <v>21.027000000000001</v>
      </c>
    </row>
    <row r="6787" spans="1:8" s="15" customFormat="1" ht="28.5" hidden="1" customHeight="1" outlineLevel="1" x14ac:dyDescent="0.25">
      <c r="A6787" s="46">
        <v>10157</v>
      </c>
      <c r="B6787" s="4" t="s">
        <v>249</v>
      </c>
      <c r="C6787" s="22" t="s">
        <v>2144</v>
      </c>
      <c r="D6787" s="18">
        <v>2021</v>
      </c>
      <c r="E6787" s="18" t="s">
        <v>0</v>
      </c>
      <c r="F6787" s="4">
        <v>1</v>
      </c>
      <c r="G6787" s="4">
        <v>6</v>
      </c>
      <c r="H6787" s="4">
        <v>15.505000000000001</v>
      </c>
    </row>
    <row r="6788" spans="1:8" s="15" customFormat="1" ht="28.5" hidden="1" customHeight="1" outlineLevel="1" x14ac:dyDescent="0.25">
      <c r="A6788" s="46">
        <v>10135</v>
      </c>
      <c r="B6788" s="4" t="s">
        <v>249</v>
      </c>
      <c r="C6788" s="22" t="s">
        <v>2145</v>
      </c>
      <c r="D6788" s="18">
        <v>2021</v>
      </c>
      <c r="E6788" s="18" t="s">
        <v>0</v>
      </c>
      <c r="F6788" s="4">
        <v>1</v>
      </c>
      <c r="G6788" s="4">
        <v>15</v>
      </c>
      <c r="H6788" s="4">
        <v>29.484999999999999</v>
      </c>
    </row>
    <row r="6789" spans="1:8" s="15" customFormat="1" ht="28.5" hidden="1" customHeight="1" outlineLevel="1" x14ac:dyDescent="0.25">
      <c r="A6789" s="46">
        <v>10100</v>
      </c>
      <c r="B6789" s="4" t="s">
        <v>249</v>
      </c>
      <c r="C6789" s="22" t="s">
        <v>2146</v>
      </c>
      <c r="D6789" s="18">
        <v>2021</v>
      </c>
      <c r="E6789" s="18" t="s">
        <v>0</v>
      </c>
      <c r="F6789" s="4">
        <v>1</v>
      </c>
      <c r="G6789" s="4">
        <v>14</v>
      </c>
      <c r="H6789" s="4">
        <v>32.951000000000001</v>
      </c>
    </row>
    <row r="6790" spans="1:8" s="15" customFormat="1" ht="28.5" hidden="1" customHeight="1" outlineLevel="1" x14ac:dyDescent="0.25">
      <c r="A6790" s="46">
        <v>9890</v>
      </c>
      <c r="B6790" s="4" t="s">
        <v>249</v>
      </c>
      <c r="C6790" s="22" t="s">
        <v>2147</v>
      </c>
      <c r="D6790" s="18">
        <v>2021</v>
      </c>
      <c r="E6790" s="18" t="s">
        <v>0</v>
      </c>
      <c r="F6790" s="4">
        <v>1</v>
      </c>
      <c r="G6790" s="4">
        <v>8</v>
      </c>
      <c r="H6790" s="4">
        <v>24.192</v>
      </c>
    </row>
    <row r="6791" spans="1:8" s="15" customFormat="1" ht="28.5" hidden="1" customHeight="1" outlineLevel="1" x14ac:dyDescent="0.25">
      <c r="A6791" s="46">
        <v>9238</v>
      </c>
      <c r="B6791" s="4" t="s">
        <v>249</v>
      </c>
      <c r="C6791" s="22" t="s">
        <v>2148</v>
      </c>
      <c r="D6791" s="18">
        <v>2021</v>
      </c>
      <c r="E6791" s="18" t="s">
        <v>0</v>
      </c>
      <c r="F6791" s="4">
        <v>1</v>
      </c>
      <c r="G6791" s="4">
        <v>1</v>
      </c>
      <c r="H6791" s="4">
        <v>15.529</v>
      </c>
    </row>
    <row r="6792" spans="1:8" s="15" customFormat="1" ht="28.5" hidden="1" customHeight="1" outlineLevel="1" x14ac:dyDescent="0.25">
      <c r="A6792" s="46">
        <v>10141</v>
      </c>
      <c r="B6792" s="4" t="s">
        <v>249</v>
      </c>
      <c r="C6792" s="22" t="s">
        <v>2149</v>
      </c>
      <c r="D6792" s="18">
        <v>2021</v>
      </c>
      <c r="E6792" s="18" t="s">
        <v>0</v>
      </c>
      <c r="F6792" s="4">
        <v>1</v>
      </c>
      <c r="G6792" s="4">
        <v>6</v>
      </c>
      <c r="H6792" s="4">
        <v>18.271999999999998</v>
      </c>
    </row>
    <row r="6793" spans="1:8" s="15" customFormat="1" ht="28.5" hidden="1" customHeight="1" outlineLevel="1" x14ac:dyDescent="0.25">
      <c r="A6793" s="45">
        <v>36</v>
      </c>
      <c r="B6793" s="4" t="s">
        <v>249</v>
      </c>
      <c r="C6793" s="22" t="s">
        <v>2150</v>
      </c>
      <c r="D6793" s="18">
        <v>2021</v>
      </c>
      <c r="E6793" s="18" t="s">
        <v>0</v>
      </c>
      <c r="F6793" s="4">
        <v>1</v>
      </c>
      <c r="G6793" s="4">
        <v>10</v>
      </c>
      <c r="H6793" s="4">
        <v>17.460999999999999</v>
      </c>
    </row>
    <row r="6794" spans="1:8" s="15" customFormat="1" ht="28.5" hidden="1" customHeight="1" outlineLevel="1" x14ac:dyDescent="0.25">
      <c r="A6794" s="46">
        <v>10055</v>
      </c>
      <c r="B6794" s="4" t="s">
        <v>249</v>
      </c>
      <c r="C6794" s="22" t="s">
        <v>2151</v>
      </c>
      <c r="D6794" s="18">
        <v>2021</v>
      </c>
      <c r="E6794" s="18" t="s">
        <v>0</v>
      </c>
      <c r="F6794" s="4">
        <v>1</v>
      </c>
      <c r="G6794" s="4">
        <v>5</v>
      </c>
      <c r="H6794" s="4">
        <v>17.460999999999999</v>
      </c>
    </row>
    <row r="6795" spans="1:8" s="15" customFormat="1" ht="28.5" hidden="1" customHeight="1" outlineLevel="1" x14ac:dyDescent="0.25">
      <c r="A6795" s="46">
        <v>10245</v>
      </c>
      <c r="B6795" s="4" t="s">
        <v>249</v>
      </c>
      <c r="C6795" s="22" t="s">
        <v>2152</v>
      </c>
      <c r="D6795" s="18">
        <v>2021</v>
      </c>
      <c r="E6795" s="18" t="s">
        <v>0</v>
      </c>
      <c r="F6795" s="4">
        <v>1</v>
      </c>
      <c r="G6795" s="4">
        <v>10</v>
      </c>
      <c r="H6795" s="4">
        <v>16.123000000000001</v>
      </c>
    </row>
    <row r="6796" spans="1:8" s="15" customFormat="1" ht="28.5" hidden="1" customHeight="1" outlineLevel="1" x14ac:dyDescent="0.25">
      <c r="A6796" s="46">
        <v>10056</v>
      </c>
      <c r="B6796" s="4" t="s">
        <v>249</v>
      </c>
      <c r="C6796" s="22" t="s">
        <v>2153</v>
      </c>
      <c r="D6796" s="18">
        <v>2021</v>
      </c>
      <c r="E6796" s="18" t="s">
        <v>0</v>
      </c>
      <c r="F6796" s="4">
        <v>1</v>
      </c>
      <c r="G6796" s="4">
        <v>8</v>
      </c>
      <c r="H6796" s="4">
        <v>17.399000000000001</v>
      </c>
    </row>
    <row r="6797" spans="1:8" s="15" customFormat="1" ht="28.5" hidden="1" customHeight="1" outlineLevel="1" x14ac:dyDescent="0.25">
      <c r="A6797" s="46">
        <v>10339</v>
      </c>
      <c r="B6797" s="4" t="s">
        <v>249</v>
      </c>
      <c r="C6797" s="22" t="s">
        <v>2154</v>
      </c>
      <c r="D6797" s="18">
        <v>2021</v>
      </c>
      <c r="E6797" s="18" t="s">
        <v>0</v>
      </c>
      <c r="F6797" s="4">
        <v>3</v>
      </c>
      <c r="G6797" s="4">
        <v>30</v>
      </c>
      <c r="H6797" s="4">
        <v>45.307000000000002</v>
      </c>
    </row>
    <row r="6798" spans="1:8" s="15" customFormat="1" ht="28.5" hidden="1" customHeight="1" outlineLevel="1" x14ac:dyDescent="0.25">
      <c r="A6798" s="46">
        <v>10246</v>
      </c>
      <c r="B6798" s="4" t="s">
        <v>249</v>
      </c>
      <c r="C6798" s="22" t="s">
        <v>2155</v>
      </c>
      <c r="D6798" s="18">
        <v>2021</v>
      </c>
      <c r="E6798" s="18" t="s">
        <v>0</v>
      </c>
      <c r="F6798" s="4">
        <v>1</v>
      </c>
      <c r="G6798" s="4">
        <v>10</v>
      </c>
      <c r="H6798" s="4">
        <v>16.114999999999998</v>
      </c>
    </row>
    <row r="6799" spans="1:8" s="15" customFormat="1" ht="28.5" hidden="1" customHeight="1" outlineLevel="1" x14ac:dyDescent="0.25">
      <c r="A6799" s="46">
        <v>10148</v>
      </c>
      <c r="B6799" s="4" t="s">
        <v>249</v>
      </c>
      <c r="C6799" s="22" t="s">
        <v>2156</v>
      </c>
      <c r="D6799" s="18">
        <v>2021</v>
      </c>
      <c r="E6799" s="18" t="s">
        <v>0</v>
      </c>
      <c r="F6799" s="4">
        <v>1</v>
      </c>
      <c r="G6799" s="4">
        <v>10</v>
      </c>
      <c r="H6799" s="4">
        <v>19.443000000000001</v>
      </c>
    </row>
    <row r="6800" spans="1:8" s="15" customFormat="1" ht="28.5" hidden="1" customHeight="1" outlineLevel="1" x14ac:dyDescent="0.25">
      <c r="A6800" s="18">
        <v>245</v>
      </c>
      <c r="B6800" s="4" t="s">
        <v>249</v>
      </c>
      <c r="C6800" s="22" t="s">
        <v>2157</v>
      </c>
      <c r="D6800" s="18">
        <v>2021</v>
      </c>
      <c r="E6800" s="18" t="s">
        <v>0</v>
      </c>
      <c r="F6800" s="4">
        <v>1</v>
      </c>
      <c r="G6800" s="4">
        <v>10</v>
      </c>
      <c r="H6800" s="4">
        <v>17.431000000000001</v>
      </c>
    </row>
    <row r="6801" spans="1:8" s="15" customFormat="1" ht="28.5" hidden="1" customHeight="1" outlineLevel="1" x14ac:dyDescent="0.25">
      <c r="A6801" s="46">
        <v>10247</v>
      </c>
      <c r="B6801" s="4" t="s">
        <v>249</v>
      </c>
      <c r="C6801" s="22" t="s">
        <v>2158</v>
      </c>
      <c r="D6801" s="18">
        <v>2021</v>
      </c>
      <c r="E6801" s="18" t="s">
        <v>0</v>
      </c>
      <c r="F6801" s="4">
        <v>1</v>
      </c>
      <c r="G6801" s="4">
        <v>6</v>
      </c>
      <c r="H6801" s="4">
        <v>16.114999999999998</v>
      </c>
    </row>
    <row r="6802" spans="1:8" s="15" customFormat="1" ht="28.5" hidden="1" customHeight="1" outlineLevel="1" x14ac:dyDescent="0.25">
      <c r="A6802" s="46">
        <v>10223</v>
      </c>
      <c r="B6802" s="4" t="s">
        <v>249</v>
      </c>
      <c r="C6802" s="22" t="s">
        <v>2159</v>
      </c>
      <c r="D6802" s="18">
        <v>2021</v>
      </c>
      <c r="E6802" s="18" t="s">
        <v>0</v>
      </c>
      <c r="F6802" s="4">
        <v>1</v>
      </c>
      <c r="G6802" s="4">
        <v>10</v>
      </c>
      <c r="H6802" s="4">
        <v>16.123000000000001</v>
      </c>
    </row>
    <row r="6803" spans="1:8" s="15" customFormat="1" ht="28.5" hidden="1" customHeight="1" outlineLevel="1" x14ac:dyDescent="0.25">
      <c r="A6803" s="46">
        <v>10248</v>
      </c>
      <c r="B6803" s="4" t="s">
        <v>249</v>
      </c>
      <c r="C6803" s="22" t="s">
        <v>2160</v>
      </c>
      <c r="D6803" s="18">
        <v>2021</v>
      </c>
      <c r="E6803" s="18" t="s">
        <v>0</v>
      </c>
      <c r="F6803" s="4">
        <v>1</v>
      </c>
      <c r="G6803" s="4">
        <v>10</v>
      </c>
      <c r="H6803" s="4">
        <v>16.123000000000001</v>
      </c>
    </row>
    <row r="6804" spans="1:8" s="15" customFormat="1" ht="28.5" hidden="1" customHeight="1" outlineLevel="1" x14ac:dyDescent="0.25">
      <c r="A6804" s="45">
        <v>35</v>
      </c>
      <c r="B6804" s="4" t="s">
        <v>249</v>
      </c>
      <c r="C6804" s="22" t="s">
        <v>2161</v>
      </c>
      <c r="D6804" s="18">
        <v>2021</v>
      </c>
      <c r="E6804" s="18" t="s">
        <v>0</v>
      </c>
      <c r="F6804" s="4">
        <v>1</v>
      </c>
      <c r="G6804" s="4">
        <v>10</v>
      </c>
      <c r="H6804" s="4">
        <v>19.364999999999998</v>
      </c>
    </row>
    <row r="6805" spans="1:8" s="15" customFormat="1" ht="28.5" hidden="1" customHeight="1" outlineLevel="1" x14ac:dyDescent="0.25">
      <c r="A6805" s="46">
        <v>10218</v>
      </c>
      <c r="B6805" s="4" t="s">
        <v>249</v>
      </c>
      <c r="C6805" s="22" t="s">
        <v>2162</v>
      </c>
      <c r="D6805" s="18">
        <v>2021</v>
      </c>
      <c r="E6805" s="18" t="s">
        <v>0</v>
      </c>
      <c r="F6805" s="4">
        <v>1</v>
      </c>
      <c r="G6805" s="4">
        <v>10</v>
      </c>
      <c r="H6805" s="4">
        <v>16.123999999999999</v>
      </c>
    </row>
    <row r="6806" spans="1:8" s="15" customFormat="1" ht="28.5" hidden="1" customHeight="1" outlineLevel="1" x14ac:dyDescent="0.25">
      <c r="A6806" s="46">
        <v>10249</v>
      </c>
      <c r="B6806" s="4" t="s">
        <v>249</v>
      </c>
      <c r="C6806" s="22" t="s">
        <v>2163</v>
      </c>
      <c r="D6806" s="18">
        <v>2021</v>
      </c>
      <c r="E6806" s="18" t="s">
        <v>0</v>
      </c>
      <c r="F6806" s="4">
        <v>1</v>
      </c>
      <c r="G6806" s="4">
        <v>6</v>
      </c>
      <c r="H6806" s="4">
        <v>16.068000000000001</v>
      </c>
    </row>
    <row r="6807" spans="1:8" s="15" customFormat="1" ht="28.5" hidden="1" customHeight="1" outlineLevel="1" x14ac:dyDescent="0.25">
      <c r="A6807" s="46">
        <v>10250</v>
      </c>
      <c r="B6807" s="4" t="s">
        <v>249</v>
      </c>
      <c r="C6807" s="22" t="s">
        <v>2164</v>
      </c>
      <c r="D6807" s="18">
        <v>2021</v>
      </c>
      <c r="E6807" s="18" t="s">
        <v>0</v>
      </c>
      <c r="F6807" s="4">
        <v>1</v>
      </c>
      <c r="G6807" s="4">
        <v>10</v>
      </c>
      <c r="H6807" s="4">
        <v>16.123000000000001</v>
      </c>
    </row>
    <row r="6808" spans="1:8" s="15" customFormat="1" ht="28.5" hidden="1" customHeight="1" outlineLevel="1" x14ac:dyDescent="0.25">
      <c r="A6808" s="18">
        <v>232</v>
      </c>
      <c r="B6808" s="4" t="s">
        <v>249</v>
      </c>
      <c r="C6808" s="22" t="s">
        <v>2165</v>
      </c>
      <c r="D6808" s="18">
        <v>2021</v>
      </c>
      <c r="E6808" s="18" t="s">
        <v>0</v>
      </c>
      <c r="F6808" s="4">
        <v>1</v>
      </c>
      <c r="G6808" s="4">
        <v>10</v>
      </c>
      <c r="H6808" s="4">
        <v>16.123000000000001</v>
      </c>
    </row>
    <row r="6809" spans="1:8" s="15" customFormat="1" ht="28.5" hidden="1" customHeight="1" outlineLevel="1" x14ac:dyDescent="0.25">
      <c r="A6809" s="45">
        <v>229</v>
      </c>
      <c r="B6809" s="4" t="s">
        <v>249</v>
      </c>
      <c r="C6809" s="22" t="s">
        <v>2166</v>
      </c>
      <c r="D6809" s="18">
        <v>2021</v>
      </c>
      <c r="E6809" s="18" t="s">
        <v>0</v>
      </c>
      <c r="F6809" s="4">
        <v>1</v>
      </c>
      <c r="G6809" s="4">
        <v>10</v>
      </c>
      <c r="H6809" s="4">
        <v>20.010000000000002</v>
      </c>
    </row>
    <row r="6810" spans="1:8" s="15" customFormat="1" ht="28.5" hidden="1" customHeight="1" outlineLevel="1" x14ac:dyDescent="0.25">
      <c r="A6810" s="46">
        <v>10164</v>
      </c>
      <c r="B6810" s="4" t="s">
        <v>249</v>
      </c>
      <c r="C6810" s="22" t="s">
        <v>2167</v>
      </c>
      <c r="D6810" s="18">
        <v>2021</v>
      </c>
      <c r="E6810" s="18" t="s">
        <v>0</v>
      </c>
      <c r="F6810" s="4">
        <v>1</v>
      </c>
      <c r="G6810" s="4">
        <v>10</v>
      </c>
      <c r="H6810" s="4">
        <v>19.149000000000001</v>
      </c>
    </row>
    <row r="6811" spans="1:8" s="15" customFormat="1" ht="28.5" hidden="1" customHeight="1" outlineLevel="1" x14ac:dyDescent="0.25">
      <c r="A6811" s="46">
        <v>10146</v>
      </c>
      <c r="B6811" s="4" t="s">
        <v>249</v>
      </c>
      <c r="C6811" s="22" t="s">
        <v>2168</v>
      </c>
      <c r="D6811" s="18">
        <v>2021</v>
      </c>
      <c r="E6811" s="18" t="s">
        <v>0</v>
      </c>
      <c r="F6811" s="4">
        <v>1</v>
      </c>
      <c r="G6811" s="4">
        <v>10</v>
      </c>
      <c r="H6811" s="4">
        <v>18.713999999999999</v>
      </c>
    </row>
    <row r="6812" spans="1:8" s="15" customFormat="1" ht="28.5" hidden="1" customHeight="1" outlineLevel="1" x14ac:dyDescent="0.25">
      <c r="A6812" s="46">
        <v>9241</v>
      </c>
      <c r="B6812" s="4" t="s">
        <v>249</v>
      </c>
      <c r="C6812" s="22" t="s">
        <v>2169</v>
      </c>
      <c r="D6812" s="18">
        <v>2021</v>
      </c>
      <c r="E6812" s="18" t="s">
        <v>0</v>
      </c>
      <c r="F6812" s="4">
        <v>1</v>
      </c>
      <c r="G6812" s="4">
        <v>10</v>
      </c>
      <c r="H6812" s="4">
        <v>15.29</v>
      </c>
    </row>
    <row r="6813" spans="1:8" s="15" customFormat="1" ht="28.5" hidden="1" customHeight="1" outlineLevel="1" x14ac:dyDescent="0.25">
      <c r="A6813" s="46">
        <v>10138</v>
      </c>
      <c r="B6813" s="4" t="s">
        <v>249</v>
      </c>
      <c r="C6813" s="22" t="s">
        <v>2170</v>
      </c>
      <c r="D6813" s="18">
        <v>2021</v>
      </c>
      <c r="E6813" s="18" t="s">
        <v>0</v>
      </c>
      <c r="F6813" s="4">
        <v>1</v>
      </c>
      <c r="G6813" s="4">
        <v>10</v>
      </c>
      <c r="H6813" s="4">
        <v>18.381</v>
      </c>
    </row>
    <row r="6814" spans="1:8" s="15" customFormat="1" ht="28.5" hidden="1" customHeight="1" outlineLevel="1" x14ac:dyDescent="0.25">
      <c r="A6814" s="46">
        <v>10163</v>
      </c>
      <c r="B6814" s="4" t="s">
        <v>249</v>
      </c>
      <c r="C6814" s="22" t="s">
        <v>2171</v>
      </c>
      <c r="D6814" s="18">
        <v>2021</v>
      </c>
      <c r="E6814" s="18" t="s">
        <v>0</v>
      </c>
      <c r="F6814" s="4">
        <v>1</v>
      </c>
      <c r="G6814" s="4">
        <v>10</v>
      </c>
      <c r="H6814" s="4">
        <v>15.644</v>
      </c>
    </row>
    <row r="6815" spans="1:8" s="15" customFormat="1" ht="28.5" hidden="1" customHeight="1" outlineLevel="1" x14ac:dyDescent="0.25">
      <c r="A6815" s="46">
        <v>10156</v>
      </c>
      <c r="B6815" s="4" t="s">
        <v>249</v>
      </c>
      <c r="C6815" s="22" t="s">
        <v>2172</v>
      </c>
      <c r="D6815" s="18">
        <v>2021</v>
      </c>
      <c r="E6815" s="18" t="s">
        <v>0</v>
      </c>
      <c r="F6815" s="4">
        <v>1</v>
      </c>
      <c r="G6815" s="4">
        <v>10</v>
      </c>
      <c r="H6815" s="4">
        <v>16.363</v>
      </c>
    </row>
    <row r="6816" spans="1:8" s="15" customFormat="1" ht="28.5" hidden="1" customHeight="1" outlineLevel="1" x14ac:dyDescent="0.25">
      <c r="A6816" s="46">
        <v>10182</v>
      </c>
      <c r="B6816" s="4" t="s">
        <v>249</v>
      </c>
      <c r="C6816" s="22" t="s">
        <v>2173</v>
      </c>
      <c r="D6816" s="18">
        <v>2021</v>
      </c>
      <c r="E6816" s="18" t="s">
        <v>0</v>
      </c>
      <c r="F6816" s="4">
        <v>1</v>
      </c>
      <c r="G6816" s="4">
        <v>10</v>
      </c>
      <c r="H6816" s="4">
        <v>15.644</v>
      </c>
    </row>
    <row r="6817" spans="1:8" s="15" customFormat="1" ht="28.5" hidden="1" customHeight="1" outlineLevel="1" x14ac:dyDescent="0.25">
      <c r="A6817" s="46">
        <v>10222</v>
      </c>
      <c r="B6817" s="4" t="s">
        <v>249</v>
      </c>
      <c r="C6817" s="22" t="s">
        <v>2174</v>
      </c>
      <c r="D6817" s="18">
        <v>2021</v>
      </c>
      <c r="E6817" s="18" t="s">
        <v>0</v>
      </c>
      <c r="F6817" s="4">
        <v>1</v>
      </c>
      <c r="G6817" s="4">
        <v>10</v>
      </c>
      <c r="H6817" s="4">
        <v>16.123000000000001</v>
      </c>
    </row>
    <row r="6818" spans="1:8" s="15" customFormat="1" ht="28.5" hidden="1" customHeight="1" outlineLevel="1" x14ac:dyDescent="0.25">
      <c r="A6818" s="46">
        <v>10153</v>
      </c>
      <c r="B6818" s="4" t="s">
        <v>249</v>
      </c>
      <c r="C6818" s="22" t="s">
        <v>2175</v>
      </c>
      <c r="D6818" s="18">
        <v>2021</v>
      </c>
      <c r="E6818" s="18" t="s">
        <v>0</v>
      </c>
      <c r="F6818" s="4">
        <v>1</v>
      </c>
      <c r="G6818" s="4">
        <v>5</v>
      </c>
      <c r="H6818" s="4">
        <v>15.644</v>
      </c>
    </row>
    <row r="6819" spans="1:8" s="15" customFormat="1" ht="28.5" hidden="1" customHeight="1" outlineLevel="1" x14ac:dyDescent="0.25">
      <c r="A6819" s="46">
        <v>10176</v>
      </c>
      <c r="B6819" s="4" t="s">
        <v>249</v>
      </c>
      <c r="C6819" s="22" t="s">
        <v>2176</v>
      </c>
      <c r="D6819" s="18">
        <v>2021</v>
      </c>
      <c r="E6819" s="18" t="s">
        <v>0</v>
      </c>
      <c r="F6819" s="4">
        <v>1</v>
      </c>
      <c r="G6819" s="4">
        <v>10</v>
      </c>
      <c r="H6819" s="4">
        <v>15.635</v>
      </c>
    </row>
    <row r="6820" spans="1:8" s="15" customFormat="1" ht="28.5" hidden="1" customHeight="1" outlineLevel="1" x14ac:dyDescent="0.25">
      <c r="A6820" s="46">
        <v>10211</v>
      </c>
      <c r="B6820" s="4" t="s">
        <v>249</v>
      </c>
      <c r="C6820" s="22" t="s">
        <v>2177</v>
      </c>
      <c r="D6820" s="18">
        <v>2021</v>
      </c>
      <c r="E6820" s="18" t="s">
        <v>0</v>
      </c>
      <c r="F6820" s="4">
        <v>1</v>
      </c>
      <c r="G6820" s="4">
        <v>6</v>
      </c>
      <c r="H6820" s="4">
        <v>15.635</v>
      </c>
    </row>
    <row r="6821" spans="1:8" s="15" customFormat="1" ht="28.5" hidden="1" customHeight="1" outlineLevel="1" x14ac:dyDescent="0.25">
      <c r="A6821" s="46">
        <v>10132</v>
      </c>
      <c r="B6821" s="4" t="s">
        <v>249</v>
      </c>
      <c r="C6821" s="22" t="s">
        <v>2178</v>
      </c>
      <c r="D6821" s="18">
        <v>2021</v>
      </c>
      <c r="E6821" s="18" t="s">
        <v>0</v>
      </c>
      <c r="F6821" s="4">
        <v>1</v>
      </c>
      <c r="G6821" s="4">
        <v>10</v>
      </c>
      <c r="H6821" s="4">
        <v>15.644</v>
      </c>
    </row>
    <row r="6822" spans="1:8" s="15" customFormat="1" ht="28.5" hidden="1" customHeight="1" outlineLevel="1" x14ac:dyDescent="0.25">
      <c r="A6822" s="46">
        <v>10119</v>
      </c>
      <c r="B6822" s="4" t="s">
        <v>249</v>
      </c>
      <c r="C6822" s="22" t="s">
        <v>2179</v>
      </c>
      <c r="D6822" s="18">
        <v>2021</v>
      </c>
      <c r="E6822" s="18" t="s">
        <v>0</v>
      </c>
      <c r="F6822" s="4">
        <v>1</v>
      </c>
      <c r="G6822" s="4">
        <v>10</v>
      </c>
      <c r="H6822" s="4">
        <v>18.125</v>
      </c>
    </row>
    <row r="6823" spans="1:8" s="15" customFormat="1" ht="28.5" hidden="1" customHeight="1" outlineLevel="1" x14ac:dyDescent="0.25">
      <c r="A6823" s="45">
        <v>836</v>
      </c>
      <c r="B6823" s="4" t="s">
        <v>249</v>
      </c>
      <c r="C6823" s="22" t="s">
        <v>1344</v>
      </c>
      <c r="D6823" s="18">
        <v>2021</v>
      </c>
      <c r="E6823" s="18" t="s">
        <v>0</v>
      </c>
      <c r="F6823" s="4">
        <v>1</v>
      </c>
      <c r="G6823" s="4">
        <v>150</v>
      </c>
      <c r="H6823" s="4">
        <v>30.14</v>
      </c>
    </row>
    <row r="6824" spans="1:8" s="15" customFormat="1" ht="28.5" hidden="1" customHeight="1" outlineLevel="1" x14ac:dyDescent="0.25">
      <c r="A6824" s="46">
        <v>9146</v>
      </c>
      <c r="B6824" s="4" t="s">
        <v>249</v>
      </c>
      <c r="C6824" s="22" t="s">
        <v>2180</v>
      </c>
      <c r="D6824" s="18">
        <v>2021</v>
      </c>
      <c r="E6824" s="18" t="s">
        <v>0</v>
      </c>
      <c r="F6824" s="4">
        <v>1</v>
      </c>
      <c r="G6824" s="4" t="s">
        <v>1455</v>
      </c>
      <c r="H6824" s="4">
        <v>74</v>
      </c>
    </row>
    <row r="6825" spans="1:8" s="15" customFormat="1" ht="28.5" hidden="1" customHeight="1" outlineLevel="1" x14ac:dyDescent="0.25">
      <c r="A6825" s="46">
        <v>9150</v>
      </c>
      <c r="B6825" s="4" t="s">
        <v>249</v>
      </c>
      <c r="C6825" s="22" t="s">
        <v>2181</v>
      </c>
      <c r="D6825" s="18">
        <v>2021</v>
      </c>
      <c r="E6825" s="18" t="s">
        <v>0</v>
      </c>
      <c r="F6825" s="4">
        <v>1</v>
      </c>
      <c r="G6825" s="4" t="s">
        <v>1455</v>
      </c>
      <c r="H6825" s="4">
        <v>86</v>
      </c>
    </row>
    <row r="6826" spans="1:8" s="15" customFormat="1" ht="28.5" hidden="1" customHeight="1" outlineLevel="1" x14ac:dyDescent="0.25">
      <c r="A6826" s="46">
        <v>9151</v>
      </c>
      <c r="B6826" s="4" t="s">
        <v>249</v>
      </c>
      <c r="C6826" s="22" t="s">
        <v>2182</v>
      </c>
      <c r="D6826" s="18">
        <v>2021</v>
      </c>
      <c r="E6826" s="18" t="s">
        <v>0</v>
      </c>
      <c r="F6826" s="4">
        <v>1</v>
      </c>
      <c r="G6826" s="4" t="s">
        <v>1455</v>
      </c>
      <c r="H6826" s="4">
        <v>85</v>
      </c>
    </row>
    <row r="6827" spans="1:8" s="15" customFormat="1" ht="28.5" hidden="1" customHeight="1" outlineLevel="1" x14ac:dyDescent="0.25">
      <c r="A6827" s="46">
        <v>9153</v>
      </c>
      <c r="B6827" s="4" t="s">
        <v>249</v>
      </c>
      <c r="C6827" s="22" t="s">
        <v>2183</v>
      </c>
      <c r="D6827" s="18">
        <v>2021</v>
      </c>
      <c r="E6827" s="18" t="s">
        <v>0</v>
      </c>
      <c r="F6827" s="4">
        <v>1</v>
      </c>
      <c r="G6827" s="4" t="s">
        <v>1455</v>
      </c>
      <c r="H6827" s="4">
        <v>85</v>
      </c>
    </row>
    <row r="6828" spans="1:8" s="15" customFormat="1" ht="28.5" hidden="1" customHeight="1" outlineLevel="1" x14ac:dyDescent="0.25">
      <c r="A6828" s="46">
        <v>9961</v>
      </c>
      <c r="B6828" s="4" t="s">
        <v>249</v>
      </c>
      <c r="C6828" s="22" t="s">
        <v>2184</v>
      </c>
      <c r="D6828" s="18">
        <v>2021</v>
      </c>
      <c r="E6828" s="18" t="s">
        <v>0</v>
      </c>
      <c r="F6828" s="4">
        <v>1</v>
      </c>
      <c r="G6828" s="4" t="s">
        <v>1447</v>
      </c>
      <c r="H6828" s="4">
        <v>99</v>
      </c>
    </row>
    <row r="6829" spans="1:8" s="15" customFormat="1" ht="28.5" hidden="1" customHeight="1" outlineLevel="1" x14ac:dyDescent="0.25">
      <c r="A6829" s="46">
        <v>9152</v>
      </c>
      <c r="B6829" s="4" t="s">
        <v>249</v>
      </c>
      <c r="C6829" s="22" t="s">
        <v>2185</v>
      </c>
      <c r="D6829" s="18">
        <v>2021</v>
      </c>
      <c r="E6829" s="18" t="s">
        <v>0</v>
      </c>
      <c r="F6829" s="4">
        <v>1</v>
      </c>
      <c r="G6829" s="4" t="s">
        <v>1451</v>
      </c>
      <c r="H6829" s="4">
        <v>86</v>
      </c>
    </row>
    <row r="6830" spans="1:8" s="15" customFormat="1" ht="28.5" hidden="1" customHeight="1" outlineLevel="1" x14ac:dyDescent="0.25">
      <c r="A6830" s="46">
        <v>10034</v>
      </c>
      <c r="B6830" s="4" t="s">
        <v>249</v>
      </c>
      <c r="C6830" s="22" t="s">
        <v>2186</v>
      </c>
      <c r="D6830" s="18">
        <v>2021</v>
      </c>
      <c r="E6830" s="18" t="s">
        <v>0</v>
      </c>
      <c r="F6830" s="4">
        <v>1</v>
      </c>
      <c r="G6830" s="4" t="s">
        <v>1451</v>
      </c>
      <c r="H6830" s="4">
        <v>81</v>
      </c>
    </row>
    <row r="6831" spans="1:8" s="15" customFormat="1" ht="28.5" hidden="1" customHeight="1" outlineLevel="1" x14ac:dyDescent="0.25">
      <c r="A6831" s="46">
        <v>9251</v>
      </c>
      <c r="B6831" s="4" t="s">
        <v>249</v>
      </c>
      <c r="C6831" s="22" t="s">
        <v>2187</v>
      </c>
      <c r="D6831" s="18">
        <v>2021</v>
      </c>
      <c r="E6831" s="18" t="s">
        <v>0</v>
      </c>
      <c r="F6831" s="4">
        <v>1</v>
      </c>
      <c r="G6831" s="4">
        <v>5</v>
      </c>
      <c r="H6831" s="4">
        <v>80</v>
      </c>
    </row>
    <row r="6832" spans="1:8" s="15" customFormat="1" ht="28.5" hidden="1" customHeight="1" outlineLevel="1" x14ac:dyDescent="0.25">
      <c r="A6832" s="46">
        <v>9155</v>
      </c>
      <c r="B6832" s="4" t="s">
        <v>249</v>
      </c>
      <c r="C6832" s="22" t="s">
        <v>2188</v>
      </c>
      <c r="D6832" s="18">
        <v>2021</v>
      </c>
      <c r="E6832" s="18" t="s">
        <v>0</v>
      </c>
      <c r="F6832" s="4">
        <v>4</v>
      </c>
      <c r="G6832" s="4">
        <v>4</v>
      </c>
      <c r="H6832" s="4">
        <v>116</v>
      </c>
    </row>
    <row r="6833" spans="1:8" s="15" customFormat="1" ht="28.5" hidden="1" customHeight="1" outlineLevel="1" x14ac:dyDescent="0.25">
      <c r="A6833" s="45">
        <v>318</v>
      </c>
      <c r="B6833" s="4" t="s">
        <v>249</v>
      </c>
      <c r="C6833" s="22" t="s">
        <v>2189</v>
      </c>
      <c r="D6833" s="18">
        <v>2021</v>
      </c>
      <c r="E6833" s="18" t="s">
        <v>0</v>
      </c>
      <c r="F6833" s="4">
        <v>2</v>
      </c>
      <c r="G6833" s="4">
        <v>10</v>
      </c>
      <c r="H6833" s="4">
        <v>99</v>
      </c>
    </row>
    <row r="6834" spans="1:8" s="15" customFormat="1" ht="28.5" hidden="1" customHeight="1" outlineLevel="1" x14ac:dyDescent="0.25">
      <c r="A6834" s="46">
        <v>9259</v>
      </c>
      <c r="B6834" s="4" t="s">
        <v>249</v>
      </c>
      <c r="C6834" s="22" t="s">
        <v>2190</v>
      </c>
      <c r="D6834" s="18">
        <v>2021</v>
      </c>
      <c r="E6834" s="18" t="s">
        <v>0</v>
      </c>
      <c r="F6834" s="4">
        <v>2</v>
      </c>
      <c r="G6834" s="4">
        <v>10</v>
      </c>
      <c r="H6834" s="4">
        <v>100</v>
      </c>
    </row>
    <row r="6835" spans="1:8" s="15" customFormat="1" ht="28.5" hidden="1" customHeight="1" outlineLevel="1" x14ac:dyDescent="0.25">
      <c r="A6835" s="46">
        <v>9154</v>
      </c>
      <c r="B6835" s="4" t="s">
        <v>249</v>
      </c>
      <c r="C6835" s="22" t="s">
        <v>2191</v>
      </c>
      <c r="D6835" s="18">
        <v>2021</v>
      </c>
      <c r="E6835" s="18" t="s">
        <v>0</v>
      </c>
      <c r="F6835" s="4">
        <v>1</v>
      </c>
      <c r="G6835" s="4" t="s">
        <v>1455</v>
      </c>
      <c r="H6835" s="4">
        <v>78</v>
      </c>
    </row>
    <row r="6836" spans="1:8" s="15" customFormat="1" ht="28.5" hidden="1" customHeight="1" outlineLevel="1" x14ac:dyDescent="0.25">
      <c r="A6836" s="46">
        <v>9256</v>
      </c>
      <c r="B6836" s="4" t="s">
        <v>249</v>
      </c>
      <c r="C6836" s="22" t="s">
        <v>2192</v>
      </c>
      <c r="D6836" s="18">
        <v>2021</v>
      </c>
      <c r="E6836" s="18" t="s">
        <v>0</v>
      </c>
      <c r="F6836" s="4">
        <v>1</v>
      </c>
      <c r="G6836" s="4" t="s">
        <v>1455</v>
      </c>
      <c r="H6836" s="4">
        <v>73</v>
      </c>
    </row>
    <row r="6837" spans="1:8" s="15" customFormat="1" ht="28.5" hidden="1" customHeight="1" outlineLevel="1" x14ac:dyDescent="0.25">
      <c r="A6837" s="46">
        <v>9260</v>
      </c>
      <c r="B6837" s="4" t="s">
        <v>249</v>
      </c>
      <c r="C6837" s="22" t="s">
        <v>2193</v>
      </c>
      <c r="D6837" s="18">
        <v>2021</v>
      </c>
      <c r="E6837" s="18" t="s">
        <v>0</v>
      </c>
      <c r="F6837" s="4">
        <v>1</v>
      </c>
      <c r="G6837" s="4" t="s">
        <v>2194</v>
      </c>
      <c r="H6837" s="4">
        <v>84</v>
      </c>
    </row>
    <row r="6838" spans="1:8" s="15" customFormat="1" ht="28.5" hidden="1" customHeight="1" outlineLevel="1" x14ac:dyDescent="0.25">
      <c r="A6838" s="46">
        <v>9689</v>
      </c>
      <c r="B6838" s="4" t="s">
        <v>249</v>
      </c>
      <c r="C6838" s="22" t="s">
        <v>1490</v>
      </c>
      <c r="D6838" s="18">
        <v>2021</v>
      </c>
      <c r="E6838" s="18" t="s">
        <v>0</v>
      </c>
      <c r="F6838" s="4">
        <v>1</v>
      </c>
      <c r="G6838" s="4" t="s">
        <v>1455</v>
      </c>
      <c r="H6838" s="4">
        <v>47</v>
      </c>
    </row>
    <row r="6839" spans="1:8" s="15" customFormat="1" ht="28.5" hidden="1" customHeight="1" outlineLevel="1" x14ac:dyDescent="0.25">
      <c r="A6839" s="46">
        <v>9138</v>
      </c>
      <c r="B6839" s="4" t="s">
        <v>249</v>
      </c>
      <c r="C6839" s="22" t="s">
        <v>2195</v>
      </c>
      <c r="D6839" s="18">
        <v>2021</v>
      </c>
      <c r="E6839" s="18" t="s">
        <v>0</v>
      </c>
      <c r="F6839" s="4">
        <v>1</v>
      </c>
      <c r="G6839" s="4" t="s">
        <v>1455</v>
      </c>
      <c r="H6839" s="4">
        <v>34</v>
      </c>
    </row>
    <row r="6840" spans="1:8" s="15" customFormat="1" ht="28.5" hidden="1" customHeight="1" outlineLevel="1" x14ac:dyDescent="0.25">
      <c r="A6840" s="46">
        <v>9136</v>
      </c>
      <c r="B6840" s="4" t="s">
        <v>249</v>
      </c>
      <c r="C6840" s="22" t="s">
        <v>2196</v>
      </c>
      <c r="D6840" s="18">
        <v>2021</v>
      </c>
      <c r="E6840" s="18" t="s">
        <v>0</v>
      </c>
      <c r="F6840" s="4">
        <v>1</v>
      </c>
      <c r="G6840" s="4" t="s">
        <v>1455</v>
      </c>
      <c r="H6840" s="4">
        <v>44</v>
      </c>
    </row>
    <row r="6841" spans="1:8" s="15" customFormat="1" ht="28.5" hidden="1" customHeight="1" outlineLevel="1" x14ac:dyDescent="0.25">
      <c r="A6841" s="46">
        <v>9141</v>
      </c>
      <c r="B6841" s="4" t="s">
        <v>249</v>
      </c>
      <c r="C6841" s="22" t="s">
        <v>2197</v>
      </c>
      <c r="D6841" s="18">
        <v>2021</v>
      </c>
      <c r="E6841" s="18" t="s">
        <v>0</v>
      </c>
      <c r="F6841" s="4">
        <v>1</v>
      </c>
      <c r="G6841" s="4" t="s">
        <v>1455</v>
      </c>
      <c r="H6841" s="4">
        <v>32</v>
      </c>
    </row>
    <row r="6842" spans="1:8" s="15" customFormat="1" ht="28.5" hidden="1" customHeight="1" outlineLevel="1" x14ac:dyDescent="0.25">
      <c r="A6842" s="45">
        <v>1958</v>
      </c>
      <c r="B6842" s="4" t="s">
        <v>249</v>
      </c>
      <c r="C6842" s="22" t="s">
        <v>2198</v>
      </c>
      <c r="D6842" s="18">
        <v>2021</v>
      </c>
      <c r="E6842" s="18" t="s">
        <v>0</v>
      </c>
      <c r="F6842" s="4">
        <v>1</v>
      </c>
      <c r="G6842" s="4" t="s">
        <v>1455</v>
      </c>
      <c r="H6842" s="4">
        <v>20</v>
      </c>
    </row>
    <row r="6843" spans="1:8" s="15" customFormat="1" ht="28.5" hidden="1" customHeight="1" outlineLevel="1" x14ac:dyDescent="0.25">
      <c r="A6843" s="45">
        <v>1980</v>
      </c>
      <c r="B6843" s="4" t="s">
        <v>249</v>
      </c>
      <c r="C6843" s="22" t="s">
        <v>2199</v>
      </c>
      <c r="D6843" s="18">
        <v>2021</v>
      </c>
      <c r="E6843" s="18" t="s">
        <v>0</v>
      </c>
      <c r="F6843" s="4">
        <v>1</v>
      </c>
      <c r="G6843" s="4" t="s">
        <v>1455</v>
      </c>
      <c r="H6843" s="4">
        <v>20</v>
      </c>
    </row>
    <row r="6844" spans="1:8" s="15" customFormat="1" ht="28.5" hidden="1" customHeight="1" outlineLevel="1" x14ac:dyDescent="0.25">
      <c r="A6844" s="46">
        <v>10049</v>
      </c>
      <c r="B6844" s="4" t="s">
        <v>249</v>
      </c>
      <c r="C6844" s="22" t="s">
        <v>2200</v>
      </c>
      <c r="D6844" s="18">
        <v>2021</v>
      </c>
      <c r="E6844" s="18" t="s">
        <v>0</v>
      </c>
      <c r="F6844" s="4">
        <v>1</v>
      </c>
      <c r="G6844" s="4" t="s">
        <v>1455</v>
      </c>
      <c r="H6844" s="4">
        <v>19</v>
      </c>
    </row>
    <row r="6845" spans="1:8" s="15" customFormat="1" ht="28.5" hidden="1" customHeight="1" outlineLevel="1" x14ac:dyDescent="0.25">
      <c r="A6845" s="45">
        <v>2005</v>
      </c>
      <c r="B6845" s="4" t="s">
        <v>249</v>
      </c>
      <c r="C6845" s="22" t="s">
        <v>2201</v>
      </c>
      <c r="D6845" s="18">
        <v>2021</v>
      </c>
      <c r="E6845" s="18" t="s">
        <v>0</v>
      </c>
      <c r="F6845" s="4">
        <v>1</v>
      </c>
      <c r="G6845" s="4" t="s">
        <v>1455</v>
      </c>
      <c r="H6845" s="4">
        <v>18</v>
      </c>
    </row>
    <row r="6846" spans="1:8" s="15" customFormat="1" ht="28.5" hidden="1" customHeight="1" outlineLevel="1" x14ac:dyDescent="0.25">
      <c r="A6846" s="46">
        <v>9148</v>
      </c>
      <c r="B6846" s="4" t="s">
        <v>249</v>
      </c>
      <c r="C6846" s="22" t="s">
        <v>2202</v>
      </c>
      <c r="D6846" s="18">
        <v>2021</v>
      </c>
      <c r="E6846" s="18" t="s">
        <v>0</v>
      </c>
      <c r="F6846" s="4">
        <v>1</v>
      </c>
      <c r="G6846" s="4" t="s">
        <v>1455</v>
      </c>
      <c r="H6846" s="4">
        <v>69</v>
      </c>
    </row>
    <row r="6847" spans="1:8" s="15" customFormat="1" ht="28.5" hidden="1" customHeight="1" outlineLevel="1" x14ac:dyDescent="0.25">
      <c r="A6847" s="46">
        <v>9156</v>
      </c>
      <c r="B6847" s="4" t="s">
        <v>249</v>
      </c>
      <c r="C6847" s="22" t="s">
        <v>2203</v>
      </c>
      <c r="D6847" s="18">
        <v>2021</v>
      </c>
      <c r="E6847" s="18" t="s">
        <v>0</v>
      </c>
      <c r="F6847" s="4">
        <v>1</v>
      </c>
      <c r="G6847" s="4" t="s">
        <v>2204</v>
      </c>
      <c r="H6847" s="4">
        <v>48</v>
      </c>
    </row>
    <row r="6848" spans="1:8" s="15" customFormat="1" ht="28.5" hidden="1" customHeight="1" outlineLevel="1" x14ac:dyDescent="0.25">
      <c r="A6848" s="46">
        <v>9147</v>
      </c>
      <c r="B6848" s="4" t="s">
        <v>249</v>
      </c>
      <c r="C6848" s="22" t="s">
        <v>2205</v>
      </c>
      <c r="D6848" s="18">
        <v>2021</v>
      </c>
      <c r="E6848" s="18" t="s">
        <v>0</v>
      </c>
      <c r="F6848" s="4">
        <v>1</v>
      </c>
      <c r="G6848" s="4" t="s">
        <v>2204</v>
      </c>
      <c r="H6848" s="4">
        <v>48</v>
      </c>
    </row>
    <row r="6849" spans="1:8" s="15" customFormat="1" ht="28.5" hidden="1" customHeight="1" outlineLevel="1" x14ac:dyDescent="0.25">
      <c r="A6849" s="46">
        <v>10044</v>
      </c>
      <c r="B6849" s="4" t="s">
        <v>249</v>
      </c>
      <c r="C6849" s="22" t="s">
        <v>2206</v>
      </c>
      <c r="D6849" s="18">
        <v>2021</v>
      </c>
      <c r="E6849" s="18" t="s">
        <v>0</v>
      </c>
      <c r="F6849" s="4">
        <v>1</v>
      </c>
      <c r="G6849" s="4" t="s">
        <v>1455</v>
      </c>
      <c r="H6849" s="4">
        <v>57</v>
      </c>
    </row>
    <row r="6850" spans="1:8" s="15" customFormat="1" ht="28.5" hidden="1" customHeight="1" outlineLevel="1" x14ac:dyDescent="0.25">
      <c r="A6850" s="46">
        <v>10042</v>
      </c>
      <c r="B6850" s="4" t="s">
        <v>249</v>
      </c>
      <c r="C6850" s="22" t="s">
        <v>2207</v>
      </c>
      <c r="D6850" s="18">
        <v>2021</v>
      </c>
      <c r="E6850" s="18" t="s">
        <v>0</v>
      </c>
      <c r="F6850" s="4">
        <v>1</v>
      </c>
      <c r="G6850" s="4" t="s">
        <v>1455</v>
      </c>
      <c r="H6850" s="4">
        <v>55</v>
      </c>
    </row>
    <row r="6851" spans="1:8" s="15" customFormat="1" ht="28.5" hidden="1" customHeight="1" outlineLevel="1" x14ac:dyDescent="0.25">
      <c r="A6851" s="46">
        <v>9960</v>
      </c>
      <c r="B6851" s="4" t="s">
        <v>249</v>
      </c>
      <c r="C6851" s="22" t="s">
        <v>2208</v>
      </c>
      <c r="D6851" s="18">
        <v>2021</v>
      </c>
      <c r="E6851" s="18" t="s">
        <v>0</v>
      </c>
      <c r="F6851" s="4">
        <v>1</v>
      </c>
      <c r="G6851" s="4" t="s">
        <v>1455</v>
      </c>
      <c r="H6851" s="4">
        <v>52</v>
      </c>
    </row>
    <row r="6852" spans="1:8" s="15" customFormat="1" ht="28.5" hidden="1" customHeight="1" outlineLevel="1" x14ac:dyDescent="0.25">
      <c r="A6852" s="45">
        <v>1991</v>
      </c>
      <c r="B6852" s="4" t="s">
        <v>249</v>
      </c>
      <c r="C6852" s="22" t="s">
        <v>2209</v>
      </c>
      <c r="D6852" s="18">
        <v>2021</v>
      </c>
      <c r="E6852" s="18" t="s">
        <v>0</v>
      </c>
      <c r="F6852" s="4">
        <v>1</v>
      </c>
      <c r="G6852" s="4" t="s">
        <v>1455</v>
      </c>
      <c r="H6852" s="4">
        <v>51</v>
      </c>
    </row>
    <row r="6853" spans="1:8" s="15" customFormat="1" ht="28.5" hidden="1" customHeight="1" outlineLevel="1" x14ac:dyDescent="0.25">
      <c r="A6853" s="46">
        <v>9708</v>
      </c>
      <c r="B6853" s="4" t="s">
        <v>249</v>
      </c>
      <c r="C6853" s="22" t="s">
        <v>1504</v>
      </c>
      <c r="D6853" s="18">
        <v>2021</v>
      </c>
      <c r="E6853" s="18" t="s">
        <v>0</v>
      </c>
      <c r="F6853" s="4">
        <v>1</v>
      </c>
      <c r="G6853" s="4" t="s">
        <v>1455</v>
      </c>
      <c r="H6853" s="4">
        <v>42</v>
      </c>
    </row>
    <row r="6854" spans="1:8" s="15" customFormat="1" ht="28.5" hidden="1" customHeight="1" outlineLevel="1" x14ac:dyDescent="0.25">
      <c r="A6854" s="45">
        <v>286</v>
      </c>
      <c r="B6854" s="4" t="s">
        <v>249</v>
      </c>
      <c r="C6854" s="22" t="s">
        <v>2210</v>
      </c>
      <c r="D6854" s="18">
        <v>2021</v>
      </c>
      <c r="E6854" s="18" t="s">
        <v>0</v>
      </c>
      <c r="F6854" s="4">
        <v>1</v>
      </c>
      <c r="G6854" s="4" t="s">
        <v>1455</v>
      </c>
      <c r="H6854" s="4">
        <v>47</v>
      </c>
    </row>
    <row r="6855" spans="1:8" s="15" customFormat="1" ht="28.5" hidden="1" customHeight="1" outlineLevel="1" x14ac:dyDescent="0.25">
      <c r="A6855" s="46">
        <v>10026</v>
      </c>
      <c r="B6855" s="4" t="s">
        <v>249</v>
      </c>
      <c r="C6855" s="22" t="s">
        <v>2211</v>
      </c>
      <c r="D6855" s="18">
        <v>2021</v>
      </c>
      <c r="E6855" s="18" t="s">
        <v>0</v>
      </c>
      <c r="F6855" s="4">
        <v>1</v>
      </c>
      <c r="G6855" s="4" t="s">
        <v>1455</v>
      </c>
      <c r="H6855" s="4">
        <v>60</v>
      </c>
    </row>
    <row r="6856" spans="1:8" s="15" customFormat="1" ht="28.5" hidden="1" customHeight="1" outlineLevel="1" x14ac:dyDescent="0.25">
      <c r="A6856" s="46">
        <v>10039</v>
      </c>
      <c r="B6856" s="4" t="s">
        <v>249</v>
      </c>
      <c r="C6856" s="22" t="s">
        <v>2212</v>
      </c>
      <c r="D6856" s="18">
        <v>2021</v>
      </c>
      <c r="E6856" s="18" t="s">
        <v>0</v>
      </c>
      <c r="F6856" s="4">
        <v>1</v>
      </c>
      <c r="G6856" s="4" t="s">
        <v>1455</v>
      </c>
      <c r="H6856" s="4">
        <v>62</v>
      </c>
    </row>
    <row r="6857" spans="1:8" s="15" customFormat="1" ht="28.5" hidden="1" customHeight="1" outlineLevel="1" x14ac:dyDescent="0.25">
      <c r="A6857" s="46">
        <v>9172</v>
      </c>
      <c r="B6857" s="4" t="s">
        <v>249</v>
      </c>
      <c r="C6857" s="22" t="s">
        <v>2213</v>
      </c>
      <c r="D6857" s="18">
        <v>2021</v>
      </c>
      <c r="E6857" s="18" t="s">
        <v>0</v>
      </c>
      <c r="F6857" s="4">
        <v>1</v>
      </c>
      <c r="G6857" s="4">
        <v>5</v>
      </c>
      <c r="H6857" s="4">
        <v>49.93</v>
      </c>
    </row>
    <row r="6858" spans="1:8" s="15" customFormat="1" ht="28.5" hidden="1" customHeight="1" outlineLevel="1" x14ac:dyDescent="0.25">
      <c r="A6858" s="46">
        <v>9163</v>
      </c>
      <c r="B6858" s="4" t="s">
        <v>249</v>
      </c>
      <c r="C6858" s="22" t="s">
        <v>2214</v>
      </c>
      <c r="D6858" s="18">
        <v>2021</v>
      </c>
      <c r="E6858" s="18" t="s">
        <v>0</v>
      </c>
      <c r="F6858" s="4">
        <v>1</v>
      </c>
      <c r="G6858" s="4">
        <v>5</v>
      </c>
      <c r="H6858" s="4">
        <v>75.47</v>
      </c>
    </row>
    <row r="6859" spans="1:8" s="15" customFormat="1" ht="28.5" hidden="1" customHeight="1" outlineLevel="1" x14ac:dyDescent="0.25">
      <c r="A6859" s="46">
        <v>9174</v>
      </c>
      <c r="B6859" s="4" t="s">
        <v>249</v>
      </c>
      <c r="C6859" s="22" t="s">
        <v>2215</v>
      </c>
      <c r="D6859" s="18">
        <v>2021</v>
      </c>
      <c r="E6859" s="18" t="s">
        <v>0</v>
      </c>
      <c r="F6859" s="4">
        <v>1</v>
      </c>
      <c r="G6859" s="4">
        <v>10</v>
      </c>
      <c r="H6859" s="4">
        <v>67.096000000000004</v>
      </c>
    </row>
    <row r="6860" spans="1:8" s="15" customFormat="1" ht="28.5" hidden="1" customHeight="1" outlineLevel="1" x14ac:dyDescent="0.25">
      <c r="A6860" s="46">
        <v>9164</v>
      </c>
      <c r="B6860" s="4" t="s">
        <v>249</v>
      </c>
      <c r="C6860" s="22" t="s">
        <v>2216</v>
      </c>
      <c r="D6860" s="18">
        <v>2021</v>
      </c>
      <c r="E6860" s="18" t="s">
        <v>0</v>
      </c>
      <c r="F6860" s="4">
        <v>1</v>
      </c>
      <c r="G6860" s="4">
        <v>15</v>
      </c>
      <c r="H6860" s="4">
        <v>88.456000000000003</v>
      </c>
    </row>
    <row r="6861" spans="1:8" s="15" customFormat="1" ht="28.5" hidden="1" customHeight="1" outlineLevel="1" x14ac:dyDescent="0.25">
      <c r="A6861" s="46">
        <v>9165</v>
      </c>
      <c r="B6861" s="4" t="s">
        <v>249</v>
      </c>
      <c r="C6861" s="22" t="s">
        <v>2217</v>
      </c>
      <c r="D6861" s="18">
        <v>2021</v>
      </c>
      <c r="E6861" s="18" t="s">
        <v>0</v>
      </c>
      <c r="F6861" s="4">
        <v>1</v>
      </c>
      <c r="G6861" s="4">
        <v>10</v>
      </c>
      <c r="H6861" s="4">
        <v>83.950999999999993</v>
      </c>
    </row>
    <row r="6862" spans="1:8" s="15" customFormat="1" ht="28.5" hidden="1" customHeight="1" outlineLevel="1" x14ac:dyDescent="0.25">
      <c r="A6862" s="46">
        <v>9198</v>
      </c>
      <c r="B6862" s="4" t="s">
        <v>249</v>
      </c>
      <c r="C6862" s="22" t="s">
        <v>2218</v>
      </c>
      <c r="D6862" s="18">
        <v>2021</v>
      </c>
      <c r="E6862" s="18" t="s">
        <v>0</v>
      </c>
      <c r="F6862" s="4">
        <v>1</v>
      </c>
      <c r="G6862" s="4">
        <v>10</v>
      </c>
      <c r="H6862" s="4">
        <v>59.514000000000003</v>
      </c>
    </row>
    <row r="6863" spans="1:8" s="15" customFormat="1" ht="28.5" hidden="1" customHeight="1" outlineLevel="1" x14ac:dyDescent="0.25">
      <c r="A6863" s="46">
        <v>9173</v>
      </c>
      <c r="B6863" s="4" t="s">
        <v>249</v>
      </c>
      <c r="C6863" s="22" t="s">
        <v>2219</v>
      </c>
      <c r="D6863" s="18">
        <v>2021</v>
      </c>
      <c r="E6863" s="18" t="s">
        <v>0</v>
      </c>
      <c r="F6863" s="4">
        <v>1</v>
      </c>
      <c r="G6863" s="4">
        <v>10</v>
      </c>
      <c r="H6863" s="4">
        <v>60.613</v>
      </c>
    </row>
    <row r="6864" spans="1:8" s="15" customFormat="1" ht="28.5" hidden="1" customHeight="1" outlineLevel="1" x14ac:dyDescent="0.25">
      <c r="A6864" s="46">
        <v>9175</v>
      </c>
      <c r="B6864" s="4" t="s">
        <v>249</v>
      </c>
      <c r="C6864" s="22" t="s">
        <v>2220</v>
      </c>
      <c r="D6864" s="18">
        <v>2021</v>
      </c>
      <c r="E6864" s="18" t="s">
        <v>0</v>
      </c>
      <c r="F6864" s="4">
        <v>1</v>
      </c>
      <c r="G6864" s="4">
        <v>5</v>
      </c>
      <c r="H6864" s="4">
        <v>61.94</v>
      </c>
    </row>
    <row r="6865" spans="1:8" s="15" customFormat="1" ht="28.5" hidden="1" customHeight="1" outlineLevel="1" x14ac:dyDescent="0.25">
      <c r="A6865" s="46">
        <v>9170</v>
      </c>
      <c r="B6865" s="4" t="s">
        <v>249</v>
      </c>
      <c r="C6865" s="22" t="s">
        <v>2221</v>
      </c>
      <c r="D6865" s="18">
        <v>2021</v>
      </c>
      <c r="E6865" s="18" t="s">
        <v>0</v>
      </c>
      <c r="F6865" s="4">
        <v>1</v>
      </c>
      <c r="G6865" s="4">
        <v>5</v>
      </c>
      <c r="H6865" s="4">
        <v>75.557000000000002</v>
      </c>
    </row>
    <row r="6866" spans="1:8" s="15" customFormat="1" ht="28.5" hidden="1" customHeight="1" outlineLevel="1" x14ac:dyDescent="0.25">
      <c r="A6866" s="46">
        <v>9012</v>
      </c>
      <c r="B6866" s="4" t="s">
        <v>249</v>
      </c>
      <c r="C6866" s="22" t="s">
        <v>2222</v>
      </c>
      <c r="D6866" s="18">
        <v>2021</v>
      </c>
      <c r="E6866" s="18" t="s">
        <v>0</v>
      </c>
      <c r="F6866" s="4">
        <v>1</v>
      </c>
      <c r="G6866" s="4">
        <v>29</v>
      </c>
      <c r="H6866" s="4">
        <v>66.903999999999996</v>
      </c>
    </row>
    <row r="6867" spans="1:8" s="15" customFormat="1" ht="28.5" hidden="1" customHeight="1" outlineLevel="1" x14ac:dyDescent="0.25">
      <c r="A6867" s="46">
        <v>9177</v>
      </c>
      <c r="B6867" s="4" t="s">
        <v>249</v>
      </c>
      <c r="C6867" s="22" t="s">
        <v>2223</v>
      </c>
      <c r="D6867" s="18">
        <v>2021</v>
      </c>
      <c r="E6867" s="18" t="s">
        <v>0</v>
      </c>
      <c r="F6867" s="4">
        <v>1</v>
      </c>
      <c r="G6867" s="4">
        <v>10</v>
      </c>
      <c r="H6867" s="4">
        <v>65.692999999999998</v>
      </c>
    </row>
    <row r="6868" spans="1:8" s="15" customFormat="1" ht="28.5" hidden="1" customHeight="1" outlineLevel="1" x14ac:dyDescent="0.25">
      <c r="A6868" s="45">
        <v>1927</v>
      </c>
      <c r="B6868" s="4" t="s">
        <v>249</v>
      </c>
      <c r="C6868" s="22" t="s">
        <v>2224</v>
      </c>
      <c r="D6868" s="18">
        <v>2021</v>
      </c>
      <c r="E6868" s="18" t="s">
        <v>0</v>
      </c>
      <c r="F6868" s="4">
        <v>1</v>
      </c>
      <c r="G6868" s="4">
        <v>15</v>
      </c>
      <c r="H6868" s="4">
        <v>69.911000000000001</v>
      </c>
    </row>
    <row r="6869" spans="1:8" s="15" customFormat="1" ht="28.5" hidden="1" customHeight="1" outlineLevel="1" x14ac:dyDescent="0.25">
      <c r="A6869" s="46">
        <v>9169</v>
      </c>
      <c r="B6869" s="4" t="s">
        <v>249</v>
      </c>
      <c r="C6869" s="22" t="s">
        <v>2225</v>
      </c>
      <c r="D6869" s="18">
        <v>2021</v>
      </c>
      <c r="E6869" s="18" t="s">
        <v>0</v>
      </c>
      <c r="F6869" s="4">
        <v>1</v>
      </c>
      <c r="G6869" s="4">
        <v>9</v>
      </c>
      <c r="H6869" s="4">
        <v>41.670999999999999</v>
      </c>
    </row>
    <row r="6870" spans="1:8" s="15" customFormat="1" ht="28.5" hidden="1" customHeight="1" outlineLevel="1" x14ac:dyDescent="0.25">
      <c r="A6870" s="46">
        <v>10011</v>
      </c>
      <c r="B6870" s="4" t="s">
        <v>249</v>
      </c>
      <c r="C6870" s="22" t="s">
        <v>2226</v>
      </c>
      <c r="D6870" s="18">
        <v>2021</v>
      </c>
      <c r="E6870" s="18" t="s">
        <v>0</v>
      </c>
      <c r="F6870" s="4">
        <v>1</v>
      </c>
      <c r="G6870" s="4">
        <v>10</v>
      </c>
      <c r="H6870" s="4">
        <v>64.241</v>
      </c>
    </row>
    <row r="6871" spans="1:8" s="15" customFormat="1" ht="28.5" hidden="1" customHeight="1" outlineLevel="1" x14ac:dyDescent="0.25">
      <c r="A6871" s="46">
        <v>9514</v>
      </c>
      <c r="B6871" s="4" t="s">
        <v>249</v>
      </c>
      <c r="C6871" s="22" t="s">
        <v>1913</v>
      </c>
      <c r="D6871" s="18">
        <v>2021</v>
      </c>
      <c r="E6871" s="18" t="s">
        <v>0</v>
      </c>
      <c r="F6871" s="4">
        <v>3</v>
      </c>
      <c r="G6871" s="4">
        <v>280</v>
      </c>
      <c r="H6871" s="4">
        <v>95.960999999999999</v>
      </c>
    </row>
    <row r="6872" spans="1:8" s="15" customFormat="1" ht="28.5" hidden="1" customHeight="1" outlineLevel="1" x14ac:dyDescent="0.25">
      <c r="A6872" s="46">
        <v>9161</v>
      </c>
      <c r="B6872" s="4" t="s">
        <v>249</v>
      </c>
      <c r="C6872" s="22" t="s">
        <v>2227</v>
      </c>
      <c r="D6872" s="18">
        <v>2021</v>
      </c>
      <c r="E6872" s="18" t="s">
        <v>0</v>
      </c>
      <c r="F6872" s="4">
        <v>1</v>
      </c>
      <c r="G6872" s="4">
        <v>5</v>
      </c>
      <c r="H6872" s="4">
        <v>76.430999999999997</v>
      </c>
    </row>
    <row r="6873" spans="1:8" s="15" customFormat="1" ht="28.5" hidden="1" customHeight="1" outlineLevel="1" x14ac:dyDescent="0.25">
      <c r="A6873" s="46">
        <v>9166</v>
      </c>
      <c r="B6873" s="4" t="s">
        <v>249</v>
      </c>
      <c r="C6873" s="22" t="s">
        <v>2228</v>
      </c>
      <c r="D6873" s="18">
        <v>2021</v>
      </c>
      <c r="E6873" s="18" t="s">
        <v>0</v>
      </c>
      <c r="F6873" s="4">
        <v>1</v>
      </c>
      <c r="G6873" s="4">
        <v>5</v>
      </c>
      <c r="H6873" s="4">
        <v>62.887</v>
      </c>
    </row>
    <row r="6874" spans="1:8" s="15" customFormat="1" ht="28.5" hidden="1" customHeight="1" outlineLevel="1" x14ac:dyDescent="0.25">
      <c r="A6874" s="46">
        <v>9167</v>
      </c>
      <c r="B6874" s="4" t="s">
        <v>249</v>
      </c>
      <c r="C6874" s="22" t="s">
        <v>2229</v>
      </c>
      <c r="D6874" s="18">
        <v>2021</v>
      </c>
      <c r="E6874" s="18" t="s">
        <v>0</v>
      </c>
      <c r="F6874" s="4">
        <v>1</v>
      </c>
      <c r="G6874" s="4">
        <v>7</v>
      </c>
      <c r="H6874" s="4">
        <v>72.355999999999995</v>
      </c>
    </row>
    <row r="6875" spans="1:8" s="15" customFormat="1" ht="28.5" hidden="1" customHeight="1" outlineLevel="1" x14ac:dyDescent="0.25">
      <c r="A6875" s="46">
        <v>9168</v>
      </c>
      <c r="B6875" s="4" t="s">
        <v>249</v>
      </c>
      <c r="C6875" s="22" t="s">
        <v>2230</v>
      </c>
      <c r="D6875" s="18">
        <v>2021</v>
      </c>
      <c r="E6875" s="18" t="s">
        <v>0</v>
      </c>
      <c r="F6875" s="4">
        <v>1</v>
      </c>
      <c r="G6875" s="4">
        <v>15</v>
      </c>
      <c r="H6875" s="4">
        <v>75.694000000000003</v>
      </c>
    </row>
    <row r="6876" spans="1:8" s="15" customFormat="1" ht="28.5" hidden="1" customHeight="1" outlineLevel="1" x14ac:dyDescent="0.25">
      <c r="A6876" s="46">
        <v>9171</v>
      </c>
      <c r="B6876" s="4" t="s">
        <v>249</v>
      </c>
      <c r="C6876" s="22" t="s">
        <v>2231</v>
      </c>
      <c r="D6876" s="18">
        <v>2021</v>
      </c>
      <c r="E6876" s="18" t="s">
        <v>0</v>
      </c>
      <c r="F6876" s="4">
        <v>1</v>
      </c>
      <c r="G6876" s="4">
        <v>5</v>
      </c>
      <c r="H6876" s="4">
        <v>74.897999999999996</v>
      </c>
    </row>
    <row r="6877" spans="1:8" s="15" customFormat="1" ht="28.5" hidden="1" customHeight="1" outlineLevel="1" x14ac:dyDescent="0.25">
      <c r="A6877" s="46">
        <v>9162</v>
      </c>
      <c r="B6877" s="4" t="s">
        <v>249</v>
      </c>
      <c r="C6877" s="22" t="s">
        <v>2232</v>
      </c>
      <c r="D6877" s="18">
        <v>2021</v>
      </c>
      <c r="E6877" s="18" t="s">
        <v>0</v>
      </c>
      <c r="F6877" s="4">
        <v>1</v>
      </c>
      <c r="G6877" s="4">
        <v>10</v>
      </c>
      <c r="H6877" s="4">
        <v>81.792000000000002</v>
      </c>
    </row>
    <row r="6878" spans="1:8" s="15" customFormat="1" ht="28.5" hidden="1" customHeight="1" outlineLevel="1" x14ac:dyDescent="0.25">
      <c r="A6878" s="46">
        <v>9176</v>
      </c>
      <c r="B6878" s="4" t="s">
        <v>249</v>
      </c>
      <c r="C6878" s="22" t="s">
        <v>2233</v>
      </c>
      <c r="D6878" s="18">
        <v>2021</v>
      </c>
      <c r="E6878" s="18" t="s">
        <v>0</v>
      </c>
      <c r="F6878" s="4">
        <v>1</v>
      </c>
      <c r="G6878" s="4">
        <v>5</v>
      </c>
      <c r="H6878" s="4">
        <v>83.328999999999994</v>
      </c>
    </row>
    <row r="6879" spans="1:8" s="15" customFormat="1" ht="28.5" hidden="1" customHeight="1" outlineLevel="1" x14ac:dyDescent="0.25">
      <c r="A6879" s="46">
        <v>10276</v>
      </c>
      <c r="B6879" s="4" t="s">
        <v>249</v>
      </c>
      <c r="C6879" s="22" t="s">
        <v>2234</v>
      </c>
      <c r="D6879" s="18">
        <v>2021</v>
      </c>
      <c r="E6879" s="18" t="s">
        <v>0</v>
      </c>
      <c r="F6879" s="4">
        <v>1</v>
      </c>
      <c r="G6879" s="4">
        <v>5</v>
      </c>
      <c r="H6879" s="4">
        <v>82.375</v>
      </c>
    </row>
    <row r="6880" spans="1:8" s="15" customFormat="1" ht="28.5" hidden="1" customHeight="1" outlineLevel="1" x14ac:dyDescent="0.25">
      <c r="A6880" s="46">
        <v>10264</v>
      </c>
      <c r="B6880" s="4" t="s">
        <v>249</v>
      </c>
      <c r="C6880" s="22" t="s">
        <v>2235</v>
      </c>
      <c r="D6880" s="18">
        <v>2021</v>
      </c>
      <c r="E6880" s="18" t="s">
        <v>0</v>
      </c>
      <c r="F6880" s="4">
        <v>1</v>
      </c>
      <c r="G6880" s="4">
        <v>7</v>
      </c>
      <c r="H6880" s="4">
        <v>27.082999999999998</v>
      </c>
    </row>
    <row r="6881" spans="1:8" s="15" customFormat="1" ht="28.5" hidden="1" customHeight="1" outlineLevel="1" x14ac:dyDescent="0.25">
      <c r="A6881" s="45">
        <v>2153</v>
      </c>
      <c r="B6881" s="4" t="s">
        <v>249</v>
      </c>
      <c r="C6881" s="22" t="s">
        <v>2236</v>
      </c>
      <c r="D6881" s="18">
        <v>2021</v>
      </c>
      <c r="E6881" s="18" t="s">
        <v>0</v>
      </c>
      <c r="F6881" s="4">
        <v>1</v>
      </c>
      <c r="G6881" s="4">
        <v>15</v>
      </c>
      <c r="H6881" s="4">
        <v>40.110999999999997</v>
      </c>
    </row>
    <row r="6882" spans="1:8" s="15" customFormat="1" ht="28.5" hidden="1" customHeight="1" outlineLevel="1" x14ac:dyDescent="0.25">
      <c r="A6882" s="46">
        <v>10272</v>
      </c>
      <c r="B6882" s="4" t="s">
        <v>249</v>
      </c>
      <c r="C6882" s="22" t="s">
        <v>2237</v>
      </c>
      <c r="D6882" s="18">
        <v>2021</v>
      </c>
      <c r="E6882" s="18" t="s">
        <v>0</v>
      </c>
      <c r="F6882" s="4">
        <v>1</v>
      </c>
      <c r="G6882" s="4">
        <v>10</v>
      </c>
      <c r="H6882" s="4">
        <v>26.638000000000002</v>
      </c>
    </row>
    <row r="6883" spans="1:8" s="15" customFormat="1" ht="28.5" hidden="1" customHeight="1" outlineLevel="1" x14ac:dyDescent="0.25">
      <c r="A6883" s="45">
        <v>2169</v>
      </c>
      <c r="B6883" s="4" t="s">
        <v>249</v>
      </c>
      <c r="C6883" s="22" t="s">
        <v>2238</v>
      </c>
      <c r="D6883" s="18">
        <v>2021</v>
      </c>
      <c r="E6883" s="18" t="s">
        <v>0</v>
      </c>
      <c r="F6883" s="4">
        <v>1</v>
      </c>
      <c r="G6883" s="4">
        <v>10</v>
      </c>
      <c r="H6883" s="4">
        <v>40.404000000000003</v>
      </c>
    </row>
    <row r="6884" spans="1:8" s="15" customFormat="1" ht="28.5" hidden="1" customHeight="1" outlineLevel="1" x14ac:dyDescent="0.25">
      <c r="A6884" s="46">
        <v>10271</v>
      </c>
      <c r="B6884" s="4" t="s">
        <v>249</v>
      </c>
      <c r="C6884" s="22" t="s">
        <v>2239</v>
      </c>
      <c r="D6884" s="18">
        <v>2021</v>
      </c>
      <c r="E6884" s="18" t="s">
        <v>0</v>
      </c>
      <c r="F6884" s="4">
        <v>1</v>
      </c>
      <c r="G6884" s="4">
        <v>3</v>
      </c>
      <c r="H6884" s="4">
        <v>90.224999999999994</v>
      </c>
    </row>
    <row r="6885" spans="1:8" s="15" customFormat="1" ht="28.5" hidden="1" customHeight="1" outlineLevel="1" x14ac:dyDescent="0.25">
      <c r="A6885" s="46">
        <v>10266</v>
      </c>
      <c r="B6885" s="4" t="s">
        <v>249</v>
      </c>
      <c r="C6885" s="22" t="s">
        <v>2240</v>
      </c>
      <c r="D6885" s="18">
        <v>2021</v>
      </c>
      <c r="E6885" s="18" t="s">
        <v>0</v>
      </c>
      <c r="F6885" s="4">
        <v>1</v>
      </c>
      <c r="G6885" s="4">
        <v>5</v>
      </c>
      <c r="H6885" s="4">
        <v>27.99</v>
      </c>
    </row>
    <row r="6886" spans="1:8" s="15" customFormat="1" ht="28.5" hidden="1" customHeight="1" outlineLevel="1" x14ac:dyDescent="0.25">
      <c r="A6886" s="45">
        <v>2156</v>
      </c>
      <c r="B6886" s="4" t="s">
        <v>249</v>
      </c>
      <c r="C6886" s="22" t="s">
        <v>2241</v>
      </c>
      <c r="D6886" s="18">
        <v>2021</v>
      </c>
      <c r="E6886" s="18" t="s">
        <v>0</v>
      </c>
      <c r="F6886" s="4">
        <v>1</v>
      </c>
      <c r="G6886" s="4">
        <v>5</v>
      </c>
      <c r="H6886" s="4">
        <v>28.908999999999999</v>
      </c>
    </row>
    <row r="6887" spans="1:8" s="15" customFormat="1" ht="28.5" hidden="1" customHeight="1" outlineLevel="1" x14ac:dyDescent="0.25">
      <c r="A6887" s="18">
        <v>10902</v>
      </c>
      <c r="B6887" s="4" t="s">
        <v>249</v>
      </c>
      <c r="C6887" s="22" t="s">
        <v>2242</v>
      </c>
      <c r="D6887" s="18">
        <v>2021</v>
      </c>
      <c r="E6887" s="18" t="s">
        <v>0</v>
      </c>
      <c r="F6887" s="4">
        <v>1</v>
      </c>
      <c r="G6887" s="4">
        <v>10</v>
      </c>
      <c r="H6887" s="4">
        <v>30.327999999999999</v>
      </c>
    </row>
    <row r="6888" spans="1:8" s="15" customFormat="1" ht="28.5" hidden="1" customHeight="1" outlineLevel="1" x14ac:dyDescent="0.25">
      <c r="A6888" s="45">
        <v>2168</v>
      </c>
      <c r="B6888" s="4" t="s">
        <v>249</v>
      </c>
      <c r="C6888" s="22" t="s">
        <v>2243</v>
      </c>
      <c r="D6888" s="18">
        <v>2021</v>
      </c>
      <c r="E6888" s="18" t="s">
        <v>0</v>
      </c>
      <c r="F6888" s="4">
        <v>1</v>
      </c>
      <c r="G6888" s="4">
        <v>10</v>
      </c>
      <c r="H6888" s="4">
        <v>20.995000000000001</v>
      </c>
    </row>
    <row r="6889" spans="1:8" s="15" customFormat="1" ht="28.5" hidden="1" customHeight="1" outlineLevel="1" x14ac:dyDescent="0.25">
      <c r="A6889" s="45">
        <v>2183</v>
      </c>
      <c r="B6889" s="4" t="s">
        <v>249</v>
      </c>
      <c r="C6889" s="22" t="s">
        <v>2244</v>
      </c>
      <c r="D6889" s="18">
        <v>2021</v>
      </c>
      <c r="E6889" s="18" t="s">
        <v>0</v>
      </c>
      <c r="F6889" s="4">
        <v>1</v>
      </c>
      <c r="G6889" s="4">
        <v>10</v>
      </c>
      <c r="H6889" s="4">
        <v>23.849</v>
      </c>
    </row>
    <row r="6890" spans="1:8" s="15" customFormat="1" ht="28.5" hidden="1" customHeight="1" outlineLevel="1" x14ac:dyDescent="0.25">
      <c r="A6890" s="46">
        <v>10274</v>
      </c>
      <c r="B6890" s="4" t="s">
        <v>249</v>
      </c>
      <c r="C6890" s="22" t="s">
        <v>2245</v>
      </c>
      <c r="D6890" s="18">
        <v>2021</v>
      </c>
      <c r="E6890" s="18" t="s">
        <v>0</v>
      </c>
      <c r="F6890" s="4">
        <v>1</v>
      </c>
      <c r="G6890" s="4">
        <v>7</v>
      </c>
      <c r="H6890" s="4">
        <v>21.567</v>
      </c>
    </row>
    <row r="6891" spans="1:8" s="15" customFormat="1" ht="28.5" hidden="1" customHeight="1" outlineLevel="1" x14ac:dyDescent="0.25">
      <c r="A6891" s="45">
        <v>2161</v>
      </c>
      <c r="B6891" s="4" t="s">
        <v>249</v>
      </c>
      <c r="C6891" s="22" t="s">
        <v>2246</v>
      </c>
      <c r="D6891" s="18">
        <v>2021</v>
      </c>
      <c r="E6891" s="18" t="s">
        <v>0</v>
      </c>
      <c r="F6891" s="4">
        <v>1</v>
      </c>
      <c r="G6891" s="4">
        <v>6</v>
      </c>
      <c r="H6891" s="4">
        <v>40.067999999999998</v>
      </c>
    </row>
    <row r="6892" spans="1:8" s="15" customFormat="1" ht="28.5" hidden="1" customHeight="1" outlineLevel="1" x14ac:dyDescent="0.25">
      <c r="A6892" s="45">
        <v>2179</v>
      </c>
      <c r="B6892" s="4" t="s">
        <v>249</v>
      </c>
      <c r="C6892" s="22" t="s">
        <v>2247</v>
      </c>
      <c r="D6892" s="18">
        <v>2021</v>
      </c>
      <c r="E6892" s="18" t="s">
        <v>0</v>
      </c>
      <c r="F6892" s="4">
        <v>1</v>
      </c>
      <c r="G6892" s="4">
        <v>5</v>
      </c>
      <c r="H6892" s="4">
        <v>35.728000000000002</v>
      </c>
    </row>
    <row r="6893" spans="1:8" s="15" customFormat="1" ht="28.5" hidden="1" customHeight="1" outlineLevel="1" x14ac:dyDescent="0.25">
      <c r="A6893" s="46">
        <v>10275</v>
      </c>
      <c r="B6893" s="4" t="s">
        <v>249</v>
      </c>
      <c r="C6893" s="22" t="s">
        <v>2248</v>
      </c>
      <c r="D6893" s="18">
        <v>2021</v>
      </c>
      <c r="E6893" s="18" t="s">
        <v>0</v>
      </c>
      <c r="F6893" s="4">
        <v>1</v>
      </c>
      <c r="G6893" s="4">
        <v>1.2</v>
      </c>
      <c r="H6893" s="4">
        <v>19.706</v>
      </c>
    </row>
    <row r="6894" spans="1:8" s="15" customFormat="1" ht="28.5" hidden="1" customHeight="1" outlineLevel="1" x14ac:dyDescent="0.25">
      <c r="A6894" s="46">
        <v>9501</v>
      </c>
      <c r="B6894" s="4" t="s">
        <v>249</v>
      </c>
      <c r="C6894" s="22" t="s">
        <v>1991</v>
      </c>
      <c r="D6894" s="18">
        <v>2021</v>
      </c>
      <c r="E6894" s="18" t="s">
        <v>0</v>
      </c>
      <c r="F6894" s="4">
        <v>5</v>
      </c>
      <c r="G6894" s="4">
        <v>115</v>
      </c>
      <c r="H6894" s="4">
        <v>121.22199999999999</v>
      </c>
    </row>
    <row r="6895" spans="1:8" s="15" customFormat="1" ht="28.5" hidden="1" customHeight="1" outlineLevel="1" x14ac:dyDescent="0.25">
      <c r="A6895" s="45">
        <v>2159</v>
      </c>
      <c r="B6895" s="4" t="s">
        <v>249</v>
      </c>
      <c r="C6895" s="22" t="s">
        <v>2249</v>
      </c>
      <c r="D6895" s="18">
        <v>2021</v>
      </c>
      <c r="E6895" s="18" t="s">
        <v>0</v>
      </c>
      <c r="F6895" s="4">
        <v>1</v>
      </c>
      <c r="G6895" s="4">
        <v>6</v>
      </c>
      <c r="H6895" s="4">
        <v>21.234999999999999</v>
      </c>
    </row>
    <row r="6896" spans="1:8" s="15" customFormat="1" ht="28.5" hidden="1" customHeight="1" outlineLevel="1" x14ac:dyDescent="0.25">
      <c r="A6896" s="46">
        <v>10270</v>
      </c>
      <c r="B6896" s="4" t="s">
        <v>249</v>
      </c>
      <c r="C6896" s="22" t="s">
        <v>2250</v>
      </c>
      <c r="D6896" s="18">
        <v>2021</v>
      </c>
      <c r="E6896" s="18" t="s">
        <v>0</v>
      </c>
      <c r="F6896" s="4">
        <v>1</v>
      </c>
      <c r="G6896" s="4">
        <v>15</v>
      </c>
      <c r="H6896" s="4">
        <v>20.86</v>
      </c>
    </row>
    <row r="6897" spans="1:8" s="15" customFormat="1" ht="28.5" hidden="1" customHeight="1" outlineLevel="1" x14ac:dyDescent="0.25">
      <c r="A6897" s="45">
        <v>2178</v>
      </c>
      <c r="B6897" s="4" t="s">
        <v>249</v>
      </c>
      <c r="C6897" s="22" t="s">
        <v>2251</v>
      </c>
      <c r="D6897" s="18">
        <v>2021</v>
      </c>
      <c r="E6897" s="18" t="s">
        <v>0</v>
      </c>
      <c r="F6897" s="4">
        <v>1</v>
      </c>
      <c r="G6897" s="4">
        <v>5</v>
      </c>
      <c r="H6897" s="4">
        <v>25.597999999999999</v>
      </c>
    </row>
    <row r="6898" spans="1:8" s="15" customFormat="1" ht="28.5" hidden="1" customHeight="1" outlineLevel="1" x14ac:dyDescent="0.25">
      <c r="A6898" s="45">
        <v>2185</v>
      </c>
      <c r="B6898" s="4" t="s">
        <v>249</v>
      </c>
      <c r="C6898" s="22" t="s">
        <v>2252</v>
      </c>
      <c r="D6898" s="18">
        <v>2021</v>
      </c>
      <c r="E6898" s="18" t="s">
        <v>0</v>
      </c>
      <c r="F6898" s="4">
        <v>1</v>
      </c>
      <c r="G6898" s="4">
        <v>5</v>
      </c>
      <c r="H6898" s="4">
        <v>22.363</v>
      </c>
    </row>
    <row r="6899" spans="1:8" s="15" customFormat="1" ht="28.5" hidden="1" customHeight="1" outlineLevel="1" x14ac:dyDescent="0.25">
      <c r="A6899" s="45">
        <v>2177</v>
      </c>
      <c r="B6899" s="4" t="s">
        <v>249</v>
      </c>
      <c r="C6899" s="22" t="s">
        <v>2253</v>
      </c>
      <c r="D6899" s="18">
        <v>2021</v>
      </c>
      <c r="E6899" s="18" t="s">
        <v>0</v>
      </c>
      <c r="F6899" s="4">
        <v>1</v>
      </c>
      <c r="G6899" s="4">
        <v>5</v>
      </c>
      <c r="H6899" s="4">
        <v>24.832999999999998</v>
      </c>
    </row>
    <row r="6900" spans="1:8" s="15" customFormat="1" ht="28.5" hidden="1" customHeight="1" outlineLevel="1" x14ac:dyDescent="0.25">
      <c r="A6900" s="46">
        <v>9468</v>
      </c>
      <c r="B6900" s="4" t="s">
        <v>249</v>
      </c>
      <c r="C6900" s="22" t="s">
        <v>1540</v>
      </c>
      <c r="D6900" s="18">
        <v>2021</v>
      </c>
      <c r="E6900" s="18" t="s">
        <v>0</v>
      </c>
      <c r="F6900" s="4">
        <v>1</v>
      </c>
      <c r="G6900" s="4">
        <v>15</v>
      </c>
      <c r="H6900" s="4">
        <v>34.356999999999999</v>
      </c>
    </row>
    <row r="6901" spans="1:8" s="15" customFormat="1" ht="28.5" hidden="1" customHeight="1" outlineLevel="1" x14ac:dyDescent="0.25">
      <c r="A6901" s="46">
        <v>10263</v>
      </c>
      <c r="B6901" s="4" t="s">
        <v>249</v>
      </c>
      <c r="C6901" s="22" t="s">
        <v>2254</v>
      </c>
      <c r="D6901" s="18">
        <v>2021</v>
      </c>
      <c r="E6901" s="18" t="s">
        <v>0</v>
      </c>
      <c r="F6901" s="4">
        <v>1</v>
      </c>
      <c r="G6901" s="4">
        <v>5</v>
      </c>
      <c r="H6901" s="4">
        <v>25.393999999999998</v>
      </c>
    </row>
    <row r="6902" spans="1:8" s="15" customFormat="1" ht="28.5" hidden="1" customHeight="1" outlineLevel="1" x14ac:dyDescent="0.25">
      <c r="A6902" s="46">
        <v>10258</v>
      </c>
      <c r="B6902" s="4" t="s">
        <v>249</v>
      </c>
      <c r="C6902" s="22" t="s">
        <v>2255</v>
      </c>
      <c r="D6902" s="18">
        <v>2021</v>
      </c>
      <c r="E6902" s="18" t="s">
        <v>0</v>
      </c>
      <c r="F6902" s="4">
        <v>1</v>
      </c>
      <c r="G6902" s="4">
        <v>5</v>
      </c>
      <c r="H6902" s="4">
        <v>39.621000000000002</v>
      </c>
    </row>
    <row r="6903" spans="1:8" s="15" customFormat="1" ht="28.5" hidden="1" customHeight="1" outlineLevel="1" x14ac:dyDescent="0.25">
      <c r="A6903" s="46">
        <v>10265</v>
      </c>
      <c r="B6903" s="4" t="s">
        <v>249</v>
      </c>
      <c r="C6903" s="22" t="s">
        <v>2256</v>
      </c>
      <c r="D6903" s="18">
        <v>2021</v>
      </c>
      <c r="E6903" s="18" t="s">
        <v>0</v>
      </c>
      <c r="F6903" s="4">
        <v>1</v>
      </c>
      <c r="G6903" s="4">
        <v>15</v>
      </c>
      <c r="H6903" s="4">
        <v>22.489000000000001</v>
      </c>
    </row>
    <row r="6904" spans="1:8" s="15" customFormat="1" ht="28.5" hidden="1" customHeight="1" outlineLevel="1" x14ac:dyDescent="0.25">
      <c r="A6904" s="18">
        <v>10903</v>
      </c>
      <c r="B6904" s="4" t="s">
        <v>249</v>
      </c>
      <c r="C6904" s="22" t="s">
        <v>2257</v>
      </c>
      <c r="D6904" s="18">
        <v>2021</v>
      </c>
      <c r="E6904" s="18" t="s">
        <v>0</v>
      </c>
      <c r="F6904" s="4">
        <v>1</v>
      </c>
      <c r="G6904" s="4">
        <v>1.25</v>
      </c>
      <c r="H6904" s="4">
        <v>22.766999999999999</v>
      </c>
    </row>
    <row r="6905" spans="1:8" s="15" customFormat="1" ht="28.5" hidden="1" customHeight="1" outlineLevel="1" x14ac:dyDescent="0.25">
      <c r="A6905" s="18">
        <v>10904</v>
      </c>
      <c r="B6905" s="4" t="s">
        <v>249</v>
      </c>
      <c r="C6905" s="22" t="s">
        <v>2258</v>
      </c>
      <c r="D6905" s="18">
        <v>2021</v>
      </c>
      <c r="E6905" s="18" t="s">
        <v>0</v>
      </c>
      <c r="F6905" s="4">
        <v>1</v>
      </c>
      <c r="G6905" s="4">
        <v>0.75</v>
      </c>
      <c r="H6905" s="4">
        <v>23.042000000000002</v>
      </c>
    </row>
    <row r="6906" spans="1:8" s="15" customFormat="1" ht="28.5" hidden="1" customHeight="1" outlineLevel="1" x14ac:dyDescent="0.25">
      <c r="A6906" s="46">
        <v>10273</v>
      </c>
      <c r="B6906" s="4" t="s">
        <v>249</v>
      </c>
      <c r="C6906" s="22" t="s">
        <v>2259</v>
      </c>
      <c r="D6906" s="18">
        <v>2021</v>
      </c>
      <c r="E6906" s="18" t="s">
        <v>0</v>
      </c>
      <c r="F6906" s="4">
        <v>1</v>
      </c>
      <c r="G6906" s="4">
        <v>15</v>
      </c>
      <c r="H6906" s="4">
        <v>24.222999999999999</v>
      </c>
    </row>
    <row r="6907" spans="1:8" s="15" customFormat="1" ht="28.5" hidden="1" customHeight="1" outlineLevel="1" x14ac:dyDescent="0.25">
      <c r="A6907" s="18">
        <v>2164</v>
      </c>
      <c r="B6907" s="4" t="s">
        <v>249</v>
      </c>
      <c r="C6907" s="22" t="s">
        <v>2260</v>
      </c>
      <c r="D6907" s="18">
        <v>2021</v>
      </c>
      <c r="E6907" s="18" t="s">
        <v>0</v>
      </c>
      <c r="F6907" s="4">
        <v>1</v>
      </c>
      <c r="G6907" s="4">
        <v>10</v>
      </c>
      <c r="H6907" s="4">
        <v>24.99</v>
      </c>
    </row>
    <row r="6908" spans="1:8" s="15" customFormat="1" ht="28.5" hidden="1" customHeight="1" outlineLevel="1" x14ac:dyDescent="0.25">
      <c r="A6908" s="45">
        <v>2165</v>
      </c>
      <c r="B6908" s="4" t="s">
        <v>249</v>
      </c>
      <c r="C6908" s="22" t="s">
        <v>2261</v>
      </c>
      <c r="D6908" s="18">
        <v>2021</v>
      </c>
      <c r="E6908" s="18" t="s">
        <v>0</v>
      </c>
      <c r="F6908" s="4">
        <v>1</v>
      </c>
      <c r="G6908" s="4">
        <v>10</v>
      </c>
      <c r="H6908" s="4">
        <v>22.78</v>
      </c>
    </row>
    <row r="6909" spans="1:8" s="15" customFormat="1" ht="28.5" hidden="1" customHeight="1" outlineLevel="1" x14ac:dyDescent="0.25">
      <c r="A6909" s="46">
        <v>9101</v>
      </c>
      <c r="B6909" s="4" t="s">
        <v>249</v>
      </c>
      <c r="C6909" s="22" t="s">
        <v>2262</v>
      </c>
      <c r="D6909" s="18">
        <v>2021</v>
      </c>
      <c r="E6909" s="18" t="s">
        <v>0</v>
      </c>
      <c r="F6909" s="4">
        <v>1</v>
      </c>
      <c r="G6909" s="4">
        <v>5</v>
      </c>
      <c r="H6909" s="4">
        <v>24.39</v>
      </c>
    </row>
    <row r="6910" spans="1:8" s="15" customFormat="1" ht="28.5" hidden="1" customHeight="1" outlineLevel="1" x14ac:dyDescent="0.25">
      <c r="A6910" s="45">
        <v>2155</v>
      </c>
      <c r="B6910" s="4" t="s">
        <v>249</v>
      </c>
      <c r="C6910" s="22" t="s">
        <v>2263</v>
      </c>
      <c r="D6910" s="18">
        <v>2021</v>
      </c>
      <c r="E6910" s="18" t="s">
        <v>0</v>
      </c>
      <c r="F6910" s="4">
        <v>1</v>
      </c>
      <c r="G6910" s="4">
        <v>7</v>
      </c>
      <c r="H6910" s="4">
        <v>23.577999999999999</v>
      </c>
    </row>
    <row r="6911" spans="1:8" s="15" customFormat="1" ht="28.5" hidden="1" customHeight="1" outlineLevel="1" x14ac:dyDescent="0.25">
      <c r="A6911" s="46">
        <v>10262</v>
      </c>
      <c r="B6911" s="4" t="s">
        <v>249</v>
      </c>
      <c r="C6911" s="22" t="s">
        <v>2264</v>
      </c>
      <c r="D6911" s="18">
        <v>2021</v>
      </c>
      <c r="E6911" s="18" t="s">
        <v>0</v>
      </c>
      <c r="F6911" s="4">
        <v>1</v>
      </c>
      <c r="G6911" s="4">
        <v>10</v>
      </c>
      <c r="H6911" s="4">
        <v>24.565000000000001</v>
      </c>
    </row>
    <row r="6912" spans="1:8" s="15" customFormat="1" ht="28.5" hidden="1" customHeight="1" outlineLevel="1" x14ac:dyDescent="0.25">
      <c r="A6912" s="46">
        <v>10260</v>
      </c>
      <c r="B6912" s="4" t="s">
        <v>249</v>
      </c>
      <c r="C6912" s="22" t="s">
        <v>2265</v>
      </c>
      <c r="D6912" s="18">
        <v>2021</v>
      </c>
      <c r="E6912" s="18" t="s">
        <v>0</v>
      </c>
      <c r="F6912" s="4">
        <v>1</v>
      </c>
      <c r="G6912" s="4">
        <v>10</v>
      </c>
      <c r="H6912" s="4">
        <v>22.832999999999998</v>
      </c>
    </row>
    <row r="6913" spans="1:8" s="15" customFormat="1" ht="28.5" hidden="1" customHeight="1" outlineLevel="1" x14ac:dyDescent="0.25">
      <c r="A6913" s="46">
        <v>10259</v>
      </c>
      <c r="B6913" s="4" t="s">
        <v>249</v>
      </c>
      <c r="C6913" s="22" t="s">
        <v>2266</v>
      </c>
      <c r="D6913" s="18">
        <v>2021</v>
      </c>
      <c r="E6913" s="18" t="s">
        <v>0</v>
      </c>
      <c r="F6913" s="4">
        <v>1</v>
      </c>
      <c r="G6913" s="4">
        <v>10</v>
      </c>
      <c r="H6913" s="4">
        <v>24.024999999999999</v>
      </c>
    </row>
    <row r="6914" spans="1:8" s="15" customFormat="1" ht="28.5" hidden="1" customHeight="1" outlineLevel="1" x14ac:dyDescent="0.25">
      <c r="A6914" s="46">
        <v>10268</v>
      </c>
      <c r="B6914" s="4" t="s">
        <v>249</v>
      </c>
      <c r="C6914" s="22" t="s">
        <v>2267</v>
      </c>
      <c r="D6914" s="18">
        <v>2021</v>
      </c>
      <c r="E6914" s="18" t="s">
        <v>0</v>
      </c>
      <c r="F6914" s="4">
        <v>1</v>
      </c>
      <c r="G6914" s="4">
        <v>5</v>
      </c>
      <c r="H6914" s="4">
        <v>22.96</v>
      </c>
    </row>
    <row r="6915" spans="1:8" s="15" customFormat="1" ht="28.5" hidden="1" customHeight="1" outlineLevel="1" x14ac:dyDescent="0.25">
      <c r="A6915" s="45">
        <v>2171</v>
      </c>
      <c r="B6915" s="4" t="s">
        <v>249</v>
      </c>
      <c r="C6915" s="22" t="s">
        <v>2268</v>
      </c>
      <c r="D6915" s="18">
        <v>2021</v>
      </c>
      <c r="E6915" s="18" t="s">
        <v>0</v>
      </c>
      <c r="F6915" s="4">
        <v>1</v>
      </c>
      <c r="G6915" s="4">
        <v>5</v>
      </c>
      <c r="H6915" s="4">
        <v>24.466000000000001</v>
      </c>
    </row>
    <row r="6916" spans="1:8" s="15" customFormat="1" ht="28.5" hidden="1" customHeight="1" outlineLevel="1" x14ac:dyDescent="0.25">
      <c r="A6916" s="45">
        <v>2172</v>
      </c>
      <c r="B6916" s="4" t="s">
        <v>249</v>
      </c>
      <c r="C6916" s="22" t="s">
        <v>2269</v>
      </c>
      <c r="D6916" s="18">
        <v>2021</v>
      </c>
      <c r="E6916" s="18" t="s">
        <v>0</v>
      </c>
      <c r="F6916" s="4">
        <v>1</v>
      </c>
      <c r="G6916" s="4">
        <v>10</v>
      </c>
      <c r="H6916" s="4">
        <v>21.846</v>
      </c>
    </row>
    <row r="6917" spans="1:8" s="15" customFormat="1" ht="28.5" hidden="1" customHeight="1" outlineLevel="1" x14ac:dyDescent="0.25">
      <c r="A6917" s="45">
        <v>2174</v>
      </c>
      <c r="B6917" s="4" t="s">
        <v>249</v>
      </c>
      <c r="C6917" s="22" t="s">
        <v>2270</v>
      </c>
      <c r="D6917" s="18">
        <v>2021</v>
      </c>
      <c r="E6917" s="18" t="s">
        <v>0</v>
      </c>
      <c r="F6917" s="4">
        <v>1</v>
      </c>
      <c r="G6917" s="4">
        <v>7</v>
      </c>
      <c r="H6917" s="4">
        <v>24.154</v>
      </c>
    </row>
    <row r="6918" spans="1:8" s="15" customFormat="1" ht="28.5" hidden="1" customHeight="1" outlineLevel="1" x14ac:dyDescent="0.25">
      <c r="A6918" s="18">
        <v>10905</v>
      </c>
      <c r="B6918" s="4" t="s">
        <v>249</v>
      </c>
      <c r="C6918" s="22" t="s">
        <v>2271</v>
      </c>
      <c r="D6918" s="18">
        <v>2021</v>
      </c>
      <c r="E6918" s="18" t="s">
        <v>0</v>
      </c>
      <c r="F6918" s="4">
        <v>1</v>
      </c>
      <c r="G6918" s="4">
        <v>0.05</v>
      </c>
      <c r="H6918" s="4">
        <v>26.645</v>
      </c>
    </row>
    <row r="6919" spans="1:8" s="15" customFormat="1" ht="28.5" hidden="1" customHeight="1" outlineLevel="1" x14ac:dyDescent="0.25">
      <c r="A6919" s="18">
        <v>2146</v>
      </c>
      <c r="B6919" s="4" t="s">
        <v>249</v>
      </c>
      <c r="C6919" s="22" t="s">
        <v>2272</v>
      </c>
      <c r="D6919" s="18">
        <v>2021</v>
      </c>
      <c r="E6919" s="18" t="s">
        <v>0</v>
      </c>
      <c r="F6919" s="4">
        <v>1</v>
      </c>
      <c r="G6919" s="4">
        <v>0.05</v>
      </c>
      <c r="H6919" s="4">
        <v>24.007000000000001</v>
      </c>
    </row>
    <row r="6920" spans="1:8" s="15" customFormat="1" ht="28.5" hidden="1" customHeight="1" outlineLevel="1" x14ac:dyDescent="0.25">
      <c r="A6920" s="45">
        <v>2173</v>
      </c>
      <c r="B6920" s="4" t="s">
        <v>249</v>
      </c>
      <c r="C6920" s="22" t="s">
        <v>2273</v>
      </c>
      <c r="D6920" s="18">
        <v>2021</v>
      </c>
      <c r="E6920" s="18" t="s">
        <v>0</v>
      </c>
      <c r="F6920" s="4">
        <v>1</v>
      </c>
      <c r="G6920" s="4">
        <v>5</v>
      </c>
      <c r="H6920" s="4">
        <v>24.466000000000001</v>
      </c>
    </row>
    <row r="6921" spans="1:8" s="15" customFormat="1" ht="28.5" hidden="1" customHeight="1" outlineLevel="1" x14ac:dyDescent="0.25">
      <c r="A6921" s="46">
        <v>10269</v>
      </c>
      <c r="B6921" s="4" t="s">
        <v>249</v>
      </c>
      <c r="C6921" s="22" t="s">
        <v>2274</v>
      </c>
      <c r="D6921" s="18">
        <v>2021</v>
      </c>
      <c r="E6921" s="18" t="s">
        <v>0</v>
      </c>
      <c r="F6921" s="4">
        <v>1</v>
      </c>
      <c r="G6921" s="4">
        <v>5</v>
      </c>
      <c r="H6921" s="4">
        <v>24.46</v>
      </c>
    </row>
    <row r="6922" spans="1:8" s="15" customFormat="1" ht="28.5" hidden="1" customHeight="1" outlineLevel="1" x14ac:dyDescent="0.25">
      <c r="A6922" s="46">
        <v>10261</v>
      </c>
      <c r="B6922" s="4" t="s">
        <v>249</v>
      </c>
      <c r="C6922" s="22" t="s">
        <v>2275</v>
      </c>
      <c r="D6922" s="18">
        <v>2021</v>
      </c>
      <c r="E6922" s="18" t="s">
        <v>0</v>
      </c>
      <c r="F6922" s="4">
        <v>1</v>
      </c>
      <c r="G6922" s="4">
        <v>7</v>
      </c>
      <c r="H6922" s="4">
        <v>24.707999999999998</v>
      </c>
    </row>
    <row r="6923" spans="1:8" s="15" customFormat="1" ht="28.5" hidden="1" customHeight="1" outlineLevel="1" x14ac:dyDescent="0.25">
      <c r="A6923" s="45">
        <v>2162</v>
      </c>
      <c r="B6923" s="4" t="s">
        <v>249</v>
      </c>
      <c r="C6923" s="22" t="s">
        <v>2276</v>
      </c>
      <c r="D6923" s="18">
        <v>2021</v>
      </c>
      <c r="E6923" s="18" t="s">
        <v>0</v>
      </c>
      <c r="F6923" s="4">
        <v>1</v>
      </c>
      <c r="G6923" s="4">
        <v>5</v>
      </c>
      <c r="H6923" s="4">
        <v>24.727</v>
      </c>
    </row>
    <row r="6924" spans="1:8" s="15" customFormat="1" ht="28.5" hidden="1" customHeight="1" outlineLevel="1" x14ac:dyDescent="0.25">
      <c r="A6924" s="45">
        <v>2149</v>
      </c>
      <c r="B6924" s="4" t="s">
        <v>249</v>
      </c>
      <c r="C6924" s="22" t="s">
        <v>2277</v>
      </c>
      <c r="D6924" s="18">
        <v>2021</v>
      </c>
      <c r="E6924" s="18" t="s">
        <v>0</v>
      </c>
      <c r="F6924" s="4">
        <v>1</v>
      </c>
      <c r="G6924" s="4">
        <v>5</v>
      </c>
      <c r="H6924" s="4">
        <v>25.669</v>
      </c>
    </row>
    <row r="6925" spans="1:8" s="15" customFormat="1" ht="28.5" hidden="1" customHeight="1" outlineLevel="1" x14ac:dyDescent="0.25">
      <c r="A6925" s="45">
        <v>2163</v>
      </c>
      <c r="B6925" s="4" t="s">
        <v>249</v>
      </c>
      <c r="C6925" s="22" t="s">
        <v>2278</v>
      </c>
      <c r="D6925" s="18">
        <v>2021</v>
      </c>
      <c r="E6925" s="18" t="s">
        <v>0</v>
      </c>
      <c r="F6925" s="4">
        <v>1</v>
      </c>
      <c r="G6925" s="4">
        <v>5</v>
      </c>
      <c r="H6925" s="4">
        <v>25.672999999999998</v>
      </c>
    </row>
    <row r="6926" spans="1:8" s="15" customFormat="1" ht="28.5" hidden="1" customHeight="1" outlineLevel="1" x14ac:dyDescent="0.25">
      <c r="A6926" s="46">
        <v>10267</v>
      </c>
      <c r="B6926" s="4" t="s">
        <v>249</v>
      </c>
      <c r="C6926" s="22" t="s">
        <v>2279</v>
      </c>
      <c r="D6926" s="18">
        <v>2021</v>
      </c>
      <c r="E6926" s="18" t="s">
        <v>0</v>
      </c>
      <c r="F6926" s="4">
        <v>1</v>
      </c>
      <c r="G6926" s="4">
        <v>7</v>
      </c>
      <c r="H6926" s="4">
        <v>25.867999999999999</v>
      </c>
    </row>
    <row r="6927" spans="1:8" s="15" customFormat="1" ht="28.5" hidden="1" customHeight="1" outlineLevel="1" x14ac:dyDescent="0.25">
      <c r="A6927" s="45">
        <v>2170</v>
      </c>
      <c r="B6927" s="4" t="s">
        <v>249</v>
      </c>
      <c r="C6927" s="22" t="s">
        <v>2280</v>
      </c>
      <c r="D6927" s="18">
        <v>2021</v>
      </c>
      <c r="E6927" s="18" t="s">
        <v>0</v>
      </c>
      <c r="F6927" s="4">
        <v>1</v>
      </c>
      <c r="G6927" s="4">
        <v>5</v>
      </c>
      <c r="H6927" s="4">
        <v>23.635000000000002</v>
      </c>
    </row>
    <row r="6928" spans="1:8" s="15" customFormat="1" ht="28.5" hidden="1" customHeight="1" outlineLevel="1" x14ac:dyDescent="0.25">
      <c r="A6928" s="45">
        <v>2187</v>
      </c>
      <c r="B6928" s="4" t="s">
        <v>249</v>
      </c>
      <c r="C6928" s="22" t="s">
        <v>2281</v>
      </c>
      <c r="D6928" s="18">
        <v>2021</v>
      </c>
      <c r="E6928" s="18" t="s">
        <v>0</v>
      </c>
      <c r="F6928" s="4">
        <v>1</v>
      </c>
      <c r="G6928" s="4">
        <v>5</v>
      </c>
      <c r="H6928" s="4">
        <v>25.318000000000001</v>
      </c>
    </row>
    <row r="6929" spans="1:8" s="15" customFormat="1" ht="28.5" hidden="1" customHeight="1" outlineLevel="1" x14ac:dyDescent="0.25">
      <c r="A6929" s="45">
        <v>2158</v>
      </c>
      <c r="B6929" s="4" t="s">
        <v>249</v>
      </c>
      <c r="C6929" s="22" t="s">
        <v>2282</v>
      </c>
      <c r="D6929" s="18">
        <v>2021</v>
      </c>
      <c r="E6929" s="18" t="s">
        <v>0</v>
      </c>
      <c r="F6929" s="4">
        <v>1</v>
      </c>
      <c r="G6929" s="4">
        <v>5</v>
      </c>
      <c r="H6929" s="4">
        <v>22.317</v>
      </c>
    </row>
    <row r="6930" spans="1:8" s="15" customFormat="1" ht="28.5" hidden="1" customHeight="1" outlineLevel="1" x14ac:dyDescent="0.25">
      <c r="A6930" s="45">
        <v>2186</v>
      </c>
      <c r="B6930" s="4" t="s">
        <v>249</v>
      </c>
      <c r="C6930" s="22" t="s">
        <v>2283</v>
      </c>
      <c r="D6930" s="18">
        <v>2021</v>
      </c>
      <c r="E6930" s="18" t="s">
        <v>0</v>
      </c>
      <c r="F6930" s="4">
        <v>1</v>
      </c>
      <c r="G6930" s="4">
        <v>10</v>
      </c>
      <c r="H6930" s="4">
        <v>23.161000000000001</v>
      </c>
    </row>
    <row r="6931" spans="1:8" s="15" customFormat="1" ht="28.5" hidden="1" customHeight="1" outlineLevel="1" x14ac:dyDescent="0.25">
      <c r="A6931" s="45">
        <v>2151</v>
      </c>
      <c r="B6931" s="4" t="s">
        <v>249</v>
      </c>
      <c r="C6931" s="22" t="s">
        <v>2284</v>
      </c>
      <c r="D6931" s="18">
        <v>2021</v>
      </c>
      <c r="E6931" s="18" t="s">
        <v>0</v>
      </c>
      <c r="F6931" s="4">
        <v>1</v>
      </c>
      <c r="G6931" s="4">
        <v>15</v>
      </c>
      <c r="H6931" s="4">
        <v>24.178999999999998</v>
      </c>
    </row>
    <row r="6932" spans="1:8" s="15" customFormat="1" ht="28.5" hidden="1" customHeight="1" outlineLevel="1" x14ac:dyDescent="0.25">
      <c r="A6932" s="45">
        <v>2152</v>
      </c>
      <c r="B6932" s="4" t="s">
        <v>249</v>
      </c>
      <c r="C6932" s="22" t="s">
        <v>2285</v>
      </c>
      <c r="D6932" s="18">
        <v>2021</v>
      </c>
      <c r="E6932" s="18" t="s">
        <v>0</v>
      </c>
      <c r="F6932" s="4">
        <v>1</v>
      </c>
      <c r="G6932" s="4">
        <v>5</v>
      </c>
      <c r="H6932" s="4">
        <v>23.64</v>
      </c>
    </row>
    <row r="6933" spans="1:8" s="15" customFormat="1" ht="28.5" hidden="1" customHeight="1" outlineLevel="1" x14ac:dyDescent="0.25">
      <c r="A6933" s="46">
        <v>10161</v>
      </c>
      <c r="B6933" s="4" t="s">
        <v>249</v>
      </c>
      <c r="C6933" s="22" t="s">
        <v>2286</v>
      </c>
      <c r="D6933" s="18">
        <v>2021</v>
      </c>
      <c r="E6933" s="18" t="s">
        <v>0</v>
      </c>
      <c r="F6933" s="4">
        <v>1</v>
      </c>
      <c r="G6933" s="4">
        <v>5</v>
      </c>
      <c r="H6933" s="4">
        <v>19</v>
      </c>
    </row>
    <row r="6934" spans="1:8" s="15" customFormat="1" ht="28.5" hidden="1" customHeight="1" outlineLevel="1" x14ac:dyDescent="0.25">
      <c r="A6934" s="46">
        <v>10187</v>
      </c>
      <c r="B6934" s="4" t="s">
        <v>249</v>
      </c>
      <c r="C6934" s="22" t="s">
        <v>2287</v>
      </c>
      <c r="D6934" s="18">
        <v>2021</v>
      </c>
      <c r="E6934" s="18" t="s">
        <v>0</v>
      </c>
      <c r="F6934" s="4">
        <v>1</v>
      </c>
      <c r="G6934" s="4">
        <v>5</v>
      </c>
      <c r="H6934" s="4">
        <v>20</v>
      </c>
    </row>
    <row r="6935" spans="1:8" s="15" customFormat="1" ht="28.5" hidden="1" customHeight="1" outlineLevel="1" x14ac:dyDescent="0.25">
      <c r="A6935" s="46">
        <v>10202</v>
      </c>
      <c r="B6935" s="4" t="s">
        <v>249</v>
      </c>
      <c r="C6935" s="22" t="s">
        <v>2288</v>
      </c>
      <c r="D6935" s="18">
        <v>2021</v>
      </c>
      <c r="E6935" s="18" t="s">
        <v>0</v>
      </c>
      <c r="F6935" s="4">
        <v>1</v>
      </c>
      <c r="G6935" s="4">
        <v>5</v>
      </c>
      <c r="H6935" s="4">
        <v>19</v>
      </c>
    </row>
    <row r="6936" spans="1:8" s="15" customFormat="1" ht="28.5" hidden="1" customHeight="1" outlineLevel="1" x14ac:dyDescent="0.25">
      <c r="A6936" s="46">
        <v>10149</v>
      </c>
      <c r="B6936" s="4" t="s">
        <v>249</v>
      </c>
      <c r="C6936" s="22" t="s">
        <v>2289</v>
      </c>
      <c r="D6936" s="18">
        <v>2021</v>
      </c>
      <c r="E6936" s="18" t="s">
        <v>0</v>
      </c>
      <c r="F6936" s="4">
        <v>1</v>
      </c>
      <c r="G6936" s="4">
        <v>5</v>
      </c>
      <c r="H6936" s="4">
        <v>30</v>
      </c>
    </row>
    <row r="6937" spans="1:8" s="15" customFormat="1" ht="28.5" hidden="1" customHeight="1" outlineLevel="1" x14ac:dyDescent="0.25">
      <c r="A6937" s="46">
        <v>10185</v>
      </c>
      <c r="B6937" s="4" t="s">
        <v>249</v>
      </c>
      <c r="C6937" s="22" t="s">
        <v>2290</v>
      </c>
      <c r="D6937" s="18">
        <v>2021</v>
      </c>
      <c r="E6937" s="18" t="s">
        <v>0</v>
      </c>
      <c r="F6937" s="4">
        <v>1</v>
      </c>
      <c r="G6937" s="4">
        <v>5</v>
      </c>
      <c r="H6937" s="4">
        <v>34</v>
      </c>
    </row>
    <row r="6938" spans="1:8" s="15" customFormat="1" ht="28.5" hidden="1" customHeight="1" outlineLevel="1" x14ac:dyDescent="0.25">
      <c r="A6938" s="45">
        <v>2097</v>
      </c>
      <c r="B6938" s="4" t="s">
        <v>249</v>
      </c>
      <c r="C6938" s="22" t="s">
        <v>2291</v>
      </c>
      <c r="D6938" s="18">
        <v>2021</v>
      </c>
      <c r="E6938" s="18" t="s">
        <v>0</v>
      </c>
      <c r="F6938" s="4">
        <v>1</v>
      </c>
      <c r="G6938" s="4">
        <v>5</v>
      </c>
      <c r="H6938" s="4">
        <v>19</v>
      </c>
    </row>
    <row r="6939" spans="1:8" s="15" customFormat="1" ht="28.5" hidden="1" customHeight="1" outlineLevel="1" x14ac:dyDescent="0.25">
      <c r="A6939" s="46">
        <v>10173</v>
      </c>
      <c r="B6939" s="4" t="s">
        <v>249</v>
      </c>
      <c r="C6939" s="22" t="s">
        <v>2292</v>
      </c>
      <c r="D6939" s="18">
        <v>2021</v>
      </c>
      <c r="E6939" s="18" t="s">
        <v>0</v>
      </c>
      <c r="F6939" s="4">
        <v>1</v>
      </c>
      <c r="G6939" s="4">
        <v>5</v>
      </c>
      <c r="H6939" s="4">
        <v>19</v>
      </c>
    </row>
    <row r="6940" spans="1:8" s="15" customFormat="1" ht="28.5" hidden="1" customHeight="1" outlineLevel="1" x14ac:dyDescent="0.25">
      <c r="A6940" s="46">
        <v>10327</v>
      </c>
      <c r="B6940" s="4" t="s">
        <v>249</v>
      </c>
      <c r="C6940" s="22" t="s">
        <v>2293</v>
      </c>
      <c r="D6940" s="18">
        <v>2021</v>
      </c>
      <c r="E6940" s="18" t="s">
        <v>0</v>
      </c>
      <c r="F6940" s="4">
        <v>7</v>
      </c>
      <c r="G6940" s="4">
        <v>69</v>
      </c>
      <c r="H6940" s="4">
        <v>115</v>
      </c>
    </row>
    <row r="6941" spans="1:8" s="15" customFormat="1" ht="28.5" hidden="1" customHeight="1" outlineLevel="1" x14ac:dyDescent="0.25">
      <c r="A6941" s="46">
        <v>10333</v>
      </c>
      <c r="B6941" s="4" t="s">
        <v>249</v>
      </c>
      <c r="C6941" s="22" t="s">
        <v>2294</v>
      </c>
      <c r="D6941" s="18">
        <v>2021</v>
      </c>
      <c r="E6941" s="18" t="s">
        <v>0</v>
      </c>
      <c r="F6941" s="4">
        <v>3</v>
      </c>
      <c r="G6941" s="4">
        <v>10</v>
      </c>
      <c r="H6941" s="4">
        <v>54</v>
      </c>
    </row>
    <row r="6942" spans="1:8" s="15" customFormat="1" ht="28.5" hidden="1" customHeight="1" outlineLevel="1" x14ac:dyDescent="0.25">
      <c r="A6942" s="46">
        <v>10180</v>
      </c>
      <c r="B6942" s="4" t="s">
        <v>249</v>
      </c>
      <c r="C6942" s="22" t="s">
        <v>2295</v>
      </c>
      <c r="D6942" s="18">
        <v>2021</v>
      </c>
      <c r="E6942" s="18" t="s">
        <v>0</v>
      </c>
      <c r="F6942" s="4">
        <v>1</v>
      </c>
      <c r="G6942" s="4">
        <v>5</v>
      </c>
      <c r="H6942" s="4">
        <v>20</v>
      </c>
    </row>
    <row r="6943" spans="1:8" s="15" customFormat="1" ht="28.5" hidden="1" customHeight="1" outlineLevel="1" x14ac:dyDescent="0.25">
      <c r="A6943" s="46">
        <v>10194</v>
      </c>
      <c r="B6943" s="4" t="s">
        <v>249</v>
      </c>
      <c r="C6943" s="22" t="s">
        <v>2296</v>
      </c>
      <c r="D6943" s="18">
        <v>2021</v>
      </c>
      <c r="E6943" s="18" t="s">
        <v>0</v>
      </c>
      <c r="F6943" s="4">
        <v>1</v>
      </c>
      <c r="G6943" s="4">
        <v>5</v>
      </c>
      <c r="H6943" s="4">
        <v>19</v>
      </c>
    </row>
    <row r="6944" spans="1:8" s="15" customFormat="1" ht="28.5" hidden="1" customHeight="1" outlineLevel="1" x14ac:dyDescent="0.25">
      <c r="A6944" s="46">
        <v>9284</v>
      </c>
      <c r="B6944" s="4" t="s">
        <v>249</v>
      </c>
      <c r="C6944" s="22" t="s">
        <v>1560</v>
      </c>
      <c r="D6944" s="18">
        <v>2021</v>
      </c>
      <c r="E6944" s="18" t="s">
        <v>0</v>
      </c>
      <c r="F6944" s="4">
        <v>1</v>
      </c>
      <c r="G6944" s="4">
        <v>5</v>
      </c>
      <c r="H6944" s="4">
        <v>21</v>
      </c>
    </row>
    <row r="6945" spans="1:8" s="15" customFormat="1" ht="28.5" hidden="1" customHeight="1" outlineLevel="1" x14ac:dyDescent="0.25">
      <c r="A6945" s="46">
        <v>10143</v>
      </c>
      <c r="B6945" s="4" t="s">
        <v>249</v>
      </c>
      <c r="C6945" s="22" t="s">
        <v>2297</v>
      </c>
      <c r="D6945" s="18">
        <v>2021</v>
      </c>
      <c r="E6945" s="18" t="s">
        <v>0</v>
      </c>
      <c r="F6945" s="4">
        <v>1</v>
      </c>
      <c r="G6945" s="4">
        <v>5</v>
      </c>
      <c r="H6945" s="4">
        <v>22</v>
      </c>
    </row>
    <row r="6946" spans="1:8" s="15" customFormat="1" ht="28.5" hidden="1" customHeight="1" outlineLevel="1" x14ac:dyDescent="0.25">
      <c r="A6946" s="46">
        <v>10177</v>
      </c>
      <c r="B6946" s="4" t="s">
        <v>249</v>
      </c>
      <c r="C6946" s="22" t="s">
        <v>2298</v>
      </c>
      <c r="D6946" s="18">
        <v>2021</v>
      </c>
      <c r="E6946" s="18" t="s">
        <v>0</v>
      </c>
      <c r="F6946" s="4">
        <v>1</v>
      </c>
      <c r="G6946" s="4">
        <v>5</v>
      </c>
      <c r="H6946" s="4">
        <v>22</v>
      </c>
    </row>
    <row r="6947" spans="1:8" s="15" customFormat="1" ht="28.5" hidden="1" customHeight="1" outlineLevel="1" x14ac:dyDescent="0.25">
      <c r="A6947" s="45">
        <v>360</v>
      </c>
      <c r="B6947" s="4" t="s">
        <v>249</v>
      </c>
      <c r="C6947" s="22" t="s">
        <v>1576</v>
      </c>
      <c r="D6947" s="18">
        <v>2021</v>
      </c>
      <c r="E6947" s="18" t="s">
        <v>0</v>
      </c>
      <c r="F6947" s="4">
        <v>1</v>
      </c>
      <c r="G6947" s="4">
        <v>2</v>
      </c>
      <c r="H6947" s="4">
        <v>26</v>
      </c>
    </row>
    <row r="6948" spans="1:8" s="15" customFormat="1" ht="28.5" hidden="1" customHeight="1" outlineLevel="1" x14ac:dyDescent="0.25">
      <c r="A6948" s="45">
        <v>2062</v>
      </c>
      <c r="B6948" s="4" t="s">
        <v>249</v>
      </c>
      <c r="C6948" s="22" t="s">
        <v>2299</v>
      </c>
      <c r="D6948" s="18">
        <v>2021</v>
      </c>
      <c r="E6948" s="18" t="s">
        <v>0</v>
      </c>
      <c r="F6948" s="4">
        <v>1</v>
      </c>
      <c r="G6948" s="4">
        <v>5</v>
      </c>
      <c r="H6948" s="4">
        <v>18</v>
      </c>
    </row>
    <row r="6949" spans="1:8" s="15" customFormat="1" ht="28.5" hidden="1" customHeight="1" outlineLevel="1" x14ac:dyDescent="0.25">
      <c r="A6949" s="46">
        <v>9310</v>
      </c>
      <c r="B6949" s="4" t="s">
        <v>249</v>
      </c>
      <c r="C6949" s="22" t="s">
        <v>1578</v>
      </c>
      <c r="D6949" s="18">
        <v>2021</v>
      </c>
      <c r="E6949" s="18" t="s">
        <v>0</v>
      </c>
      <c r="F6949" s="4">
        <v>1</v>
      </c>
      <c r="G6949" s="4">
        <v>5</v>
      </c>
      <c r="H6949" s="4">
        <v>29</v>
      </c>
    </row>
    <row r="6950" spans="1:8" s="15" customFormat="1" ht="28.5" hidden="1" customHeight="1" outlineLevel="1" x14ac:dyDescent="0.25">
      <c r="A6950" s="18">
        <v>10906</v>
      </c>
      <c r="B6950" s="4" t="s">
        <v>249</v>
      </c>
      <c r="C6950" s="22" t="s">
        <v>2300</v>
      </c>
      <c r="D6950" s="18">
        <v>2021</v>
      </c>
      <c r="E6950" s="18" t="s">
        <v>0</v>
      </c>
      <c r="F6950" s="4">
        <v>21</v>
      </c>
      <c r="G6950" s="4">
        <v>144</v>
      </c>
      <c r="H6950" s="4">
        <v>376</v>
      </c>
    </row>
    <row r="6951" spans="1:8" s="15" customFormat="1" ht="28.5" hidden="1" customHeight="1" outlineLevel="1" x14ac:dyDescent="0.25">
      <c r="A6951" s="45">
        <v>2078</v>
      </c>
      <c r="B6951" s="4" t="s">
        <v>249</v>
      </c>
      <c r="C6951" s="22" t="s">
        <v>2301</v>
      </c>
      <c r="D6951" s="18">
        <v>2021</v>
      </c>
      <c r="E6951" s="18" t="s">
        <v>0</v>
      </c>
      <c r="F6951" s="4">
        <v>1</v>
      </c>
      <c r="G6951" s="4">
        <v>5</v>
      </c>
      <c r="H6951" s="4">
        <v>22</v>
      </c>
    </row>
    <row r="6952" spans="1:8" s="15" customFormat="1" ht="28.5" hidden="1" customHeight="1" outlineLevel="1" x14ac:dyDescent="0.25">
      <c r="A6952" s="45">
        <v>2095</v>
      </c>
      <c r="B6952" s="4" t="s">
        <v>249</v>
      </c>
      <c r="C6952" s="22" t="s">
        <v>2302</v>
      </c>
      <c r="D6952" s="18">
        <v>2021</v>
      </c>
      <c r="E6952" s="18" t="s">
        <v>0</v>
      </c>
      <c r="F6952" s="4">
        <v>1</v>
      </c>
      <c r="G6952" s="4">
        <v>5</v>
      </c>
      <c r="H6952" s="4">
        <v>18</v>
      </c>
    </row>
    <row r="6953" spans="1:8" s="15" customFormat="1" ht="28.5" hidden="1" customHeight="1" outlineLevel="1" x14ac:dyDescent="0.25">
      <c r="A6953" s="45">
        <v>2103</v>
      </c>
      <c r="B6953" s="4" t="s">
        <v>249</v>
      </c>
      <c r="C6953" s="22" t="s">
        <v>2303</v>
      </c>
      <c r="D6953" s="18">
        <v>2021</v>
      </c>
      <c r="E6953" s="18" t="s">
        <v>0</v>
      </c>
      <c r="F6953" s="4">
        <v>1</v>
      </c>
      <c r="G6953" s="4">
        <v>5</v>
      </c>
      <c r="H6953" s="4">
        <v>18</v>
      </c>
    </row>
    <row r="6954" spans="1:8" s="15" customFormat="1" ht="28.5" hidden="1" customHeight="1" outlineLevel="1" x14ac:dyDescent="0.25">
      <c r="A6954" s="45">
        <v>603</v>
      </c>
      <c r="B6954" s="4" t="s">
        <v>249</v>
      </c>
      <c r="C6954" s="22" t="s">
        <v>1594</v>
      </c>
      <c r="D6954" s="18">
        <v>2021</v>
      </c>
      <c r="E6954" s="18" t="s">
        <v>0</v>
      </c>
      <c r="F6954" s="4">
        <v>1</v>
      </c>
      <c r="G6954" s="4">
        <v>15</v>
      </c>
      <c r="H6954" s="4">
        <v>32</v>
      </c>
    </row>
    <row r="6955" spans="1:8" s="15" customFormat="1" ht="28.5" hidden="1" customHeight="1" outlineLevel="1" x14ac:dyDescent="0.25">
      <c r="A6955" s="46">
        <v>9401</v>
      </c>
      <c r="B6955" s="4" t="s">
        <v>249</v>
      </c>
      <c r="C6955" s="22" t="s">
        <v>1925</v>
      </c>
      <c r="D6955" s="18">
        <v>2021</v>
      </c>
      <c r="E6955" s="18" t="s">
        <v>0</v>
      </c>
      <c r="F6955" s="4">
        <v>1</v>
      </c>
      <c r="G6955" s="4">
        <v>15</v>
      </c>
      <c r="H6955" s="4">
        <v>23</v>
      </c>
    </row>
    <row r="6956" spans="1:8" s="15" customFormat="1" ht="28.5" hidden="1" customHeight="1" outlineLevel="1" x14ac:dyDescent="0.25">
      <c r="A6956" s="46">
        <v>10217</v>
      </c>
      <c r="B6956" s="4" t="s">
        <v>249</v>
      </c>
      <c r="C6956" s="22" t="s">
        <v>2304</v>
      </c>
      <c r="D6956" s="18">
        <v>2021</v>
      </c>
      <c r="E6956" s="18" t="s">
        <v>0</v>
      </c>
      <c r="F6956" s="4">
        <v>1</v>
      </c>
      <c r="G6956" s="4">
        <v>5</v>
      </c>
      <c r="H6956" s="4">
        <v>25</v>
      </c>
    </row>
    <row r="6957" spans="1:8" s="15" customFormat="1" ht="28.5" hidden="1" customHeight="1" outlineLevel="1" x14ac:dyDescent="0.25">
      <c r="A6957" s="46">
        <v>10145</v>
      </c>
      <c r="B6957" s="4" t="s">
        <v>249</v>
      </c>
      <c r="C6957" s="22" t="s">
        <v>2305</v>
      </c>
      <c r="D6957" s="18">
        <v>2021</v>
      </c>
      <c r="E6957" s="18" t="s">
        <v>0</v>
      </c>
      <c r="F6957" s="4">
        <v>1</v>
      </c>
      <c r="G6957" s="4">
        <v>5</v>
      </c>
      <c r="H6957" s="4">
        <v>30</v>
      </c>
    </row>
    <row r="6958" spans="1:8" s="15" customFormat="1" ht="28.5" hidden="1" customHeight="1" outlineLevel="1" x14ac:dyDescent="0.25">
      <c r="A6958" s="46">
        <v>10242</v>
      </c>
      <c r="B6958" s="4" t="s">
        <v>249</v>
      </c>
      <c r="C6958" s="22" t="s">
        <v>2306</v>
      </c>
      <c r="D6958" s="18">
        <v>2021</v>
      </c>
      <c r="E6958" s="18" t="s">
        <v>0</v>
      </c>
      <c r="F6958" s="4">
        <v>1</v>
      </c>
      <c r="G6958" s="4">
        <v>5</v>
      </c>
      <c r="H6958" s="4">
        <v>25</v>
      </c>
    </row>
    <row r="6959" spans="1:8" s="15" customFormat="1" ht="28.5" hidden="1" customHeight="1" outlineLevel="1" x14ac:dyDescent="0.25">
      <c r="A6959" s="46">
        <v>10196</v>
      </c>
      <c r="B6959" s="4" t="s">
        <v>249</v>
      </c>
      <c r="C6959" s="22" t="s">
        <v>2307</v>
      </c>
      <c r="D6959" s="18">
        <v>2021</v>
      </c>
      <c r="E6959" s="18" t="s">
        <v>0</v>
      </c>
      <c r="F6959" s="4">
        <v>1</v>
      </c>
      <c r="G6959" s="4">
        <v>5</v>
      </c>
      <c r="H6959" s="4">
        <v>25</v>
      </c>
    </row>
    <row r="6960" spans="1:8" s="15" customFormat="1" ht="28.5" hidden="1" customHeight="1" outlineLevel="1" x14ac:dyDescent="0.25">
      <c r="A6960" s="46">
        <v>9307</v>
      </c>
      <c r="B6960" s="4" t="s">
        <v>249</v>
      </c>
      <c r="C6960" s="22" t="s">
        <v>1636</v>
      </c>
      <c r="D6960" s="18">
        <v>2021</v>
      </c>
      <c r="E6960" s="18" t="s">
        <v>0</v>
      </c>
      <c r="F6960" s="4">
        <v>1</v>
      </c>
      <c r="G6960" s="4">
        <v>7</v>
      </c>
      <c r="H6960" s="4">
        <v>31</v>
      </c>
    </row>
    <row r="6961" spans="1:8" s="15" customFormat="1" ht="28.5" hidden="1" customHeight="1" outlineLevel="1" x14ac:dyDescent="0.25">
      <c r="A6961" s="46">
        <v>9632</v>
      </c>
      <c r="B6961" s="4" t="s">
        <v>249</v>
      </c>
      <c r="C6961" s="38" t="s">
        <v>1831</v>
      </c>
      <c r="D6961" s="18">
        <v>2021</v>
      </c>
      <c r="E6961" s="18" t="s">
        <v>0</v>
      </c>
      <c r="F6961" s="4">
        <v>4</v>
      </c>
      <c r="G6961" s="4">
        <v>60</v>
      </c>
      <c r="H6961" s="4">
        <v>123</v>
      </c>
    </row>
    <row r="6962" spans="1:8" s="15" customFormat="1" ht="28.5" hidden="1" customHeight="1" outlineLevel="1" x14ac:dyDescent="0.25">
      <c r="A6962" s="46">
        <v>9297</v>
      </c>
      <c r="B6962" s="4" t="s">
        <v>249</v>
      </c>
      <c r="C6962" s="22" t="s">
        <v>2308</v>
      </c>
      <c r="D6962" s="18">
        <v>2021</v>
      </c>
      <c r="E6962" s="18" t="s">
        <v>0</v>
      </c>
      <c r="F6962" s="4">
        <v>1</v>
      </c>
      <c r="G6962" s="4">
        <v>15</v>
      </c>
      <c r="H6962" s="4">
        <v>24</v>
      </c>
    </row>
    <row r="6963" spans="1:8" s="15" customFormat="1" ht="28.5" hidden="1" customHeight="1" outlineLevel="1" x14ac:dyDescent="0.25">
      <c r="A6963" s="46">
        <v>10334</v>
      </c>
      <c r="B6963" s="4" t="s">
        <v>249</v>
      </c>
      <c r="C6963" s="22" t="s">
        <v>2309</v>
      </c>
      <c r="D6963" s="18">
        <v>2021</v>
      </c>
      <c r="E6963" s="18" t="s">
        <v>0</v>
      </c>
      <c r="F6963" s="4">
        <v>18</v>
      </c>
      <c r="G6963" s="4">
        <v>215</v>
      </c>
      <c r="H6963" s="4">
        <v>260</v>
      </c>
    </row>
    <row r="6964" spans="1:8" s="15" customFormat="1" ht="28.5" hidden="1" customHeight="1" outlineLevel="1" x14ac:dyDescent="0.25">
      <c r="A6964" s="46">
        <v>9312</v>
      </c>
      <c r="B6964" s="4" t="s">
        <v>249</v>
      </c>
      <c r="C6964" s="22" t="s">
        <v>2310</v>
      </c>
      <c r="D6964" s="18">
        <v>2021</v>
      </c>
      <c r="E6964" s="18" t="s">
        <v>0</v>
      </c>
      <c r="F6964" s="4">
        <v>1</v>
      </c>
      <c r="G6964" s="4">
        <v>5</v>
      </c>
      <c r="H6964" s="4">
        <v>16</v>
      </c>
    </row>
    <row r="6965" spans="1:8" s="15" customFormat="1" ht="28.5" hidden="1" customHeight="1" outlineLevel="1" x14ac:dyDescent="0.25">
      <c r="A6965" s="46">
        <v>10257</v>
      </c>
      <c r="B6965" s="4" t="s">
        <v>249</v>
      </c>
      <c r="C6965" s="22" t="s">
        <v>2311</v>
      </c>
      <c r="D6965" s="18">
        <v>2021</v>
      </c>
      <c r="E6965" s="18" t="s">
        <v>0</v>
      </c>
      <c r="F6965" s="4">
        <v>1</v>
      </c>
      <c r="G6965" s="4">
        <v>2.4</v>
      </c>
      <c r="H6965" s="4">
        <v>17</v>
      </c>
    </row>
    <row r="6966" spans="1:8" s="15" customFormat="1" ht="28.5" hidden="1" customHeight="1" outlineLevel="1" x14ac:dyDescent="0.25">
      <c r="A6966" s="45">
        <v>2038</v>
      </c>
      <c r="B6966" s="4" t="s">
        <v>249</v>
      </c>
      <c r="C6966" s="22" t="s">
        <v>2312</v>
      </c>
      <c r="D6966" s="18">
        <v>2021</v>
      </c>
      <c r="E6966" s="18" t="s">
        <v>0</v>
      </c>
      <c r="F6966" s="4">
        <v>1</v>
      </c>
      <c r="G6966" s="4">
        <v>5</v>
      </c>
      <c r="H6966" s="4">
        <v>18</v>
      </c>
    </row>
    <row r="6967" spans="1:8" s="15" customFormat="1" ht="28.5" hidden="1" customHeight="1" outlineLevel="1" x14ac:dyDescent="0.25">
      <c r="A6967" s="46">
        <v>9306</v>
      </c>
      <c r="B6967" s="4" t="s">
        <v>249</v>
      </c>
      <c r="C6967" s="22" t="s">
        <v>2313</v>
      </c>
      <c r="D6967" s="18">
        <v>2021</v>
      </c>
      <c r="E6967" s="18" t="s">
        <v>0</v>
      </c>
      <c r="F6967" s="4">
        <v>1</v>
      </c>
      <c r="G6967" s="4">
        <v>15</v>
      </c>
      <c r="H6967" s="4">
        <v>15</v>
      </c>
    </row>
    <row r="6968" spans="1:8" s="15" customFormat="1" ht="28.5" hidden="1" customHeight="1" outlineLevel="1" x14ac:dyDescent="0.25">
      <c r="A6968" s="46">
        <v>10356</v>
      </c>
      <c r="B6968" s="4" t="s">
        <v>249</v>
      </c>
      <c r="C6968" s="22" t="s">
        <v>2314</v>
      </c>
      <c r="D6968" s="18">
        <v>2021</v>
      </c>
      <c r="E6968" s="18" t="s">
        <v>0</v>
      </c>
      <c r="F6968" s="4">
        <v>1</v>
      </c>
      <c r="G6968" s="4">
        <v>7</v>
      </c>
      <c r="H6968" s="4">
        <v>69.17667999999999</v>
      </c>
    </row>
    <row r="6969" spans="1:8" s="15" customFormat="1" ht="28.5" hidden="1" customHeight="1" outlineLevel="1" x14ac:dyDescent="0.25">
      <c r="A6969" s="46">
        <v>10369</v>
      </c>
      <c r="B6969" s="4" t="s">
        <v>249</v>
      </c>
      <c r="C6969" s="22" t="s">
        <v>2315</v>
      </c>
      <c r="D6969" s="18">
        <v>2021</v>
      </c>
      <c r="E6969" s="18" t="s">
        <v>0</v>
      </c>
      <c r="F6969" s="4">
        <v>1</v>
      </c>
      <c r="G6969" s="4">
        <v>5.5</v>
      </c>
      <c r="H6969" s="4">
        <v>84.379000000000005</v>
      </c>
    </row>
    <row r="6970" spans="1:8" s="15" customFormat="1" ht="28.5" hidden="1" customHeight="1" outlineLevel="1" x14ac:dyDescent="0.25">
      <c r="A6970" s="46">
        <v>9008</v>
      </c>
      <c r="B6970" s="4" t="s">
        <v>249</v>
      </c>
      <c r="C6970" s="22" t="s">
        <v>2316</v>
      </c>
      <c r="D6970" s="18">
        <v>2021</v>
      </c>
      <c r="E6970" s="18" t="s">
        <v>0</v>
      </c>
      <c r="F6970" s="4">
        <v>1</v>
      </c>
      <c r="G6970" s="4">
        <v>7</v>
      </c>
      <c r="H6970" s="4">
        <v>81.269240000000011</v>
      </c>
    </row>
    <row r="6971" spans="1:8" s="15" customFormat="1" ht="28.5" hidden="1" customHeight="1" outlineLevel="1" x14ac:dyDescent="0.25">
      <c r="A6971" s="46">
        <v>10347</v>
      </c>
      <c r="B6971" s="4" t="s">
        <v>249</v>
      </c>
      <c r="C6971" s="22" t="s">
        <v>2317</v>
      </c>
      <c r="D6971" s="18">
        <v>2021</v>
      </c>
      <c r="E6971" s="18" t="s">
        <v>0</v>
      </c>
      <c r="F6971" s="4">
        <v>1</v>
      </c>
      <c r="G6971" s="4">
        <v>5</v>
      </c>
      <c r="H6971" s="4">
        <v>83.935559999999995</v>
      </c>
    </row>
    <row r="6972" spans="1:8" s="15" customFormat="1" ht="28.5" hidden="1" customHeight="1" outlineLevel="1" x14ac:dyDescent="0.25">
      <c r="A6972" s="46">
        <v>10354</v>
      </c>
      <c r="B6972" s="4" t="s">
        <v>249</v>
      </c>
      <c r="C6972" s="22" t="s">
        <v>2318</v>
      </c>
      <c r="D6972" s="18">
        <v>2021</v>
      </c>
      <c r="E6972" s="18" t="s">
        <v>0</v>
      </c>
      <c r="F6972" s="4">
        <v>1</v>
      </c>
      <c r="G6972" s="4">
        <v>3</v>
      </c>
      <c r="H6972" s="4">
        <v>83.723889999999997</v>
      </c>
    </row>
    <row r="6973" spans="1:8" s="15" customFormat="1" ht="28.5" hidden="1" customHeight="1" outlineLevel="1" x14ac:dyDescent="0.25">
      <c r="A6973" s="46">
        <v>10372</v>
      </c>
      <c r="B6973" s="4" t="s">
        <v>249</v>
      </c>
      <c r="C6973" s="22" t="s">
        <v>2319</v>
      </c>
      <c r="D6973" s="18">
        <v>2021</v>
      </c>
      <c r="E6973" s="18" t="s">
        <v>0</v>
      </c>
      <c r="F6973" s="4">
        <v>1</v>
      </c>
      <c r="G6973" s="4">
        <v>5</v>
      </c>
      <c r="H6973" s="4">
        <v>22.147759999999998</v>
      </c>
    </row>
    <row r="6974" spans="1:8" s="15" customFormat="1" ht="28.5" hidden="1" customHeight="1" outlineLevel="1" x14ac:dyDescent="0.25">
      <c r="A6974" s="46">
        <v>9119</v>
      </c>
      <c r="B6974" s="4" t="s">
        <v>249</v>
      </c>
      <c r="C6974" s="22" t="s">
        <v>2320</v>
      </c>
      <c r="D6974" s="18">
        <v>2021</v>
      </c>
      <c r="E6974" s="18" t="s">
        <v>0</v>
      </c>
      <c r="F6974" s="4">
        <v>1</v>
      </c>
      <c r="G6974" s="4">
        <v>10</v>
      </c>
      <c r="H6974" s="4">
        <v>21.01276</v>
      </c>
    </row>
    <row r="6975" spans="1:8" s="15" customFormat="1" ht="28.5" hidden="1" customHeight="1" outlineLevel="1" x14ac:dyDescent="0.25">
      <c r="A6975" s="46">
        <v>10352</v>
      </c>
      <c r="B6975" s="4" t="s">
        <v>249</v>
      </c>
      <c r="C6975" s="22" t="s">
        <v>2321</v>
      </c>
      <c r="D6975" s="18">
        <v>2021</v>
      </c>
      <c r="E6975" s="18" t="s">
        <v>0</v>
      </c>
      <c r="F6975" s="4">
        <v>1</v>
      </c>
      <c r="G6975" s="4">
        <v>7</v>
      </c>
      <c r="H6975" s="4">
        <v>20.44426</v>
      </c>
    </row>
    <row r="6976" spans="1:8" s="15" customFormat="1" ht="28.5" hidden="1" customHeight="1" outlineLevel="1" x14ac:dyDescent="0.25">
      <c r="A6976" s="46">
        <v>10364</v>
      </c>
      <c r="B6976" s="4" t="s">
        <v>249</v>
      </c>
      <c r="C6976" s="22" t="s">
        <v>2322</v>
      </c>
      <c r="D6976" s="18">
        <v>2021</v>
      </c>
      <c r="E6976" s="18" t="s">
        <v>0</v>
      </c>
      <c r="F6976" s="4">
        <v>1</v>
      </c>
      <c r="G6976" s="4">
        <v>7</v>
      </c>
      <c r="H6976" s="4">
        <v>18.248699999999999</v>
      </c>
    </row>
    <row r="6977" spans="1:8" s="15" customFormat="1" ht="28.5" hidden="1" customHeight="1" outlineLevel="1" x14ac:dyDescent="0.25">
      <c r="A6977" s="46">
        <v>10365</v>
      </c>
      <c r="B6977" s="4" t="s">
        <v>249</v>
      </c>
      <c r="C6977" s="22" t="s">
        <v>2323</v>
      </c>
      <c r="D6977" s="18">
        <v>2021</v>
      </c>
      <c r="E6977" s="18" t="s">
        <v>0</v>
      </c>
      <c r="F6977" s="4">
        <v>1</v>
      </c>
      <c r="G6977" s="4">
        <v>6</v>
      </c>
      <c r="H6977" s="4">
        <v>22.434169999999998</v>
      </c>
    </row>
    <row r="6978" spans="1:8" s="15" customFormat="1" ht="28.5" hidden="1" customHeight="1" outlineLevel="1" x14ac:dyDescent="0.25">
      <c r="A6978" s="46">
        <v>10362</v>
      </c>
      <c r="B6978" s="4" t="s">
        <v>249</v>
      </c>
      <c r="C6978" s="22" t="s">
        <v>2324</v>
      </c>
      <c r="D6978" s="18">
        <v>2021</v>
      </c>
      <c r="E6978" s="18" t="s">
        <v>0</v>
      </c>
      <c r="F6978" s="4">
        <v>1</v>
      </c>
      <c r="G6978" s="4">
        <v>11</v>
      </c>
      <c r="H6978" s="4">
        <v>18.24023</v>
      </c>
    </row>
    <row r="6979" spans="1:8" s="15" customFormat="1" ht="28.5" hidden="1" customHeight="1" outlineLevel="1" x14ac:dyDescent="0.25">
      <c r="A6979" s="46">
        <v>10357</v>
      </c>
      <c r="B6979" s="4" t="s">
        <v>249</v>
      </c>
      <c r="C6979" s="22" t="s">
        <v>2325</v>
      </c>
      <c r="D6979" s="18">
        <v>2021</v>
      </c>
      <c r="E6979" s="18" t="s">
        <v>0</v>
      </c>
      <c r="F6979" s="4">
        <v>1</v>
      </c>
      <c r="G6979" s="4">
        <v>7</v>
      </c>
      <c r="H6979" s="4">
        <v>28.114189999999997</v>
      </c>
    </row>
    <row r="6980" spans="1:8" s="15" customFormat="1" ht="28.5" hidden="1" customHeight="1" outlineLevel="1" x14ac:dyDescent="0.25">
      <c r="A6980" s="46">
        <v>10350</v>
      </c>
      <c r="B6980" s="4" t="s">
        <v>249</v>
      </c>
      <c r="C6980" s="22" t="s">
        <v>2326</v>
      </c>
      <c r="D6980" s="18">
        <v>2021</v>
      </c>
      <c r="E6980" s="18" t="s">
        <v>0</v>
      </c>
      <c r="F6980" s="4">
        <v>1</v>
      </c>
      <c r="G6980" s="4">
        <v>7</v>
      </c>
      <c r="H6980" s="4">
        <v>18.506430000000002</v>
      </c>
    </row>
    <row r="6981" spans="1:8" s="15" customFormat="1" ht="28.5" hidden="1" customHeight="1" outlineLevel="1" x14ac:dyDescent="0.25">
      <c r="A6981" s="46">
        <v>10376</v>
      </c>
      <c r="B6981" s="4" t="s">
        <v>249</v>
      </c>
      <c r="C6981" s="22" t="s">
        <v>2327</v>
      </c>
      <c r="D6981" s="18">
        <v>2021</v>
      </c>
      <c r="E6981" s="18" t="s">
        <v>0</v>
      </c>
      <c r="F6981" s="4">
        <v>1</v>
      </c>
      <c r="G6981" s="4">
        <v>7</v>
      </c>
      <c r="H6981" s="4">
        <v>18.38345</v>
      </c>
    </row>
    <row r="6982" spans="1:8" s="15" customFormat="1" ht="28.5" hidden="1" customHeight="1" outlineLevel="1" x14ac:dyDescent="0.25">
      <c r="A6982" s="46">
        <v>10358</v>
      </c>
      <c r="B6982" s="4" t="s">
        <v>249</v>
      </c>
      <c r="C6982" s="22" t="s">
        <v>2328</v>
      </c>
      <c r="D6982" s="18">
        <v>2021</v>
      </c>
      <c r="E6982" s="18" t="s">
        <v>0</v>
      </c>
      <c r="F6982" s="4">
        <v>1</v>
      </c>
      <c r="G6982" s="4">
        <v>2</v>
      </c>
      <c r="H6982" s="4">
        <v>22.743380000000002</v>
      </c>
    </row>
    <row r="6983" spans="1:8" s="15" customFormat="1" ht="28.5" hidden="1" customHeight="1" outlineLevel="1" x14ac:dyDescent="0.25">
      <c r="A6983" s="46">
        <v>9002</v>
      </c>
      <c r="B6983" s="4" t="s">
        <v>249</v>
      </c>
      <c r="C6983" s="22" t="s">
        <v>2329</v>
      </c>
      <c r="D6983" s="18">
        <v>2021</v>
      </c>
      <c r="E6983" s="18" t="s">
        <v>0</v>
      </c>
      <c r="F6983" s="4">
        <v>1</v>
      </c>
      <c r="G6983" s="4">
        <v>7</v>
      </c>
      <c r="H6983" s="4">
        <v>19.604099999999999</v>
      </c>
    </row>
    <row r="6984" spans="1:8" s="15" customFormat="1" ht="28.5" hidden="1" customHeight="1" outlineLevel="1" x14ac:dyDescent="0.25">
      <c r="A6984" s="46">
        <v>10360</v>
      </c>
      <c r="B6984" s="4" t="s">
        <v>249</v>
      </c>
      <c r="C6984" s="22" t="s">
        <v>2330</v>
      </c>
      <c r="D6984" s="18">
        <v>2021</v>
      </c>
      <c r="E6984" s="18" t="s">
        <v>0</v>
      </c>
      <c r="F6984" s="4">
        <v>1</v>
      </c>
      <c r="G6984" s="4">
        <v>6</v>
      </c>
      <c r="H6984" s="4">
        <v>21.721830000000001</v>
      </c>
    </row>
    <row r="6985" spans="1:8" s="15" customFormat="1" ht="28.5" hidden="1" customHeight="1" outlineLevel="1" x14ac:dyDescent="0.25">
      <c r="A6985" s="46">
        <v>10346</v>
      </c>
      <c r="B6985" s="4" t="s">
        <v>249</v>
      </c>
      <c r="C6985" s="22" t="s">
        <v>2331</v>
      </c>
      <c r="D6985" s="18">
        <v>2021</v>
      </c>
      <c r="E6985" s="18" t="s">
        <v>0</v>
      </c>
      <c r="F6985" s="4">
        <v>1</v>
      </c>
      <c r="G6985" s="4">
        <v>5</v>
      </c>
      <c r="H6985" s="4">
        <v>20.234189999999998</v>
      </c>
    </row>
    <row r="6986" spans="1:8" s="15" customFormat="1" ht="28.5" hidden="1" customHeight="1" outlineLevel="1" x14ac:dyDescent="0.25">
      <c r="A6986" s="46">
        <v>9123</v>
      </c>
      <c r="B6986" s="4" t="s">
        <v>249</v>
      </c>
      <c r="C6986" s="22" t="s">
        <v>2332</v>
      </c>
      <c r="D6986" s="18">
        <v>2021</v>
      </c>
      <c r="E6986" s="18" t="s">
        <v>0</v>
      </c>
      <c r="F6986" s="4">
        <v>1</v>
      </c>
      <c r="G6986" s="4">
        <v>7</v>
      </c>
      <c r="H6986" s="4">
        <v>18.38354</v>
      </c>
    </row>
    <row r="6987" spans="1:8" s="15" customFormat="1" ht="28.5" hidden="1" customHeight="1" outlineLevel="1" x14ac:dyDescent="0.25">
      <c r="A6987" s="46">
        <v>10375</v>
      </c>
      <c r="B6987" s="4" t="s">
        <v>249</v>
      </c>
      <c r="C6987" s="22" t="s">
        <v>2333</v>
      </c>
      <c r="D6987" s="18">
        <v>2021</v>
      </c>
      <c r="E6987" s="18" t="s">
        <v>0</v>
      </c>
      <c r="F6987" s="4">
        <v>1</v>
      </c>
      <c r="G6987" s="4">
        <v>7</v>
      </c>
      <c r="H6987" s="4">
        <v>18.97476</v>
      </c>
    </row>
    <row r="6988" spans="1:8" s="15" customFormat="1" ht="28.5" hidden="1" customHeight="1" outlineLevel="1" x14ac:dyDescent="0.25">
      <c r="A6988" s="46">
        <v>9114</v>
      </c>
      <c r="B6988" s="4" t="s">
        <v>249</v>
      </c>
      <c r="C6988" s="22" t="s">
        <v>2334</v>
      </c>
      <c r="D6988" s="18">
        <v>2021</v>
      </c>
      <c r="E6988" s="18" t="s">
        <v>0</v>
      </c>
      <c r="F6988" s="4">
        <v>1</v>
      </c>
      <c r="G6988" s="4">
        <v>7</v>
      </c>
      <c r="H6988" s="4">
        <v>17.653410000000001</v>
      </c>
    </row>
    <row r="6989" spans="1:8" s="15" customFormat="1" ht="28.5" hidden="1" customHeight="1" outlineLevel="1" x14ac:dyDescent="0.25">
      <c r="A6989" s="46">
        <v>9115</v>
      </c>
      <c r="B6989" s="4" t="s">
        <v>249</v>
      </c>
      <c r="C6989" s="22" t="s">
        <v>2335</v>
      </c>
      <c r="D6989" s="18">
        <v>2021</v>
      </c>
      <c r="E6989" s="18" t="s">
        <v>0</v>
      </c>
      <c r="F6989" s="4">
        <v>1</v>
      </c>
      <c r="G6989" s="4">
        <v>15</v>
      </c>
      <c r="H6989" s="4">
        <v>17.676650000000002</v>
      </c>
    </row>
    <row r="6990" spans="1:8" s="15" customFormat="1" ht="28.5" hidden="1" customHeight="1" outlineLevel="1" x14ac:dyDescent="0.25">
      <c r="A6990" s="46">
        <v>9040</v>
      </c>
      <c r="B6990" s="4" t="s">
        <v>249</v>
      </c>
      <c r="C6990" s="22" t="s">
        <v>2336</v>
      </c>
      <c r="D6990" s="18">
        <v>2021</v>
      </c>
      <c r="E6990" s="18" t="s">
        <v>0</v>
      </c>
      <c r="F6990" s="4">
        <v>1</v>
      </c>
      <c r="G6990" s="4">
        <v>6</v>
      </c>
      <c r="H6990" s="4">
        <v>20.730040000000002</v>
      </c>
    </row>
    <row r="6991" spans="1:8" s="15" customFormat="1" ht="28.5" hidden="1" customHeight="1" outlineLevel="1" x14ac:dyDescent="0.25">
      <c r="A6991" s="46">
        <v>9055</v>
      </c>
      <c r="B6991" s="4" t="s">
        <v>249</v>
      </c>
      <c r="C6991" s="22" t="s">
        <v>2337</v>
      </c>
      <c r="D6991" s="18">
        <v>2021</v>
      </c>
      <c r="E6991" s="18" t="s">
        <v>0</v>
      </c>
      <c r="F6991" s="4">
        <v>1</v>
      </c>
      <c r="G6991" s="4">
        <v>5</v>
      </c>
      <c r="H6991" s="4">
        <v>17.960380000000001</v>
      </c>
    </row>
    <row r="6992" spans="1:8" s="15" customFormat="1" ht="28.5" hidden="1" customHeight="1" outlineLevel="1" x14ac:dyDescent="0.25">
      <c r="A6992" s="46">
        <v>9056</v>
      </c>
      <c r="B6992" s="4" t="s">
        <v>249</v>
      </c>
      <c r="C6992" s="22" t="s">
        <v>2338</v>
      </c>
      <c r="D6992" s="18">
        <v>2021</v>
      </c>
      <c r="E6992" s="18" t="s">
        <v>0</v>
      </c>
      <c r="F6992" s="4">
        <v>1</v>
      </c>
      <c r="G6992" s="4">
        <v>10</v>
      </c>
      <c r="H6992" s="4">
        <v>17.783930000000002</v>
      </c>
    </row>
    <row r="6993" spans="1:8" s="15" customFormat="1" ht="28.5" hidden="1" customHeight="1" outlineLevel="1" x14ac:dyDescent="0.25">
      <c r="A6993" s="45">
        <v>471</v>
      </c>
      <c r="B6993" s="4" t="s">
        <v>249</v>
      </c>
      <c r="C6993" s="22" t="s">
        <v>2339</v>
      </c>
      <c r="D6993" s="18">
        <v>2021</v>
      </c>
      <c r="E6993" s="18" t="s">
        <v>0</v>
      </c>
      <c r="F6993" s="4">
        <v>1</v>
      </c>
      <c r="G6993" s="4">
        <v>7</v>
      </c>
      <c r="H6993" s="4">
        <v>49</v>
      </c>
    </row>
    <row r="6994" spans="1:8" s="15" customFormat="1" ht="28.5" hidden="1" customHeight="1" outlineLevel="1" x14ac:dyDescent="0.25">
      <c r="A6994" s="46">
        <v>9043</v>
      </c>
      <c r="B6994" s="4" t="s">
        <v>249</v>
      </c>
      <c r="C6994" s="22" t="s">
        <v>2340</v>
      </c>
      <c r="D6994" s="18">
        <v>2021</v>
      </c>
      <c r="E6994" s="18" t="s">
        <v>0</v>
      </c>
      <c r="F6994" s="4">
        <v>1</v>
      </c>
      <c r="G6994" s="4">
        <v>5</v>
      </c>
      <c r="H6994" s="4">
        <v>17.61345</v>
      </c>
    </row>
    <row r="6995" spans="1:8" s="15" customFormat="1" ht="28.5" hidden="1" customHeight="1" outlineLevel="1" x14ac:dyDescent="0.25">
      <c r="A6995" s="46">
        <v>9042</v>
      </c>
      <c r="B6995" s="4" t="s">
        <v>249</v>
      </c>
      <c r="C6995" s="22" t="s">
        <v>2341</v>
      </c>
      <c r="D6995" s="18">
        <v>2021</v>
      </c>
      <c r="E6995" s="18" t="s">
        <v>0</v>
      </c>
      <c r="F6995" s="4">
        <v>1</v>
      </c>
      <c r="G6995" s="4">
        <v>5</v>
      </c>
      <c r="H6995" s="4">
        <v>18.2529</v>
      </c>
    </row>
    <row r="6996" spans="1:8" s="15" customFormat="1" ht="28.5" hidden="1" customHeight="1" outlineLevel="1" x14ac:dyDescent="0.25">
      <c r="A6996" s="46">
        <v>9038</v>
      </c>
      <c r="B6996" s="4" t="s">
        <v>249</v>
      </c>
      <c r="C6996" s="22" t="s">
        <v>2342</v>
      </c>
      <c r="D6996" s="18">
        <v>2021</v>
      </c>
      <c r="E6996" s="18" t="s">
        <v>0</v>
      </c>
      <c r="F6996" s="4">
        <v>1</v>
      </c>
      <c r="G6996" s="4">
        <v>5</v>
      </c>
      <c r="H6996" s="4">
        <v>17.597270000000002</v>
      </c>
    </row>
    <row r="6997" spans="1:8" s="15" customFormat="1" ht="28.5" hidden="1" customHeight="1" outlineLevel="1" x14ac:dyDescent="0.25">
      <c r="A6997" s="46">
        <v>9037</v>
      </c>
      <c r="B6997" s="4" t="s">
        <v>249</v>
      </c>
      <c r="C6997" s="22" t="s">
        <v>2343</v>
      </c>
      <c r="D6997" s="18">
        <v>2021</v>
      </c>
      <c r="E6997" s="18" t="s">
        <v>0</v>
      </c>
      <c r="F6997" s="4">
        <v>1</v>
      </c>
      <c r="G6997" s="4">
        <v>5</v>
      </c>
      <c r="H6997" s="4">
        <v>17.629090000000001</v>
      </c>
    </row>
    <row r="6998" spans="1:8" s="15" customFormat="1" ht="28.5" hidden="1" customHeight="1" outlineLevel="1" x14ac:dyDescent="0.25">
      <c r="A6998" s="46">
        <v>9054</v>
      </c>
      <c r="B6998" s="4" t="s">
        <v>249</v>
      </c>
      <c r="C6998" s="22" t="s">
        <v>2344</v>
      </c>
      <c r="D6998" s="18">
        <v>2021</v>
      </c>
      <c r="E6998" s="18" t="s">
        <v>0</v>
      </c>
      <c r="F6998" s="4">
        <v>1</v>
      </c>
      <c r="G6998" s="4">
        <v>8</v>
      </c>
      <c r="H6998" s="4">
        <v>23.967290000000002</v>
      </c>
    </row>
    <row r="6999" spans="1:8" s="15" customFormat="1" ht="28.5" hidden="1" customHeight="1" outlineLevel="1" x14ac:dyDescent="0.25">
      <c r="A6999" s="46">
        <v>9053</v>
      </c>
      <c r="B6999" s="4" t="s">
        <v>249</v>
      </c>
      <c r="C6999" s="22" t="s">
        <v>2345</v>
      </c>
      <c r="D6999" s="18">
        <v>2021</v>
      </c>
      <c r="E6999" s="18" t="s">
        <v>0</v>
      </c>
      <c r="F6999" s="4">
        <v>1</v>
      </c>
      <c r="G6999" s="4">
        <v>15</v>
      </c>
      <c r="H6999" s="4">
        <v>19.532439999999998</v>
      </c>
    </row>
    <row r="7000" spans="1:8" s="15" customFormat="1" ht="28.5" hidden="1" customHeight="1" outlineLevel="1" x14ac:dyDescent="0.25">
      <c r="A7000" s="46">
        <v>9943</v>
      </c>
      <c r="B7000" s="4" t="s">
        <v>249</v>
      </c>
      <c r="C7000" s="22" t="s">
        <v>2346</v>
      </c>
      <c r="D7000" s="18">
        <v>2021</v>
      </c>
      <c r="E7000" s="18" t="s">
        <v>0</v>
      </c>
      <c r="F7000" s="4">
        <v>1</v>
      </c>
      <c r="G7000" s="4">
        <v>15</v>
      </c>
      <c r="H7000" s="4">
        <v>35.790219999999998</v>
      </c>
    </row>
    <row r="7001" spans="1:8" s="15" customFormat="1" ht="28.5" hidden="1" customHeight="1" outlineLevel="1" x14ac:dyDescent="0.25">
      <c r="A7001" s="45">
        <v>1478</v>
      </c>
      <c r="B7001" s="4" t="s">
        <v>249</v>
      </c>
      <c r="C7001" s="22" t="s">
        <v>1683</v>
      </c>
      <c r="D7001" s="18">
        <v>2021</v>
      </c>
      <c r="E7001" s="18" t="s">
        <v>0</v>
      </c>
      <c r="F7001" s="4">
        <v>1</v>
      </c>
      <c r="G7001" s="4">
        <v>5</v>
      </c>
      <c r="H7001" s="4">
        <v>18.952580000000001</v>
      </c>
    </row>
    <row r="7002" spans="1:8" s="15" customFormat="1" ht="28.5" hidden="1" customHeight="1" outlineLevel="1" x14ac:dyDescent="0.25">
      <c r="A7002" s="45">
        <v>1628</v>
      </c>
      <c r="B7002" s="4" t="s">
        <v>249</v>
      </c>
      <c r="C7002" s="22" t="s">
        <v>2347</v>
      </c>
      <c r="D7002" s="18">
        <v>2021</v>
      </c>
      <c r="E7002" s="18" t="s">
        <v>0</v>
      </c>
      <c r="F7002" s="4">
        <v>1</v>
      </c>
      <c r="G7002" s="4">
        <v>10</v>
      </c>
      <c r="H7002" s="4">
        <v>80.848159999999993</v>
      </c>
    </row>
    <row r="7003" spans="1:8" s="15" customFormat="1" ht="28.5" hidden="1" customHeight="1" outlineLevel="1" x14ac:dyDescent="0.25">
      <c r="A7003" s="46">
        <v>9919</v>
      </c>
      <c r="B7003" s="4" t="s">
        <v>249</v>
      </c>
      <c r="C7003" s="22" t="s">
        <v>2348</v>
      </c>
      <c r="D7003" s="18">
        <v>2021</v>
      </c>
      <c r="E7003" s="18" t="s">
        <v>0</v>
      </c>
      <c r="F7003" s="4">
        <v>1</v>
      </c>
      <c r="G7003" s="4">
        <v>10</v>
      </c>
      <c r="H7003" s="4">
        <v>67.218119999999999</v>
      </c>
    </row>
    <row r="7004" spans="1:8" s="15" customFormat="1" ht="28.5" hidden="1" customHeight="1" outlineLevel="1" x14ac:dyDescent="0.25">
      <c r="A7004" s="46">
        <v>9930</v>
      </c>
      <c r="B7004" s="4" t="s">
        <v>249</v>
      </c>
      <c r="C7004" s="22" t="s">
        <v>2349</v>
      </c>
      <c r="D7004" s="18">
        <v>2021</v>
      </c>
      <c r="E7004" s="18" t="s">
        <v>0</v>
      </c>
      <c r="F7004" s="4">
        <v>1</v>
      </c>
      <c r="G7004" s="4">
        <v>5</v>
      </c>
      <c r="H7004" s="4">
        <v>78.360110000000006</v>
      </c>
    </row>
    <row r="7005" spans="1:8" s="15" customFormat="1" ht="28.5" hidden="1" customHeight="1" outlineLevel="1" x14ac:dyDescent="0.25">
      <c r="A7005" s="46">
        <v>9914</v>
      </c>
      <c r="B7005" s="4" t="s">
        <v>249</v>
      </c>
      <c r="C7005" s="22" t="s">
        <v>2350</v>
      </c>
      <c r="D7005" s="18">
        <v>2021</v>
      </c>
      <c r="E7005" s="18" t="s">
        <v>0</v>
      </c>
      <c r="F7005" s="4">
        <v>1</v>
      </c>
      <c r="G7005" s="4">
        <v>15</v>
      </c>
      <c r="H7005" s="4">
        <v>56.280889999999999</v>
      </c>
    </row>
    <row r="7006" spans="1:8" s="15" customFormat="1" ht="28.5" hidden="1" customHeight="1" outlineLevel="1" x14ac:dyDescent="0.25">
      <c r="A7006" s="46">
        <v>9917</v>
      </c>
      <c r="B7006" s="4" t="s">
        <v>249</v>
      </c>
      <c r="C7006" s="22" t="s">
        <v>2351</v>
      </c>
      <c r="D7006" s="18">
        <v>2021</v>
      </c>
      <c r="E7006" s="18" t="s">
        <v>0</v>
      </c>
      <c r="F7006" s="4">
        <v>1</v>
      </c>
      <c r="G7006" s="4">
        <v>15</v>
      </c>
      <c r="H7006" s="4">
        <v>60.035049999999998</v>
      </c>
    </row>
    <row r="7007" spans="1:8" s="15" customFormat="1" ht="28.5" hidden="1" customHeight="1" outlineLevel="1" x14ac:dyDescent="0.25">
      <c r="A7007" s="45">
        <v>1596</v>
      </c>
      <c r="B7007" s="4" t="s">
        <v>249</v>
      </c>
      <c r="C7007" s="22" t="s">
        <v>2352</v>
      </c>
      <c r="D7007" s="18">
        <v>2021</v>
      </c>
      <c r="E7007" s="18" t="s">
        <v>0</v>
      </c>
      <c r="F7007" s="4">
        <v>1</v>
      </c>
      <c r="G7007" s="4">
        <v>5</v>
      </c>
      <c r="H7007" s="4">
        <v>60.98836</v>
      </c>
    </row>
    <row r="7008" spans="1:8" s="15" customFormat="1" ht="28.5" hidden="1" customHeight="1" outlineLevel="1" x14ac:dyDescent="0.25">
      <c r="A7008" s="46">
        <v>9942</v>
      </c>
      <c r="B7008" s="4" t="s">
        <v>249</v>
      </c>
      <c r="C7008" s="22" t="s">
        <v>2353</v>
      </c>
      <c r="D7008" s="18">
        <v>2021</v>
      </c>
      <c r="E7008" s="18" t="s">
        <v>0</v>
      </c>
      <c r="F7008" s="4">
        <v>1</v>
      </c>
      <c r="G7008" s="4">
        <v>10</v>
      </c>
      <c r="H7008" s="4">
        <v>65.955609999999993</v>
      </c>
    </row>
    <row r="7009" spans="1:8" s="15" customFormat="1" ht="28.5" hidden="1" customHeight="1" outlineLevel="1" x14ac:dyDescent="0.25">
      <c r="A7009" s="46">
        <v>9905</v>
      </c>
      <c r="B7009" s="4" t="s">
        <v>249</v>
      </c>
      <c r="C7009" s="22" t="s">
        <v>2354</v>
      </c>
      <c r="D7009" s="18">
        <v>2021</v>
      </c>
      <c r="E7009" s="18" t="s">
        <v>0</v>
      </c>
      <c r="F7009" s="4">
        <v>2</v>
      </c>
      <c r="G7009" s="4">
        <v>10</v>
      </c>
      <c r="H7009" s="4">
        <v>93.110560000000007</v>
      </c>
    </row>
    <row r="7010" spans="1:8" s="15" customFormat="1" ht="28.5" hidden="1" customHeight="1" outlineLevel="1" x14ac:dyDescent="0.25">
      <c r="A7010" s="45">
        <v>1021</v>
      </c>
      <c r="B7010" s="4" t="s">
        <v>249</v>
      </c>
      <c r="C7010" s="22" t="s">
        <v>2355</v>
      </c>
      <c r="D7010" s="18">
        <v>2021</v>
      </c>
      <c r="E7010" s="18" t="s">
        <v>0</v>
      </c>
      <c r="F7010" s="4">
        <v>1</v>
      </c>
      <c r="G7010" s="4">
        <v>10</v>
      </c>
      <c r="H7010" s="4">
        <v>38.539340000000003</v>
      </c>
    </row>
    <row r="7011" spans="1:8" s="15" customFormat="1" ht="28.5" hidden="1" customHeight="1" outlineLevel="1" x14ac:dyDescent="0.25">
      <c r="A7011" s="46">
        <v>9637</v>
      </c>
      <c r="B7011" s="4" t="s">
        <v>249</v>
      </c>
      <c r="C7011" s="22" t="s">
        <v>2356</v>
      </c>
      <c r="D7011" s="18">
        <v>2021</v>
      </c>
      <c r="E7011" s="18" t="s">
        <v>0</v>
      </c>
      <c r="F7011" s="4">
        <v>1</v>
      </c>
      <c r="G7011" s="4">
        <v>8</v>
      </c>
      <c r="H7011" s="4">
        <v>39.632860000000001</v>
      </c>
    </row>
    <row r="7012" spans="1:8" s="15" customFormat="1" ht="28.5" hidden="1" customHeight="1" outlineLevel="1" x14ac:dyDescent="0.25">
      <c r="A7012" s="18">
        <v>2240</v>
      </c>
      <c r="B7012" s="4" t="s">
        <v>249</v>
      </c>
      <c r="C7012" s="22" t="s">
        <v>2357</v>
      </c>
      <c r="D7012" s="18">
        <v>2021</v>
      </c>
      <c r="E7012" s="18" t="s">
        <v>0</v>
      </c>
      <c r="F7012" s="4">
        <v>2</v>
      </c>
      <c r="G7012" s="4">
        <v>5</v>
      </c>
      <c r="H7012" s="4">
        <v>63.073794999999997</v>
      </c>
    </row>
    <row r="7013" spans="1:8" s="15" customFormat="1" ht="28.5" hidden="1" customHeight="1" outlineLevel="1" x14ac:dyDescent="0.25">
      <c r="A7013" s="46">
        <v>9893</v>
      </c>
      <c r="B7013" s="4" t="s">
        <v>249</v>
      </c>
      <c r="C7013" s="22" t="s">
        <v>2358</v>
      </c>
      <c r="D7013" s="18">
        <v>2021</v>
      </c>
      <c r="E7013" s="18" t="s">
        <v>0</v>
      </c>
      <c r="F7013" s="4">
        <v>2</v>
      </c>
      <c r="G7013" s="4">
        <v>10</v>
      </c>
      <c r="H7013" s="4">
        <v>56.448799999999999</v>
      </c>
    </row>
    <row r="7014" spans="1:8" s="15" customFormat="1" ht="28.5" hidden="1" customHeight="1" outlineLevel="1" x14ac:dyDescent="0.25">
      <c r="A7014" s="46">
        <v>9979</v>
      </c>
      <c r="B7014" s="4" t="s">
        <v>249</v>
      </c>
      <c r="C7014" s="22" t="s">
        <v>2359</v>
      </c>
      <c r="D7014" s="18">
        <v>2021</v>
      </c>
      <c r="E7014" s="18" t="s">
        <v>0</v>
      </c>
      <c r="F7014" s="4">
        <v>1</v>
      </c>
      <c r="G7014" s="4">
        <v>10</v>
      </c>
      <c r="H7014" s="4">
        <v>47.454560000000001</v>
      </c>
    </row>
    <row r="7015" spans="1:8" s="15" customFormat="1" ht="28.5" hidden="1" customHeight="1" outlineLevel="1" x14ac:dyDescent="0.25">
      <c r="A7015" s="18">
        <v>2380</v>
      </c>
      <c r="B7015" s="4" t="s">
        <v>249</v>
      </c>
      <c r="C7015" s="22" t="s">
        <v>2360</v>
      </c>
      <c r="D7015" s="18">
        <v>2021</v>
      </c>
      <c r="E7015" s="18" t="s">
        <v>0</v>
      </c>
      <c r="F7015" s="4">
        <v>1</v>
      </c>
      <c r="G7015" s="4">
        <v>9</v>
      </c>
      <c r="H7015" s="4">
        <v>24.664390000000001</v>
      </c>
    </row>
    <row r="7016" spans="1:8" s="15" customFormat="1" ht="28.5" hidden="1" customHeight="1" outlineLevel="1" x14ac:dyDescent="0.25">
      <c r="A7016" s="45">
        <v>1589</v>
      </c>
      <c r="B7016" s="4" t="s">
        <v>249</v>
      </c>
      <c r="C7016" s="22" t="s">
        <v>2361</v>
      </c>
      <c r="D7016" s="18">
        <v>2021</v>
      </c>
      <c r="E7016" s="18" t="s">
        <v>0</v>
      </c>
      <c r="F7016" s="4">
        <v>1</v>
      </c>
      <c r="G7016" s="4">
        <v>5</v>
      </c>
      <c r="H7016" s="4">
        <v>40.787570000000002</v>
      </c>
    </row>
    <row r="7017" spans="1:8" s="15" customFormat="1" ht="28.5" hidden="1" customHeight="1" outlineLevel="1" x14ac:dyDescent="0.25">
      <c r="A7017" s="46">
        <v>9913</v>
      </c>
      <c r="B7017" s="4" t="s">
        <v>249</v>
      </c>
      <c r="C7017" s="22" t="s">
        <v>2362</v>
      </c>
      <c r="D7017" s="18">
        <v>2021</v>
      </c>
      <c r="E7017" s="18" t="s">
        <v>0</v>
      </c>
      <c r="F7017" s="4">
        <v>1</v>
      </c>
      <c r="G7017" s="4">
        <v>5</v>
      </c>
      <c r="H7017" s="4">
        <v>40.788139999999999</v>
      </c>
    </row>
    <row r="7018" spans="1:8" s="15" customFormat="1" ht="28.5" hidden="1" customHeight="1" outlineLevel="1" x14ac:dyDescent="0.25">
      <c r="A7018" s="46">
        <v>9803</v>
      </c>
      <c r="B7018" s="4" t="s">
        <v>249</v>
      </c>
      <c r="C7018" s="22" t="s">
        <v>2363</v>
      </c>
      <c r="D7018" s="18">
        <v>2021</v>
      </c>
      <c r="E7018" s="18" t="s">
        <v>0</v>
      </c>
      <c r="F7018" s="4">
        <v>1</v>
      </c>
      <c r="G7018" s="4">
        <v>15</v>
      </c>
      <c r="H7018" s="4">
        <v>44.81494</v>
      </c>
    </row>
    <row r="7019" spans="1:8" s="15" customFormat="1" ht="28.5" hidden="1" customHeight="1" outlineLevel="1" x14ac:dyDescent="0.25">
      <c r="A7019" s="46">
        <v>9819</v>
      </c>
      <c r="B7019" s="4" t="s">
        <v>249</v>
      </c>
      <c r="C7019" s="22" t="s">
        <v>1716</v>
      </c>
      <c r="D7019" s="18">
        <v>2021</v>
      </c>
      <c r="E7019" s="18" t="s">
        <v>0</v>
      </c>
      <c r="F7019" s="4">
        <v>1</v>
      </c>
      <c r="G7019" s="4">
        <v>5</v>
      </c>
      <c r="H7019" s="4">
        <v>33.945300000000003</v>
      </c>
    </row>
    <row r="7020" spans="1:8" s="15" customFormat="1" ht="28.5" hidden="1" customHeight="1" outlineLevel="1" x14ac:dyDescent="0.25">
      <c r="A7020" s="46">
        <v>9819</v>
      </c>
      <c r="B7020" s="4" t="s">
        <v>249</v>
      </c>
      <c r="C7020" s="22" t="s">
        <v>1716</v>
      </c>
      <c r="D7020" s="18">
        <v>2021</v>
      </c>
      <c r="E7020" s="18" t="s">
        <v>0</v>
      </c>
      <c r="F7020" s="4">
        <v>1</v>
      </c>
      <c r="G7020" s="4">
        <v>5</v>
      </c>
      <c r="H7020" s="4">
        <v>33.945300000000003</v>
      </c>
    </row>
    <row r="7021" spans="1:8" s="15" customFormat="1" ht="28.5" hidden="1" customHeight="1" outlineLevel="1" x14ac:dyDescent="0.25">
      <c r="A7021" s="46">
        <v>9849</v>
      </c>
      <c r="B7021" s="4" t="s">
        <v>249</v>
      </c>
      <c r="C7021" s="22" t="s">
        <v>1722</v>
      </c>
      <c r="D7021" s="18">
        <v>2021</v>
      </c>
      <c r="E7021" s="18" t="s">
        <v>0</v>
      </c>
      <c r="F7021" s="4">
        <v>1</v>
      </c>
      <c r="G7021" s="4">
        <v>15</v>
      </c>
      <c r="H7021" s="4">
        <v>31.141369999999998</v>
      </c>
    </row>
    <row r="7022" spans="1:8" s="15" customFormat="1" ht="28.5" hidden="1" customHeight="1" outlineLevel="1" x14ac:dyDescent="0.25">
      <c r="A7022" s="46">
        <v>9922</v>
      </c>
      <c r="B7022" s="4" t="s">
        <v>249</v>
      </c>
      <c r="C7022" s="22" t="s">
        <v>2364</v>
      </c>
      <c r="D7022" s="18">
        <v>2021</v>
      </c>
      <c r="E7022" s="18" t="s">
        <v>0</v>
      </c>
      <c r="F7022" s="4">
        <v>1</v>
      </c>
      <c r="G7022" s="4">
        <v>10</v>
      </c>
      <c r="H7022" s="4">
        <v>79.351900000000001</v>
      </c>
    </row>
    <row r="7023" spans="1:8" s="15" customFormat="1" ht="28.5" hidden="1" customHeight="1" outlineLevel="1" x14ac:dyDescent="0.25">
      <c r="A7023" s="46">
        <v>9926</v>
      </c>
      <c r="B7023" s="4" t="s">
        <v>249</v>
      </c>
      <c r="C7023" s="22" t="s">
        <v>2365</v>
      </c>
      <c r="D7023" s="18">
        <v>2021</v>
      </c>
      <c r="E7023" s="18" t="s">
        <v>0</v>
      </c>
      <c r="F7023" s="4">
        <v>1</v>
      </c>
      <c r="G7023" s="4">
        <v>10</v>
      </c>
      <c r="H7023" s="4">
        <v>80.395290000000003</v>
      </c>
    </row>
    <row r="7024" spans="1:8" s="15" customFormat="1" ht="28.5" hidden="1" customHeight="1" outlineLevel="1" x14ac:dyDescent="0.25">
      <c r="A7024" s="46">
        <v>9916</v>
      </c>
      <c r="B7024" s="4" t="s">
        <v>249</v>
      </c>
      <c r="C7024" s="22" t="s">
        <v>2366</v>
      </c>
      <c r="D7024" s="18">
        <v>2021</v>
      </c>
      <c r="E7024" s="18" t="s">
        <v>0</v>
      </c>
      <c r="F7024" s="4">
        <v>1</v>
      </c>
      <c r="G7024" s="4">
        <v>10</v>
      </c>
      <c r="H7024" s="4">
        <v>29.876899999999999</v>
      </c>
    </row>
    <row r="7025" spans="1:8" s="15" customFormat="1" ht="28.5" hidden="1" customHeight="1" outlineLevel="1" x14ac:dyDescent="0.25">
      <c r="A7025" s="46">
        <v>9921</v>
      </c>
      <c r="B7025" s="4" t="s">
        <v>249</v>
      </c>
      <c r="C7025" s="22" t="s">
        <v>2367</v>
      </c>
      <c r="D7025" s="18">
        <v>2021</v>
      </c>
      <c r="E7025" s="18" t="s">
        <v>0</v>
      </c>
      <c r="F7025" s="4">
        <v>1</v>
      </c>
      <c r="G7025" s="4">
        <v>15</v>
      </c>
      <c r="H7025" s="4">
        <v>68.311099999999996</v>
      </c>
    </row>
    <row r="7026" spans="1:8" s="15" customFormat="1" ht="28.5" hidden="1" customHeight="1" outlineLevel="1" x14ac:dyDescent="0.25">
      <c r="A7026" s="46">
        <v>9951</v>
      </c>
      <c r="B7026" s="4" t="s">
        <v>249</v>
      </c>
      <c r="C7026" s="22" t="s">
        <v>2368</v>
      </c>
      <c r="D7026" s="18">
        <v>2021</v>
      </c>
      <c r="E7026" s="18" t="s">
        <v>0</v>
      </c>
      <c r="F7026" s="4">
        <v>1</v>
      </c>
      <c r="G7026" s="4">
        <v>12</v>
      </c>
      <c r="H7026" s="4">
        <v>66.907250000000005</v>
      </c>
    </row>
    <row r="7027" spans="1:8" s="15" customFormat="1" ht="28.5" hidden="1" customHeight="1" outlineLevel="1" x14ac:dyDescent="0.25">
      <c r="A7027" s="46">
        <v>9953</v>
      </c>
      <c r="B7027" s="4" t="s">
        <v>249</v>
      </c>
      <c r="C7027" s="22" t="s">
        <v>2369</v>
      </c>
      <c r="D7027" s="18">
        <v>2021</v>
      </c>
      <c r="E7027" s="18" t="s">
        <v>0</v>
      </c>
      <c r="F7027" s="4">
        <v>1</v>
      </c>
      <c r="G7027" s="4">
        <v>10</v>
      </c>
      <c r="H7027" s="4">
        <v>77.198070000000001</v>
      </c>
    </row>
    <row r="7028" spans="1:8" s="15" customFormat="1" ht="28.5" hidden="1" customHeight="1" outlineLevel="1" x14ac:dyDescent="0.25">
      <c r="A7028" s="46">
        <v>9952</v>
      </c>
      <c r="B7028" s="4" t="s">
        <v>249</v>
      </c>
      <c r="C7028" s="22" t="s">
        <v>2370</v>
      </c>
      <c r="D7028" s="18">
        <v>2021</v>
      </c>
      <c r="E7028" s="18" t="s">
        <v>0</v>
      </c>
      <c r="F7028" s="4">
        <v>1</v>
      </c>
      <c r="G7028" s="4">
        <v>10</v>
      </c>
      <c r="H7028" s="4">
        <v>76.674009999999996</v>
      </c>
    </row>
    <row r="7029" spans="1:8" s="15" customFormat="1" ht="28.5" hidden="1" customHeight="1" outlineLevel="1" x14ac:dyDescent="0.25">
      <c r="A7029" s="45">
        <v>9817</v>
      </c>
      <c r="B7029" s="4" t="s">
        <v>249</v>
      </c>
      <c r="C7029" s="22" t="s">
        <v>2371</v>
      </c>
      <c r="D7029" s="18">
        <v>2021</v>
      </c>
      <c r="E7029" s="18" t="s">
        <v>0</v>
      </c>
      <c r="F7029" s="4">
        <v>1</v>
      </c>
      <c r="G7029" s="4">
        <v>10</v>
      </c>
      <c r="H7029" s="4">
        <v>25.198370000000001</v>
      </c>
    </row>
    <row r="7030" spans="1:8" s="15" customFormat="1" ht="28.5" hidden="1" customHeight="1" outlineLevel="1" x14ac:dyDescent="0.25">
      <c r="A7030" s="46">
        <v>9941</v>
      </c>
      <c r="B7030" s="4" t="s">
        <v>249</v>
      </c>
      <c r="C7030" s="22" t="s">
        <v>2372</v>
      </c>
      <c r="D7030" s="18">
        <v>2021</v>
      </c>
      <c r="E7030" s="18" t="s">
        <v>0</v>
      </c>
      <c r="F7030" s="4">
        <v>1</v>
      </c>
      <c r="G7030" s="4">
        <v>15</v>
      </c>
      <c r="H7030" s="4">
        <v>66.915620000000004</v>
      </c>
    </row>
    <row r="7031" spans="1:8" s="15" customFormat="1" ht="28.5" hidden="1" customHeight="1" outlineLevel="1" x14ac:dyDescent="0.25">
      <c r="A7031" s="46">
        <v>9950</v>
      </c>
      <c r="B7031" s="4" t="s">
        <v>249</v>
      </c>
      <c r="C7031" s="22" t="s">
        <v>2373</v>
      </c>
      <c r="D7031" s="18">
        <v>2021</v>
      </c>
      <c r="E7031" s="18" t="s">
        <v>0</v>
      </c>
      <c r="F7031" s="4">
        <v>1</v>
      </c>
      <c r="G7031" s="4">
        <v>12</v>
      </c>
      <c r="H7031" s="4">
        <v>69.645750000000007</v>
      </c>
    </row>
    <row r="7032" spans="1:8" s="15" customFormat="1" ht="28.5" hidden="1" customHeight="1" outlineLevel="1" x14ac:dyDescent="0.25">
      <c r="A7032" s="46">
        <v>9910</v>
      </c>
      <c r="B7032" s="4" t="s">
        <v>249</v>
      </c>
      <c r="C7032" s="22" t="s">
        <v>2374</v>
      </c>
      <c r="D7032" s="18">
        <v>2021</v>
      </c>
      <c r="E7032" s="18" t="s">
        <v>0</v>
      </c>
      <c r="F7032" s="4">
        <v>1</v>
      </c>
      <c r="G7032" s="4">
        <v>15</v>
      </c>
      <c r="H7032" s="4">
        <v>82.406589999999994</v>
      </c>
    </row>
    <row r="7033" spans="1:8" s="15" customFormat="1" ht="28.5" hidden="1" customHeight="1" outlineLevel="1" x14ac:dyDescent="0.25">
      <c r="A7033" s="46">
        <v>9927</v>
      </c>
      <c r="B7033" s="4" t="s">
        <v>249</v>
      </c>
      <c r="C7033" s="22" t="s">
        <v>2375</v>
      </c>
      <c r="D7033" s="18">
        <v>2021</v>
      </c>
      <c r="E7033" s="18" t="s">
        <v>0</v>
      </c>
      <c r="F7033" s="4">
        <v>1</v>
      </c>
      <c r="G7033" s="4">
        <v>14.5</v>
      </c>
      <c r="H7033" s="4">
        <v>80.532449999999997</v>
      </c>
    </row>
    <row r="7034" spans="1:8" s="15" customFormat="1" ht="28.5" hidden="1" customHeight="1" outlineLevel="1" x14ac:dyDescent="0.25">
      <c r="A7034" s="46">
        <v>9928</v>
      </c>
      <c r="B7034" s="4" t="s">
        <v>249</v>
      </c>
      <c r="C7034" s="22" t="s">
        <v>2376</v>
      </c>
      <c r="D7034" s="18">
        <v>2021</v>
      </c>
      <c r="E7034" s="18" t="s">
        <v>0</v>
      </c>
      <c r="F7034" s="4">
        <v>1</v>
      </c>
      <c r="G7034" s="4">
        <v>15</v>
      </c>
      <c r="H7034" s="4">
        <v>76.794060000000002</v>
      </c>
    </row>
    <row r="7035" spans="1:8" s="15" customFormat="1" ht="28.5" hidden="1" customHeight="1" outlineLevel="1" x14ac:dyDescent="0.25">
      <c r="A7035" s="46">
        <v>9912</v>
      </c>
      <c r="B7035" s="4" t="s">
        <v>249</v>
      </c>
      <c r="C7035" s="22" t="s">
        <v>2377</v>
      </c>
      <c r="D7035" s="18">
        <v>2021</v>
      </c>
      <c r="E7035" s="18" t="s">
        <v>0</v>
      </c>
      <c r="F7035" s="4">
        <v>1</v>
      </c>
      <c r="G7035" s="4">
        <v>12</v>
      </c>
      <c r="H7035" s="4">
        <v>79.935850000000002</v>
      </c>
    </row>
    <row r="7036" spans="1:8" s="15" customFormat="1" ht="28.5" hidden="1" customHeight="1" outlineLevel="1" x14ac:dyDescent="0.25">
      <c r="A7036" s="45">
        <v>1611</v>
      </c>
      <c r="B7036" s="4" t="s">
        <v>249</v>
      </c>
      <c r="C7036" s="22" t="s">
        <v>2378</v>
      </c>
      <c r="D7036" s="18">
        <v>2021</v>
      </c>
      <c r="E7036" s="18" t="s">
        <v>0</v>
      </c>
      <c r="F7036" s="4">
        <v>1</v>
      </c>
      <c r="G7036" s="4">
        <v>10</v>
      </c>
      <c r="H7036" s="4">
        <v>77.206249999999997</v>
      </c>
    </row>
    <row r="7037" spans="1:8" s="15" customFormat="1" ht="28.5" hidden="1" customHeight="1" outlineLevel="1" x14ac:dyDescent="0.25">
      <c r="A7037" s="46">
        <v>9938</v>
      </c>
      <c r="B7037" s="4" t="s">
        <v>249</v>
      </c>
      <c r="C7037" s="22" t="s">
        <v>2379</v>
      </c>
      <c r="D7037" s="18">
        <v>2021</v>
      </c>
      <c r="E7037" s="18" t="s">
        <v>0</v>
      </c>
      <c r="F7037" s="4">
        <v>1</v>
      </c>
      <c r="G7037" s="4">
        <v>15</v>
      </c>
      <c r="H7037" s="4">
        <v>80.48312</v>
      </c>
    </row>
    <row r="7038" spans="1:8" s="15" customFormat="1" ht="28.5" hidden="1" customHeight="1" outlineLevel="1" x14ac:dyDescent="0.25">
      <c r="A7038" s="46">
        <v>9971</v>
      </c>
      <c r="B7038" s="4" t="s">
        <v>249</v>
      </c>
      <c r="C7038" s="22" t="s">
        <v>2380</v>
      </c>
      <c r="D7038" s="18">
        <v>2021</v>
      </c>
      <c r="E7038" s="18" t="s">
        <v>0</v>
      </c>
      <c r="F7038" s="4">
        <v>1</v>
      </c>
      <c r="G7038" s="4">
        <v>5</v>
      </c>
      <c r="H7038" s="4">
        <v>32.212159999999997</v>
      </c>
    </row>
    <row r="7039" spans="1:8" s="15" customFormat="1" ht="28.5" hidden="1" customHeight="1" outlineLevel="1" x14ac:dyDescent="0.25">
      <c r="A7039" s="46">
        <v>9983</v>
      </c>
      <c r="B7039" s="4" t="s">
        <v>249</v>
      </c>
      <c r="C7039" s="22" t="s">
        <v>2381</v>
      </c>
      <c r="D7039" s="18">
        <v>2021</v>
      </c>
      <c r="E7039" s="18" t="s">
        <v>0</v>
      </c>
      <c r="F7039" s="4">
        <v>1</v>
      </c>
      <c r="G7039" s="4">
        <v>5</v>
      </c>
      <c r="H7039" s="4">
        <v>39.224440000000001</v>
      </c>
    </row>
    <row r="7040" spans="1:8" s="15" customFormat="1" ht="28.5" hidden="1" customHeight="1" outlineLevel="1" x14ac:dyDescent="0.25">
      <c r="A7040" s="45">
        <v>2279</v>
      </c>
      <c r="B7040" s="4" t="s">
        <v>249</v>
      </c>
      <c r="C7040" s="22" t="s">
        <v>2382</v>
      </c>
      <c r="D7040" s="18">
        <v>2021</v>
      </c>
      <c r="E7040" s="18" t="s">
        <v>0</v>
      </c>
      <c r="F7040" s="4">
        <v>1</v>
      </c>
      <c r="G7040" s="4">
        <v>15</v>
      </c>
      <c r="H7040" s="4">
        <v>30.08634</v>
      </c>
    </row>
    <row r="7041" spans="1:8" s="15" customFormat="1" ht="28.5" hidden="1" customHeight="1" outlineLevel="1" x14ac:dyDescent="0.25">
      <c r="A7041" s="45">
        <v>1919</v>
      </c>
      <c r="B7041" s="4" t="s">
        <v>249</v>
      </c>
      <c r="C7041" s="22" t="s">
        <v>2383</v>
      </c>
      <c r="D7041" s="18">
        <v>2021</v>
      </c>
      <c r="E7041" s="18" t="s">
        <v>0</v>
      </c>
      <c r="F7041" s="4">
        <v>1</v>
      </c>
      <c r="G7041" s="4">
        <v>1</v>
      </c>
      <c r="H7041" s="4">
        <v>30.12677</v>
      </c>
    </row>
    <row r="7042" spans="1:8" s="15" customFormat="1" ht="28.5" hidden="1" customHeight="1" outlineLevel="1" x14ac:dyDescent="0.25">
      <c r="A7042" s="45">
        <v>1892</v>
      </c>
      <c r="B7042" s="4" t="s">
        <v>249</v>
      </c>
      <c r="C7042" s="22" t="s">
        <v>2384</v>
      </c>
      <c r="D7042" s="18">
        <v>2021</v>
      </c>
      <c r="E7042" s="18" t="s">
        <v>0</v>
      </c>
      <c r="F7042" s="4">
        <v>1</v>
      </c>
      <c r="G7042" s="4">
        <v>5</v>
      </c>
      <c r="H7042" s="4">
        <v>27.849080000000001</v>
      </c>
    </row>
    <row r="7043" spans="1:8" s="15" customFormat="1" ht="28.5" hidden="1" customHeight="1" outlineLevel="1" x14ac:dyDescent="0.25">
      <c r="A7043" s="46">
        <v>9936</v>
      </c>
      <c r="B7043" s="4" t="s">
        <v>249</v>
      </c>
      <c r="C7043" s="22" t="s">
        <v>2385</v>
      </c>
      <c r="D7043" s="18">
        <v>2021</v>
      </c>
      <c r="E7043" s="18" t="s">
        <v>0</v>
      </c>
      <c r="F7043" s="4">
        <v>1</v>
      </c>
      <c r="G7043" s="4">
        <v>8</v>
      </c>
      <c r="H7043" s="4">
        <v>73.622990000000001</v>
      </c>
    </row>
    <row r="7044" spans="1:8" s="15" customFormat="1" ht="28.5" hidden="1" customHeight="1" outlineLevel="1" x14ac:dyDescent="0.25">
      <c r="A7044" s="46">
        <v>9937</v>
      </c>
      <c r="B7044" s="4" t="s">
        <v>249</v>
      </c>
      <c r="C7044" s="22" t="s">
        <v>2386</v>
      </c>
      <c r="D7044" s="18">
        <v>2021</v>
      </c>
      <c r="E7044" s="18" t="s">
        <v>0</v>
      </c>
      <c r="F7044" s="4">
        <v>1</v>
      </c>
      <c r="G7044" s="4">
        <v>8</v>
      </c>
      <c r="H7044" s="4">
        <v>66.586849999999998</v>
      </c>
    </row>
    <row r="7045" spans="1:8" s="15" customFormat="1" ht="28.5" hidden="1" customHeight="1" outlineLevel="1" x14ac:dyDescent="0.25">
      <c r="A7045" s="46">
        <v>9935</v>
      </c>
      <c r="B7045" s="4" t="s">
        <v>249</v>
      </c>
      <c r="C7045" s="22" t="s">
        <v>2387</v>
      </c>
      <c r="D7045" s="18">
        <v>2021</v>
      </c>
      <c r="E7045" s="18" t="s">
        <v>0</v>
      </c>
      <c r="F7045" s="4">
        <v>1</v>
      </c>
      <c r="G7045" s="4">
        <v>15</v>
      </c>
      <c r="H7045" s="4">
        <v>66.394750000000002</v>
      </c>
    </row>
    <row r="7046" spans="1:8" s="15" customFormat="1" ht="28.5" hidden="1" customHeight="1" outlineLevel="1" x14ac:dyDescent="0.25">
      <c r="A7046" s="46">
        <v>9850</v>
      </c>
      <c r="B7046" s="4" t="s">
        <v>249</v>
      </c>
      <c r="C7046" s="22" t="s">
        <v>2388</v>
      </c>
      <c r="D7046" s="18">
        <v>2021</v>
      </c>
      <c r="E7046" s="18" t="s">
        <v>0</v>
      </c>
      <c r="F7046" s="4">
        <v>1</v>
      </c>
      <c r="G7046" s="4">
        <v>45</v>
      </c>
      <c r="H7046" s="4">
        <v>44.375030000000002</v>
      </c>
    </row>
    <row r="7047" spans="1:8" s="15" customFormat="1" ht="28.5" hidden="1" customHeight="1" outlineLevel="1" x14ac:dyDescent="0.25">
      <c r="A7047" s="45">
        <v>1351</v>
      </c>
      <c r="B7047" s="4" t="s">
        <v>249</v>
      </c>
      <c r="C7047" s="22" t="s">
        <v>2389</v>
      </c>
      <c r="D7047" s="18">
        <v>2021</v>
      </c>
      <c r="E7047" s="18" t="s">
        <v>0</v>
      </c>
      <c r="F7047" s="4">
        <v>1</v>
      </c>
      <c r="G7047" s="4">
        <v>10</v>
      </c>
      <c r="H7047" s="4">
        <v>22.420269999999999</v>
      </c>
    </row>
    <row r="7048" spans="1:8" s="15" customFormat="1" ht="28.5" hidden="1" customHeight="1" outlineLevel="1" x14ac:dyDescent="0.25">
      <c r="A7048" s="46">
        <v>9906</v>
      </c>
      <c r="B7048" s="4" t="s">
        <v>249</v>
      </c>
      <c r="C7048" s="22" t="s">
        <v>2390</v>
      </c>
      <c r="D7048" s="18">
        <v>2021</v>
      </c>
      <c r="E7048" s="18" t="s">
        <v>0</v>
      </c>
      <c r="F7048" s="4">
        <v>1</v>
      </c>
      <c r="G7048" s="4">
        <v>12</v>
      </c>
      <c r="H7048" s="4">
        <v>72.948949999999996</v>
      </c>
    </row>
    <row r="7049" spans="1:8" s="15" customFormat="1" ht="28.5" hidden="1" customHeight="1" outlineLevel="1" x14ac:dyDescent="0.25">
      <c r="A7049" s="45">
        <v>2451</v>
      </c>
      <c r="B7049" s="4" t="s">
        <v>249</v>
      </c>
      <c r="C7049" s="22" t="s">
        <v>2391</v>
      </c>
      <c r="D7049" s="18">
        <v>2021</v>
      </c>
      <c r="E7049" s="18" t="s">
        <v>0</v>
      </c>
      <c r="F7049" s="4">
        <v>2</v>
      </c>
      <c r="G7049" s="4">
        <v>15</v>
      </c>
      <c r="H7049" s="4">
        <v>61.828249999999997</v>
      </c>
    </row>
    <row r="7050" spans="1:8" s="15" customFormat="1" ht="28.5" hidden="1" customHeight="1" outlineLevel="1" x14ac:dyDescent="0.25">
      <c r="A7050" s="46">
        <v>9977</v>
      </c>
      <c r="B7050" s="4" t="s">
        <v>249</v>
      </c>
      <c r="C7050" s="22" t="s">
        <v>2392</v>
      </c>
      <c r="D7050" s="18">
        <v>2021</v>
      </c>
      <c r="E7050" s="18" t="s">
        <v>0</v>
      </c>
      <c r="F7050" s="4">
        <v>1</v>
      </c>
      <c r="G7050" s="4">
        <v>12</v>
      </c>
      <c r="H7050" s="4">
        <v>29.863880000000002</v>
      </c>
    </row>
    <row r="7051" spans="1:8" s="15" customFormat="1" ht="28.5" hidden="1" customHeight="1" outlineLevel="1" x14ac:dyDescent="0.25">
      <c r="A7051" s="45">
        <v>1792</v>
      </c>
      <c r="B7051" s="4" t="s">
        <v>249</v>
      </c>
      <c r="C7051" s="22" t="s">
        <v>2393</v>
      </c>
      <c r="D7051" s="18">
        <v>2021</v>
      </c>
      <c r="E7051" s="18" t="s">
        <v>0</v>
      </c>
      <c r="F7051" s="4">
        <v>1</v>
      </c>
      <c r="G7051" s="4">
        <v>15</v>
      </c>
      <c r="H7051" s="4">
        <v>23.558869999999999</v>
      </c>
    </row>
    <row r="7052" spans="1:8" s="15" customFormat="1" ht="28.5" hidden="1" customHeight="1" outlineLevel="1" x14ac:dyDescent="0.25">
      <c r="A7052" s="46">
        <v>10310</v>
      </c>
      <c r="B7052" s="4" t="s">
        <v>249</v>
      </c>
      <c r="C7052" s="22" t="s">
        <v>2394</v>
      </c>
      <c r="D7052" s="18">
        <v>2021</v>
      </c>
      <c r="E7052" s="18" t="s">
        <v>0</v>
      </c>
      <c r="F7052" s="4">
        <v>4</v>
      </c>
      <c r="G7052" s="4">
        <v>5</v>
      </c>
      <c r="H7052" s="4">
        <v>96.234750000000005</v>
      </c>
    </row>
    <row r="7053" spans="1:8" s="15" customFormat="1" ht="28.5" hidden="1" customHeight="1" outlineLevel="1" x14ac:dyDescent="0.25">
      <c r="A7053" s="46">
        <v>10309</v>
      </c>
      <c r="B7053" s="4" t="s">
        <v>249</v>
      </c>
      <c r="C7053" s="22" t="s">
        <v>2395</v>
      </c>
      <c r="D7053" s="18">
        <v>2021</v>
      </c>
      <c r="E7053" s="18" t="s">
        <v>0</v>
      </c>
      <c r="F7053" s="4">
        <v>1</v>
      </c>
      <c r="G7053" s="4">
        <v>5</v>
      </c>
      <c r="H7053" s="4">
        <v>32.885309999999997</v>
      </c>
    </row>
    <row r="7054" spans="1:8" s="15" customFormat="1" ht="28.5" hidden="1" customHeight="1" outlineLevel="1" x14ac:dyDescent="0.25">
      <c r="A7054" s="46">
        <v>9993</v>
      </c>
      <c r="B7054" s="4" t="s">
        <v>249</v>
      </c>
      <c r="C7054" s="22" t="s">
        <v>2396</v>
      </c>
      <c r="D7054" s="18">
        <v>2021</v>
      </c>
      <c r="E7054" s="18" t="s">
        <v>0</v>
      </c>
      <c r="F7054" s="4">
        <v>1</v>
      </c>
      <c r="G7054" s="4">
        <v>10</v>
      </c>
      <c r="H7054" s="4">
        <v>28.465779999999999</v>
      </c>
    </row>
    <row r="7055" spans="1:8" s="15" customFormat="1" ht="28.5" hidden="1" customHeight="1" outlineLevel="1" x14ac:dyDescent="0.25">
      <c r="A7055" s="46">
        <v>10015</v>
      </c>
      <c r="B7055" s="4" t="s">
        <v>249</v>
      </c>
      <c r="C7055" s="22" t="s">
        <v>2397</v>
      </c>
      <c r="D7055" s="18">
        <v>2021</v>
      </c>
      <c r="E7055" s="18" t="s">
        <v>0</v>
      </c>
      <c r="F7055" s="4">
        <v>1</v>
      </c>
      <c r="G7055" s="4">
        <v>14</v>
      </c>
      <c r="H7055" s="4">
        <v>29.053319999999999</v>
      </c>
    </row>
    <row r="7056" spans="1:8" s="15" customFormat="1" ht="28.5" hidden="1" customHeight="1" outlineLevel="1" x14ac:dyDescent="0.25">
      <c r="A7056" s="46">
        <v>10002</v>
      </c>
      <c r="B7056" s="4" t="s">
        <v>249</v>
      </c>
      <c r="C7056" s="22" t="s">
        <v>2398</v>
      </c>
      <c r="D7056" s="18">
        <v>2021</v>
      </c>
      <c r="E7056" s="18" t="s">
        <v>0</v>
      </c>
      <c r="F7056" s="4">
        <v>1</v>
      </c>
      <c r="G7056" s="4">
        <v>14</v>
      </c>
      <c r="H7056" s="4">
        <v>30.44961</v>
      </c>
    </row>
    <row r="7057" spans="1:8" s="15" customFormat="1" ht="28.5" hidden="1" customHeight="1" outlineLevel="1" x14ac:dyDescent="0.25">
      <c r="A7057" s="46">
        <v>9970</v>
      </c>
      <c r="B7057" s="4" t="s">
        <v>249</v>
      </c>
      <c r="C7057" s="22" t="s">
        <v>2399</v>
      </c>
      <c r="D7057" s="18">
        <v>2021</v>
      </c>
      <c r="E7057" s="18" t="s">
        <v>0</v>
      </c>
      <c r="F7057" s="4">
        <v>1</v>
      </c>
      <c r="G7057" s="4">
        <v>5</v>
      </c>
      <c r="H7057" s="4">
        <v>90.928370000000001</v>
      </c>
    </row>
    <row r="7058" spans="1:8" s="15" customFormat="1" ht="28.5" hidden="1" customHeight="1" outlineLevel="1" x14ac:dyDescent="0.25">
      <c r="A7058" s="46">
        <v>9969</v>
      </c>
      <c r="B7058" s="4" t="s">
        <v>249</v>
      </c>
      <c r="C7058" s="22" t="s">
        <v>2400</v>
      </c>
      <c r="D7058" s="18">
        <v>2021</v>
      </c>
      <c r="E7058" s="18" t="s">
        <v>0</v>
      </c>
      <c r="F7058" s="4">
        <v>1</v>
      </c>
      <c r="G7058" s="4">
        <v>5</v>
      </c>
      <c r="H7058" s="4">
        <v>90.928690000000003</v>
      </c>
    </row>
    <row r="7059" spans="1:8" s="15" customFormat="1" ht="28.5" hidden="1" customHeight="1" outlineLevel="1" x14ac:dyDescent="0.25">
      <c r="A7059" s="46">
        <v>10317</v>
      </c>
      <c r="B7059" s="4" t="s">
        <v>249</v>
      </c>
      <c r="C7059" s="22" t="s">
        <v>2401</v>
      </c>
      <c r="D7059" s="18">
        <v>2021</v>
      </c>
      <c r="E7059" s="18" t="s">
        <v>0</v>
      </c>
      <c r="F7059" s="4">
        <v>1</v>
      </c>
      <c r="G7059" s="4">
        <v>5</v>
      </c>
      <c r="H7059" s="4">
        <v>30.724419999999999</v>
      </c>
    </row>
    <row r="7060" spans="1:8" s="15" customFormat="1" ht="28.5" hidden="1" customHeight="1" outlineLevel="1" x14ac:dyDescent="0.25">
      <c r="A7060" s="46">
        <v>9998</v>
      </c>
      <c r="B7060" s="4" t="s">
        <v>249</v>
      </c>
      <c r="C7060" s="22" t="s">
        <v>2402</v>
      </c>
      <c r="D7060" s="18">
        <v>2021</v>
      </c>
      <c r="E7060" s="18" t="s">
        <v>0</v>
      </c>
      <c r="F7060" s="4">
        <v>1</v>
      </c>
      <c r="G7060" s="4">
        <v>10</v>
      </c>
      <c r="H7060" s="4">
        <v>40.057020000000001</v>
      </c>
    </row>
    <row r="7061" spans="1:8" s="15" customFormat="1" ht="28.5" hidden="1" customHeight="1" outlineLevel="1" x14ac:dyDescent="0.25">
      <c r="A7061" s="46">
        <v>9997</v>
      </c>
      <c r="B7061" s="4" t="s">
        <v>249</v>
      </c>
      <c r="C7061" s="22" t="s">
        <v>2403</v>
      </c>
      <c r="D7061" s="18">
        <v>2021</v>
      </c>
      <c r="E7061" s="18" t="s">
        <v>0</v>
      </c>
      <c r="F7061" s="4">
        <v>1</v>
      </c>
      <c r="G7061" s="4">
        <v>8</v>
      </c>
      <c r="H7061" s="4">
        <v>32.751300000000001</v>
      </c>
    </row>
    <row r="7062" spans="1:8" s="15" customFormat="1" ht="28.5" hidden="1" customHeight="1" outlineLevel="1" x14ac:dyDescent="0.25">
      <c r="A7062" s="45">
        <v>2357</v>
      </c>
      <c r="B7062" s="4" t="s">
        <v>249</v>
      </c>
      <c r="C7062" s="22" t="s">
        <v>2404</v>
      </c>
      <c r="D7062" s="18">
        <v>2021</v>
      </c>
      <c r="E7062" s="18" t="s">
        <v>0</v>
      </c>
      <c r="F7062" s="4">
        <v>2</v>
      </c>
      <c r="G7062" s="4">
        <v>55</v>
      </c>
      <c r="H7062" s="4">
        <v>63.088140000000003</v>
      </c>
    </row>
    <row r="7063" spans="1:8" s="15" customFormat="1" ht="28.5" hidden="1" customHeight="1" outlineLevel="1" x14ac:dyDescent="0.25">
      <c r="A7063" s="45">
        <v>1853</v>
      </c>
      <c r="B7063" s="4" t="s">
        <v>249</v>
      </c>
      <c r="C7063" s="22" t="s">
        <v>2405</v>
      </c>
      <c r="D7063" s="18">
        <v>2021</v>
      </c>
      <c r="E7063" s="18" t="s">
        <v>0</v>
      </c>
      <c r="F7063" s="4">
        <v>1</v>
      </c>
      <c r="G7063" s="4">
        <v>10</v>
      </c>
      <c r="H7063" s="4">
        <v>36.330309999999997</v>
      </c>
    </row>
    <row r="7064" spans="1:8" s="15" customFormat="1" ht="28.5" hidden="1" customHeight="1" outlineLevel="1" x14ac:dyDescent="0.25">
      <c r="A7064" s="45">
        <v>1346</v>
      </c>
      <c r="B7064" s="4" t="s">
        <v>249</v>
      </c>
      <c r="C7064" s="22" t="s">
        <v>1757</v>
      </c>
      <c r="D7064" s="18">
        <v>2021</v>
      </c>
      <c r="E7064" s="18" t="s">
        <v>0</v>
      </c>
      <c r="F7064" s="4">
        <v>1</v>
      </c>
      <c r="G7064" s="4">
        <v>15</v>
      </c>
      <c r="H7064" s="4">
        <v>27.375610000000002</v>
      </c>
    </row>
    <row r="7065" spans="1:8" s="15" customFormat="1" ht="28.5" hidden="1" customHeight="1" outlineLevel="1" x14ac:dyDescent="0.25">
      <c r="A7065" s="45">
        <v>1340</v>
      </c>
      <c r="B7065" s="4" t="s">
        <v>249</v>
      </c>
      <c r="C7065" s="22" t="s">
        <v>1759</v>
      </c>
      <c r="D7065" s="18">
        <v>2021</v>
      </c>
      <c r="E7065" s="18" t="s">
        <v>0</v>
      </c>
      <c r="F7065" s="4">
        <v>1</v>
      </c>
      <c r="G7065" s="4">
        <v>15</v>
      </c>
      <c r="H7065" s="4">
        <v>90.460830000000001</v>
      </c>
    </row>
    <row r="7066" spans="1:8" s="15" customFormat="1" ht="28.5" hidden="1" customHeight="1" outlineLevel="1" x14ac:dyDescent="0.25">
      <c r="A7066" s="45">
        <v>1913</v>
      </c>
      <c r="B7066" s="4" t="s">
        <v>249</v>
      </c>
      <c r="C7066" s="22" t="s">
        <v>2406</v>
      </c>
      <c r="D7066" s="18">
        <v>2021</v>
      </c>
      <c r="E7066" s="18" t="s">
        <v>0</v>
      </c>
      <c r="F7066" s="4">
        <v>1</v>
      </c>
      <c r="G7066" s="4">
        <v>10</v>
      </c>
      <c r="H7066" s="4">
        <v>33.658659999999998</v>
      </c>
    </row>
    <row r="7067" spans="1:8" s="15" customFormat="1" ht="28.5" hidden="1" customHeight="1" outlineLevel="1" x14ac:dyDescent="0.25">
      <c r="A7067" s="45">
        <v>1829</v>
      </c>
      <c r="B7067" s="4" t="s">
        <v>249</v>
      </c>
      <c r="C7067" s="22" t="s">
        <v>2407</v>
      </c>
      <c r="D7067" s="18">
        <v>2021</v>
      </c>
      <c r="E7067" s="18" t="s">
        <v>0</v>
      </c>
      <c r="F7067" s="4">
        <v>1</v>
      </c>
      <c r="G7067" s="4">
        <v>15</v>
      </c>
      <c r="H7067" s="4">
        <v>24.723050000000001</v>
      </c>
    </row>
    <row r="7068" spans="1:8" s="15" customFormat="1" ht="28.5" hidden="1" customHeight="1" outlineLevel="1" x14ac:dyDescent="0.25">
      <c r="A7068" s="46">
        <v>10003</v>
      </c>
      <c r="B7068" s="4" t="s">
        <v>249</v>
      </c>
      <c r="C7068" s="22" t="s">
        <v>2408</v>
      </c>
      <c r="D7068" s="18">
        <v>2021</v>
      </c>
      <c r="E7068" s="18" t="s">
        <v>0</v>
      </c>
      <c r="F7068" s="4">
        <v>1</v>
      </c>
      <c r="G7068" s="4">
        <v>2</v>
      </c>
      <c r="H7068" s="4">
        <v>38.072830000000003</v>
      </c>
    </row>
    <row r="7069" spans="1:8" s="15" customFormat="1" ht="28.5" hidden="1" customHeight="1" outlineLevel="1" x14ac:dyDescent="0.25">
      <c r="A7069" s="45">
        <v>1836</v>
      </c>
      <c r="B7069" s="4" t="s">
        <v>249</v>
      </c>
      <c r="C7069" s="22" t="s">
        <v>2409</v>
      </c>
      <c r="D7069" s="18">
        <v>2021</v>
      </c>
      <c r="E7069" s="18" t="s">
        <v>0</v>
      </c>
      <c r="F7069" s="4">
        <v>1</v>
      </c>
      <c r="G7069" s="4">
        <v>10</v>
      </c>
      <c r="H7069" s="4">
        <v>29.798079999999999</v>
      </c>
    </row>
    <row r="7070" spans="1:8" s="15" customFormat="1" ht="28.5" hidden="1" customHeight="1" outlineLevel="1" x14ac:dyDescent="0.25">
      <c r="A7070" s="45">
        <v>1898</v>
      </c>
      <c r="B7070" s="4" t="s">
        <v>249</v>
      </c>
      <c r="C7070" s="22" t="s">
        <v>2410</v>
      </c>
      <c r="D7070" s="18">
        <v>2021</v>
      </c>
      <c r="E7070" s="18" t="s">
        <v>0</v>
      </c>
      <c r="F7070" s="4">
        <v>1</v>
      </c>
      <c r="G7070" s="4">
        <v>15</v>
      </c>
      <c r="H7070" s="4">
        <v>43.56794</v>
      </c>
    </row>
    <row r="7071" spans="1:8" s="15" customFormat="1" ht="28.5" hidden="1" customHeight="1" outlineLevel="1" x14ac:dyDescent="0.25">
      <c r="A7071" s="45">
        <v>1912</v>
      </c>
      <c r="B7071" s="4" t="s">
        <v>249</v>
      </c>
      <c r="C7071" s="22" t="s">
        <v>2411</v>
      </c>
      <c r="D7071" s="18">
        <v>2021</v>
      </c>
      <c r="E7071" s="18" t="s">
        <v>0</v>
      </c>
      <c r="F7071" s="4">
        <v>1</v>
      </c>
      <c r="G7071" s="4">
        <v>14</v>
      </c>
      <c r="H7071" s="4">
        <v>57.021140000000003</v>
      </c>
    </row>
    <row r="7072" spans="1:8" s="15" customFormat="1" ht="28.5" hidden="1" customHeight="1" outlineLevel="1" x14ac:dyDescent="0.25">
      <c r="A7072" s="45">
        <v>1865</v>
      </c>
      <c r="B7072" s="4" t="s">
        <v>249</v>
      </c>
      <c r="C7072" s="22" t="s">
        <v>2412</v>
      </c>
      <c r="D7072" s="18">
        <v>2021</v>
      </c>
      <c r="E7072" s="18" t="s">
        <v>0</v>
      </c>
      <c r="F7072" s="4">
        <v>1</v>
      </c>
      <c r="G7072" s="4">
        <v>12</v>
      </c>
      <c r="H7072" s="4">
        <v>34.728389999999997</v>
      </c>
    </row>
    <row r="7073" spans="1:8" s="15" customFormat="1" ht="28.5" hidden="1" customHeight="1" outlineLevel="1" x14ac:dyDescent="0.25">
      <c r="A7073" s="46">
        <v>10022</v>
      </c>
      <c r="B7073" s="4" t="s">
        <v>249</v>
      </c>
      <c r="C7073" s="22" t="s">
        <v>2413</v>
      </c>
      <c r="D7073" s="18">
        <v>2021</v>
      </c>
      <c r="E7073" s="18" t="s">
        <v>0</v>
      </c>
      <c r="F7073" s="4">
        <v>1</v>
      </c>
      <c r="G7073" s="4">
        <v>3</v>
      </c>
      <c r="H7073" s="4">
        <v>35.843170000000001</v>
      </c>
    </row>
    <row r="7074" spans="1:8" s="15" customFormat="1" ht="28.5" hidden="1" customHeight="1" outlineLevel="1" x14ac:dyDescent="0.25">
      <c r="A7074" s="45">
        <v>1927</v>
      </c>
      <c r="B7074" s="4" t="s">
        <v>249</v>
      </c>
      <c r="C7074" s="22" t="s">
        <v>2224</v>
      </c>
      <c r="D7074" s="18">
        <v>2021</v>
      </c>
      <c r="E7074" s="18" t="s">
        <v>0</v>
      </c>
      <c r="F7074" s="4">
        <v>1</v>
      </c>
      <c r="G7074" s="4">
        <v>15</v>
      </c>
      <c r="H7074" s="4">
        <v>34.695639999999997</v>
      </c>
    </row>
    <row r="7075" spans="1:8" s="15" customFormat="1" ht="28.5" hidden="1" customHeight="1" outlineLevel="1" x14ac:dyDescent="0.25">
      <c r="A7075" s="45">
        <v>1926</v>
      </c>
      <c r="B7075" s="4" t="s">
        <v>249</v>
      </c>
      <c r="C7075" s="22" t="s">
        <v>2414</v>
      </c>
      <c r="D7075" s="18">
        <v>2021</v>
      </c>
      <c r="E7075" s="18" t="s">
        <v>0</v>
      </c>
      <c r="F7075" s="4">
        <v>1</v>
      </c>
      <c r="G7075" s="4">
        <v>10</v>
      </c>
      <c r="H7075" s="4">
        <v>33.915059999999997</v>
      </c>
    </row>
    <row r="7076" spans="1:8" s="15" customFormat="1" ht="28.5" hidden="1" customHeight="1" outlineLevel="1" x14ac:dyDescent="0.25">
      <c r="A7076" s="46">
        <v>10314</v>
      </c>
      <c r="B7076" s="4" t="s">
        <v>249</v>
      </c>
      <c r="C7076" s="22" t="s">
        <v>2415</v>
      </c>
      <c r="D7076" s="18">
        <v>2021</v>
      </c>
      <c r="E7076" s="18" t="s">
        <v>0</v>
      </c>
      <c r="F7076" s="4">
        <v>1</v>
      </c>
      <c r="G7076" s="4">
        <v>5</v>
      </c>
      <c r="H7076" s="4">
        <v>18.18853</v>
      </c>
    </row>
    <row r="7077" spans="1:8" s="15" customFormat="1" ht="28.5" hidden="1" customHeight="1" outlineLevel="1" x14ac:dyDescent="0.25">
      <c r="A7077" s="45">
        <v>1901</v>
      </c>
      <c r="B7077" s="4" t="s">
        <v>249</v>
      </c>
      <c r="C7077" s="22" t="s">
        <v>2416</v>
      </c>
      <c r="D7077" s="18">
        <v>2021</v>
      </c>
      <c r="E7077" s="18" t="s">
        <v>0</v>
      </c>
      <c r="F7077" s="4">
        <v>1</v>
      </c>
      <c r="G7077" s="4">
        <v>10</v>
      </c>
      <c r="H7077" s="4">
        <v>19.388760000000001</v>
      </c>
    </row>
    <row r="7078" spans="1:8" s="15" customFormat="1" ht="28.5" hidden="1" customHeight="1" outlineLevel="1" x14ac:dyDescent="0.25">
      <c r="A7078" s="45">
        <v>2412</v>
      </c>
      <c r="B7078" s="4" t="s">
        <v>249</v>
      </c>
      <c r="C7078" s="22" t="s">
        <v>2417</v>
      </c>
      <c r="D7078" s="18">
        <v>2021</v>
      </c>
      <c r="E7078" s="18" t="s">
        <v>0</v>
      </c>
      <c r="F7078" s="4">
        <v>1</v>
      </c>
      <c r="G7078" s="4">
        <v>25</v>
      </c>
      <c r="H7078" s="4">
        <v>24.767869999999998</v>
      </c>
    </row>
    <row r="7079" spans="1:8" s="15" customFormat="1" ht="28.5" hidden="1" customHeight="1" outlineLevel="1" x14ac:dyDescent="0.25">
      <c r="A7079" s="45">
        <v>2302</v>
      </c>
      <c r="B7079" s="4" t="s">
        <v>249</v>
      </c>
      <c r="C7079" s="22" t="s">
        <v>2418</v>
      </c>
      <c r="D7079" s="18">
        <v>2021</v>
      </c>
      <c r="E7079" s="18" t="s">
        <v>0</v>
      </c>
      <c r="F7079" s="4">
        <v>1</v>
      </c>
      <c r="G7079" s="4">
        <v>15</v>
      </c>
      <c r="H7079" s="4">
        <v>33.103960000000001</v>
      </c>
    </row>
    <row r="7080" spans="1:8" s="15" customFormat="1" ht="28.5" hidden="1" customHeight="1" outlineLevel="1" x14ac:dyDescent="0.25">
      <c r="A7080" s="45">
        <v>1807</v>
      </c>
      <c r="B7080" s="4" t="s">
        <v>249</v>
      </c>
      <c r="C7080" s="22" t="s">
        <v>2419</v>
      </c>
      <c r="D7080" s="18">
        <v>2021</v>
      </c>
      <c r="E7080" s="18" t="s">
        <v>0</v>
      </c>
      <c r="F7080" s="4">
        <v>1</v>
      </c>
      <c r="G7080" s="4">
        <v>10</v>
      </c>
      <c r="H7080" s="4">
        <v>24.531500000000001</v>
      </c>
    </row>
    <row r="7081" spans="1:8" s="15" customFormat="1" ht="28.5" hidden="1" customHeight="1" outlineLevel="1" x14ac:dyDescent="0.25">
      <c r="A7081" s="46">
        <v>10019</v>
      </c>
      <c r="B7081" s="4" t="s">
        <v>249</v>
      </c>
      <c r="C7081" s="22" t="s">
        <v>2420</v>
      </c>
      <c r="D7081" s="18">
        <v>2021</v>
      </c>
      <c r="E7081" s="18" t="s">
        <v>0</v>
      </c>
      <c r="F7081" s="4">
        <v>1</v>
      </c>
      <c r="G7081" s="4">
        <v>10</v>
      </c>
      <c r="H7081" s="4">
        <v>26.94312</v>
      </c>
    </row>
    <row r="7082" spans="1:8" s="15" customFormat="1" ht="28.5" hidden="1" customHeight="1" outlineLevel="1" x14ac:dyDescent="0.25">
      <c r="A7082" s="46">
        <v>10020</v>
      </c>
      <c r="B7082" s="4" t="s">
        <v>249</v>
      </c>
      <c r="C7082" s="22" t="s">
        <v>2421</v>
      </c>
      <c r="D7082" s="18">
        <v>2021</v>
      </c>
      <c r="E7082" s="18" t="s">
        <v>0</v>
      </c>
      <c r="F7082" s="4">
        <v>1</v>
      </c>
      <c r="G7082" s="4">
        <v>6</v>
      </c>
      <c r="H7082" s="4">
        <v>23.870930000000001</v>
      </c>
    </row>
    <row r="7083" spans="1:8" s="15" customFormat="1" ht="28.5" hidden="1" customHeight="1" outlineLevel="1" x14ac:dyDescent="0.25">
      <c r="A7083" s="45">
        <v>1818</v>
      </c>
      <c r="B7083" s="4" t="s">
        <v>249</v>
      </c>
      <c r="C7083" s="22" t="s">
        <v>2422</v>
      </c>
      <c r="D7083" s="18">
        <v>2021</v>
      </c>
      <c r="E7083" s="18" t="s">
        <v>0</v>
      </c>
      <c r="F7083" s="4">
        <v>1</v>
      </c>
      <c r="G7083" s="4">
        <v>5</v>
      </c>
      <c r="H7083" s="4">
        <v>23.376909999999999</v>
      </c>
    </row>
    <row r="7084" spans="1:8" s="15" customFormat="1" ht="28.5" hidden="1" customHeight="1" outlineLevel="1" x14ac:dyDescent="0.25">
      <c r="A7084" s="45">
        <v>1909</v>
      </c>
      <c r="B7084" s="4" t="s">
        <v>249</v>
      </c>
      <c r="C7084" s="22" t="s">
        <v>2423</v>
      </c>
      <c r="D7084" s="18">
        <v>2021</v>
      </c>
      <c r="E7084" s="18" t="s">
        <v>0</v>
      </c>
      <c r="F7084" s="4">
        <v>1</v>
      </c>
      <c r="G7084" s="4">
        <v>6</v>
      </c>
      <c r="H7084" s="4">
        <v>21.93582</v>
      </c>
    </row>
    <row r="7085" spans="1:8" s="15" customFormat="1" ht="28.5" hidden="1" customHeight="1" outlineLevel="1" x14ac:dyDescent="0.25">
      <c r="A7085" s="45">
        <v>1902</v>
      </c>
      <c r="B7085" s="4" t="s">
        <v>249</v>
      </c>
      <c r="C7085" s="22" t="s">
        <v>2424</v>
      </c>
      <c r="D7085" s="18">
        <v>2021</v>
      </c>
      <c r="E7085" s="18" t="s">
        <v>0</v>
      </c>
      <c r="F7085" s="4">
        <v>1</v>
      </c>
      <c r="G7085" s="4">
        <v>10</v>
      </c>
      <c r="H7085" s="4">
        <v>23.877269999999999</v>
      </c>
    </row>
    <row r="7086" spans="1:8" s="15" customFormat="1" ht="28.5" hidden="1" customHeight="1" outlineLevel="1" x14ac:dyDescent="0.25">
      <c r="A7086" s="45">
        <v>1642</v>
      </c>
      <c r="B7086" s="4" t="s">
        <v>249</v>
      </c>
      <c r="C7086" s="22" t="s">
        <v>2425</v>
      </c>
      <c r="D7086" s="18">
        <v>2021</v>
      </c>
      <c r="E7086" s="18" t="s">
        <v>0</v>
      </c>
      <c r="F7086" s="4">
        <v>1</v>
      </c>
      <c r="G7086" s="4">
        <v>10</v>
      </c>
      <c r="H7086" s="4">
        <v>29.686050000000002</v>
      </c>
    </row>
    <row r="7087" spans="1:8" s="15" customFormat="1" ht="28.5" hidden="1" customHeight="1" outlineLevel="1" x14ac:dyDescent="0.25">
      <c r="A7087" s="46">
        <v>9748</v>
      </c>
      <c r="B7087" s="4" t="s">
        <v>249</v>
      </c>
      <c r="C7087" s="22" t="s">
        <v>1764</v>
      </c>
      <c r="D7087" s="18">
        <v>2021</v>
      </c>
      <c r="E7087" s="18" t="s">
        <v>0</v>
      </c>
      <c r="F7087" s="4">
        <v>1</v>
      </c>
      <c r="G7087" s="4">
        <v>15</v>
      </c>
      <c r="H7087" s="4">
        <v>18.211349999999999</v>
      </c>
    </row>
    <row r="7088" spans="1:8" s="15" customFormat="1" ht="28.5" hidden="1" customHeight="1" outlineLevel="1" x14ac:dyDescent="0.25">
      <c r="A7088" s="45">
        <v>2444</v>
      </c>
      <c r="B7088" s="4" t="s">
        <v>249</v>
      </c>
      <c r="C7088" s="22" t="s">
        <v>2426</v>
      </c>
      <c r="D7088" s="18">
        <v>2021</v>
      </c>
      <c r="E7088" s="18" t="s">
        <v>0</v>
      </c>
      <c r="F7088" s="4">
        <v>5</v>
      </c>
      <c r="G7088" s="4">
        <v>65</v>
      </c>
      <c r="H7088" s="4">
        <v>142.36648</v>
      </c>
    </row>
    <row r="7089" spans="1:8" s="15" customFormat="1" ht="28.5" hidden="1" customHeight="1" outlineLevel="1" x14ac:dyDescent="0.25">
      <c r="A7089" s="46">
        <v>10315</v>
      </c>
      <c r="B7089" s="4" t="s">
        <v>249</v>
      </c>
      <c r="C7089" s="22" t="s">
        <v>2427</v>
      </c>
      <c r="D7089" s="18">
        <v>2021</v>
      </c>
      <c r="E7089" s="18" t="s">
        <v>0</v>
      </c>
      <c r="F7089" s="4">
        <v>3</v>
      </c>
      <c r="G7089" s="4">
        <v>25</v>
      </c>
      <c r="H7089" s="4">
        <v>100.45766999999999</v>
      </c>
    </row>
    <row r="7090" spans="1:8" s="15" customFormat="1" ht="28.5" hidden="1" customHeight="1" outlineLevel="1" x14ac:dyDescent="0.25">
      <c r="A7090" s="45">
        <v>2465</v>
      </c>
      <c r="B7090" s="4" t="s">
        <v>249</v>
      </c>
      <c r="C7090" s="22" t="s">
        <v>2428</v>
      </c>
      <c r="D7090" s="18">
        <v>2021</v>
      </c>
      <c r="E7090" s="18" t="s">
        <v>0</v>
      </c>
      <c r="F7090" s="4">
        <v>1</v>
      </c>
      <c r="G7090" s="4">
        <v>10</v>
      </c>
      <c r="H7090" s="4">
        <v>29.609719999999999</v>
      </c>
    </row>
    <row r="7091" spans="1:8" s="15" customFormat="1" ht="28.5" hidden="1" customHeight="1" outlineLevel="1" x14ac:dyDescent="0.25">
      <c r="A7091" s="45">
        <v>1810</v>
      </c>
      <c r="B7091" s="4" t="s">
        <v>249</v>
      </c>
      <c r="C7091" s="22" t="s">
        <v>2429</v>
      </c>
      <c r="D7091" s="18">
        <v>2021</v>
      </c>
      <c r="E7091" s="18" t="s">
        <v>0</v>
      </c>
      <c r="F7091" s="4">
        <v>1</v>
      </c>
      <c r="G7091" s="4">
        <v>15</v>
      </c>
      <c r="H7091" s="4">
        <v>25.74052</v>
      </c>
    </row>
    <row r="7092" spans="1:8" s="15" customFormat="1" ht="28.5" hidden="1" customHeight="1" outlineLevel="1" x14ac:dyDescent="0.25">
      <c r="A7092" s="45">
        <v>1825</v>
      </c>
      <c r="B7092" s="4" t="s">
        <v>249</v>
      </c>
      <c r="C7092" s="22" t="s">
        <v>2430</v>
      </c>
      <c r="D7092" s="18">
        <v>2021</v>
      </c>
      <c r="E7092" s="18" t="s">
        <v>0</v>
      </c>
      <c r="F7092" s="4">
        <v>1</v>
      </c>
      <c r="G7092" s="4">
        <v>14</v>
      </c>
      <c r="H7092" s="4">
        <v>26.384620000000002</v>
      </c>
    </row>
    <row r="7093" spans="1:8" s="15" customFormat="1" ht="28.5" hidden="1" customHeight="1" outlineLevel="1" x14ac:dyDescent="0.25">
      <c r="A7093" s="45">
        <v>1828</v>
      </c>
      <c r="B7093" s="4" t="s">
        <v>249</v>
      </c>
      <c r="C7093" s="22" t="s">
        <v>2431</v>
      </c>
      <c r="D7093" s="18">
        <v>2021</v>
      </c>
      <c r="E7093" s="18" t="s">
        <v>0</v>
      </c>
      <c r="F7093" s="4">
        <v>1</v>
      </c>
      <c r="G7093" s="4">
        <v>10</v>
      </c>
      <c r="H7093" s="4">
        <v>26.015039999999999</v>
      </c>
    </row>
    <row r="7094" spans="1:8" s="15" customFormat="1" ht="28.5" hidden="1" customHeight="1" outlineLevel="1" x14ac:dyDescent="0.25">
      <c r="A7094" s="46">
        <v>9881</v>
      </c>
      <c r="B7094" s="4" t="s">
        <v>249</v>
      </c>
      <c r="C7094" s="22" t="s">
        <v>1967</v>
      </c>
      <c r="D7094" s="18">
        <v>2021</v>
      </c>
      <c r="E7094" s="18" t="s">
        <v>0</v>
      </c>
      <c r="F7094" s="4">
        <v>2</v>
      </c>
      <c r="G7094" s="4">
        <v>20</v>
      </c>
      <c r="H7094" s="4">
        <v>32.777290000000001</v>
      </c>
    </row>
    <row r="7095" spans="1:8" s="15" customFormat="1" ht="28.5" hidden="1" customHeight="1" outlineLevel="1" x14ac:dyDescent="0.25">
      <c r="A7095" s="45">
        <v>1878</v>
      </c>
      <c r="B7095" s="4" t="s">
        <v>249</v>
      </c>
      <c r="C7095" s="22" t="s">
        <v>2432</v>
      </c>
      <c r="D7095" s="18">
        <v>2021</v>
      </c>
      <c r="E7095" s="18" t="s">
        <v>0</v>
      </c>
      <c r="F7095" s="4">
        <v>1</v>
      </c>
      <c r="G7095" s="4">
        <v>10</v>
      </c>
      <c r="H7095" s="4">
        <v>30.52281</v>
      </c>
    </row>
    <row r="7096" spans="1:8" s="15" customFormat="1" ht="28.5" hidden="1" customHeight="1" outlineLevel="1" x14ac:dyDescent="0.25">
      <c r="A7096" s="45">
        <v>1850</v>
      </c>
      <c r="B7096" s="4" t="s">
        <v>249</v>
      </c>
      <c r="C7096" s="22" t="s">
        <v>2433</v>
      </c>
      <c r="D7096" s="18">
        <v>2021</v>
      </c>
      <c r="E7096" s="18" t="s">
        <v>0</v>
      </c>
      <c r="F7096" s="4">
        <v>1</v>
      </c>
      <c r="G7096" s="4">
        <v>15</v>
      </c>
      <c r="H7096" s="4">
        <v>36.270969999999998</v>
      </c>
    </row>
    <row r="7097" spans="1:8" s="15" customFormat="1" ht="28.5" hidden="1" customHeight="1" outlineLevel="1" x14ac:dyDescent="0.25">
      <c r="A7097" s="45">
        <v>1840</v>
      </c>
      <c r="B7097" s="4" t="s">
        <v>249</v>
      </c>
      <c r="C7097" s="22" t="s">
        <v>2434</v>
      </c>
      <c r="D7097" s="18">
        <v>2021</v>
      </c>
      <c r="E7097" s="18" t="s">
        <v>0</v>
      </c>
      <c r="F7097" s="4">
        <v>1</v>
      </c>
      <c r="G7097" s="4">
        <v>15</v>
      </c>
      <c r="H7097" s="4">
        <v>27.297229999999999</v>
      </c>
    </row>
    <row r="7098" spans="1:8" s="15" customFormat="1" ht="28.5" hidden="1" customHeight="1" outlineLevel="1" x14ac:dyDescent="0.25">
      <c r="A7098" s="45">
        <v>1838</v>
      </c>
      <c r="B7098" s="4" t="s">
        <v>249</v>
      </c>
      <c r="C7098" s="22" t="s">
        <v>2435</v>
      </c>
      <c r="D7098" s="18">
        <v>2021</v>
      </c>
      <c r="E7098" s="18" t="s">
        <v>0</v>
      </c>
      <c r="F7098" s="4">
        <v>1</v>
      </c>
      <c r="G7098" s="4">
        <v>10</v>
      </c>
      <c r="H7098" s="4">
        <v>33.905659999999997</v>
      </c>
    </row>
    <row r="7099" spans="1:8" s="15" customFormat="1" ht="28.5" hidden="1" customHeight="1" outlineLevel="1" x14ac:dyDescent="0.25">
      <c r="A7099" s="45">
        <v>1849</v>
      </c>
      <c r="B7099" s="4" t="s">
        <v>249</v>
      </c>
      <c r="C7099" s="22" t="s">
        <v>2436</v>
      </c>
      <c r="D7099" s="18">
        <v>2021</v>
      </c>
      <c r="E7099" s="18" t="s">
        <v>0</v>
      </c>
      <c r="F7099" s="4">
        <v>1</v>
      </c>
      <c r="G7099" s="4">
        <v>15</v>
      </c>
      <c r="H7099" s="4">
        <v>34.262569999999997</v>
      </c>
    </row>
    <row r="7100" spans="1:8" s="15" customFormat="1" ht="28.5" hidden="1" customHeight="1" outlineLevel="1" x14ac:dyDescent="0.25">
      <c r="A7100" s="45">
        <v>1860</v>
      </c>
      <c r="B7100" s="4" t="s">
        <v>249</v>
      </c>
      <c r="C7100" s="22" t="s">
        <v>2437</v>
      </c>
      <c r="D7100" s="18">
        <v>2021</v>
      </c>
      <c r="E7100" s="18" t="s">
        <v>0</v>
      </c>
      <c r="F7100" s="4">
        <v>1</v>
      </c>
      <c r="G7100" s="4">
        <v>10</v>
      </c>
      <c r="H7100" s="4">
        <v>41.849429999999998</v>
      </c>
    </row>
    <row r="7101" spans="1:8" s="15" customFormat="1" ht="28.5" hidden="1" customHeight="1" outlineLevel="1" x14ac:dyDescent="0.25">
      <c r="A7101" s="46">
        <v>10023</v>
      </c>
      <c r="B7101" s="4" t="s">
        <v>249</v>
      </c>
      <c r="C7101" s="22" t="s">
        <v>2438</v>
      </c>
      <c r="D7101" s="18">
        <v>2021</v>
      </c>
      <c r="E7101" s="18" t="s">
        <v>0</v>
      </c>
      <c r="F7101" s="4">
        <v>1</v>
      </c>
      <c r="G7101" s="4">
        <v>10</v>
      </c>
      <c r="H7101" s="4">
        <v>37.754429999999999</v>
      </c>
    </row>
    <row r="7102" spans="1:8" s="15" customFormat="1" ht="28.5" hidden="1" customHeight="1" outlineLevel="1" x14ac:dyDescent="0.25">
      <c r="A7102" s="45">
        <v>1823</v>
      </c>
      <c r="B7102" s="4" t="s">
        <v>249</v>
      </c>
      <c r="C7102" s="22" t="s">
        <v>2439</v>
      </c>
      <c r="D7102" s="18">
        <v>2021</v>
      </c>
      <c r="E7102" s="18" t="s">
        <v>0</v>
      </c>
      <c r="F7102" s="4">
        <v>1</v>
      </c>
      <c r="G7102" s="4">
        <v>10</v>
      </c>
      <c r="H7102" s="4">
        <v>23.40945</v>
      </c>
    </row>
    <row r="7103" spans="1:8" s="15" customFormat="1" ht="28.5" hidden="1" customHeight="1" outlineLevel="1" x14ac:dyDescent="0.25">
      <c r="A7103" s="46">
        <v>9992</v>
      </c>
      <c r="B7103" s="4" t="s">
        <v>249</v>
      </c>
      <c r="C7103" s="22" t="s">
        <v>2440</v>
      </c>
      <c r="D7103" s="18">
        <v>2021</v>
      </c>
      <c r="E7103" s="18" t="s">
        <v>0</v>
      </c>
      <c r="F7103" s="4">
        <v>1</v>
      </c>
      <c r="G7103" s="4">
        <v>10</v>
      </c>
      <c r="H7103" s="4">
        <v>25.575759999999999</v>
      </c>
    </row>
    <row r="7104" spans="1:8" s="15" customFormat="1" ht="28.5" hidden="1" customHeight="1" outlineLevel="1" x14ac:dyDescent="0.25">
      <c r="A7104" s="45">
        <v>1890</v>
      </c>
      <c r="B7104" s="4" t="s">
        <v>249</v>
      </c>
      <c r="C7104" s="22" t="s">
        <v>2441</v>
      </c>
      <c r="D7104" s="18">
        <v>2021</v>
      </c>
      <c r="E7104" s="18" t="s">
        <v>0</v>
      </c>
      <c r="F7104" s="4">
        <v>1</v>
      </c>
      <c r="G7104" s="4">
        <v>10</v>
      </c>
      <c r="H7104" s="4">
        <v>36.367190000000001</v>
      </c>
    </row>
    <row r="7105" spans="1:8" s="15" customFormat="1" ht="28.5" hidden="1" customHeight="1" outlineLevel="1" x14ac:dyDescent="0.25">
      <c r="A7105" s="45">
        <v>1916</v>
      </c>
      <c r="B7105" s="4" t="s">
        <v>249</v>
      </c>
      <c r="C7105" s="22" t="s">
        <v>2442</v>
      </c>
      <c r="D7105" s="18">
        <v>2021</v>
      </c>
      <c r="E7105" s="18" t="s">
        <v>0</v>
      </c>
      <c r="F7105" s="4">
        <v>1</v>
      </c>
      <c r="G7105" s="4">
        <v>7</v>
      </c>
      <c r="H7105" s="4">
        <v>39.364220000000003</v>
      </c>
    </row>
    <row r="7106" spans="1:8" s="15" customFormat="1" ht="28.5" hidden="1" customHeight="1" outlineLevel="1" x14ac:dyDescent="0.25">
      <c r="A7106" s="45">
        <v>1920</v>
      </c>
      <c r="B7106" s="4" t="s">
        <v>249</v>
      </c>
      <c r="C7106" s="22" t="s">
        <v>2443</v>
      </c>
      <c r="D7106" s="18">
        <v>2021</v>
      </c>
      <c r="E7106" s="18" t="s">
        <v>0</v>
      </c>
      <c r="F7106" s="4">
        <v>1</v>
      </c>
      <c r="G7106" s="4">
        <v>10</v>
      </c>
      <c r="H7106" s="4">
        <v>33.262079999999997</v>
      </c>
    </row>
    <row r="7107" spans="1:8" s="15" customFormat="1" ht="28.5" hidden="1" customHeight="1" outlineLevel="1" x14ac:dyDescent="0.25">
      <c r="A7107" s="45">
        <v>2272</v>
      </c>
      <c r="B7107" s="4" t="s">
        <v>249</v>
      </c>
      <c r="C7107" s="22" t="s">
        <v>2444</v>
      </c>
      <c r="D7107" s="18">
        <v>2021</v>
      </c>
      <c r="E7107" s="18" t="s">
        <v>0</v>
      </c>
      <c r="F7107" s="4">
        <v>2</v>
      </c>
      <c r="G7107" s="4">
        <v>6</v>
      </c>
      <c r="H7107" s="4">
        <v>78.221010000000007</v>
      </c>
    </row>
    <row r="7108" spans="1:8" s="15" customFormat="1" ht="28.5" hidden="1" customHeight="1" outlineLevel="1" x14ac:dyDescent="0.25">
      <c r="A7108" s="46">
        <v>10321</v>
      </c>
      <c r="B7108" s="4" t="s">
        <v>249</v>
      </c>
      <c r="C7108" s="22" t="s">
        <v>2445</v>
      </c>
      <c r="D7108" s="18">
        <v>2021</v>
      </c>
      <c r="E7108" s="18" t="s">
        <v>0</v>
      </c>
      <c r="F7108" s="4">
        <v>1</v>
      </c>
      <c r="G7108" s="4">
        <v>15</v>
      </c>
      <c r="H7108" s="4">
        <v>38.025860000000002</v>
      </c>
    </row>
    <row r="7109" spans="1:8" s="15" customFormat="1" ht="28.5" hidden="1" customHeight="1" outlineLevel="1" x14ac:dyDescent="0.25">
      <c r="A7109" s="45">
        <v>1348</v>
      </c>
      <c r="B7109" s="4" t="s">
        <v>249</v>
      </c>
      <c r="C7109" s="22" t="s">
        <v>1772</v>
      </c>
      <c r="D7109" s="18">
        <v>2021</v>
      </c>
      <c r="E7109" s="18" t="s">
        <v>0</v>
      </c>
      <c r="F7109" s="4">
        <v>2</v>
      </c>
      <c r="G7109" s="4">
        <v>24</v>
      </c>
      <c r="H7109" s="4">
        <v>40.763150000000003</v>
      </c>
    </row>
    <row r="7110" spans="1:8" s="15" customFormat="1" ht="28.5" hidden="1" customHeight="1" outlineLevel="1" x14ac:dyDescent="0.25">
      <c r="A7110" s="45">
        <v>1339</v>
      </c>
      <c r="B7110" s="4" t="s">
        <v>249</v>
      </c>
      <c r="C7110" s="22" t="s">
        <v>1774</v>
      </c>
      <c r="D7110" s="18">
        <v>2021</v>
      </c>
      <c r="E7110" s="18" t="s">
        <v>0</v>
      </c>
      <c r="F7110" s="4">
        <v>1</v>
      </c>
      <c r="G7110" s="4">
        <v>10</v>
      </c>
      <c r="H7110" s="4">
        <v>14.663819999999999</v>
      </c>
    </row>
    <row r="7111" spans="1:8" s="15" customFormat="1" ht="28.5" hidden="1" customHeight="1" outlineLevel="1" x14ac:dyDescent="0.25">
      <c r="A7111" s="46">
        <v>9752</v>
      </c>
      <c r="B7111" s="4" t="s">
        <v>249</v>
      </c>
      <c r="C7111" s="22" t="s">
        <v>1775</v>
      </c>
      <c r="D7111" s="18">
        <v>2021</v>
      </c>
      <c r="E7111" s="18" t="s">
        <v>0</v>
      </c>
      <c r="F7111" s="4">
        <v>1</v>
      </c>
      <c r="G7111" s="4">
        <v>5</v>
      </c>
      <c r="H7111" s="4">
        <v>19.532630000000001</v>
      </c>
    </row>
    <row r="7112" spans="1:8" s="15" customFormat="1" ht="28.5" hidden="1" customHeight="1" outlineLevel="1" x14ac:dyDescent="0.25">
      <c r="A7112" s="45">
        <v>10011</v>
      </c>
      <c r="B7112" s="4" t="s">
        <v>249</v>
      </c>
      <c r="C7112" s="22" t="s">
        <v>2446</v>
      </c>
      <c r="D7112" s="18">
        <v>2021</v>
      </c>
      <c r="E7112" s="18" t="s">
        <v>0</v>
      </c>
      <c r="F7112" s="4">
        <v>1</v>
      </c>
      <c r="G7112" s="4">
        <v>10</v>
      </c>
      <c r="H7112" s="4">
        <v>25.201899999999998</v>
      </c>
    </row>
    <row r="7113" spans="1:8" s="15" customFormat="1" ht="28.5" hidden="1" customHeight="1" outlineLevel="1" x14ac:dyDescent="0.25">
      <c r="A7113" s="45">
        <v>1796</v>
      </c>
      <c r="B7113" s="4" t="s">
        <v>249</v>
      </c>
      <c r="C7113" s="22" t="s">
        <v>2447</v>
      </c>
      <c r="D7113" s="18">
        <v>2021</v>
      </c>
      <c r="E7113" s="18" t="s">
        <v>0</v>
      </c>
      <c r="F7113" s="4">
        <v>1</v>
      </c>
      <c r="G7113" s="4">
        <v>5</v>
      </c>
      <c r="H7113" s="4">
        <v>27.789400000000001</v>
      </c>
    </row>
    <row r="7114" spans="1:8" s="15" customFormat="1" ht="28.5" hidden="1" customHeight="1" outlineLevel="1" x14ac:dyDescent="0.25">
      <c r="A7114" s="45">
        <v>1816</v>
      </c>
      <c r="B7114" s="4" t="s">
        <v>249</v>
      </c>
      <c r="C7114" s="22" t="s">
        <v>2448</v>
      </c>
      <c r="D7114" s="18">
        <v>2021</v>
      </c>
      <c r="E7114" s="18" t="s">
        <v>0</v>
      </c>
      <c r="F7114" s="4">
        <v>1</v>
      </c>
      <c r="G7114" s="4">
        <v>15</v>
      </c>
      <c r="H7114" s="4">
        <v>24.022310000000001</v>
      </c>
    </row>
    <row r="7115" spans="1:8" s="15" customFormat="1" ht="28.5" hidden="1" customHeight="1" outlineLevel="1" x14ac:dyDescent="0.25">
      <c r="A7115" s="45">
        <v>1817</v>
      </c>
      <c r="B7115" s="4" t="s">
        <v>249</v>
      </c>
      <c r="C7115" s="22" t="s">
        <v>2449</v>
      </c>
      <c r="D7115" s="18">
        <v>2021</v>
      </c>
      <c r="E7115" s="18" t="s">
        <v>0</v>
      </c>
      <c r="F7115" s="4">
        <v>1</v>
      </c>
      <c r="G7115" s="4">
        <v>5</v>
      </c>
      <c r="H7115" s="4">
        <v>24.603459999999998</v>
      </c>
    </row>
    <row r="7116" spans="1:8" s="15" customFormat="1" ht="28.5" hidden="1" customHeight="1" outlineLevel="1" x14ac:dyDescent="0.25">
      <c r="A7116" s="45">
        <v>1854</v>
      </c>
      <c r="B7116" s="4" t="s">
        <v>249</v>
      </c>
      <c r="C7116" s="22" t="s">
        <v>2450</v>
      </c>
      <c r="D7116" s="18">
        <v>2021</v>
      </c>
      <c r="E7116" s="18" t="s">
        <v>0</v>
      </c>
      <c r="F7116" s="4">
        <v>1</v>
      </c>
      <c r="G7116" s="4">
        <v>10</v>
      </c>
      <c r="H7116" s="4">
        <v>31.893260000000001</v>
      </c>
    </row>
    <row r="7117" spans="1:8" s="15" customFormat="1" ht="28.5" hidden="1" customHeight="1" outlineLevel="1" x14ac:dyDescent="0.25">
      <c r="A7117" s="46">
        <v>10007</v>
      </c>
      <c r="B7117" s="4" t="s">
        <v>249</v>
      </c>
      <c r="C7117" s="22" t="s">
        <v>2451</v>
      </c>
      <c r="D7117" s="18">
        <v>2021</v>
      </c>
      <c r="E7117" s="18" t="s">
        <v>0</v>
      </c>
      <c r="F7117" s="4">
        <v>1</v>
      </c>
      <c r="G7117" s="4">
        <v>5</v>
      </c>
      <c r="H7117" s="4">
        <v>27.481020000000001</v>
      </c>
    </row>
    <row r="7118" spans="1:8" s="15" customFormat="1" ht="28.5" hidden="1" customHeight="1" outlineLevel="1" x14ac:dyDescent="0.25">
      <c r="A7118" s="46">
        <v>10008</v>
      </c>
      <c r="B7118" s="4" t="s">
        <v>249</v>
      </c>
      <c r="C7118" s="22" t="s">
        <v>2452</v>
      </c>
      <c r="D7118" s="18">
        <v>2021</v>
      </c>
      <c r="E7118" s="18" t="s">
        <v>0</v>
      </c>
      <c r="F7118" s="4">
        <v>1</v>
      </c>
      <c r="G7118" s="4">
        <v>10</v>
      </c>
      <c r="H7118" s="4">
        <v>23.360029999999998</v>
      </c>
    </row>
    <row r="7119" spans="1:8" s="15" customFormat="1" ht="28.5" hidden="1" customHeight="1" outlineLevel="1" x14ac:dyDescent="0.25">
      <c r="A7119" s="46">
        <v>10009</v>
      </c>
      <c r="B7119" s="4" t="s">
        <v>249</v>
      </c>
      <c r="C7119" s="22" t="s">
        <v>2453</v>
      </c>
      <c r="D7119" s="18">
        <v>2021</v>
      </c>
      <c r="E7119" s="18" t="s">
        <v>0</v>
      </c>
      <c r="F7119" s="4">
        <v>1</v>
      </c>
      <c r="G7119" s="4">
        <v>5</v>
      </c>
      <c r="H7119" s="4">
        <v>20.285540000000001</v>
      </c>
    </row>
    <row r="7120" spans="1:8" s="15" customFormat="1" ht="28.5" hidden="1" customHeight="1" outlineLevel="1" x14ac:dyDescent="0.25">
      <c r="A7120" s="46">
        <v>10016</v>
      </c>
      <c r="B7120" s="4" t="s">
        <v>249</v>
      </c>
      <c r="C7120" s="22" t="s">
        <v>2454</v>
      </c>
      <c r="D7120" s="18">
        <v>2021</v>
      </c>
      <c r="E7120" s="18" t="s">
        <v>0</v>
      </c>
      <c r="F7120" s="4">
        <v>1</v>
      </c>
      <c r="G7120" s="4">
        <v>10</v>
      </c>
      <c r="H7120" s="4">
        <v>20.0382</v>
      </c>
    </row>
    <row r="7121" spans="1:8" s="15" customFormat="1" ht="28.5" hidden="1" customHeight="1" outlineLevel="1" x14ac:dyDescent="0.25">
      <c r="A7121" s="46">
        <v>9753</v>
      </c>
      <c r="B7121" s="4" t="s">
        <v>249</v>
      </c>
      <c r="C7121" s="22" t="s">
        <v>1779</v>
      </c>
      <c r="D7121" s="18">
        <v>2021</v>
      </c>
      <c r="E7121" s="18" t="s">
        <v>0</v>
      </c>
      <c r="F7121" s="4">
        <v>1</v>
      </c>
      <c r="G7121" s="4">
        <v>10</v>
      </c>
      <c r="H7121" s="4">
        <v>13.57413</v>
      </c>
    </row>
    <row r="7122" spans="1:8" s="15" customFormat="1" ht="28.5" hidden="1" customHeight="1" outlineLevel="1" x14ac:dyDescent="0.25">
      <c r="A7122" s="45">
        <v>1875</v>
      </c>
      <c r="B7122" s="4" t="s">
        <v>249</v>
      </c>
      <c r="C7122" s="22" t="s">
        <v>2455</v>
      </c>
      <c r="D7122" s="18">
        <v>2021</v>
      </c>
      <c r="E7122" s="18" t="s">
        <v>0</v>
      </c>
      <c r="F7122" s="4">
        <v>1</v>
      </c>
      <c r="G7122" s="4">
        <v>10</v>
      </c>
      <c r="H7122" s="4">
        <v>27.615400000000001</v>
      </c>
    </row>
    <row r="7123" spans="1:8" s="15" customFormat="1" ht="28.5" hidden="1" customHeight="1" outlineLevel="1" x14ac:dyDescent="0.25">
      <c r="A7123" s="45">
        <v>1811</v>
      </c>
      <c r="B7123" s="4" t="s">
        <v>249</v>
      </c>
      <c r="C7123" s="22" t="s">
        <v>2456</v>
      </c>
      <c r="D7123" s="18">
        <v>2021</v>
      </c>
      <c r="E7123" s="18" t="s">
        <v>0</v>
      </c>
      <c r="F7123" s="4">
        <v>1</v>
      </c>
      <c r="G7123" s="4">
        <v>10</v>
      </c>
      <c r="H7123" s="4">
        <v>27.28931</v>
      </c>
    </row>
    <row r="7124" spans="1:8" s="15" customFormat="1" ht="28.5" hidden="1" customHeight="1" outlineLevel="1" x14ac:dyDescent="0.25">
      <c r="A7124" s="46">
        <v>9762</v>
      </c>
      <c r="B7124" s="4" t="s">
        <v>249</v>
      </c>
      <c r="C7124" s="22" t="s">
        <v>1780</v>
      </c>
      <c r="D7124" s="18">
        <v>2021</v>
      </c>
      <c r="E7124" s="18" t="s">
        <v>0</v>
      </c>
      <c r="F7124" s="4">
        <v>1</v>
      </c>
      <c r="G7124" s="4">
        <v>14</v>
      </c>
      <c r="H7124" s="4">
        <v>14.068149999999999</v>
      </c>
    </row>
    <row r="7125" spans="1:8" s="15" customFormat="1" ht="28.5" hidden="1" customHeight="1" outlineLevel="1" x14ac:dyDescent="0.25">
      <c r="A7125" s="45">
        <v>1783</v>
      </c>
      <c r="B7125" s="4" t="s">
        <v>249</v>
      </c>
      <c r="C7125" s="22" t="s">
        <v>2457</v>
      </c>
      <c r="D7125" s="18">
        <v>2021</v>
      </c>
      <c r="E7125" s="18" t="s">
        <v>0</v>
      </c>
      <c r="F7125" s="4">
        <v>1</v>
      </c>
      <c r="G7125" s="4">
        <v>6</v>
      </c>
      <c r="H7125" s="4">
        <v>33.059600000000003</v>
      </c>
    </row>
    <row r="7126" spans="1:8" s="15" customFormat="1" ht="28.5" hidden="1" customHeight="1" outlineLevel="1" x14ac:dyDescent="0.25">
      <c r="A7126" s="45">
        <v>1906</v>
      </c>
      <c r="B7126" s="4" t="s">
        <v>249</v>
      </c>
      <c r="C7126" s="22" t="s">
        <v>2458</v>
      </c>
      <c r="D7126" s="18">
        <v>2021</v>
      </c>
      <c r="E7126" s="18" t="s">
        <v>0</v>
      </c>
      <c r="F7126" s="4">
        <v>1</v>
      </c>
      <c r="G7126" s="4">
        <v>14</v>
      </c>
      <c r="H7126" s="4">
        <v>35.12397</v>
      </c>
    </row>
    <row r="7127" spans="1:8" s="15" customFormat="1" ht="28.5" hidden="1" customHeight="1" outlineLevel="1" x14ac:dyDescent="0.25">
      <c r="A7127" s="45">
        <v>1800</v>
      </c>
      <c r="B7127" s="4" t="s">
        <v>249</v>
      </c>
      <c r="C7127" s="22" t="s">
        <v>2459</v>
      </c>
      <c r="D7127" s="18">
        <v>2021</v>
      </c>
      <c r="E7127" s="18" t="s">
        <v>0</v>
      </c>
      <c r="F7127" s="4">
        <v>1</v>
      </c>
      <c r="G7127" s="4">
        <v>15</v>
      </c>
      <c r="H7127" s="4">
        <v>30.38618</v>
      </c>
    </row>
    <row r="7128" spans="1:8" s="15" customFormat="1" ht="28.5" hidden="1" customHeight="1" outlineLevel="1" x14ac:dyDescent="0.25">
      <c r="A7128" s="45">
        <v>1889</v>
      </c>
      <c r="B7128" s="4" t="s">
        <v>249</v>
      </c>
      <c r="C7128" s="22" t="s">
        <v>2460</v>
      </c>
      <c r="D7128" s="18">
        <v>2021</v>
      </c>
      <c r="E7128" s="18" t="s">
        <v>0</v>
      </c>
      <c r="F7128" s="4">
        <v>1</v>
      </c>
      <c r="G7128" s="4">
        <v>10</v>
      </c>
      <c r="H7128" s="4">
        <v>35.979950000000002</v>
      </c>
    </row>
    <row r="7129" spans="1:8" s="15" customFormat="1" ht="28.5" hidden="1" customHeight="1" outlineLevel="1" x14ac:dyDescent="0.25">
      <c r="A7129" s="45">
        <v>1931</v>
      </c>
      <c r="B7129" s="4" t="s">
        <v>249</v>
      </c>
      <c r="C7129" s="22" t="s">
        <v>2461</v>
      </c>
      <c r="D7129" s="18">
        <v>2021</v>
      </c>
      <c r="E7129" s="18" t="s">
        <v>0</v>
      </c>
      <c r="F7129" s="4">
        <v>1</v>
      </c>
      <c r="G7129" s="4">
        <v>7</v>
      </c>
      <c r="H7129" s="4">
        <v>43.939140000000002</v>
      </c>
    </row>
    <row r="7130" spans="1:8" s="15" customFormat="1" ht="28.5" hidden="1" customHeight="1" outlineLevel="1" x14ac:dyDescent="0.25">
      <c r="A7130" s="46">
        <v>9763</v>
      </c>
      <c r="B7130" s="4" t="s">
        <v>249</v>
      </c>
      <c r="C7130" s="22" t="s">
        <v>1784</v>
      </c>
      <c r="D7130" s="18">
        <v>2021</v>
      </c>
      <c r="E7130" s="18" t="s">
        <v>0</v>
      </c>
      <c r="F7130" s="4">
        <v>1</v>
      </c>
      <c r="G7130" s="4">
        <v>30</v>
      </c>
      <c r="H7130" s="4">
        <v>126.40253</v>
      </c>
    </row>
    <row r="7131" spans="1:8" s="15" customFormat="1" ht="28.5" hidden="1" customHeight="1" outlineLevel="1" x14ac:dyDescent="0.25">
      <c r="A7131" s="46">
        <v>9911</v>
      </c>
      <c r="B7131" s="4" t="s">
        <v>249</v>
      </c>
      <c r="C7131" s="22" t="s">
        <v>2462</v>
      </c>
      <c r="D7131" s="18">
        <v>2021</v>
      </c>
      <c r="E7131" s="18" t="s">
        <v>0</v>
      </c>
      <c r="F7131" s="4">
        <v>1</v>
      </c>
      <c r="G7131" s="4">
        <v>12</v>
      </c>
      <c r="H7131" s="4">
        <v>73.818770000000001</v>
      </c>
    </row>
    <row r="7132" spans="1:8" s="15" customFormat="1" ht="28.5" hidden="1" customHeight="1" outlineLevel="1" x14ac:dyDescent="0.25">
      <c r="A7132" s="45">
        <v>1458</v>
      </c>
      <c r="B7132" s="4" t="s">
        <v>249</v>
      </c>
      <c r="C7132" s="22" t="s">
        <v>1799</v>
      </c>
      <c r="D7132" s="18">
        <v>2021</v>
      </c>
      <c r="E7132" s="18" t="s">
        <v>0</v>
      </c>
      <c r="F7132" s="4">
        <v>1</v>
      </c>
      <c r="G7132" s="4">
        <v>10</v>
      </c>
      <c r="H7132" s="4">
        <v>34.442749999999997</v>
      </c>
    </row>
    <row r="7133" spans="1:8" s="15" customFormat="1" ht="28.5" hidden="1" customHeight="1" outlineLevel="1" x14ac:dyDescent="0.25">
      <c r="A7133" s="45">
        <v>9751</v>
      </c>
      <c r="B7133" s="4" t="s">
        <v>249</v>
      </c>
      <c r="C7133" s="22" t="s">
        <v>2463</v>
      </c>
      <c r="D7133" s="18">
        <v>2021</v>
      </c>
      <c r="E7133" s="18" t="s">
        <v>0</v>
      </c>
      <c r="F7133" s="4">
        <v>1</v>
      </c>
      <c r="G7133" s="4">
        <v>12</v>
      </c>
      <c r="H7133" s="4">
        <v>22.870360000000002</v>
      </c>
    </row>
    <row r="7134" spans="1:8" s="15" customFormat="1" ht="28.5" hidden="1" customHeight="1" outlineLevel="1" x14ac:dyDescent="0.25">
      <c r="A7134" s="45">
        <v>1873</v>
      </c>
      <c r="B7134" s="4" t="s">
        <v>249</v>
      </c>
      <c r="C7134" s="22" t="s">
        <v>2464</v>
      </c>
      <c r="D7134" s="18">
        <v>2021</v>
      </c>
      <c r="E7134" s="18" t="s">
        <v>0</v>
      </c>
      <c r="F7134" s="4">
        <v>1</v>
      </c>
      <c r="G7134" s="4">
        <v>8</v>
      </c>
      <c r="H7134" s="4">
        <v>31.828340000000001</v>
      </c>
    </row>
    <row r="7135" spans="1:8" s="15" customFormat="1" ht="28.5" hidden="1" customHeight="1" outlineLevel="1" x14ac:dyDescent="0.25">
      <c r="A7135" s="46">
        <v>10006</v>
      </c>
      <c r="B7135" s="4" t="s">
        <v>249</v>
      </c>
      <c r="C7135" s="22" t="s">
        <v>2465</v>
      </c>
      <c r="D7135" s="18">
        <v>2021</v>
      </c>
      <c r="E7135" s="18" t="s">
        <v>0</v>
      </c>
      <c r="F7135" s="4">
        <v>1</v>
      </c>
      <c r="G7135" s="4">
        <v>15</v>
      </c>
      <c r="H7135" s="4">
        <v>21.758230000000001</v>
      </c>
    </row>
    <row r="7136" spans="1:8" s="15" customFormat="1" ht="19.5" customHeight="1" collapsed="1" x14ac:dyDescent="0.25">
      <c r="A7136" s="18"/>
      <c r="B7136" s="174" t="s">
        <v>250</v>
      </c>
      <c r="C7136" s="176" t="s">
        <v>3235</v>
      </c>
      <c r="D7136" s="174"/>
      <c r="E7136" s="174" t="s">
        <v>0</v>
      </c>
      <c r="F7136" s="174"/>
      <c r="G7136" s="174"/>
      <c r="H7136" s="174"/>
    </row>
    <row r="7137" spans="1:33" s="16" customFormat="1" ht="16.5" customHeight="1" x14ac:dyDescent="0.25">
      <c r="A7137" s="18"/>
      <c r="B7137" s="175"/>
      <c r="C7137" s="177"/>
      <c r="D7137" s="175" t="s">
        <v>0</v>
      </c>
      <c r="E7137" s="175" t="s">
        <v>0</v>
      </c>
      <c r="F7137" s="175"/>
      <c r="G7137" s="175"/>
      <c r="H7137" s="175"/>
      <c r="I7137" s="15"/>
      <c r="J7137" s="15"/>
      <c r="K7137" s="15"/>
      <c r="L7137" s="15"/>
      <c r="M7137" s="15"/>
      <c r="N7137" s="15"/>
      <c r="O7137" s="15"/>
      <c r="P7137" s="15"/>
      <c r="Q7137" s="15"/>
      <c r="R7137" s="15"/>
      <c r="S7137" s="15"/>
      <c r="T7137" s="15"/>
      <c r="U7137" s="15"/>
      <c r="V7137" s="15"/>
      <c r="W7137" s="15"/>
      <c r="X7137" s="15"/>
      <c r="Y7137" s="15"/>
      <c r="Z7137" s="15"/>
      <c r="AA7137" s="15"/>
      <c r="AB7137" s="15"/>
      <c r="AC7137" s="15"/>
      <c r="AD7137" s="15"/>
      <c r="AE7137" s="15"/>
      <c r="AF7137" s="15"/>
      <c r="AG7137" s="15"/>
    </row>
    <row r="7138" spans="1:33" s="16" customFormat="1" ht="28.5" x14ac:dyDescent="0.25">
      <c r="A7138" s="18"/>
      <c r="B7138" s="11" t="s">
        <v>250</v>
      </c>
      <c r="C7138" s="12" t="s">
        <v>1102</v>
      </c>
      <c r="D7138" s="31" t="s">
        <v>1120</v>
      </c>
      <c r="E7138" s="20" t="s">
        <v>0</v>
      </c>
      <c r="F7138" s="11">
        <f>SUMIF($D$7141:$D$12030,$D$7138,$F$7141:$F$12030)</f>
        <v>21</v>
      </c>
      <c r="G7138" s="11">
        <f>SUMIF($D$7141:$D$12030,$D$7138,$G$7141:$G$12030)</f>
        <v>355</v>
      </c>
      <c r="H7138" s="14">
        <f>SUMIF($D$7141:$D$12030,$D$7138,$H$7141:$H$12030)</f>
        <v>1078.2448000000004</v>
      </c>
      <c r="I7138" s="15"/>
      <c r="J7138" s="15"/>
      <c r="K7138" s="15"/>
      <c r="L7138" s="15"/>
      <c r="M7138" s="15"/>
      <c r="N7138" s="15"/>
      <c r="O7138" s="15"/>
      <c r="P7138" s="15"/>
      <c r="Q7138" s="15"/>
      <c r="R7138" s="15"/>
      <c r="S7138" s="15"/>
      <c r="T7138" s="15"/>
      <c r="U7138" s="15"/>
      <c r="V7138" s="15"/>
      <c r="W7138" s="15"/>
      <c r="X7138" s="15"/>
      <c r="Y7138" s="15"/>
      <c r="Z7138" s="15"/>
      <c r="AA7138" s="15"/>
      <c r="AB7138" s="15"/>
      <c r="AC7138" s="15"/>
      <c r="AD7138" s="15"/>
      <c r="AE7138" s="15"/>
      <c r="AF7138" s="15"/>
      <c r="AG7138" s="15"/>
    </row>
    <row r="7139" spans="1:33" s="26" customFormat="1" ht="16.5" customHeight="1" x14ac:dyDescent="0.25">
      <c r="A7139" s="18"/>
      <c r="B7139" s="11" t="s">
        <v>250</v>
      </c>
      <c r="C7139" s="12" t="s">
        <v>1102</v>
      </c>
      <c r="D7139" s="20">
        <v>2021</v>
      </c>
      <c r="E7139" s="20" t="s">
        <v>0</v>
      </c>
      <c r="F7139" s="14">
        <f>SUMIF($D$7141:$D$12030,$D$7139,$F$7141:$F$12030)</f>
        <v>1242</v>
      </c>
      <c r="G7139" s="14">
        <f>SUMIF($D$7141:$D$12030,$D$7139,$G$7141:$G$12030)</f>
        <v>20383.13</v>
      </c>
      <c r="H7139" s="14">
        <f>SUMIF($D$7141:$D$12030,$D$7139,$H$7141:$H$12030)</f>
        <v>50897.983008000003</v>
      </c>
      <c r="I7139" s="15"/>
      <c r="J7139" s="15"/>
      <c r="K7139" s="15"/>
      <c r="L7139" s="15"/>
      <c r="M7139" s="15"/>
      <c r="N7139" s="15"/>
      <c r="O7139" s="15"/>
      <c r="P7139" s="15"/>
      <c r="Q7139" s="15"/>
      <c r="R7139" s="15"/>
      <c r="S7139" s="15"/>
      <c r="T7139" s="15"/>
      <c r="U7139" s="15"/>
      <c r="V7139" s="15"/>
      <c r="W7139" s="15"/>
      <c r="X7139" s="15"/>
      <c r="Y7139" s="15"/>
      <c r="Z7139" s="15"/>
      <c r="AA7139" s="15"/>
      <c r="AB7139" s="15"/>
      <c r="AC7139" s="15"/>
      <c r="AD7139" s="15"/>
      <c r="AE7139" s="15"/>
      <c r="AF7139" s="15"/>
      <c r="AG7139" s="15"/>
    </row>
    <row r="7140" spans="1:33" s="26" customFormat="1" ht="15.75" x14ac:dyDescent="0.25">
      <c r="A7140" s="18"/>
      <c r="B7140" s="11" t="s">
        <v>250</v>
      </c>
      <c r="C7140" s="12" t="s">
        <v>1102</v>
      </c>
      <c r="D7140" s="20">
        <v>2022</v>
      </c>
      <c r="E7140" s="20" t="s">
        <v>0</v>
      </c>
      <c r="F7140" s="14">
        <f>SUMIF($D$7141:$D$12030,$D$7140,$F$7141:$F$12030)</f>
        <v>6307</v>
      </c>
      <c r="G7140" s="14">
        <f>SUMIF($D$7141:$D$12030,$D$7140,$G$7141:$G$12030)</f>
        <v>108406.95400000001</v>
      </c>
      <c r="H7140" s="14">
        <f>SUMIF($D$7141:$D$12030,$D$7140,$H$7141:$H$12030)</f>
        <v>190918.02863199997</v>
      </c>
      <c r="I7140" s="15"/>
      <c r="J7140" s="15"/>
      <c r="K7140" s="15"/>
      <c r="L7140" s="15"/>
      <c r="M7140" s="15"/>
      <c r="N7140" s="15"/>
      <c r="O7140" s="15"/>
      <c r="P7140" s="15"/>
      <c r="Q7140" s="15"/>
      <c r="R7140" s="15"/>
      <c r="S7140" s="15"/>
      <c r="T7140" s="15"/>
      <c r="U7140" s="15"/>
      <c r="V7140" s="15"/>
      <c r="W7140" s="15"/>
      <c r="X7140" s="15"/>
      <c r="Y7140" s="15"/>
      <c r="Z7140" s="15"/>
      <c r="AA7140" s="15"/>
      <c r="AB7140" s="15"/>
      <c r="AC7140" s="15"/>
      <c r="AD7140" s="15"/>
      <c r="AE7140" s="15"/>
      <c r="AF7140" s="15"/>
      <c r="AG7140" s="15"/>
    </row>
    <row r="7141" spans="1:33" s="15" customFormat="1" ht="16.5" hidden="1" customHeight="1" outlineLevel="1" x14ac:dyDescent="0.25">
      <c r="A7141" s="18">
        <v>2985</v>
      </c>
      <c r="B7141" s="4" t="s">
        <v>250</v>
      </c>
      <c r="C7141" s="38" t="s">
        <v>3930</v>
      </c>
      <c r="D7141" s="18">
        <v>2022</v>
      </c>
      <c r="E7141" s="18" t="s">
        <v>0</v>
      </c>
      <c r="F7141" s="42">
        <v>1</v>
      </c>
      <c r="G7141" s="4">
        <v>150</v>
      </c>
      <c r="H7141" s="18">
        <v>77.069000000000003</v>
      </c>
    </row>
    <row r="7142" spans="1:33" s="15" customFormat="1" ht="16.5" hidden="1" customHeight="1" outlineLevel="1" x14ac:dyDescent="0.25">
      <c r="A7142" s="18">
        <v>2815</v>
      </c>
      <c r="B7142" s="4" t="s">
        <v>250</v>
      </c>
      <c r="C7142" s="38" t="s">
        <v>3994</v>
      </c>
      <c r="D7142" s="18">
        <v>2022</v>
      </c>
      <c r="E7142" s="18" t="s">
        <v>0</v>
      </c>
      <c r="F7142" s="42">
        <v>1</v>
      </c>
      <c r="G7142" s="4">
        <v>15</v>
      </c>
      <c r="H7142" s="18">
        <f>0.186637*(1000)</f>
        <v>186.637</v>
      </c>
    </row>
    <row r="7143" spans="1:33" s="15" customFormat="1" ht="16.5" hidden="1" customHeight="1" outlineLevel="1" x14ac:dyDescent="0.25">
      <c r="A7143" s="18">
        <v>2888</v>
      </c>
      <c r="B7143" s="4" t="s">
        <v>250</v>
      </c>
      <c r="C7143" s="38" t="s">
        <v>3242</v>
      </c>
      <c r="D7143" s="18">
        <v>2022</v>
      </c>
      <c r="E7143" s="18" t="s">
        <v>0</v>
      </c>
      <c r="F7143" s="42">
        <v>1</v>
      </c>
      <c r="G7143" s="4">
        <v>15</v>
      </c>
      <c r="H7143" s="18">
        <f>0.124584*(1000)</f>
        <v>124.584</v>
      </c>
    </row>
    <row r="7144" spans="1:33" s="15" customFormat="1" ht="39" hidden="1" customHeight="1" outlineLevel="1" x14ac:dyDescent="0.25">
      <c r="A7144" s="18">
        <v>2917</v>
      </c>
      <c r="B7144" s="4" t="s">
        <v>250</v>
      </c>
      <c r="C7144" s="38" t="s">
        <v>3243</v>
      </c>
      <c r="D7144" s="18">
        <v>2022</v>
      </c>
      <c r="E7144" s="18" t="s">
        <v>0</v>
      </c>
      <c r="F7144" s="42">
        <v>1</v>
      </c>
      <c r="G7144" s="4">
        <v>15</v>
      </c>
      <c r="H7144" s="18">
        <f>0.176075*(1000)</f>
        <v>176.07500000000002</v>
      </c>
    </row>
    <row r="7145" spans="1:33" s="15" customFormat="1" ht="16.5" hidden="1" customHeight="1" outlineLevel="1" x14ac:dyDescent="0.25">
      <c r="A7145" s="18">
        <v>2922</v>
      </c>
      <c r="B7145" s="4" t="s">
        <v>250</v>
      </c>
      <c r="C7145" s="38" t="s">
        <v>3995</v>
      </c>
      <c r="D7145" s="18">
        <v>2022</v>
      </c>
      <c r="E7145" s="18" t="s">
        <v>0</v>
      </c>
      <c r="F7145" s="42">
        <v>1</v>
      </c>
      <c r="G7145" s="4">
        <v>15</v>
      </c>
      <c r="H7145" s="18">
        <f>0.211258*(1000)</f>
        <v>211.25800000000001</v>
      </c>
    </row>
    <row r="7146" spans="1:33" s="15" customFormat="1" ht="16.5" hidden="1" customHeight="1" outlineLevel="1" x14ac:dyDescent="0.25">
      <c r="A7146" s="18">
        <v>2923</v>
      </c>
      <c r="B7146" s="4" t="s">
        <v>250</v>
      </c>
      <c r="C7146" s="38" t="s">
        <v>3996</v>
      </c>
      <c r="D7146" s="18">
        <v>2022</v>
      </c>
      <c r="E7146" s="18" t="s">
        <v>0</v>
      </c>
      <c r="F7146" s="42">
        <v>11</v>
      </c>
      <c r="G7146" s="4">
        <v>185</v>
      </c>
      <c r="H7146" s="18">
        <f>0.638719*(1000)</f>
        <v>638.71900000000005</v>
      </c>
    </row>
    <row r="7147" spans="1:33" s="15" customFormat="1" ht="16.5" hidden="1" customHeight="1" outlineLevel="1" x14ac:dyDescent="0.25">
      <c r="A7147" s="18">
        <v>2710</v>
      </c>
      <c r="B7147" s="4" t="s">
        <v>250</v>
      </c>
      <c r="C7147" s="38" t="s">
        <v>3932</v>
      </c>
      <c r="D7147" s="18">
        <v>2022</v>
      </c>
      <c r="E7147" s="18" t="s">
        <v>0</v>
      </c>
      <c r="F7147" s="42">
        <v>1</v>
      </c>
      <c r="G7147" s="4">
        <v>208.3</v>
      </c>
      <c r="H7147" s="18">
        <f>0.088393*(1000)</f>
        <v>88.393000000000001</v>
      </c>
    </row>
    <row r="7148" spans="1:33" s="15" customFormat="1" ht="16.5" hidden="1" customHeight="1" outlineLevel="1" x14ac:dyDescent="0.25">
      <c r="A7148" s="18">
        <v>2751</v>
      </c>
      <c r="B7148" s="4" t="s">
        <v>250</v>
      </c>
      <c r="C7148" s="38" t="s">
        <v>3249</v>
      </c>
      <c r="D7148" s="18">
        <v>2022</v>
      </c>
      <c r="E7148" s="18" t="s">
        <v>0</v>
      </c>
      <c r="F7148" s="42">
        <v>1</v>
      </c>
      <c r="G7148" s="4">
        <v>15</v>
      </c>
      <c r="H7148" s="18">
        <f>0.054517*(1000)</f>
        <v>54.517000000000003</v>
      </c>
    </row>
    <row r="7149" spans="1:33" s="15" customFormat="1" ht="16.5" hidden="1" customHeight="1" outlineLevel="1" x14ac:dyDescent="0.25">
      <c r="A7149" s="18">
        <v>2766</v>
      </c>
      <c r="B7149" s="4" t="s">
        <v>250</v>
      </c>
      <c r="C7149" s="38" t="s">
        <v>3250</v>
      </c>
      <c r="D7149" s="18">
        <v>2022</v>
      </c>
      <c r="E7149" s="18" t="s">
        <v>0</v>
      </c>
      <c r="F7149" s="42">
        <v>1</v>
      </c>
      <c r="G7149" s="4">
        <v>5</v>
      </c>
      <c r="H7149" s="18">
        <f>0.087392*(1000)</f>
        <v>87.391999999999996</v>
      </c>
    </row>
    <row r="7150" spans="1:33" s="15" customFormat="1" ht="16.5" hidden="1" customHeight="1" outlineLevel="1" x14ac:dyDescent="0.25">
      <c r="A7150" s="18">
        <v>2770</v>
      </c>
      <c r="B7150" s="4" t="s">
        <v>250</v>
      </c>
      <c r="C7150" s="38" t="s">
        <v>3251</v>
      </c>
      <c r="D7150" s="18">
        <v>2022</v>
      </c>
      <c r="E7150" s="18" t="s">
        <v>0</v>
      </c>
      <c r="F7150" s="42">
        <v>1</v>
      </c>
      <c r="G7150" s="4">
        <v>100</v>
      </c>
      <c r="H7150" s="18">
        <f>0.117113*(1000)</f>
        <v>117.113</v>
      </c>
    </row>
    <row r="7151" spans="1:33" s="15" customFormat="1" ht="16.5" hidden="1" customHeight="1" outlineLevel="1" x14ac:dyDescent="0.25">
      <c r="A7151" s="18">
        <v>2771</v>
      </c>
      <c r="B7151" s="4" t="s">
        <v>250</v>
      </c>
      <c r="C7151" s="38" t="s">
        <v>3252</v>
      </c>
      <c r="D7151" s="18">
        <v>2022</v>
      </c>
      <c r="E7151" s="18" t="s">
        <v>0</v>
      </c>
      <c r="F7151" s="42">
        <v>1</v>
      </c>
      <c r="G7151" s="4">
        <v>15</v>
      </c>
      <c r="H7151" s="18">
        <f>0.081748*(1000)</f>
        <v>81.748000000000005</v>
      </c>
    </row>
    <row r="7152" spans="1:33" s="15" customFormat="1" ht="16.5" hidden="1" customHeight="1" outlineLevel="1" x14ac:dyDescent="0.25">
      <c r="A7152" s="18">
        <v>2778</v>
      </c>
      <c r="B7152" s="4" t="s">
        <v>250</v>
      </c>
      <c r="C7152" s="38" t="s">
        <v>3255</v>
      </c>
      <c r="D7152" s="18">
        <v>2022</v>
      </c>
      <c r="E7152" s="18" t="s">
        <v>0</v>
      </c>
      <c r="F7152" s="42">
        <v>1</v>
      </c>
      <c r="G7152" s="4">
        <v>15</v>
      </c>
      <c r="H7152" s="18">
        <f>0.058*(1000)</f>
        <v>58</v>
      </c>
    </row>
    <row r="7153" spans="1:8" s="15" customFormat="1" ht="16.5" hidden="1" customHeight="1" outlineLevel="1" x14ac:dyDescent="0.25">
      <c r="A7153" s="18">
        <v>2779</v>
      </c>
      <c r="B7153" s="4" t="s">
        <v>250</v>
      </c>
      <c r="C7153" s="38" t="s">
        <v>3256</v>
      </c>
      <c r="D7153" s="18">
        <v>2022</v>
      </c>
      <c r="E7153" s="18" t="s">
        <v>0</v>
      </c>
      <c r="F7153" s="42">
        <v>1</v>
      </c>
      <c r="G7153" s="4">
        <v>150</v>
      </c>
      <c r="H7153" s="18">
        <f>0.313286*(1000)</f>
        <v>313.286</v>
      </c>
    </row>
    <row r="7154" spans="1:8" s="15" customFormat="1" ht="16.5" hidden="1" customHeight="1" outlineLevel="1" x14ac:dyDescent="0.25">
      <c r="A7154" s="18">
        <v>2781</v>
      </c>
      <c r="B7154" s="4" t="s">
        <v>250</v>
      </c>
      <c r="C7154" s="38" t="s">
        <v>3257</v>
      </c>
      <c r="D7154" s="18">
        <v>2022</v>
      </c>
      <c r="E7154" s="18" t="s">
        <v>0</v>
      </c>
      <c r="F7154" s="42">
        <v>1</v>
      </c>
      <c r="G7154" s="4">
        <v>50</v>
      </c>
      <c r="H7154" s="18">
        <f>0.090052*(1000)</f>
        <v>90.051999999999992</v>
      </c>
    </row>
    <row r="7155" spans="1:8" s="15" customFormat="1" ht="16.5" hidden="1" customHeight="1" outlineLevel="1" x14ac:dyDescent="0.25">
      <c r="A7155" s="18">
        <v>2784</v>
      </c>
      <c r="B7155" s="4" t="s">
        <v>250</v>
      </c>
      <c r="C7155" s="38" t="s">
        <v>3259</v>
      </c>
      <c r="D7155" s="18">
        <v>2022</v>
      </c>
      <c r="E7155" s="18" t="s">
        <v>0</v>
      </c>
      <c r="F7155" s="42">
        <v>1</v>
      </c>
      <c r="G7155" s="4">
        <v>30</v>
      </c>
      <c r="H7155" s="18">
        <f>0.118668*(1000)</f>
        <v>118.66799999999999</v>
      </c>
    </row>
    <row r="7156" spans="1:8" s="15" customFormat="1" ht="48.75" hidden="1" customHeight="1" outlineLevel="1" x14ac:dyDescent="0.25">
      <c r="A7156" s="18">
        <v>2785</v>
      </c>
      <c r="B7156" s="4" t="s">
        <v>250</v>
      </c>
      <c r="C7156" s="38" t="s">
        <v>3998</v>
      </c>
      <c r="D7156" s="18">
        <v>2022</v>
      </c>
      <c r="E7156" s="18" t="s">
        <v>0</v>
      </c>
      <c r="F7156" s="42">
        <v>1</v>
      </c>
      <c r="G7156" s="4">
        <v>150</v>
      </c>
      <c r="H7156" s="18">
        <f>0.135747*(1000)</f>
        <v>135.74700000000001</v>
      </c>
    </row>
    <row r="7157" spans="1:8" s="15" customFormat="1" ht="16.5" hidden="1" customHeight="1" outlineLevel="1" x14ac:dyDescent="0.25">
      <c r="A7157" s="18">
        <v>2795</v>
      </c>
      <c r="B7157" s="4" t="s">
        <v>250</v>
      </c>
      <c r="C7157" s="38" t="s">
        <v>3260</v>
      </c>
      <c r="D7157" s="18">
        <v>2022</v>
      </c>
      <c r="E7157" s="18" t="s">
        <v>0</v>
      </c>
      <c r="F7157" s="42">
        <v>1</v>
      </c>
      <c r="G7157" s="4">
        <v>15</v>
      </c>
      <c r="H7157" s="18">
        <f>0.088036*(1000)</f>
        <v>88.036000000000001</v>
      </c>
    </row>
    <row r="7158" spans="1:8" s="15" customFormat="1" ht="16.5" hidden="1" customHeight="1" outlineLevel="1" x14ac:dyDescent="0.25">
      <c r="A7158" s="18">
        <v>2796</v>
      </c>
      <c r="B7158" s="4" t="s">
        <v>250</v>
      </c>
      <c r="C7158" s="38" t="s">
        <v>3261</v>
      </c>
      <c r="D7158" s="18">
        <v>2022</v>
      </c>
      <c r="E7158" s="18" t="s">
        <v>0</v>
      </c>
      <c r="F7158" s="42">
        <v>1</v>
      </c>
      <c r="G7158" s="4">
        <v>100</v>
      </c>
      <c r="H7158" s="18">
        <f>0.074492*(1000)</f>
        <v>74.492000000000004</v>
      </c>
    </row>
    <row r="7159" spans="1:8" s="15" customFormat="1" ht="16.5" hidden="1" customHeight="1" outlineLevel="1" x14ac:dyDescent="0.25">
      <c r="A7159" s="18">
        <v>2802</v>
      </c>
      <c r="B7159" s="4" t="s">
        <v>250</v>
      </c>
      <c r="C7159" s="38" t="s">
        <v>3999</v>
      </c>
      <c r="D7159" s="18">
        <v>2022</v>
      </c>
      <c r="E7159" s="18" t="s">
        <v>0</v>
      </c>
      <c r="F7159" s="42">
        <v>2</v>
      </c>
      <c r="G7159" s="4">
        <v>300</v>
      </c>
      <c r="H7159" s="18">
        <f>0.26984*(1000)</f>
        <v>269.84000000000003</v>
      </c>
    </row>
    <row r="7160" spans="1:8" s="15" customFormat="1" ht="16.5" hidden="1" customHeight="1" outlineLevel="1" x14ac:dyDescent="0.25">
      <c r="A7160" s="18">
        <v>2807</v>
      </c>
      <c r="B7160" s="4" t="s">
        <v>250</v>
      </c>
      <c r="C7160" s="38" t="s">
        <v>3265</v>
      </c>
      <c r="D7160" s="18">
        <v>2022</v>
      </c>
      <c r="E7160" s="18" t="s">
        <v>0</v>
      </c>
      <c r="F7160" s="42">
        <v>1</v>
      </c>
      <c r="G7160" s="4">
        <v>100</v>
      </c>
      <c r="H7160" s="18">
        <f>0.109289*(1000)</f>
        <v>109.289</v>
      </c>
    </row>
    <row r="7161" spans="1:8" s="15" customFormat="1" ht="16.5" hidden="1" customHeight="1" outlineLevel="1" x14ac:dyDescent="0.25">
      <c r="A7161" s="18">
        <v>2814</v>
      </c>
      <c r="B7161" s="4" t="s">
        <v>250</v>
      </c>
      <c r="C7161" s="38" t="s">
        <v>3266</v>
      </c>
      <c r="D7161" s="18">
        <v>2022</v>
      </c>
      <c r="E7161" s="18" t="s">
        <v>0</v>
      </c>
      <c r="F7161" s="42">
        <v>1</v>
      </c>
      <c r="G7161" s="4">
        <v>60</v>
      </c>
      <c r="H7161" s="18">
        <f>0.127208*(1000)</f>
        <v>127.20799999999998</v>
      </c>
    </row>
    <row r="7162" spans="1:8" s="15" customFormat="1" ht="16.5" hidden="1" customHeight="1" outlineLevel="1" x14ac:dyDescent="0.25">
      <c r="A7162" s="18">
        <v>2840</v>
      </c>
      <c r="B7162" s="4" t="s">
        <v>250</v>
      </c>
      <c r="C7162" s="38" t="s">
        <v>3935</v>
      </c>
      <c r="D7162" s="18">
        <v>2022</v>
      </c>
      <c r="E7162" s="18" t="s">
        <v>0</v>
      </c>
      <c r="F7162" s="42">
        <v>1</v>
      </c>
      <c r="G7162" s="4">
        <v>150</v>
      </c>
      <c r="H7162" s="18">
        <f>0.082386*(1000)</f>
        <v>82.385999999999996</v>
      </c>
    </row>
    <row r="7163" spans="1:8" s="15" customFormat="1" ht="16.5" hidden="1" customHeight="1" outlineLevel="1" x14ac:dyDescent="0.25">
      <c r="A7163" s="18">
        <v>2843</v>
      </c>
      <c r="B7163" s="4" t="s">
        <v>250</v>
      </c>
      <c r="C7163" s="38" t="s">
        <v>3267</v>
      </c>
      <c r="D7163" s="18">
        <v>2022</v>
      </c>
      <c r="E7163" s="18" t="s">
        <v>0</v>
      </c>
      <c r="F7163" s="42">
        <v>1</v>
      </c>
      <c r="G7163" s="4">
        <v>15</v>
      </c>
      <c r="H7163" s="18">
        <f>0.153549*(1000)</f>
        <v>153.54899999999998</v>
      </c>
    </row>
    <row r="7164" spans="1:8" s="15" customFormat="1" ht="16.5" hidden="1" customHeight="1" outlineLevel="1" x14ac:dyDescent="0.25">
      <c r="A7164" s="18">
        <v>2845</v>
      </c>
      <c r="B7164" s="4" t="s">
        <v>250</v>
      </c>
      <c r="C7164" s="38" t="s">
        <v>3268</v>
      </c>
      <c r="D7164" s="18">
        <v>2022</v>
      </c>
      <c r="E7164" s="18" t="s">
        <v>0</v>
      </c>
      <c r="F7164" s="42">
        <v>1</v>
      </c>
      <c r="G7164" s="4">
        <v>15</v>
      </c>
      <c r="H7164" s="18">
        <f>0.110777*(1000)</f>
        <v>110.777</v>
      </c>
    </row>
    <row r="7165" spans="1:8" s="15" customFormat="1" ht="16.5" hidden="1" customHeight="1" outlineLevel="1" x14ac:dyDescent="0.25">
      <c r="A7165" s="18">
        <v>2863</v>
      </c>
      <c r="B7165" s="4" t="s">
        <v>250</v>
      </c>
      <c r="C7165" s="38" t="s">
        <v>3270</v>
      </c>
      <c r="D7165" s="18">
        <v>2022</v>
      </c>
      <c r="E7165" s="18" t="s">
        <v>0</v>
      </c>
      <c r="F7165" s="42">
        <v>3</v>
      </c>
      <c r="G7165" s="4">
        <v>45</v>
      </c>
      <c r="H7165" s="18">
        <f>0.158553*(1000)</f>
        <v>158.553</v>
      </c>
    </row>
    <row r="7166" spans="1:8" s="15" customFormat="1" ht="16.5" hidden="1" customHeight="1" outlineLevel="1" x14ac:dyDescent="0.25">
      <c r="A7166" s="18">
        <v>2913</v>
      </c>
      <c r="B7166" s="4" t="s">
        <v>250</v>
      </c>
      <c r="C7166" s="38" t="s">
        <v>3271</v>
      </c>
      <c r="D7166" s="18">
        <v>2022</v>
      </c>
      <c r="E7166" s="18" t="s">
        <v>0</v>
      </c>
      <c r="F7166" s="42">
        <v>1</v>
      </c>
      <c r="G7166" s="4">
        <v>15</v>
      </c>
      <c r="H7166" s="18">
        <f>0.081434*(1000)</f>
        <v>81.434000000000012</v>
      </c>
    </row>
    <row r="7167" spans="1:8" s="15" customFormat="1" ht="16.5" hidden="1" customHeight="1" outlineLevel="1" x14ac:dyDescent="0.25">
      <c r="A7167" s="18">
        <v>2993</v>
      </c>
      <c r="B7167" s="4" t="s">
        <v>250</v>
      </c>
      <c r="C7167" s="38" t="s">
        <v>4000</v>
      </c>
      <c r="D7167" s="18">
        <v>2022</v>
      </c>
      <c r="E7167" s="18" t="s">
        <v>0</v>
      </c>
      <c r="F7167" s="42">
        <v>1</v>
      </c>
      <c r="G7167" s="4">
        <v>15</v>
      </c>
      <c r="H7167" s="18">
        <f>0.160031*(1000)</f>
        <v>160.03100000000001</v>
      </c>
    </row>
    <row r="7168" spans="1:8" s="15" customFormat="1" ht="16.5" hidden="1" customHeight="1" outlineLevel="1" x14ac:dyDescent="0.25">
      <c r="A7168" s="18">
        <v>2733</v>
      </c>
      <c r="B7168" s="4" t="s">
        <v>250</v>
      </c>
      <c r="C7168" s="38" t="s">
        <v>3937</v>
      </c>
      <c r="D7168" s="18">
        <v>2022</v>
      </c>
      <c r="E7168" s="18" t="s">
        <v>0</v>
      </c>
      <c r="F7168" s="42">
        <v>1</v>
      </c>
      <c r="G7168" s="4">
        <v>150</v>
      </c>
      <c r="H7168" s="18">
        <f>0.05178*(1000)</f>
        <v>51.78</v>
      </c>
    </row>
    <row r="7169" spans="1:8" s="15" customFormat="1" ht="16.5" hidden="1" customHeight="1" outlineLevel="1" x14ac:dyDescent="0.25">
      <c r="A7169" s="18">
        <v>2768</v>
      </c>
      <c r="B7169" s="4" t="s">
        <v>250</v>
      </c>
      <c r="C7169" s="38" t="s">
        <v>4003</v>
      </c>
      <c r="D7169" s="18">
        <v>2022</v>
      </c>
      <c r="E7169" s="18" t="s">
        <v>0</v>
      </c>
      <c r="F7169" s="42">
        <v>6</v>
      </c>
      <c r="G7169" s="4">
        <v>78</v>
      </c>
      <c r="H7169" s="18">
        <f>0.2577*(1000)</f>
        <v>257.7</v>
      </c>
    </row>
    <row r="7170" spans="1:8" s="15" customFormat="1" ht="16.5" hidden="1" customHeight="1" outlineLevel="1" x14ac:dyDescent="0.25">
      <c r="A7170" s="18">
        <v>2769</v>
      </c>
      <c r="B7170" s="4" t="s">
        <v>250</v>
      </c>
      <c r="C7170" s="38" t="s">
        <v>4004</v>
      </c>
      <c r="D7170" s="18">
        <v>2022</v>
      </c>
      <c r="E7170" s="18" t="s">
        <v>0</v>
      </c>
      <c r="F7170" s="42">
        <v>4</v>
      </c>
      <c r="G7170" s="4">
        <v>60</v>
      </c>
      <c r="H7170" s="18">
        <f>0.160962*(1000)</f>
        <v>160.96199999999999</v>
      </c>
    </row>
    <row r="7171" spans="1:8" s="15" customFormat="1" ht="16.5" hidden="1" customHeight="1" outlineLevel="1" x14ac:dyDescent="0.25">
      <c r="A7171" s="18">
        <v>2804</v>
      </c>
      <c r="B7171" s="4" t="s">
        <v>250</v>
      </c>
      <c r="C7171" s="38" t="s">
        <v>3938</v>
      </c>
      <c r="D7171" s="18">
        <v>2022</v>
      </c>
      <c r="E7171" s="18" t="s">
        <v>0</v>
      </c>
      <c r="F7171" s="42">
        <v>30</v>
      </c>
      <c r="G7171" s="4">
        <v>435</v>
      </c>
      <c r="H7171" s="18">
        <f>1.648379*(1000)</f>
        <v>1648.3790000000001</v>
      </c>
    </row>
    <row r="7172" spans="1:8" s="15" customFormat="1" ht="16.5" hidden="1" customHeight="1" outlineLevel="1" x14ac:dyDescent="0.25">
      <c r="A7172" s="18">
        <v>2811</v>
      </c>
      <c r="B7172" s="4" t="s">
        <v>250</v>
      </c>
      <c r="C7172" s="38" t="s">
        <v>4005</v>
      </c>
      <c r="D7172" s="18">
        <v>2022</v>
      </c>
      <c r="E7172" s="18" t="s">
        <v>0</v>
      </c>
      <c r="F7172" s="42">
        <v>2</v>
      </c>
      <c r="G7172" s="4">
        <v>45</v>
      </c>
      <c r="H7172" s="18">
        <f>0.102569*(1000)</f>
        <v>102.56899999999999</v>
      </c>
    </row>
    <row r="7173" spans="1:8" s="15" customFormat="1" ht="16.5" hidden="1" customHeight="1" outlineLevel="1" x14ac:dyDescent="0.25">
      <c r="A7173" s="18">
        <v>2846</v>
      </c>
      <c r="B7173" s="4" t="s">
        <v>250</v>
      </c>
      <c r="C7173" s="38" t="s">
        <v>3279</v>
      </c>
      <c r="D7173" s="18">
        <v>2022</v>
      </c>
      <c r="E7173" s="18" t="s">
        <v>0</v>
      </c>
      <c r="F7173" s="42">
        <v>1</v>
      </c>
      <c r="G7173" s="4">
        <v>15</v>
      </c>
      <c r="H7173" s="18">
        <f>0.096283*(1000)</f>
        <v>96.282999999999987</v>
      </c>
    </row>
    <row r="7174" spans="1:8" s="15" customFormat="1" ht="16.5" hidden="1" customHeight="1" outlineLevel="1" x14ac:dyDescent="0.25">
      <c r="A7174" s="18">
        <v>2851</v>
      </c>
      <c r="B7174" s="4" t="s">
        <v>250</v>
      </c>
      <c r="C7174" s="38" t="s">
        <v>3280</v>
      </c>
      <c r="D7174" s="18">
        <v>2022</v>
      </c>
      <c r="E7174" s="18" t="s">
        <v>0</v>
      </c>
      <c r="F7174" s="42">
        <v>2</v>
      </c>
      <c r="G7174" s="4">
        <v>136.52000000000001</v>
      </c>
      <c r="H7174" s="18">
        <f>0.223265*(1000)</f>
        <v>223.26499999999999</v>
      </c>
    </row>
    <row r="7175" spans="1:8" s="15" customFormat="1" ht="16.5" hidden="1" customHeight="1" outlineLevel="1" x14ac:dyDescent="0.25">
      <c r="A7175" s="18">
        <v>2885</v>
      </c>
      <c r="B7175" s="4" t="s">
        <v>250</v>
      </c>
      <c r="C7175" s="38" t="s">
        <v>3281</v>
      </c>
      <c r="D7175" s="18">
        <v>2022</v>
      </c>
      <c r="E7175" s="18" t="s">
        <v>0</v>
      </c>
      <c r="F7175" s="42">
        <v>1</v>
      </c>
      <c r="G7175" s="4">
        <v>19</v>
      </c>
      <c r="H7175" s="18">
        <f>0.127953*(1000)</f>
        <v>127.95300000000002</v>
      </c>
    </row>
    <row r="7176" spans="1:8" s="15" customFormat="1" ht="16.5" hidden="1" customHeight="1" outlineLevel="1" x14ac:dyDescent="0.25">
      <c r="A7176" s="18">
        <v>2911</v>
      </c>
      <c r="B7176" s="4" t="s">
        <v>250</v>
      </c>
      <c r="C7176" s="38" t="s">
        <v>3282</v>
      </c>
      <c r="D7176" s="18">
        <v>2022</v>
      </c>
      <c r="E7176" s="18" t="s">
        <v>0</v>
      </c>
      <c r="F7176" s="42">
        <v>1</v>
      </c>
      <c r="G7176" s="4">
        <v>45</v>
      </c>
      <c r="H7176" s="18">
        <f>0.102375*(1000)</f>
        <v>102.375</v>
      </c>
    </row>
    <row r="7177" spans="1:8" s="15" customFormat="1" ht="16.5" hidden="1" customHeight="1" outlineLevel="1" x14ac:dyDescent="0.25">
      <c r="A7177" s="18">
        <v>2912</v>
      </c>
      <c r="B7177" s="4" t="s">
        <v>250</v>
      </c>
      <c r="C7177" s="38" t="s">
        <v>3283</v>
      </c>
      <c r="D7177" s="18">
        <v>2022</v>
      </c>
      <c r="E7177" s="18" t="s">
        <v>0</v>
      </c>
      <c r="F7177" s="42">
        <v>1</v>
      </c>
      <c r="G7177" s="4">
        <v>15</v>
      </c>
      <c r="H7177" s="18">
        <f>0.127143*(1000)</f>
        <v>127.143</v>
      </c>
    </row>
    <row r="7178" spans="1:8" s="15" customFormat="1" ht="16.5" hidden="1" customHeight="1" outlineLevel="1" x14ac:dyDescent="0.25">
      <c r="A7178" s="18">
        <v>2914</v>
      </c>
      <c r="B7178" s="4" t="s">
        <v>250</v>
      </c>
      <c r="C7178" s="38" t="s">
        <v>3284</v>
      </c>
      <c r="D7178" s="18">
        <v>2022</v>
      </c>
      <c r="E7178" s="18" t="s">
        <v>0</v>
      </c>
      <c r="F7178" s="42">
        <v>1</v>
      </c>
      <c r="G7178" s="4">
        <v>120</v>
      </c>
      <c r="H7178" s="18">
        <f>0.057584*(1000)</f>
        <v>57.584000000000003</v>
      </c>
    </row>
    <row r="7179" spans="1:8" s="15" customFormat="1" ht="16.5" hidden="1" customHeight="1" outlineLevel="1" x14ac:dyDescent="0.25">
      <c r="A7179" s="18">
        <v>2916</v>
      </c>
      <c r="B7179" s="4" t="s">
        <v>250</v>
      </c>
      <c r="C7179" s="38" t="s">
        <v>3285</v>
      </c>
      <c r="D7179" s="18">
        <v>2022</v>
      </c>
      <c r="E7179" s="18" t="s">
        <v>0</v>
      </c>
      <c r="F7179" s="42">
        <v>1</v>
      </c>
      <c r="G7179" s="4">
        <v>100</v>
      </c>
      <c r="H7179" s="18">
        <f>0.065129*(1000)</f>
        <v>65.129000000000005</v>
      </c>
    </row>
    <row r="7180" spans="1:8" s="15" customFormat="1" ht="16.5" hidden="1" customHeight="1" outlineLevel="1" x14ac:dyDescent="0.25">
      <c r="A7180" s="18">
        <v>2858</v>
      </c>
      <c r="B7180" s="4" t="s">
        <v>250</v>
      </c>
      <c r="C7180" s="38" t="s">
        <v>3286</v>
      </c>
      <c r="D7180" s="18">
        <v>2022</v>
      </c>
      <c r="E7180" s="18" t="s">
        <v>0</v>
      </c>
      <c r="F7180" s="42">
        <v>1</v>
      </c>
      <c r="G7180" s="4">
        <v>150</v>
      </c>
      <c r="H7180" s="18">
        <f>0.071908*(1000)</f>
        <v>71.908000000000001</v>
      </c>
    </row>
    <row r="7181" spans="1:8" s="15" customFormat="1" ht="16.5" hidden="1" customHeight="1" outlineLevel="1" x14ac:dyDescent="0.25">
      <c r="A7181" s="18">
        <v>2842</v>
      </c>
      <c r="B7181" s="4" t="s">
        <v>250</v>
      </c>
      <c r="C7181" s="38" t="s">
        <v>3287</v>
      </c>
      <c r="D7181" s="18">
        <v>2022</v>
      </c>
      <c r="E7181" s="18" t="s">
        <v>0</v>
      </c>
      <c r="F7181" s="42">
        <v>1</v>
      </c>
      <c r="G7181" s="4">
        <v>30</v>
      </c>
      <c r="H7181" s="18">
        <f>0.04053*(1000)</f>
        <v>40.529999999999994</v>
      </c>
    </row>
    <row r="7182" spans="1:8" s="15" customFormat="1" ht="16.5" hidden="1" customHeight="1" outlineLevel="1" x14ac:dyDescent="0.25">
      <c r="A7182" s="18">
        <v>2919</v>
      </c>
      <c r="B7182" s="4" t="s">
        <v>250</v>
      </c>
      <c r="C7182" s="38" t="s">
        <v>3939</v>
      </c>
      <c r="D7182" s="18">
        <v>2022</v>
      </c>
      <c r="E7182" s="18" t="s">
        <v>0</v>
      </c>
      <c r="F7182" s="42">
        <v>3</v>
      </c>
      <c r="G7182" s="4">
        <v>30</v>
      </c>
      <c r="H7182" s="18">
        <f>0.123748*(1000)</f>
        <v>123.74799999999999</v>
      </c>
    </row>
    <row r="7183" spans="1:8" s="15" customFormat="1" ht="16.5" hidden="1" customHeight="1" outlineLevel="1" x14ac:dyDescent="0.25">
      <c r="A7183" s="18">
        <v>2920</v>
      </c>
      <c r="B7183" s="4" t="s">
        <v>250</v>
      </c>
      <c r="C7183" s="38" t="s">
        <v>3940</v>
      </c>
      <c r="D7183" s="18">
        <v>2022</v>
      </c>
      <c r="E7183" s="18" t="s">
        <v>0</v>
      </c>
      <c r="F7183" s="42">
        <v>1</v>
      </c>
      <c r="G7183" s="4">
        <v>15</v>
      </c>
      <c r="H7183" s="18">
        <f>0.071662*(1000)</f>
        <v>71.662000000000006</v>
      </c>
    </row>
    <row r="7184" spans="1:8" s="15" customFormat="1" ht="16.5" hidden="1" customHeight="1" outlineLevel="1" x14ac:dyDescent="0.25">
      <c r="A7184" s="18">
        <v>4112</v>
      </c>
      <c r="B7184" s="4" t="s">
        <v>250</v>
      </c>
      <c r="C7184" s="38" t="s">
        <v>3291</v>
      </c>
      <c r="D7184" s="18">
        <v>2022</v>
      </c>
      <c r="E7184" s="18" t="s">
        <v>0</v>
      </c>
      <c r="F7184" s="42">
        <v>3</v>
      </c>
      <c r="G7184" s="4">
        <v>45</v>
      </c>
      <c r="H7184" s="18">
        <f>0.23130784*(1000)</f>
        <v>231.30784</v>
      </c>
    </row>
    <row r="7185" spans="1:8" s="15" customFormat="1" ht="16.5" hidden="1" customHeight="1" outlineLevel="1" x14ac:dyDescent="0.25">
      <c r="A7185" s="18">
        <v>4113</v>
      </c>
      <c r="B7185" s="4" t="s">
        <v>250</v>
      </c>
      <c r="C7185" s="38" t="s">
        <v>3942</v>
      </c>
      <c r="D7185" s="18">
        <v>2022</v>
      </c>
      <c r="E7185" s="18" t="s">
        <v>0</v>
      </c>
      <c r="F7185" s="42">
        <v>2</v>
      </c>
      <c r="G7185" s="4">
        <v>138</v>
      </c>
      <c r="H7185" s="18">
        <f>0.32107059*(1000)</f>
        <v>321.07058999999998</v>
      </c>
    </row>
    <row r="7186" spans="1:8" s="15" customFormat="1" ht="16.5" hidden="1" customHeight="1" outlineLevel="1" x14ac:dyDescent="0.25">
      <c r="A7186" s="18">
        <v>4114</v>
      </c>
      <c r="B7186" s="4" t="s">
        <v>250</v>
      </c>
      <c r="C7186" s="38" t="s">
        <v>3292</v>
      </c>
      <c r="D7186" s="18">
        <v>2022</v>
      </c>
      <c r="E7186" s="18" t="s">
        <v>0</v>
      </c>
      <c r="F7186" s="42">
        <v>1</v>
      </c>
      <c r="G7186" s="4">
        <v>15</v>
      </c>
      <c r="H7186" s="18">
        <f>0.15566718*(1000)</f>
        <v>155.66718</v>
      </c>
    </row>
    <row r="7187" spans="1:8" s="15" customFormat="1" ht="16.5" hidden="1" customHeight="1" outlineLevel="1" x14ac:dyDescent="0.25">
      <c r="A7187" s="18">
        <v>4117</v>
      </c>
      <c r="B7187" s="4" t="s">
        <v>250</v>
      </c>
      <c r="C7187" s="38" t="s">
        <v>4006</v>
      </c>
      <c r="D7187" s="18">
        <v>2022</v>
      </c>
      <c r="E7187" s="18" t="s">
        <v>0</v>
      </c>
      <c r="F7187" s="42">
        <v>19</v>
      </c>
      <c r="G7187" s="4">
        <v>300</v>
      </c>
      <c r="H7187" s="18">
        <f>1.04717016*(1000)</f>
        <v>1047.1701600000001</v>
      </c>
    </row>
    <row r="7188" spans="1:8" s="15" customFormat="1" ht="16.5" hidden="1" customHeight="1" outlineLevel="1" x14ac:dyDescent="0.25">
      <c r="A7188" s="18">
        <v>4129</v>
      </c>
      <c r="B7188" s="4" t="s">
        <v>250</v>
      </c>
      <c r="C7188" s="38" t="s">
        <v>5961</v>
      </c>
      <c r="D7188" s="18">
        <v>2022</v>
      </c>
      <c r="E7188" s="18" t="s">
        <v>0</v>
      </c>
      <c r="F7188" s="42">
        <v>1</v>
      </c>
      <c r="G7188" s="4">
        <v>50</v>
      </c>
      <c r="H7188" s="18">
        <f>0.01770396*(1000)</f>
        <v>17.703960000000002</v>
      </c>
    </row>
    <row r="7189" spans="1:8" s="15" customFormat="1" ht="16.5" hidden="1" customHeight="1" outlineLevel="1" x14ac:dyDescent="0.25">
      <c r="A7189" s="18">
        <v>4130</v>
      </c>
      <c r="B7189" s="4" t="s">
        <v>250</v>
      </c>
      <c r="C7189" s="38" t="s">
        <v>5962</v>
      </c>
      <c r="D7189" s="18">
        <v>2022</v>
      </c>
      <c r="E7189" s="18" t="s">
        <v>0</v>
      </c>
      <c r="F7189" s="42">
        <v>1</v>
      </c>
      <c r="G7189" s="4">
        <v>25</v>
      </c>
      <c r="H7189" s="18">
        <f>0.01320125*(1000)</f>
        <v>13.20125</v>
      </c>
    </row>
    <row r="7190" spans="1:8" s="15" customFormat="1" ht="16.5" hidden="1" customHeight="1" outlineLevel="1" x14ac:dyDescent="0.25">
      <c r="A7190" s="18">
        <v>4131</v>
      </c>
      <c r="B7190" s="4" t="s">
        <v>250</v>
      </c>
      <c r="C7190" s="38" t="s">
        <v>5963</v>
      </c>
      <c r="D7190" s="18">
        <v>2022</v>
      </c>
      <c r="E7190" s="18" t="s">
        <v>0</v>
      </c>
      <c r="F7190" s="42">
        <v>1</v>
      </c>
      <c r="G7190" s="4">
        <v>35</v>
      </c>
      <c r="H7190" s="18">
        <f>0.01224269*(1000)</f>
        <v>12.24269</v>
      </c>
    </row>
    <row r="7191" spans="1:8" s="15" customFormat="1" ht="16.5" hidden="1" customHeight="1" outlineLevel="1" x14ac:dyDescent="0.25">
      <c r="A7191" s="18">
        <v>4192</v>
      </c>
      <c r="B7191" s="4" t="s">
        <v>250</v>
      </c>
      <c r="C7191" s="38" t="s">
        <v>5964</v>
      </c>
      <c r="D7191" s="18">
        <v>2022</v>
      </c>
      <c r="E7191" s="18" t="s">
        <v>0</v>
      </c>
      <c r="F7191" s="42">
        <v>1</v>
      </c>
      <c r="G7191" s="4">
        <v>15</v>
      </c>
      <c r="H7191" s="18">
        <f>0.01773565*(1000)</f>
        <v>17.73565</v>
      </c>
    </row>
    <row r="7192" spans="1:8" s="15" customFormat="1" ht="16.5" hidden="1" customHeight="1" outlineLevel="1" x14ac:dyDescent="0.25">
      <c r="A7192" s="18">
        <v>4193</v>
      </c>
      <c r="B7192" s="4" t="s">
        <v>250</v>
      </c>
      <c r="C7192" s="38" t="s">
        <v>5965</v>
      </c>
      <c r="D7192" s="18">
        <v>2022</v>
      </c>
      <c r="E7192" s="18" t="s">
        <v>0</v>
      </c>
      <c r="F7192" s="42">
        <v>1</v>
      </c>
      <c r="G7192" s="4">
        <v>15</v>
      </c>
      <c r="H7192" s="18">
        <f>0.0121342*(1000)</f>
        <v>12.1342</v>
      </c>
    </row>
    <row r="7193" spans="1:8" s="15" customFormat="1" ht="16.5" hidden="1" customHeight="1" outlineLevel="1" x14ac:dyDescent="0.25">
      <c r="A7193" s="18">
        <v>4195</v>
      </c>
      <c r="B7193" s="4" t="s">
        <v>250</v>
      </c>
      <c r="C7193" s="38" t="s">
        <v>5966</v>
      </c>
      <c r="D7193" s="18">
        <v>2022</v>
      </c>
      <c r="E7193" s="18" t="s">
        <v>0</v>
      </c>
      <c r="F7193" s="42">
        <v>1</v>
      </c>
      <c r="G7193" s="4">
        <v>15</v>
      </c>
      <c r="H7193" s="18">
        <f>0.01770396*(1000)</f>
        <v>17.703960000000002</v>
      </c>
    </row>
    <row r="7194" spans="1:8" s="15" customFormat="1" ht="16.5" hidden="1" customHeight="1" outlineLevel="1" x14ac:dyDescent="0.25">
      <c r="A7194" s="18">
        <v>4201</v>
      </c>
      <c r="B7194" s="4" t="s">
        <v>250</v>
      </c>
      <c r="C7194" s="38" t="s">
        <v>5967</v>
      </c>
      <c r="D7194" s="18">
        <v>2022</v>
      </c>
      <c r="E7194" s="18" t="s">
        <v>0</v>
      </c>
      <c r="F7194" s="42">
        <v>1</v>
      </c>
      <c r="G7194" s="4">
        <v>15</v>
      </c>
      <c r="H7194" s="18">
        <f>0.0191935*(1000)</f>
        <v>19.1935</v>
      </c>
    </row>
    <row r="7195" spans="1:8" s="15" customFormat="1" ht="16.5" hidden="1" customHeight="1" outlineLevel="1" x14ac:dyDescent="0.25">
      <c r="A7195" s="18">
        <v>4202</v>
      </c>
      <c r="B7195" s="4" t="s">
        <v>250</v>
      </c>
      <c r="C7195" s="38" t="s">
        <v>5968</v>
      </c>
      <c r="D7195" s="18">
        <v>2022</v>
      </c>
      <c r="E7195" s="18" t="s">
        <v>0</v>
      </c>
      <c r="F7195" s="42">
        <v>1</v>
      </c>
      <c r="G7195" s="4">
        <v>15</v>
      </c>
      <c r="H7195" s="18">
        <f>0.01353762*(1000)</f>
        <v>13.53762</v>
      </c>
    </row>
    <row r="7196" spans="1:8" s="15" customFormat="1" ht="16.5" hidden="1" customHeight="1" outlineLevel="1" x14ac:dyDescent="0.25">
      <c r="A7196" s="18">
        <v>4203</v>
      </c>
      <c r="B7196" s="4" t="s">
        <v>250</v>
      </c>
      <c r="C7196" s="38" t="s">
        <v>5969</v>
      </c>
      <c r="D7196" s="18">
        <v>2022</v>
      </c>
      <c r="E7196" s="18" t="s">
        <v>0</v>
      </c>
      <c r="F7196" s="42">
        <v>1</v>
      </c>
      <c r="G7196" s="4">
        <v>2</v>
      </c>
      <c r="H7196" s="18">
        <f>0.01340315*(1000)</f>
        <v>13.40315</v>
      </c>
    </row>
    <row r="7197" spans="1:8" s="15" customFormat="1" ht="16.5" hidden="1" customHeight="1" outlineLevel="1" x14ac:dyDescent="0.25">
      <c r="A7197" s="18">
        <v>4204</v>
      </c>
      <c r="B7197" s="4" t="s">
        <v>250</v>
      </c>
      <c r="C7197" s="38" t="s">
        <v>5970</v>
      </c>
      <c r="D7197" s="18">
        <v>2022</v>
      </c>
      <c r="E7197" s="18" t="s">
        <v>0</v>
      </c>
      <c r="F7197" s="42">
        <v>1</v>
      </c>
      <c r="G7197" s="4">
        <v>15</v>
      </c>
      <c r="H7197" s="18">
        <f>0.0187723*(1000)</f>
        <v>18.772299999999998</v>
      </c>
    </row>
    <row r="7198" spans="1:8" s="15" customFormat="1" ht="16.5" hidden="1" customHeight="1" outlineLevel="1" x14ac:dyDescent="0.25">
      <c r="A7198" s="18">
        <v>4205</v>
      </c>
      <c r="B7198" s="4" t="s">
        <v>250</v>
      </c>
      <c r="C7198" s="38" t="s">
        <v>5971</v>
      </c>
      <c r="D7198" s="18">
        <v>2022</v>
      </c>
      <c r="E7198" s="18" t="s">
        <v>0</v>
      </c>
      <c r="F7198" s="42">
        <v>1</v>
      </c>
      <c r="G7198" s="4">
        <v>15</v>
      </c>
      <c r="H7198" s="18">
        <f>0.01885621*(1000)</f>
        <v>18.856210000000001</v>
      </c>
    </row>
    <row r="7199" spans="1:8" s="15" customFormat="1" ht="16.5" hidden="1" customHeight="1" outlineLevel="1" x14ac:dyDescent="0.25">
      <c r="A7199" s="18">
        <v>4208</v>
      </c>
      <c r="B7199" s="4" t="s">
        <v>250</v>
      </c>
      <c r="C7199" s="38" t="s">
        <v>5972</v>
      </c>
      <c r="D7199" s="18">
        <v>2022</v>
      </c>
      <c r="E7199" s="18" t="s">
        <v>0</v>
      </c>
      <c r="F7199" s="42">
        <v>1</v>
      </c>
      <c r="G7199" s="4">
        <v>15</v>
      </c>
      <c r="H7199" s="18">
        <f>0.01790286*(1000)</f>
        <v>17.90286</v>
      </c>
    </row>
    <row r="7200" spans="1:8" s="15" customFormat="1" ht="16.5" hidden="1" customHeight="1" outlineLevel="1" x14ac:dyDescent="0.25">
      <c r="A7200" s="18">
        <v>4212</v>
      </c>
      <c r="B7200" s="4" t="s">
        <v>250</v>
      </c>
      <c r="C7200" s="38" t="s">
        <v>5973</v>
      </c>
      <c r="D7200" s="18">
        <v>2022</v>
      </c>
      <c r="E7200" s="18" t="s">
        <v>0</v>
      </c>
      <c r="F7200" s="42">
        <v>1</v>
      </c>
      <c r="G7200" s="4">
        <v>15</v>
      </c>
      <c r="H7200" s="18">
        <f>0.01822423*(1000)</f>
        <v>18.224230000000002</v>
      </c>
    </row>
    <row r="7201" spans="1:8" s="15" customFormat="1" ht="16.5" hidden="1" customHeight="1" outlineLevel="1" x14ac:dyDescent="0.25">
      <c r="A7201" s="18">
        <v>4214</v>
      </c>
      <c r="B7201" s="4" t="s">
        <v>250</v>
      </c>
      <c r="C7201" s="38" t="s">
        <v>5974</v>
      </c>
      <c r="D7201" s="18">
        <v>2022</v>
      </c>
      <c r="E7201" s="18" t="s">
        <v>0</v>
      </c>
      <c r="F7201" s="42">
        <v>1</v>
      </c>
      <c r="G7201" s="4">
        <v>115</v>
      </c>
      <c r="H7201" s="18">
        <f>0.01781245*(1000)</f>
        <v>17.812450000000002</v>
      </c>
    </row>
    <row r="7202" spans="1:8" s="15" customFormat="1" ht="16.5" hidden="1" customHeight="1" outlineLevel="1" x14ac:dyDescent="0.25">
      <c r="A7202" s="18">
        <v>4215</v>
      </c>
      <c r="B7202" s="4" t="s">
        <v>250</v>
      </c>
      <c r="C7202" s="38" t="s">
        <v>5975</v>
      </c>
      <c r="D7202" s="18">
        <v>2022</v>
      </c>
      <c r="E7202" s="18" t="s">
        <v>0</v>
      </c>
      <c r="F7202" s="42">
        <v>1</v>
      </c>
      <c r="G7202" s="4">
        <v>15</v>
      </c>
      <c r="H7202" s="18">
        <f>0.01781244*(1000)</f>
        <v>17.812439999999999</v>
      </c>
    </row>
    <row r="7203" spans="1:8" s="15" customFormat="1" ht="16.5" hidden="1" customHeight="1" outlineLevel="1" x14ac:dyDescent="0.25">
      <c r="A7203" s="18">
        <v>4217</v>
      </c>
      <c r="B7203" s="4" t="s">
        <v>250</v>
      </c>
      <c r="C7203" s="38" t="s">
        <v>5976</v>
      </c>
      <c r="D7203" s="18">
        <v>2022</v>
      </c>
      <c r="E7203" s="18" t="s">
        <v>0</v>
      </c>
      <c r="F7203" s="42">
        <v>1</v>
      </c>
      <c r="G7203" s="4">
        <v>15</v>
      </c>
      <c r="H7203" s="18">
        <f>0.01773565*(1000)</f>
        <v>17.73565</v>
      </c>
    </row>
    <row r="7204" spans="1:8" s="15" customFormat="1" ht="16.5" hidden="1" customHeight="1" outlineLevel="1" x14ac:dyDescent="0.25">
      <c r="A7204" s="18">
        <v>4218</v>
      </c>
      <c r="B7204" s="4" t="s">
        <v>250</v>
      </c>
      <c r="C7204" s="38" t="s">
        <v>5977</v>
      </c>
      <c r="D7204" s="18">
        <v>2022</v>
      </c>
      <c r="E7204" s="18" t="s">
        <v>0</v>
      </c>
      <c r="F7204" s="42">
        <v>1</v>
      </c>
      <c r="G7204" s="4">
        <v>5</v>
      </c>
      <c r="H7204" s="18">
        <f>0.01774291*(1000)</f>
        <v>17.742910000000002</v>
      </c>
    </row>
    <row r="7205" spans="1:8" s="15" customFormat="1" ht="16.5" hidden="1" customHeight="1" outlineLevel="1" x14ac:dyDescent="0.25">
      <c r="A7205" s="18">
        <v>4220</v>
      </c>
      <c r="B7205" s="4" t="s">
        <v>250</v>
      </c>
      <c r="C7205" s="38" t="s">
        <v>5978</v>
      </c>
      <c r="D7205" s="18">
        <v>2022</v>
      </c>
      <c r="E7205" s="18" t="s">
        <v>0</v>
      </c>
      <c r="F7205" s="42">
        <v>1</v>
      </c>
      <c r="G7205" s="4">
        <v>15</v>
      </c>
      <c r="H7205" s="18">
        <f>0.01770396*(1000)</f>
        <v>17.703960000000002</v>
      </c>
    </row>
    <row r="7206" spans="1:8" s="15" customFormat="1" ht="16.5" hidden="1" customHeight="1" outlineLevel="1" x14ac:dyDescent="0.25">
      <c r="A7206" s="18">
        <v>2780</v>
      </c>
      <c r="B7206" s="4" t="s">
        <v>250</v>
      </c>
      <c r="C7206" s="38" t="s">
        <v>3294</v>
      </c>
      <c r="D7206" s="18">
        <v>2022</v>
      </c>
      <c r="E7206" s="18" t="s">
        <v>0</v>
      </c>
      <c r="F7206" s="42">
        <v>1</v>
      </c>
      <c r="G7206" s="4">
        <v>15</v>
      </c>
      <c r="H7206" s="18">
        <f>0.05373536*(1000)</f>
        <v>53.73536</v>
      </c>
    </row>
    <row r="7207" spans="1:8" s="15" customFormat="1" ht="16.5" hidden="1" customHeight="1" outlineLevel="1" x14ac:dyDescent="0.25">
      <c r="A7207" s="18">
        <v>2786</v>
      </c>
      <c r="B7207" s="4" t="s">
        <v>250</v>
      </c>
      <c r="C7207" s="38" t="s">
        <v>3295</v>
      </c>
      <c r="D7207" s="18">
        <v>2022</v>
      </c>
      <c r="E7207" s="18" t="s">
        <v>0</v>
      </c>
      <c r="F7207" s="42">
        <v>1</v>
      </c>
      <c r="G7207" s="4">
        <v>60</v>
      </c>
      <c r="H7207" s="18">
        <f>0.17778806*(1000)</f>
        <v>177.78806</v>
      </c>
    </row>
    <row r="7208" spans="1:8" s="15" customFormat="1" ht="16.5" hidden="1" customHeight="1" outlineLevel="1" x14ac:dyDescent="0.25">
      <c r="A7208" s="18">
        <v>2803</v>
      </c>
      <c r="B7208" s="4" t="s">
        <v>250</v>
      </c>
      <c r="C7208" s="38" t="s">
        <v>3943</v>
      </c>
      <c r="D7208" s="18">
        <v>2022</v>
      </c>
      <c r="E7208" s="18" t="s">
        <v>0</v>
      </c>
      <c r="F7208" s="42">
        <v>1</v>
      </c>
      <c r="G7208" s="4">
        <v>130</v>
      </c>
      <c r="H7208" s="18">
        <f>0.37423217*(1000)</f>
        <v>374.23217</v>
      </c>
    </row>
    <row r="7209" spans="1:8" s="15" customFormat="1" ht="16.5" hidden="1" customHeight="1" outlineLevel="1" x14ac:dyDescent="0.25">
      <c r="A7209" s="18">
        <v>2809</v>
      </c>
      <c r="B7209" s="4" t="s">
        <v>250</v>
      </c>
      <c r="C7209" s="38" t="s">
        <v>3296</v>
      </c>
      <c r="D7209" s="18">
        <v>2022</v>
      </c>
      <c r="E7209" s="18" t="s">
        <v>0</v>
      </c>
      <c r="F7209" s="42">
        <v>1</v>
      </c>
      <c r="G7209" s="4">
        <v>45</v>
      </c>
      <c r="H7209" s="18">
        <f>0.07490668*(1000)</f>
        <v>74.906680000000009</v>
      </c>
    </row>
    <row r="7210" spans="1:8" s="15" customFormat="1" ht="16.5" hidden="1" customHeight="1" outlineLevel="1" x14ac:dyDescent="0.25">
      <c r="A7210" s="18">
        <v>2859</v>
      </c>
      <c r="B7210" s="4" t="s">
        <v>250</v>
      </c>
      <c r="C7210" s="38" t="s">
        <v>3297</v>
      </c>
      <c r="D7210" s="18">
        <v>2022</v>
      </c>
      <c r="E7210" s="18" t="s">
        <v>0</v>
      </c>
      <c r="F7210" s="42">
        <v>1</v>
      </c>
      <c r="G7210" s="4">
        <v>100</v>
      </c>
      <c r="H7210" s="18">
        <f>0.066515*(1000)</f>
        <v>66.515000000000001</v>
      </c>
    </row>
    <row r="7211" spans="1:8" s="15" customFormat="1" ht="16.5" hidden="1" customHeight="1" outlineLevel="1" x14ac:dyDescent="0.25">
      <c r="A7211" s="18">
        <v>2861</v>
      </c>
      <c r="B7211" s="4" t="s">
        <v>250</v>
      </c>
      <c r="C7211" s="38" t="s">
        <v>3298</v>
      </c>
      <c r="D7211" s="18">
        <v>2022</v>
      </c>
      <c r="E7211" s="18" t="s">
        <v>0</v>
      </c>
      <c r="F7211" s="42">
        <v>1</v>
      </c>
      <c r="G7211" s="4">
        <v>100</v>
      </c>
      <c r="H7211" s="18">
        <f>0.14129474*(1000)</f>
        <v>141.29473999999999</v>
      </c>
    </row>
    <row r="7212" spans="1:8" s="15" customFormat="1" ht="16.5" hidden="1" customHeight="1" outlineLevel="1" x14ac:dyDescent="0.25">
      <c r="A7212" s="18">
        <v>2862</v>
      </c>
      <c r="B7212" s="4" t="s">
        <v>250</v>
      </c>
      <c r="C7212" s="38" t="s">
        <v>3299</v>
      </c>
      <c r="D7212" s="18">
        <v>2022</v>
      </c>
      <c r="E7212" s="18" t="s">
        <v>0</v>
      </c>
      <c r="F7212" s="42">
        <v>1</v>
      </c>
      <c r="G7212" s="4">
        <v>50</v>
      </c>
      <c r="H7212" s="18">
        <f>0.07628801*(1000)</f>
        <v>76.28801</v>
      </c>
    </row>
    <row r="7213" spans="1:8" s="15" customFormat="1" ht="16.5" hidden="1" customHeight="1" outlineLevel="1" x14ac:dyDescent="0.25">
      <c r="A7213" s="18">
        <v>2867</v>
      </c>
      <c r="B7213" s="4" t="s">
        <v>250</v>
      </c>
      <c r="C7213" s="38" t="s">
        <v>3300</v>
      </c>
      <c r="D7213" s="18">
        <v>2022</v>
      </c>
      <c r="E7213" s="18" t="s">
        <v>0</v>
      </c>
      <c r="F7213" s="42">
        <v>1</v>
      </c>
      <c r="G7213" s="4">
        <v>100</v>
      </c>
      <c r="H7213" s="18">
        <f>0.11927671*(1000)</f>
        <v>119.27670999999999</v>
      </c>
    </row>
    <row r="7214" spans="1:8" s="15" customFormat="1" ht="16.5" hidden="1" customHeight="1" outlineLevel="1" x14ac:dyDescent="0.25">
      <c r="A7214" s="18">
        <v>2910</v>
      </c>
      <c r="B7214" s="4" t="s">
        <v>250</v>
      </c>
      <c r="C7214" s="38" t="s">
        <v>3301</v>
      </c>
      <c r="D7214" s="18">
        <v>2022</v>
      </c>
      <c r="E7214" s="18" t="s">
        <v>0</v>
      </c>
      <c r="F7214" s="42">
        <v>1</v>
      </c>
      <c r="G7214" s="4">
        <v>100</v>
      </c>
      <c r="H7214" s="18">
        <f>0.07789337*(1000)</f>
        <v>77.893370000000004</v>
      </c>
    </row>
    <row r="7215" spans="1:8" s="15" customFormat="1" ht="16.5" hidden="1" customHeight="1" outlineLevel="1" x14ac:dyDescent="0.25">
      <c r="A7215" s="18">
        <v>2915</v>
      </c>
      <c r="B7215" s="4" t="s">
        <v>250</v>
      </c>
      <c r="C7215" s="38" t="s">
        <v>3302</v>
      </c>
      <c r="D7215" s="18">
        <v>2022</v>
      </c>
      <c r="E7215" s="18" t="s">
        <v>0</v>
      </c>
      <c r="F7215" s="42">
        <v>1</v>
      </c>
      <c r="G7215" s="4">
        <v>80</v>
      </c>
      <c r="H7215" s="18">
        <f>0.13590346*(1000)</f>
        <v>135.90346</v>
      </c>
    </row>
    <row r="7216" spans="1:8" s="15" customFormat="1" ht="16.5" hidden="1" customHeight="1" outlineLevel="1" x14ac:dyDescent="0.25">
      <c r="A7216" s="18">
        <v>4119</v>
      </c>
      <c r="B7216" s="4" t="s">
        <v>250</v>
      </c>
      <c r="C7216" s="38" t="s">
        <v>3304</v>
      </c>
      <c r="D7216" s="18">
        <v>2022</v>
      </c>
      <c r="E7216" s="18" t="s">
        <v>0</v>
      </c>
      <c r="F7216" s="42">
        <v>1</v>
      </c>
      <c r="G7216" s="4">
        <v>15</v>
      </c>
      <c r="H7216" s="18">
        <f>0.15627329*(1000)</f>
        <v>156.27329</v>
      </c>
    </row>
    <row r="7217" spans="1:8" s="15" customFormat="1" ht="16.5" hidden="1" customHeight="1" outlineLevel="1" x14ac:dyDescent="0.25">
      <c r="A7217" s="18">
        <v>4121</v>
      </c>
      <c r="B7217" s="4" t="s">
        <v>250</v>
      </c>
      <c r="C7217" s="38" t="s">
        <v>3306</v>
      </c>
      <c r="D7217" s="18">
        <v>2022</v>
      </c>
      <c r="E7217" s="18" t="s">
        <v>0</v>
      </c>
      <c r="F7217" s="42">
        <v>1</v>
      </c>
      <c r="G7217" s="4">
        <v>30</v>
      </c>
      <c r="H7217" s="18">
        <f>0.13104344*(1000)</f>
        <v>131.04344</v>
      </c>
    </row>
    <row r="7218" spans="1:8" s="15" customFormat="1" ht="16.5" hidden="1" customHeight="1" outlineLevel="1" x14ac:dyDescent="0.25">
      <c r="A7218" s="18">
        <v>4122</v>
      </c>
      <c r="B7218" s="4" t="s">
        <v>250</v>
      </c>
      <c r="C7218" s="38" t="s">
        <v>3307</v>
      </c>
      <c r="D7218" s="18">
        <v>2022</v>
      </c>
      <c r="E7218" s="18" t="s">
        <v>0</v>
      </c>
      <c r="F7218" s="42">
        <v>1</v>
      </c>
      <c r="G7218" s="4">
        <v>15</v>
      </c>
      <c r="H7218" s="18">
        <f>0.12309242*(1000)</f>
        <v>123.09241999999999</v>
      </c>
    </row>
    <row r="7219" spans="1:8" s="15" customFormat="1" ht="16.5" hidden="1" customHeight="1" outlineLevel="1" x14ac:dyDescent="0.25">
      <c r="A7219" s="18">
        <v>4123</v>
      </c>
      <c r="B7219" s="4" t="s">
        <v>250</v>
      </c>
      <c r="C7219" s="38" t="s">
        <v>3308</v>
      </c>
      <c r="D7219" s="18">
        <v>2022</v>
      </c>
      <c r="E7219" s="18" t="s">
        <v>0</v>
      </c>
      <c r="F7219" s="42">
        <v>1</v>
      </c>
      <c r="G7219" s="4">
        <v>75</v>
      </c>
      <c r="H7219" s="18">
        <f>0.13083193*(1000)</f>
        <v>130.83193</v>
      </c>
    </row>
    <row r="7220" spans="1:8" s="15" customFormat="1" ht="16.5" hidden="1" customHeight="1" outlineLevel="1" x14ac:dyDescent="0.25">
      <c r="A7220" s="18">
        <v>4124</v>
      </c>
      <c r="B7220" s="4" t="s">
        <v>250</v>
      </c>
      <c r="C7220" s="38" t="s">
        <v>3309</v>
      </c>
      <c r="D7220" s="18">
        <v>2022</v>
      </c>
      <c r="E7220" s="18" t="s">
        <v>0</v>
      </c>
      <c r="F7220" s="42">
        <v>1</v>
      </c>
      <c r="G7220" s="4">
        <v>108.67</v>
      </c>
      <c r="H7220" s="18">
        <f>0.2282809*(1000)</f>
        <v>228.2809</v>
      </c>
    </row>
    <row r="7221" spans="1:8" s="15" customFormat="1" ht="16.5" hidden="1" customHeight="1" outlineLevel="1" x14ac:dyDescent="0.25">
      <c r="A7221" s="18">
        <v>4128</v>
      </c>
      <c r="B7221" s="4" t="s">
        <v>250</v>
      </c>
      <c r="C7221" s="38" t="s">
        <v>3311</v>
      </c>
      <c r="D7221" s="18">
        <v>2022</v>
      </c>
      <c r="E7221" s="18" t="s">
        <v>0</v>
      </c>
      <c r="F7221" s="42">
        <v>1</v>
      </c>
      <c r="G7221" s="4">
        <v>37</v>
      </c>
      <c r="H7221" s="18">
        <f>0.17286533*(1000)</f>
        <v>172.86533</v>
      </c>
    </row>
    <row r="7222" spans="1:8" s="15" customFormat="1" ht="16.5" hidden="1" customHeight="1" outlineLevel="1" x14ac:dyDescent="0.25">
      <c r="A7222" s="18">
        <v>2760</v>
      </c>
      <c r="B7222" s="4" t="s">
        <v>250</v>
      </c>
      <c r="C7222" s="38" t="s">
        <v>3318</v>
      </c>
      <c r="D7222" s="18">
        <v>2022</v>
      </c>
      <c r="E7222" s="18" t="s">
        <v>0</v>
      </c>
      <c r="F7222" s="42">
        <v>1</v>
      </c>
      <c r="G7222" s="4">
        <v>15</v>
      </c>
      <c r="H7222" s="18">
        <f>0.06260733*(1000)</f>
        <v>62.607330000000005</v>
      </c>
    </row>
    <row r="7223" spans="1:8" s="15" customFormat="1" ht="16.5" hidden="1" customHeight="1" outlineLevel="1" x14ac:dyDescent="0.25">
      <c r="A7223" s="18">
        <v>2782</v>
      </c>
      <c r="B7223" s="4" t="s">
        <v>250</v>
      </c>
      <c r="C7223" s="38" t="s">
        <v>3320</v>
      </c>
      <c r="D7223" s="18">
        <v>2022</v>
      </c>
      <c r="E7223" s="18" t="s">
        <v>0</v>
      </c>
      <c r="F7223" s="42">
        <v>1</v>
      </c>
      <c r="G7223" s="4">
        <v>65</v>
      </c>
      <c r="H7223" s="18">
        <f>0.07355375*(1000)</f>
        <v>73.553750000000008</v>
      </c>
    </row>
    <row r="7224" spans="1:8" s="15" customFormat="1" ht="16.5" hidden="1" customHeight="1" outlineLevel="1" x14ac:dyDescent="0.25">
      <c r="A7224" s="18">
        <v>2806</v>
      </c>
      <c r="B7224" s="4" t="s">
        <v>250</v>
      </c>
      <c r="C7224" s="38" t="s">
        <v>3321</v>
      </c>
      <c r="D7224" s="18">
        <v>2022</v>
      </c>
      <c r="E7224" s="18" t="s">
        <v>0</v>
      </c>
      <c r="F7224" s="42">
        <v>1</v>
      </c>
      <c r="G7224" s="4">
        <v>7.5</v>
      </c>
      <c r="H7224" s="18">
        <f>0.06658069*(1000)</f>
        <v>66.580690000000004</v>
      </c>
    </row>
    <row r="7225" spans="1:8" s="15" customFormat="1" ht="16.5" hidden="1" customHeight="1" outlineLevel="1" x14ac:dyDescent="0.25">
      <c r="A7225" s="18">
        <v>2808</v>
      </c>
      <c r="B7225" s="4" t="s">
        <v>250</v>
      </c>
      <c r="C7225" s="38" t="s">
        <v>3322</v>
      </c>
      <c r="D7225" s="18">
        <v>2022</v>
      </c>
      <c r="E7225" s="18" t="s">
        <v>0</v>
      </c>
      <c r="F7225" s="42">
        <v>1</v>
      </c>
      <c r="G7225" s="4">
        <v>15</v>
      </c>
      <c r="H7225" s="18">
        <f>0.06047029*(1000)</f>
        <v>60.470290000000006</v>
      </c>
    </row>
    <row r="7226" spans="1:8" s="15" customFormat="1" ht="16.5" hidden="1" customHeight="1" outlineLevel="1" x14ac:dyDescent="0.25">
      <c r="A7226" s="18">
        <v>2813</v>
      </c>
      <c r="B7226" s="4" t="s">
        <v>250</v>
      </c>
      <c r="C7226" s="38" t="s">
        <v>5979</v>
      </c>
      <c r="D7226" s="18">
        <v>2022</v>
      </c>
      <c r="E7226" s="18" t="s">
        <v>0</v>
      </c>
      <c r="F7226" s="42">
        <v>1</v>
      </c>
      <c r="G7226" s="4">
        <v>150</v>
      </c>
      <c r="H7226" s="18">
        <f>0.48088007*(1000)</f>
        <v>480.88006999999999</v>
      </c>
    </row>
    <row r="7227" spans="1:8" s="15" customFormat="1" ht="16.5" hidden="1" customHeight="1" outlineLevel="1" x14ac:dyDescent="0.25">
      <c r="A7227" s="18">
        <v>2847</v>
      </c>
      <c r="B7227" s="4" t="s">
        <v>250</v>
      </c>
      <c r="C7227" s="38" t="s">
        <v>3324</v>
      </c>
      <c r="D7227" s="18">
        <v>2022</v>
      </c>
      <c r="E7227" s="18" t="s">
        <v>0</v>
      </c>
      <c r="F7227" s="42">
        <v>2</v>
      </c>
      <c r="G7227" s="4">
        <v>25</v>
      </c>
      <c r="H7227" s="18">
        <f>0.11177326*(1000)</f>
        <v>111.77325999999999</v>
      </c>
    </row>
    <row r="7228" spans="1:8" s="15" customFormat="1" ht="16.5" hidden="1" customHeight="1" outlineLevel="1" x14ac:dyDescent="0.25">
      <c r="A7228" s="18">
        <v>2866</v>
      </c>
      <c r="B7228" s="4" t="s">
        <v>250</v>
      </c>
      <c r="C7228" s="38" t="s">
        <v>4011</v>
      </c>
      <c r="D7228" s="18">
        <v>2022</v>
      </c>
      <c r="E7228" s="18" t="s">
        <v>0</v>
      </c>
      <c r="F7228" s="42">
        <v>1</v>
      </c>
      <c r="G7228" s="4">
        <v>15</v>
      </c>
      <c r="H7228" s="18">
        <f>0.06390799*(1000)</f>
        <v>63.907989999999998</v>
      </c>
    </row>
    <row r="7229" spans="1:8" s="15" customFormat="1" ht="16.5" hidden="1" customHeight="1" outlineLevel="1" x14ac:dyDescent="0.25">
      <c r="A7229" s="18">
        <v>2869</v>
      </c>
      <c r="B7229" s="4" t="s">
        <v>250</v>
      </c>
      <c r="C7229" s="38" t="s">
        <v>3327</v>
      </c>
      <c r="D7229" s="18">
        <v>2022</v>
      </c>
      <c r="E7229" s="18" t="s">
        <v>0</v>
      </c>
      <c r="F7229" s="42">
        <v>1</v>
      </c>
      <c r="G7229" s="4">
        <v>30</v>
      </c>
      <c r="H7229" s="18">
        <f>0.06612518*(1000)</f>
        <v>66.12518</v>
      </c>
    </row>
    <row r="7230" spans="1:8" s="15" customFormat="1" ht="16.5" hidden="1" customHeight="1" outlineLevel="1" x14ac:dyDescent="0.25">
      <c r="A7230" s="18">
        <v>2870</v>
      </c>
      <c r="B7230" s="4" t="s">
        <v>250</v>
      </c>
      <c r="C7230" s="38" t="s">
        <v>3328</v>
      </c>
      <c r="D7230" s="18">
        <v>2022</v>
      </c>
      <c r="E7230" s="18" t="s">
        <v>0</v>
      </c>
      <c r="F7230" s="42">
        <v>1</v>
      </c>
      <c r="G7230" s="4">
        <v>10</v>
      </c>
      <c r="H7230" s="18">
        <f>0.06375697*(1000)</f>
        <v>63.756969999999995</v>
      </c>
    </row>
    <row r="7231" spans="1:8" s="15" customFormat="1" ht="16.5" hidden="1" customHeight="1" outlineLevel="1" x14ac:dyDescent="0.25">
      <c r="A7231" s="18">
        <v>2880</v>
      </c>
      <c r="B7231" s="4" t="s">
        <v>250</v>
      </c>
      <c r="C7231" s="38" t="s">
        <v>3329</v>
      </c>
      <c r="D7231" s="18">
        <v>2022</v>
      </c>
      <c r="E7231" s="18" t="s">
        <v>0</v>
      </c>
      <c r="F7231" s="42">
        <v>1</v>
      </c>
      <c r="G7231" s="4">
        <v>40</v>
      </c>
      <c r="H7231" s="18">
        <f>0.04022737*(1000)</f>
        <v>40.227370000000001</v>
      </c>
    </row>
    <row r="7232" spans="1:8" s="15" customFormat="1" ht="16.5" hidden="1" customHeight="1" outlineLevel="1" x14ac:dyDescent="0.25">
      <c r="A7232" s="18">
        <v>2882</v>
      </c>
      <c r="B7232" s="4" t="s">
        <v>250</v>
      </c>
      <c r="C7232" s="38" t="s">
        <v>3330</v>
      </c>
      <c r="D7232" s="18">
        <v>2022</v>
      </c>
      <c r="E7232" s="18" t="s">
        <v>0</v>
      </c>
      <c r="F7232" s="42">
        <v>1</v>
      </c>
      <c r="G7232" s="4">
        <v>30</v>
      </c>
      <c r="H7232" s="18">
        <f>0.06609034*(1000)</f>
        <v>66.090339999999998</v>
      </c>
    </row>
    <row r="7233" spans="1:8" s="15" customFormat="1" ht="16.5" hidden="1" customHeight="1" outlineLevel="1" x14ac:dyDescent="0.25">
      <c r="A7233" s="18">
        <v>2894</v>
      </c>
      <c r="B7233" s="4" t="s">
        <v>250</v>
      </c>
      <c r="C7233" s="38" t="s">
        <v>3333</v>
      </c>
      <c r="D7233" s="18">
        <v>2022</v>
      </c>
      <c r="E7233" s="18" t="s">
        <v>0</v>
      </c>
      <c r="F7233" s="42">
        <v>1</v>
      </c>
      <c r="G7233" s="4">
        <v>15</v>
      </c>
      <c r="H7233" s="18">
        <f>0.06341616*(1000)</f>
        <v>63.416159999999998</v>
      </c>
    </row>
    <row r="7234" spans="1:8" s="15" customFormat="1" ht="16.5" hidden="1" customHeight="1" outlineLevel="1" x14ac:dyDescent="0.25">
      <c r="A7234" s="18">
        <v>2895</v>
      </c>
      <c r="B7234" s="4" t="s">
        <v>250</v>
      </c>
      <c r="C7234" s="38" t="s">
        <v>3334</v>
      </c>
      <c r="D7234" s="18">
        <v>2022</v>
      </c>
      <c r="E7234" s="18" t="s">
        <v>0</v>
      </c>
      <c r="F7234" s="42">
        <v>1</v>
      </c>
      <c r="G7234" s="4">
        <v>15</v>
      </c>
      <c r="H7234" s="18">
        <f>0.06528063*(1000)</f>
        <v>65.280630000000002</v>
      </c>
    </row>
    <row r="7235" spans="1:8" s="15" customFormat="1" ht="16.5" hidden="1" customHeight="1" outlineLevel="1" x14ac:dyDescent="0.25">
      <c r="A7235" s="18">
        <v>2908</v>
      </c>
      <c r="B7235" s="4" t="s">
        <v>250</v>
      </c>
      <c r="C7235" s="38" t="s">
        <v>5980</v>
      </c>
      <c r="D7235" s="18">
        <v>2022</v>
      </c>
      <c r="E7235" s="18" t="s">
        <v>0</v>
      </c>
      <c r="F7235" s="42">
        <v>1</v>
      </c>
      <c r="G7235" s="4">
        <v>15</v>
      </c>
      <c r="H7235" s="18">
        <f>0.07515931*(1000)</f>
        <v>75.159309999999991</v>
      </c>
    </row>
    <row r="7236" spans="1:8" s="15" customFormat="1" ht="16.5" hidden="1" customHeight="1" outlineLevel="1" x14ac:dyDescent="0.25">
      <c r="A7236" s="18">
        <v>2909</v>
      </c>
      <c r="B7236" s="4" t="s">
        <v>250</v>
      </c>
      <c r="C7236" s="38" t="s">
        <v>5981</v>
      </c>
      <c r="D7236" s="18">
        <v>2022</v>
      </c>
      <c r="E7236" s="18" t="s">
        <v>0</v>
      </c>
      <c r="F7236" s="42">
        <v>1</v>
      </c>
      <c r="G7236" s="4">
        <v>15</v>
      </c>
      <c r="H7236" s="18">
        <f>0.07543737*(1000)</f>
        <v>75.437370000000001</v>
      </c>
    </row>
    <row r="7237" spans="1:8" s="15" customFormat="1" ht="16.5" hidden="1" customHeight="1" outlineLevel="1" x14ac:dyDescent="0.25">
      <c r="A7237" s="18">
        <v>2986</v>
      </c>
      <c r="B7237" s="4" t="s">
        <v>250</v>
      </c>
      <c r="C7237" s="38" t="s">
        <v>3335</v>
      </c>
      <c r="D7237" s="18">
        <v>2022</v>
      </c>
      <c r="E7237" s="18" t="s">
        <v>0</v>
      </c>
      <c r="F7237" s="42">
        <v>1</v>
      </c>
      <c r="G7237" s="4">
        <v>15</v>
      </c>
      <c r="H7237" s="18">
        <f>0.06333302*(1000)</f>
        <v>63.333020000000005</v>
      </c>
    </row>
    <row r="7238" spans="1:8" s="15" customFormat="1" ht="16.5" hidden="1" customHeight="1" outlineLevel="1" x14ac:dyDescent="0.25">
      <c r="A7238" s="18">
        <v>2989</v>
      </c>
      <c r="B7238" s="4" t="s">
        <v>250</v>
      </c>
      <c r="C7238" s="38" t="s">
        <v>3336</v>
      </c>
      <c r="D7238" s="18">
        <v>2022</v>
      </c>
      <c r="E7238" s="18" t="s">
        <v>0</v>
      </c>
      <c r="F7238" s="42">
        <v>1</v>
      </c>
      <c r="G7238" s="4">
        <v>15</v>
      </c>
      <c r="H7238" s="18">
        <f>0.06227643*(1000)</f>
        <v>62.276429999999998</v>
      </c>
    </row>
    <row r="7239" spans="1:8" s="15" customFormat="1" ht="16.5" hidden="1" customHeight="1" outlineLevel="1" x14ac:dyDescent="0.25">
      <c r="A7239" s="18">
        <v>2994</v>
      </c>
      <c r="B7239" s="4" t="s">
        <v>250</v>
      </c>
      <c r="C7239" s="38" t="s">
        <v>3337</v>
      </c>
      <c r="D7239" s="18">
        <v>2022</v>
      </c>
      <c r="E7239" s="18" t="s">
        <v>0</v>
      </c>
      <c r="F7239" s="42">
        <v>1</v>
      </c>
      <c r="G7239" s="4">
        <v>15</v>
      </c>
      <c r="H7239" s="18">
        <f>0.0632429*(1000)</f>
        <v>63.242900000000006</v>
      </c>
    </row>
    <row r="7240" spans="1:8" s="15" customFormat="1" ht="16.5" hidden="1" customHeight="1" outlineLevel="1" x14ac:dyDescent="0.25">
      <c r="A7240" s="18">
        <v>2995</v>
      </c>
      <c r="B7240" s="4" t="s">
        <v>250</v>
      </c>
      <c r="C7240" s="38" t="s">
        <v>3338</v>
      </c>
      <c r="D7240" s="18">
        <v>2022</v>
      </c>
      <c r="E7240" s="18" t="s">
        <v>0</v>
      </c>
      <c r="F7240" s="42">
        <v>1</v>
      </c>
      <c r="G7240" s="4">
        <v>15</v>
      </c>
      <c r="H7240" s="18">
        <f>0.06363889*(1000)</f>
        <v>63.638890000000004</v>
      </c>
    </row>
    <row r="7241" spans="1:8" s="15" customFormat="1" ht="16.5" hidden="1" customHeight="1" outlineLevel="1" x14ac:dyDescent="0.25">
      <c r="A7241" s="18">
        <v>2998</v>
      </c>
      <c r="B7241" s="4" t="s">
        <v>250</v>
      </c>
      <c r="C7241" s="38" t="s">
        <v>3340</v>
      </c>
      <c r="D7241" s="18">
        <v>2022</v>
      </c>
      <c r="E7241" s="18" t="s">
        <v>0</v>
      </c>
      <c r="F7241" s="42">
        <v>1</v>
      </c>
      <c r="G7241" s="4">
        <v>15</v>
      </c>
      <c r="H7241" s="18">
        <f>0.06160184*(1000)</f>
        <v>61.601839999999996</v>
      </c>
    </row>
    <row r="7242" spans="1:8" s="15" customFormat="1" ht="16.5" hidden="1" customHeight="1" outlineLevel="1" x14ac:dyDescent="0.25">
      <c r="A7242" s="18">
        <v>3007</v>
      </c>
      <c r="B7242" s="4" t="s">
        <v>250</v>
      </c>
      <c r="C7242" s="38" t="s">
        <v>3342</v>
      </c>
      <c r="D7242" s="18">
        <v>2022</v>
      </c>
      <c r="E7242" s="18" t="s">
        <v>0</v>
      </c>
      <c r="F7242" s="42">
        <v>1</v>
      </c>
      <c r="G7242" s="4">
        <v>15</v>
      </c>
      <c r="H7242" s="18">
        <f>0.06033055*(1000)</f>
        <v>60.330549999999995</v>
      </c>
    </row>
    <row r="7243" spans="1:8" s="15" customFormat="1" ht="16.5" hidden="1" customHeight="1" outlineLevel="1" x14ac:dyDescent="0.25">
      <c r="A7243" s="18">
        <v>3008</v>
      </c>
      <c r="B7243" s="4" t="s">
        <v>250</v>
      </c>
      <c r="C7243" s="38" t="s">
        <v>3343</v>
      </c>
      <c r="D7243" s="18">
        <v>2022</v>
      </c>
      <c r="E7243" s="18" t="s">
        <v>0</v>
      </c>
      <c r="F7243" s="42">
        <v>1</v>
      </c>
      <c r="G7243" s="4">
        <v>15</v>
      </c>
      <c r="H7243" s="18">
        <f>0.06160242*(1000)</f>
        <v>61.602419999999995</v>
      </c>
    </row>
    <row r="7244" spans="1:8" s="15" customFormat="1" ht="16.5" hidden="1" customHeight="1" outlineLevel="1" x14ac:dyDescent="0.25">
      <c r="A7244" s="18">
        <v>3012</v>
      </c>
      <c r="B7244" s="4" t="s">
        <v>250</v>
      </c>
      <c r="C7244" s="38" t="s">
        <v>3344</v>
      </c>
      <c r="D7244" s="18">
        <v>2022</v>
      </c>
      <c r="E7244" s="18" t="s">
        <v>0</v>
      </c>
      <c r="F7244" s="42">
        <v>1</v>
      </c>
      <c r="G7244" s="4">
        <v>55</v>
      </c>
      <c r="H7244" s="18">
        <f>0.06113566*(1000)</f>
        <v>61.135660000000001</v>
      </c>
    </row>
    <row r="7245" spans="1:8" s="15" customFormat="1" ht="16.5" hidden="1" customHeight="1" outlineLevel="1" x14ac:dyDescent="0.25">
      <c r="A7245" s="18">
        <v>3013</v>
      </c>
      <c r="B7245" s="4" t="s">
        <v>250</v>
      </c>
      <c r="C7245" s="38" t="s">
        <v>3345</v>
      </c>
      <c r="D7245" s="18">
        <v>2022</v>
      </c>
      <c r="E7245" s="18" t="s">
        <v>0</v>
      </c>
      <c r="F7245" s="42">
        <v>1</v>
      </c>
      <c r="G7245" s="4">
        <v>8</v>
      </c>
      <c r="H7245" s="18">
        <f>0.06227676*(1000)</f>
        <v>62.276760000000003</v>
      </c>
    </row>
    <row r="7246" spans="1:8" s="15" customFormat="1" ht="16.5" hidden="1" customHeight="1" outlineLevel="1" x14ac:dyDescent="0.25">
      <c r="A7246" s="18">
        <v>3014</v>
      </c>
      <c r="B7246" s="4" t="s">
        <v>250</v>
      </c>
      <c r="C7246" s="38" t="s">
        <v>3346</v>
      </c>
      <c r="D7246" s="18">
        <v>2022</v>
      </c>
      <c r="E7246" s="18" t="s">
        <v>0</v>
      </c>
      <c r="F7246" s="42">
        <v>1</v>
      </c>
      <c r="G7246" s="4">
        <v>15</v>
      </c>
      <c r="H7246" s="18">
        <f>0.06082195*(1000)</f>
        <v>60.821950000000001</v>
      </c>
    </row>
    <row r="7247" spans="1:8" s="15" customFormat="1" ht="16.5" hidden="1" customHeight="1" outlineLevel="1" x14ac:dyDescent="0.25">
      <c r="A7247" s="18">
        <v>4115</v>
      </c>
      <c r="B7247" s="4" t="s">
        <v>250</v>
      </c>
      <c r="C7247" s="38" t="s">
        <v>3347</v>
      </c>
      <c r="D7247" s="18">
        <v>2022</v>
      </c>
      <c r="E7247" s="18" t="s">
        <v>0</v>
      </c>
      <c r="F7247" s="42">
        <v>1</v>
      </c>
      <c r="G7247" s="4">
        <v>15</v>
      </c>
      <c r="H7247" s="18">
        <f>0.062948*(1000)</f>
        <v>62.948000000000008</v>
      </c>
    </row>
    <row r="7248" spans="1:8" s="15" customFormat="1" ht="16.5" hidden="1" customHeight="1" outlineLevel="1" x14ac:dyDescent="0.25">
      <c r="A7248" s="18">
        <v>4116</v>
      </c>
      <c r="B7248" s="4" t="s">
        <v>250</v>
      </c>
      <c r="C7248" s="38" t="s">
        <v>3348</v>
      </c>
      <c r="D7248" s="18">
        <v>2022</v>
      </c>
      <c r="E7248" s="18" t="s">
        <v>0</v>
      </c>
      <c r="F7248" s="42">
        <v>1</v>
      </c>
      <c r="G7248" s="4">
        <v>50</v>
      </c>
      <c r="H7248" s="18">
        <f>0.09449788*(1000)</f>
        <v>94.497880000000009</v>
      </c>
    </row>
    <row r="7249" spans="1:8" s="15" customFormat="1" ht="16.5" hidden="1" customHeight="1" outlineLevel="1" x14ac:dyDescent="0.25">
      <c r="A7249" s="18">
        <v>4222</v>
      </c>
      <c r="B7249" s="4" t="s">
        <v>250</v>
      </c>
      <c r="C7249" s="38" t="s">
        <v>3349</v>
      </c>
      <c r="D7249" s="18">
        <v>2022</v>
      </c>
      <c r="E7249" s="18" t="s">
        <v>0</v>
      </c>
      <c r="F7249" s="42">
        <v>1</v>
      </c>
      <c r="G7249" s="4">
        <v>15</v>
      </c>
      <c r="H7249" s="18">
        <f>0.05473398*(1000)</f>
        <v>54.733980000000003</v>
      </c>
    </row>
    <row r="7250" spans="1:8" s="15" customFormat="1" ht="16.5" hidden="1" customHeight="1" outlineLevel="1" x14ac:dyDescent="0.25">
      <c r="A7250" s="18">
        <v>4226</v>
      </c>
      <c r="B7250" s="4" t="s">
        <v>250</v>
      </c>
      <c r="C7250" s="38" t="s">
        <v>3352</v>
      </c>
      <c r="D7250" s="18">
        <v>2022</v>
      </c>
      <c r="E7250" s="18" t="s">
        <v>0</v>
      </c>
      <c r="F7250" s="42">
        <v>1</v>
      </c>
      <c r="G7250" s="4">
        <v>15</v>
      </c>
      <c r="H7250" s="18">
        <f>0.19102077*(1000)</f>
        <v>191.02077</v>
      </c>
    </row>
    <row r="7251" spans="1:8" s="15" customFormat="1" ht="16.5" hidden="1" customHeight="1" outlineLevel="1" x14ac:dyDescent="0.25">
      <c r="A7251" s="18">
        <v>4227</v>
      </c>
      <c r="B7251" s="4" t="s">
        <v>250</v>
      </c>
      <c r="C7251" s="38" t="s">
        <v>3353</v>
      </c>
      <c r="D7251" s="18">
        <v>2022</v>
      </c>
      <c r="E7251" s="18" t="s">
        <v>0</v>
      </c>
      <c r="F7251" s="42">
        <v>1</v>
      </c>
      <c r="G7251" s="4">
        <v>4.5</v>
      </c>
      <c r="H7251" s="18">
        <f>0.20340742*(1000)</f>
        <v>203.40742</v>
      </c>
    </row>
    <row r="7252" spans="1:8" s="15" customFormat="1" ht="16.5" hidden="1" customHeight="1" outlineLevel="1" x14ac:dyDescent="0.25">
      <c r="A7252" s="18">
        <v>4229</v>
      </c>
      <c r="B7252" s="4" t="s">
        <v>250</v>
      </c>
      <c r="C7252" s="38" t="s">
        <v>3354</v>
      </c>
      <c r="D7252" s="18">
        <v>2022</v>
      </c>
      <c r="E7252" s="18" t="s">
        <v>0</v>
      </c>
      <c r="F7252" s="42">
        <v>3</v>
      </c>
      <c r="G7252" s="4">
        <v>30</v>
      </c>
      <c r="H7252" s="18">
        <f>0.23497886*(1000)</f>
        <v>234.97886</v>
      </c>
    </row>
    <row r="7253" spans="1:8" s="15" customFormat="1" ht="16.5" hidden="1" customHeight="1" outlineLevel="1" x14ac:dyDescent="0.25">
      <c r="A7253" s="18">
        <v>4231</v>
      </c>
      <c r="B7253" s="4" t="s">
        <v>250</v>
      </c>
      <c r="C7253" s="38" t="s">
        <v>5982</v>
      </c>
      <c r="D7253" s="18">
        <v>2022</v>
      </c>
      <c r="E7253" s="18" t="s">
        <v>0</v>
      </c>
      <c r="F7253" s="42">
        <v>1</v>
      </c>
      <c r="G7253" s="4">
        <v>15</v>
      </c>
      <c r="H7253" s="18">
        <f>0.0367859*(1000)</f>
        <v>36.785900000000005</v>
      </c>
    </row>
    <row r="7254" spans="1:8" s="15" customFormat="1" ht="16.5" hidden="1" customHeight="1" outlineLevel="1" x14ac:dyDescent="0.25">
      <c r="A7254" s="18">
        <v>4232</v>
      </c>
      <c r="B7254" s="4" t="s">
        <v>250</v>
      </c>
      <c r="C7254" s="38" t="s">
        <v>5983</v>
      </c>
      <c r="D7254" s="18">
        <v>2022</v>
      </c>
      <c r="E7254" s="18" t="s">
        <v>0</v>
      </c>
      <c r="F7254" s="42">
        <v>1</v>
      </c>
      <c r="G7254" s="4">
        <v>15</v>
      </c>
      <c r="H7254" s="18">
        <f>0.03678591*(1000)</f>
        <v>36.785910000000001</v>
      </c>
    </row>
    <row r="7255" spans="1:8" s="15" customFormat="1" ht="16.5" hidden="1" customHeight="1" outlineLevel="1" x14ac:dyDescent="0.25">
      <c r="A7255" s="18">
        <v>4233</v>
      </c>
      <c r="B7255" s="4" t="s">
        <v>250</v>
      </c>
      <c r="C7255" s="38" t="s">
        <v>5984</v>
      </c>
      <c r="D7255" s="18">
        <v>2022</v>
      </c>
      <c r="E7255" s="18" t="s">
        <v>0</v>
      </c>
      <c r="F7255" s="42">
        <v>1</v>
      </c>
      <c r="G7255" s="4">
        <v>15</v>
      </c>
      <c r="H7255" s="18">
        <f>0.0367859*(1000)</f>
        <v>36.785900000000005</v>
      </c>
    </row>
    <row r="7256" spans="1:8" s="15" customFormat="1" ht="16.5" hidden="1" customHeight="1" outlineLevel="1" x14ac:dyDescent="0.25">
      <c r="A7256" s="18">
        <v>4234</v>
      </c>
      <c r="B7256" s="4" t="s">
        <v>250</v>
      </c>
      <c r="C7256" s="38" t="s">
        <v>5985</v>
      </c>
      <c r="D7256" s="18">
        <v>2022</v>
      </c>
      <c r="E7256" s="18" t="s">
        <v>0</v>
      </c>
      <c r="F7256" s="42">
        <v>1</v>
      </c>
      <c r="G7256" s="4">
        <v>15</v>
      </c>
      <c r="H7256" s="18">
        <f>0.0360953*(1000)</f>
        <v>36.095299999999995</v>
      </c>
    </row>
    <row r="7257" spans="1:8" s="15" customFormat="1" ht="16.5" hidden="1" customHeight="1" outlineLevel="1" x14ac:dyDescent="0.25">
      <c r="A7257" s="18">
        <v>4235</v>
      </c>
      <c r="B7257" s="4" t="s">
        <v>250</v>
      </c>
      <c r="C7257" s="38" t="s">
        <v>5986</v>
      </c>
      <c r="D7257" s="18">
        <v>2022</v>
      </c>
      <c r="E7257" s="18" t="s">
        <v>0</v>
      </c>
      <c r="F7257" s="42">
        <v>1</v>
      </c>
      <c r="G7257" s="4">
        <v>15</v>
      </c>
      <c r="H7257" s="18">
        <f>0.03607664*(1000)</f>
        <v>36.076639999999998</v>
      </c>
    </row>
    <row r="7258" spans="1:8" s="15" customFormat="1" ht="16.5" hidden="1" customHeight="1" outlineLevel="1" x14ac:dyDescent="0.25">
      <c r="A7258" s="18">
        <v>4236</v>
      </c>
      <c r="B7258" s="4" t="s">
        <v>250</v>
      </c>
      <c r="C7258" s="38" t="s">
        <v>5987</v>
      </c>
      <c r="D7258" s="18">
        <v>2022</v>
      </c>
      <c r="E7258" s="18" t="s">
        <v>0</v>
      </c>
      <c r="F7258" s="42">
        <v>1</v>
      </c>
      <c r="G7258" s="4">
        <v>15</v>
      </c>
      <c r="H7258" s="18">
        <f>0.03607665*(1000)</f>
        <v>36.076650000000001</v>
      </c>
    </row>
    <row r="7259" spans="1:8" s="15" customFormat="1" ht="16.5" hidden="1" customHeight="1" outlineLevel="1" x14ac:dyDescent="0.25">
      <c r="A7259" s="18">
        <v>4239</v>
      </c>
      <c r="B7259" s="4" t="s">
        <v>250</v>
      </c>
      <c r="C7259" s="38" t="s">
        <v>5988</v>
      </c>
      <c r="D7259" s="18">
        <v>2022</v>
      </c>
      <c r="E7259" s="18" t="s">
        <v>0</v>
      </c>
      <c r="F7259" s="42">
        <v>1</v>
      </c>
      <c r="G7259" s="4">
        <v>15</v>
      </c>
      <c r="H7259" s="18">
        <f>0.03607664*(1000)</f>
        <v>36.076639999999998</v>
      </c>
    </row>
    <row r="7260" spans="1:8" s="15" customFormat="1" ht="16.5" hidden="1" customHeight="1" outlineLevel="1" x14ac:dyDescent="0.25">
      <c r="A7260" s="18">
        <v>4240</v>
      </c>
      <c r="B7260" s="4" t="s">
        <v>250</v>
      </c>
      <c r="C7260" s="38" t="s">
        <v>5989</v>
      </c>
      <c r="D7260" s="18">
        <v>2022</v>
      </c>
      <c r="E7260" s="18" t="s">
        <v>0</v>
      </c>
      <c r="F7260" s="42">
        <v>1</v>
      </c>
      <c r="G7260" s="4">
        <v>10</v>
      </c>
      <c r="H7260" s="18">
        <f>0.0360953*(1000)</f>
        <v>36.095299999999995</v>
      </c>
    </row>
    <row r="7261" spans="1:8" s="15" customFormat="1" ht="16.5" hidden="1" customHeight="1" outlineLevel="1" x14ac:dyDescent="0.25">
      <c r="A7261" s="18">
        <v>4241</v>
      </c>
      <c r="B7261" s="4" t="s">
        <v>250</v>
      </c>
      <c r="C7261" s="38" t="s">
        <v>5990</v>
      </c>
      <c r="D7261" s="18">
        <v>2022</v>
      </c>
      <c r="E7261" s="18" t="s">
        <v>0</v>
      </c>
      <c r="F7261" s="42">
        <v>1</v>
      </c>
      <c r="G7261" s="4">
        <v>15</v>
      </c>
      <c r="H7261" s="18">
        <f>0.03611407*(1000)</f>
        <v>36.114069999999998</v>
      </c>
    </row>
    <row r="7262" spans="1:8" s="15" customFormat="1" ht="16.5" hidden="1" customHeight="1" outlineLevel="1" x14ac:dyDescent="0.25">
      <c r="A7262" s="18">
        <v>4242</v>
      </c>
      <c r="B7262" s="4" t="s">
        <v>250</v>
      </c>
      <c r="C7262" s="38" t="s">
        <v>5991</v>
      </c>
      <c r="D7262" s="18">
        <v>2022</v>
      </c>
      <c r="E7262" s="18" t="s">
        <v>0</v>
      </c>
      <c r="F7262" s="42">
        <v>1</v>
      </c>
      <c r="G7262" s="4">
        <v>15</v>
      </c>
      <c r="H7262" s="18">
        <f>0.0351762*(1000)</f>
        <v>35.176199999999994</v>
      </c>
    </row>
    <row r="7263" spans="1:8" s="15" customFormat="1" ht="16.5" hidden="1" customHeight="1" outlineLevel="1" x14ac:dyDescent="0.25">
      <c r="A7263" s="18">
        <v>4243</v>
      </c>
      <c r="B7263" s="4" t="s">
        <v>250</v>
      </c>
      <c r="C7263" s="38" t="s">
        <v>5992</v>
      </c>
      <c r="D7263" s="18">
        <v>2022</v>
      </c>
      <c r="E7263" s="18" t="s">
        <v>0</v>
      </c>
      <c r="F7263" s="42">
        <v>1</v>
      </c>
      <c r="G7263" s="4">
        <v>15</v>
      </c>
      <c r="H7263" s="18">
        <f>0.03543906*(1000)</f>
        <v>35.439060000000005</v>
      </c>
    </row>
    <row r="7264" spans="1:8" s="15" customFormat="1" ht="16.5" hidden="1" customHeight="1" outlineLevel="1" x14ac:dyDescent="0.25">
      <c r="A7264" s="18">
        <v>4244</v>
      </c>
      <c r="B7264" s="4" t="s">
        <v>250</v>
      </c>
      <c r="C7264" s="38" t="s">
        <v>5993</v>
      </c>
      <c r="D7264" s="18">
        <v>2022</v>
      </c>
      <c r="E7264" s="18" t="s">
        <v>0</v>
      </c>
      <c r="F7264" s="42">
        <v>1</v>
      </c>
      <c r="G7264" s="4">
        <v>15</v>
      </c>
      <c r="H7264" s="18">
        <f>0.0352419*(1000)</f>
        <v>35.241900000000001</v>
      </c>
    </row>
    <row r="7265" spans="1:8" s="15" customFormat="1" ht="16.5" hidden="1" customHeight="1" outlineLevel="1" x14ac:dyDescent="0.25">
      <c r="A7265" s="18">
        <v>4253</v>
      </c>
      <c r="B7265" s="4" t="s">
        <v>250</v>
      </c>
      <c r="C7265" s="38" t="s">
        <v>5994</v>
      </c>
      <c r="D7265" s="18">
        <v>2022</v>
      </c>
      <c r="E7265" s="18" t="s">
        <v>0</v>
      </c>
      <c r="F7265" s="42">
        <v>1</v>
      </c>
      <c r="G7265" s="4">
        <v>15</v>
      </c>
      <c r="H7265" s="18">
        <f>0.03524188*(1000)</f>
        <v>35.241880000000002</v>
      </c>
    </row>
    <row r="7266" spans="1:8" s="15" customFormat="1" ht="16.5" hidden="1" customHeight="1" outlineLevel="1" x14ac:dyDescent="0.25">
      <c r="A7266" s="18">
        <v>4254</v>
      </c>
      <c r="B7266" s="4" t="s">
        <v>250</v>
      </c>
      <c r="C7266" s="38" t="s">
        <v>5995</v>
      </c>
      <c r="D7266" s="18">
        <v>2022</v>
      </c>
      <c r="E7266" s="18" t="s">
        <v>0</v>
      </c>
      <c r="F7266" s="42">
        <v>1</v>
      </c>
      <c r="G7266" s="4">
        <v>15</v>
      </c>
      <c r="H7266" s="18">
        <f>0.0351762*(1000)</f>
        <v>35.176199999999994</v>
      </c>
    </row>
    <row r="7267" spans="1:8" s="15" customFormat="1" ht="16.5" hidden="1" customHeight="1" outlineLevel="1" x14ac:dyDescent="0.25">
      <c r="A7267" s="18">
        <v>4255</v>
      </c>
      <c r="B7267" s="4" t="s">
        <v>250</v>
      </c>
      <c r="C7267" s="38" t="s">
        <v>5996</v>
      </c>
      <c r="D7267" s="18">
        <v>2022</v>
      </c>
      <c r="E7267" s="18" t="s">
        <v>0</v>
      </c>
      <c r="F7267" s="42">
        <v>1</v>
      </c>
      <c r="G7267" s="4">
        <v>15</v>
      </c>
      <c r="H7267" s="18">
        <f>0.03543905*(1000)</f>
        <v>35.439050000000002</v>
      </c>
    </row>
    <row r="7268" spans="1:8" s="15" customFormat="1" ht="16.5" hidden="1" customHeight="1" outlineLevel="1" x14ac:dyDescent="0.25">
      <c r="A7268" s="18">
        <v>4256</v>
      </c>
      <c r="B7268" s="4" t="s">
        <v>250</v>
      </c>
      <c r="C7268" s="38" t="s">
        <v>5997</v>
      </c>
      <c r="D7268" s="18">
        <v>2022</v>
      </c>
      <c r="E7268" s="18" t="s">
        <v>0</v>
      </c>
      <c r="F7268" s="42">
        <v>1</v>
      </c>
      <c r="G7268" s="4">
        <v>15</v>
      </c>
      <c r="H7268" s="18">
        <f>0.03524191*(1000)</f>
        <v>35.241910000000004</v>
      </c>
    </row>
    <row r="7269" spans="1:8" s="15" customFormat="1" ht="16.5" hidden="1" customHeight="1" outlineLevel="1" x14ac:dyDescent="0.25">
      <c r="A7269" s="18">
        <v>4260</v>
      </c>
      <c r="B7269" s="4" t="s">
        <v>250</v>
      </c>
      <c r="C7269" s="38" t="s">
        <v>5998</v>
      </c>
      <c r="D7269" s="18">
        <v>2022</v>
      </c>
      <c r="E7269" s="18" t="s">
        <v>0</v>
      </c>
      <c r="F7269" s="42">
        <v>1</v>
      </c>
      <c r="G7269" s="4">
        <v>15</v>
      </c>
      <c r="H7269" s="18">
        <f>0.03543906*(1000)</f>
        <v>35.439060000000005</v>
      </c>
    </row>
    <row r="7270" spans="1:8" s="15" customFormat="1" ht="16.5" hidden="1" customHeight="1" outlineLevel="1" x14ac:dyDescent="0.25">
      <c r="A7270" s="18">
        <v>4263</v>
      </c>
      <c r="B7270" s="4" t="s">
        <v>250</v>
      </c>
      <c r="C7270" s="38" t="s">
        <v>5999</v>
      </c>
      <c r="D7270" s="18">
        <v>2022</v>
      </c>
      <c r="E7270" s="18" t="s">
        <v>0</v>
      </c>
      <c r="F7270" s="42">
        <v>1</v>
      </c>
      <c r="G7270" s="4">
        <v>15</v>
      </c>
      <c r="H7270" s="18">
        <f>0.03517618*(1000)</f>
        <v>35.176180000000002</v>
      </c>
    </row>
    <row r="7271" spans="1:8" s="15" customFormat="1" ht="16.5" hidden="1" customHeight="1" outlineLevel="1" x14ac:dyDescent="0.25">
      <c r="A7271" s="18">
        <v>4264</v>
      </c>
      <c r="B7271" s="4" t="s">
        <v>250</v>
      </c>
      <c r="C7271" s="38" t="s">
        <v>6000</v>
      </c>
      <c r="D7271" s="18">
        <v>2022</v>
      </c>
      <c r="E7271" s="18" t="s">
        <v>0</v>
      </c>
      <c r="F7271" s="42">
        <v>1</v>
      </c>
      <c r="G7271" s="4">
        <v>15</v>
      </c>
      <c r="H7271" s="18">
        <f>0.03524191*(1000)</f>
        <v>35.241910000000004</v>
      </c>
    </row>
    <row r="7272" spans="1:8" s="15" customFormat="1" ht="16.5" hidden="1" customHeight="1" outlineLevel="1" x14ac:dyDescent="0.25">
      <c r="A7272" s="18">
        <v>4267</v>
      </c>
      <c r="B7272" s="4" t="s">
        <v>250</v>
      </c>
      <c r="C7272" s="38" t="s">
        <v>6001</v>
      </c>
      <c r="D7272" s="18">
        <v>2022</v>
      </c>
      <c r="E7272" s="18" t="s">
        <v>0</v>
      </c>
      <c r="F7272" s="42">
        <v>1</v>
      </c>
      <c r="G7272" s="4">
        <v>15</v>
      </c>
      <c r="H7272" s="18">
        <f>0.03524188*(1000)</f>
        <v>35.241880000000002</v>
      </c>
    </row>
    <row r="7273" spans="1:8" s="15" customFormat="1" ht="16.5" hidden="1" customHeight="1" outlineLevel="1" x14ac:dyDescent="0.25">
      <c r="A7273" s="18">
        <v>4269</v>
      </c>
      <c r="B7273" s="4" t="s">
        <v>250</v>
      </c>
      <c r="C7273" s="38" t="s">
        <v>6002</v>
      </c>
      <c r="D7273" s="18">
        <v>2022</v>
      </c>
      <c r="E7273" s="18" t="s">
        <v>0</v>
      </c>
      <c r="F7273" s="42">
        <v>1</v>
      </c>
      <c r="G7273" s="4">
        <v>75</v>
      </c>
      <c r="H7273" s="18">
        <f>0.03524188*(1000)</f>
        <v>35.241880000000002</v>
      </c>
    </row>
    <row r="7274" spans="1:8" s="15" customFormat="1" ht="16.5" hidden="1" customHeight="1" outlineLevel="1" x14ac:dyDescent="0.25">
      <c r="A7274" s="18">
        <v>4271</v>
      </c>
      <c r="B7274" s="4" t="s">
        <v>250</v>
      </c>
      <c r="C7274" s="38" t="s">
        <v>6003</v>
      </c>
      <c r="D7274" s="18">
        <v>2022</v>
      </c>
      <c r="E7274" s="18" t="s">
        <v>0</v>
      </c>
      <c r="F7274" s="42">
        <v>1</v>
      </c>
      <c r="G7274" s="4">
        <v>15</v>
      </c>
      <c r="H7274" s="18">
        <f>0.03498454*(1000)</f>
        <v>34.984540000000003</v>
      </c>
    </row>
    <row r="7275" spans="1:8" s="15" customFormat="1" ht="16.5" hidden="1" customHeight="1" outlineLevel="1" x14ac:dyDescent="0.25">
      <c r="A7275" s="18">
        <v>4277</v>
      </c>
      <c r="B7275" s="4" t="s">
        <v>250</v>
      </c>
      <c r="C7275" s="38" t="s">
        <v>6004</v>
      </c>
      <c r="D7275" s="18">
        <v>2022</v>
      </c>
      <c r="E7275" s="18" t="s">
        <v>0</v>
      </c>
      <c r="F7275" s="42">
        <v>1</v>
      </c>
      <c r="G7275" s="4">
        <v>15</v>
      </c>
      <c r="H7275" s="18">
        <f>0.0351389*(1000)</f>
        <v>35.1389</v>
      </c>
    </row>
    <row r="7276" spans="1:8" s="15" customFormat="1" ht="16.5" hidden="1" customHeight="1" outlineLevel="1" x14ac:dyDescent="0.25">
      <c r="A7276" s="18">
        <v>4285</v>
      </c>
      <c r="B7276" s="4" t="s">
        <v>250</v>
      </c>
      <c r="C7276" s="38" t="s">
        <v>6005</v>
      </c>
      <c r="D7276" s="18">
        <v>2022</v>
      </c>
      <c r="E7276" s="18" t="s">
        <v>0</v>
      </c>
      <c r="F7276" s="42">
        <v>1</v>
      </c>
      <c r="G7276" s="4">
        <v>15</v>
      </c>
      <c r="H7276" s="18">
        <f>0.03526761*(1000)</f>
        <v>35.267609999999998</v>
      </c>
    </row>
    <row r="7277" spans="1:8" s="15" customFormat="1" ht="16.5" hidden="1" customHeight="1" outlineLevel="1" x14ac:dyDescent="0.25">
      <c r="A7277" s="18">
        <v>4286</v>
      </c>
      <c r="B7277" s="4" t="s">
        <v>250</v>
      </c>
      <c r="C7277" s="38" t="s">
        <v>6006</v>
      </c>
      <c r="D7277" s="18">
        <v>2022</v>
      </c>
      <c r="E7277" s="18" t="s">
        <v>0</v>
      </c>
      <c r="F7277" s="42">
        <v>1</v>
      </c>
      <c r="G7277" s="4">
        <v>5</v>
      </c>
      <c r="H7277" s="18">
        <f>0.03526761*(1000)</f>
        <v>35.267609999999998</v>
      </c>
    </row>
    <row r="7278" spans="1:8" s="15" customFormat="1" ht="16.5" hidden="1" customHeight="1" outlineLevel="1" x14ac:dyDescent="0.25">
      <c r="A7278" s="18">
        <v>4289</v>
      </c>
      <c r="B7278" s="4" t="s">
        <v>250</v>
      </c>
      <c r="C7278" s="38" t="s">
        <v>6007</v>
      </c>
      <c r="D7278" s="18">
        <v>2022</v>
      </c>
      <c r="E7278" s="18" t="s">
        <v>0</v>
      </c>
      <c r="F7278" s="42">
        <v>1</v>
      </c>
      <c r="G7278" s="4">
        <v>15</v>
      </c>
      <c r="H7278" s="18">
        <f>0.03579344*(1000)</f>
        <v>35.793440000000004</v>
      </c>
    </row>
    <row r="7279" spans="1:8" s="15" customFormat="1" ht="16.5" hidden="1" customHeight="1" outlineLevel="1" x14ac:dyDescent="0.25">
      <c r="A7279" s="18">
        <v>4290</v>
      </c>
      <c r="B7279" s="4" t="s">
        <v>250</v>
      </c>
      <c r="C7279" s="38" t="s">
        <v>6008</v>
      </c>
      <c r="D7279" s="18">
        <v>2022</v>
      </c>
      <c r="E7279" s="18" t="s">
        <v>0</v>
      </c>
      <c r="F7279" s="42">
        <v>1</v>
      </c>
      <c r="G7279" s="4">
        <v>15</v>
      </c>
      <c r="H7279" s="18">
        <f>0.03526761*(1000)</f>
        <v>35.267609999999998</v>
      </c>
    </row>
    <row r="7280" spans="1:8" s="15" customFormat="1" ht="16.5" hidden="1" customHeight="1" outlineLevel="1" x14ac:dyDescent="0.25">
      <c r="A7280" s="18">
        <v>4291</v>
      </c>
      <c r="B7280" s="4" t="s">
        <v>250</v>
      </c>
      <c r="C7280" s="38" t="s">
        <v>6009</v>
      </c>
      <c r="D7280" s="18">
        <v>2022</v>
      </c>
      <c r="E7280" s="18" t="s">
        <v>0</v>
      </c>
      <c r="F7280" s="42">
        <v>1</v>
      </c>
      <c r="G7280" s="4">
        <v>15</v>
      </c>
      <c r="H7280" s="18">
        <f>0.03504757*(1000)</f>
        <v>35.04757</v>
      </c>
    </row>
    <row r="7281" spans="1:8" s="15" customFormat="1" ht="16.5" hidden="1" customHeight="1" outlineLevel="1" x14ac:dyDescent="0.25">
      <c r="A7281" s="18">
        <v>4296</v>
      </c>
      <c r="B7281" s="4" t="s">
        <v>250</v>
      </c>
      <c r="C7281" s="38" t="s">
        <v>6010</v>
      </c>
      <c r="D7281" s="18">
        <v>2022</v>
      </c>
      <c r="E7281" s="18" t="s">
        <v>0</v>
      </c>
      <c r="F7281" s="42">
        <v>1</v>
      </c>
      <c r="G7281" s="4">
        <v>15</v>
      </c>
      <c r="H7281" s="18">
        <f>0.03511327*(1000)</f>
        <v>35.11327</v>
      </c>
    </row>
    <row r="7282" spans="1:8" s="15" customFormat="1" ht="16.5" hidden="1" customHeight="1" outlineLevel="1" x14ac:dyDescent="0.25">
      <c r="A7282" s="18">
        <v>4297</v>
      </c>
      <c r="B7282" s="4" t="s">
        <v>250</v>
      </c>
      <c r="C7282" s="38" t="s">
        <v>6011</v>
      </c>
      <c r="D7282" s="18">
        <v>2022</v>
      </c>
      <c r="E7282" s="18" t="s">
        <v>0</v>
      </c>
      <c r="F7282" s="42">
        <v>1</v>
      </c>
      <c r="G7282" s="4">
        <v>15</v>
      </c>
      <c r="H7282" s="18">
        <f>0.03504757*(1000)</f>
        <v>35.04757</v>
      </c>
    </row>
    <row r="7283" spans="1:8" s="15" customFormat="1" ht="16.5" hidden="1" customHeight="1" outlineLevel="1" x14ac:dyDescent="0.25">
      <c r="A7283" s="18">
        <v>4299</v>
      </c>
      <c r="B7283" s="4" t="s">
        <v>250</v>
      </c>
      <c r="C7283" s="38" t="s">
        <v>6012</v>
      </c>
      <c r="D7283" s="18">
        <v>2022</v>
      </c>
      <c r="E7283" s="18" t="s">
        <v>0</v>
      </c>
      <c r="F7283" s="42">
        <v>1</v>
      </c>
      <c r="G7283" s="4">
        <v>15</v>
      </c>
      <c r="H7283" s="18">
        <f>0.03563912*(1000)</f>
        <v>35.639120000000005</v>
      </c>
    </row>
    <row r="7284" spans="1:8" s="15" customFormat="1" ht="16.5" hidden="1" customHeight="1" outlineLevel="1" x14ac:dyDescent="0.25">
      <c r="A7284" s="18">
        <v>4301</v>
      </c>
      <c r="B7284" s="4" t="s">
        <v>250</v>
      </c>
      <c r="C7284" s="38" t="s">
        <v>6013</v>
      </c>
      <c r="D7284" s="18">
        <v>2022</v>
      </c>
      <c r="E7284" s="18" t="s">
        <v>0</v>
      </c>
      <c r="F7284" s="42">
        <v>1</v>
      </c>
      <c r="G7284" s="4">
        <v>15</v>
      </c>
      <c r="H7284" s="18">
        <f>0.03511327*(1000)</f>
        <v>35.11327</v>
      </c>
    </row>
    <row r="7285" spans="1:8" s="15" customFormat="1" ht="16.5" hidden="1" customHeight="1" outlineLevel="1" x14ac:dyDescent="0.25">
      <c r="A7285" s="18">
        <v>4305</v>
      </c>
      <c r="B7285" s="4" t="s">
        <v>250</v>
      </c>
      <c r="C7285" s="38" t="s">
        <v>6014</v>
      </c>
      <c r="D7285" s="18">
        <v>2022</v>
      </c>
      <c r="E7285" s="18" t="s">
        <v>0</v>
      </c>
      <c r="F7285" s="42">
        <v>1</v>
      </c>
      <c r="G7285" s="4">
        <v>15</v>
      </c>
      <c r="H7285" s="18">
        <f>0.03504823*(1000)</f>
        <v>35.048229999999997</v>
      </c>
    </row>
    <row r="7286" spans="1:8" s="15" customFormat="1" ht="16.5" hidden="1" customHeight="1" outlineLevel="1" x14ac:dyDescent="0.25">
      <c r="A7286" s="18">
        <v>4306</v>
      </c>
      <c r="B7286" s="4" t="s">
        <v>250</v>
      </c>
      <c r="C7286" s="38" t="s">
        <v>6015</v>
      </c>
      <c r="D7286" s="18">
        <v>2022</v>
      </c>
      <c r="E7286" s="18" t="s">
        <v>0</v>
      </c>
      <c r="F7286" s="42">
        <v>1</v>
      </c>
      <c r="G7286" s="4">
        <v>15</v>
      </c>
      <c r="H7286" s="18">
        <f>0.03563974*(1000)</f>
        <v>35.639740000000003</v>
      </c>
    </row>
    <row r="7287" spans="1:8" s="15" customFormat="1" ht="16.5" hidden="1" customHeight="1" outlineLevel="1" x14ac:dyDescent="0.25">
      <c r="A7287" s="18">
        <v>4307</v>
      </c>
      <c r="B7287" s="4" t="s">
        <v>250</v>
      </c>
      <c r="C7287" s="38" t="s">
        <v>6016</v>
      </c>
      <c r="D7287" s="18">
        <v>2022</v>
      </c>
      <c r="E7287" s="18" t="s">
        <v>0</v>
      </c>
      <c r="F7287" s="42">
        <v>1</v>
      </c>
      <c r="G7287" s="4">
        <v>15</v>
      </c>
      <c r="H7287" s="18">
        <f>0.03563975*(1000)</f>
        <v>35.639749999999999</v>
      </c>
    </row>
    <row r="7288" spans="1:8" s="15" customFormat="1" ht="16.5" hidden="1" customHeight="1" outlineLevel="1" x14ac:dyDescent="0.25">
      <c r="A7288" s="18">
        <v>4312</v>
      </c>
      <c r="B7288" s="4" t="s">
        <v>250</v>
      </c>
      <c r="C7288" s="38" t="s">
        <v>6017</v>
      </c>
      <c r="D7288" s="18">
        <v>2022</v>
      </c>
      <c r="E7288" s="18" t="s">
        <v>0</v>
      </c>
      <c r="F7288" s="42">
        <v>1</v>
      </c>
      <c r="G7288" s="4">
        <v>2</v>
      </c>
      <c r="H7288" s="18">
        <f>0.0364852*(1000)</f>
        <v>36.485199999999999</v>
      </c>
    </row>
    <row r="7289" spans="1:8" s="15" customFormat="1" ht="16.5" hidden="1" customHeight="1" outlineLevel="1" x14ac:dyDescent="0.25">
      <c r="A7289" s="18">
        <v>4313</v>
      </c>
      <c r="B7289" s="4" t="s">
        <v>250</v>
      </c>
      <c r="C7289" s="38" t="s">
        <v>6018</v>
      </c>
      <c r="D7289" s="18">
        <v>2022</v>
      </c>
      <c r="E7289" s="18" t="s">
        <v>0</v>
      </c>
      <c r="F7289" s="42">
        <v>1</v>
      </c>
      <c r="G7289" s="4">
        <v>3.6</v>
      </c>
      <c r="H7289" s="18">
        <f>0.0364852*(1000)</f>
        <v>36.485199999999999</v>
      </c>
    </row>
    <row r="7290" spans="1:8" s="15" customFormat="1" ht="16.5" hidden="1" customHeight="1" outlineLevel="1" x14ac:dyDescent="0.25">
      <c r="A7290" s="18">
        <v>4314</v>
      </c>
      <c r="B7290" s="4" t="s">
        <v>250</v>
      </c>
      <c r="C7290" s="38" t="s">
        <v>6019</v>
      </c>
      <c r="D7290" s="18">
        <v>2022</v>
      </c>
      <c r="E7290" s="18" t="s">
        <v>0</v>
      </c>
      <c r="F7290" s="42">
        <v>1</v>
      </c>
      <c r="G7290" s="4">
        <v>2</v>
      </c>
      <c r="H7290" s="18">
        <f>0.03727154*(1000)</f>
        <v>37.271540000000002</v>
      </c>
    </row>
    <row r="7291" spans="1:8" s="15" customFormat="1" ht="16.5" hidden="1" customHeight="1" outlineLevel="1" x14ac:dyDescent="0.25">
      <c r="A7291" s="18">
        <v>4315</v>
      </c>
      <c r="B7291" s="4" t="s">
        <v>250</v>
      </c>
      <c r="C7291" s="38" t="s">
        <v>6020</v>
      </c>
      <c r="D7291" s="18">
        <v>2022</v>
      </c>
      <c r="E7291" s="18" t="s">
        <v>0</v>
      </c>
      <c r="F7291" s="42">
        <v>1</v>
      </c>
      <c r="G7291" s="4">
        <v>2</v>
      </c>
      <c r="H7291" s="18">
        <f>0.0383837*(1000)</f>
        <v>38.383699999999997</v>
      </c>
    </row>
    <row r="7292" spans="1:8" s="15" customFormat="1" ht="16.5" hidden="1" customHeight="1" outlineLevel="1" x14ac:dyDescent="0.25">
      <c r="A7292" s="18">
        <v>4316</v>
      </c>
      <c r="B7292" s="4" t="s">
        <v>250</v>
      </c>
      <c r="C7292" s="38" t="s">
        <v>6021</v>
      </c>
      <c r="D7292" s="18">
        <v>2022</v>
      </c>
      <c r="E7292" s="18" t="s">
        <v>0</v>
      </c>
      <c r="F7292" s="42">
        <v>1</v>
      </c>
      <c r="G7292" s="4">
        <v>70</v>
      </c>
      <c r="H7292" s="18">
        <f>0.04713737*(1000)</f>
        <v>47.137369999999997</v>
      </c>
    </row>
    <row r="7293" spans="1:8" s="15" customFormat="1" ht="16.5" hidden="1" customHeight="1" outlineLevel="1" x14ac:dyDescent="0.25">
      <c r="A7293" s="18">
        <v>4317</v>
      </c>
      <c r="B7293" s="4" t="s">
        <v>250</v>
      </c>
      <c r="C7293" s="38" t="s">
        <v>6022</v>
      </c>
      <c r="D7293" s="18">
        <v>2022</v>
      </c>
      <c r="E7293" s="18" t="s">
        <v>0</v>
      </c>
      <c r="F7293" s="42">
        <v>1</v>
      </c>
      <c r="G7293" s="4">
        <v>15</v>
      </c>
      <c r="H7293" s="18">
        <f>0.03753761*(1000)</f>
        <v>37.537610000000001</v>
      </c>
    </row>
    <row r="7294" spans="1:8" s="15" customFormat="1" ht="16.5" hidden="1" customHeight="1" outlineLevel="1" x14ac:dyDescent="0.25">
      <c r="A7294" s="18">
        <v>4318</v>
      </c>
      <c r="B7294" s="4" t="s">
        <v>250</v>
      </c>
      <c r="C7294" s="38" t="s">
        <v>6023</v>
      </c>
      <c r="D7294" s="18">
        <v>2022</v>
      </c>
      <c r="E7294" s="18" t="s">
        <v>0</v>
      </c>
      <c r="F7294" s="42">
        <v>1</v>
      </c>
      <c r="G7294" s="4">
        <v>12</v>
      </c>
      <c r="H7294" s="18">
        <f>0.03753762*(1000)</f>
        <v>37.537620000000004</v>
      </c>
    </row>
    <row r="7295" spans="1:8" s="15" customFormat="1" ht="16.5" hidden="1" customHeight="1" outlineLevel="1" x14ac:dyDescent="0.25">
      <c r="A7295" s="18">
        <v>4320</v>
      </c>
      <c r="B7295" s="4" t="s">
        <v>250</v>
      </c>
      <c r="C7295" s="38" t="s">
        <v>6024</v>
      </c>
      <c r="D7295" s="18">
        <v>2022</v>
      </c>
      <c r="E7295" s="18" t="s">
        <v>0</v>
      </c>
      <c r="F7295" s="42">
        <v>1</v>
      </c>
      <c r="G7295" s="4">
        <v>15</v>
      </c>
      <c r="H7295" s="18">
        <f>0.0375376*(1000)</f>
        <v>37.537599999999998</v>
      </c>
    </row>
    <row r="7296" spans="1:8" s="15" customFormat="1" ht="16.5" hidden="1" customHeight="1" outlineLevel="1" x14ac:dyDescent="0.25">
      <c r="A7296" s="18">
        <v>4321</v>
      </c>
      <c r="B7296" s="4" t="s">
        <v>250</v>
      </c>
      <c r="C7296" s="38" t="s">
        <v>6025</v>
      </c>
      <c r="D7296" s="18">
        <v>2022</v>
      </c>
      <c r="E7296" s="18" t="s">
        <v>0</v>
      </c>
      <c r="F7296" s="42">
        <v>1</v>
      </c>
      <c r="G7296" s="4">
        <v>15</v>
      </c>
      <c r="H7296" s="18">
        <f>0.03753761*(1000)</f>
        <v>37.537610000000001</v>
      </c>
    </row>
    <row r="7297" spans="1:8" s="15" customFormat="1" ht="16.5" hidden="1" customHeight="1" outlineLevel="1" x14ac:dyDescent="0.25">
      <c r="A7297" s="18">
        <v>4322</v>
      </c>
      <c r="B7297" s="4" t="s">
        <v>250</v>
      </c>
      <c r="C7297" s="38" t="s">
        <v>6026</v>
      </c>
      <c r="D7297" s="18">
        <v>2022</v>
      </c>
      <c r="E7297" s="18" t="s">
        <v>0</v>
      </c>
      <c r="F7297" s="42">
        <v>1</v>
      </c>
      <c r="G7297" s="4">
        <v>15</v>
      </c>
      <c r="H7297" s="18">
        <f>0.03698156*(1000)</f>
        <v>36.981559999999995</v>
      </c>
    </row>
    <row r="7298" spans="1:8" s="15" customFormat="1" ht="16.5" hidden="1" customHeight="1" outlineLevel="1" x14ac:dyDescent="0.25">
      <c r="A7298" s="18">
        <v>4324</v>
      </c>
      <c r="B7298" s="4" t="s">
        <v>250</v>
      </c>
      <c r="C7298" s="38" t="s">
        <v>6027</v>
      </c>
      <c r="D7298" s="18">
        <v>2022</v>
      </c>
      <c r="E7298" s="18" t="s">
        <v>0</v>
      </c>
      <c r="F7298" s="42">
        <v>1</v>
      </c>
      <c r="G7298" s="4">
        <v>70.5</v>
      </c>
      <c r="H7298" s="18">
        <f>0.04670716*(1000)</f>
        <v>46.707159999999995</v>
      </c>
    </row>
    <row r="7299" spans="1:8" s="15" customFormat="1" ht="16.5" hidden="1" customHeight="1" outlineLevel="1" x14ac:dyDescent="0.25">
      <c r="A7299" s="18">
        <v>4326</v>
      </c>
      <c r="B7299" s="4" t="s">
        <v>250</v>
      </c>
      <c r="C7299" s="38" t="s">
        <v>6028</v>
      </c>
      <c r="D7299" s="18">
        <v>2022</v>
      </c>
      <c r="E7299" s="18" t="s">
        <v>0</v>
      </c>
      <c r="F7299" s="42">
        <v>1</v>
      </c>
      <c r="G7299" s="4">
        <v>5</v>
      </c>
      <c r="H7299" s="18">
        <f>0.04670714*(1000)</f>
        <v>46.707140000000003</v>
      </c>
    </row>
    <row r="7300" spans="1:8" s="15" customFormat="1" ht="16.5" hidden="1" customHeight="1" outlineLevel="1" x14ac:dyDescent="0.25">
      <c r="A7300" s="18">
        <v>4327</v>
      </c>
      <c r="B7300" s="4" t="s">
        <v>250</v>
      </c>
      <c r="C7300" s="38" t="s">
        <v>6029</v>
      </c>
      <c r="D7300" s="18">
        <v>2022</v>
      </c>
      <c r="E7300" s="18" t="s">
        <v>0</v>
      </c>
      <c r="F7300" s="42">
        <v>1</v>
      </c>
      <c r="G7300" s="4">
        <v>15</v>
      </c>
      <c r="H7300" s="18">
        <f>0.03851188*(1000)</f>
        <v>38.511879999999998</v>
      </c>
    </row>
    <row r="7301" spans="1:8" s="15" customFormat="1" ht="16.5" hidden="1" customHeight="1" outlineLevel="1" x14ac:dyDescent="0.25">
      <c r="A7301" s="18">
        <v>4328</v>
      </c>
      <c r="B7301" s="4" t="s">
        <v>250</v>
      </c>
      <c r="C7301" s="38" t="s">
        <v>6030</v>
      </c>
      <c r="D7301" s="18">
        <v>2022</v>
      </c>
      <c r="E7301" s="18" t="s">
        <v>0</v>
      </c>
      <c r="F7301" s="42">
        <v>1</v>
      </c>
      <c r="G7301" s="4">
        <v>20</v>
      </c>
      <c r="H7301" s="18">
        <f>0.03851187*(1000)</f>
        <v>38.511869999999995</v>
      </c>
    </row>
    <row r="7302" spans="1:8" s="15" customFormat="1" ht="16.5" hidden="1" customHeight="1" outlineLevel="1" x14ac:dyDescent="0.25">
      <c r="A7302" s="18">
        <v>4329</v>
      </c>
      <c r="B7302" s="4" t="s">
        <v>250</v>
      </c>
      <c r="C7302" s="38" t="s">
        <v>6031</v>
      </c>
      <c r="D7302" s="18">
        <v>2022</v>
      </c>
      <c r="E7302" s="18" t="s">
        <v>0</v>
      </c>
      <c r="F7302" s="42">
        <v>1</v>
      </c>
      <c r="G7302" s="4">
        <v>32</v>
      </c>
      <c r="H7302" s="18">
        <f>0.03851188*(1000)</f>
        <v>38.511879999999998</v>
      </c>
    </row>
    <row r="7303" spans="1:8" s="15" customFormat="1" ht="16.5" hidden="1" customHeight="1" outlineLevel="1" x14ac:dyDescent="0.25">
      <c r="A7303" s="18">
        <v>4330</v>
      </c>
      <c r="B7303" s="4" t="s">
        <v>250</v>
      </c>
      <c r="C7303" s="38" t="s">
        <v>6032</v>
      </c>
      <c r="D7303" s="18">
        <v>2022</v>
      </c>
      <c r="E7303" s="18" t="s">
        <v>0</v>
      </c>
      <c r="F7303" s="42">
        <v>1</v>
      </c>
      <c r="G7303" s="4">
        <v>15</v>
      </c>
      <c r="H7303" s="18">
        <f>0.03851187*(1000)</f>
        <v>38.511869999999995</v>
      </c>
    </row>
    <row r="7304" spans="1:8" s="15" customFormat="1" ht="16.5" hidden="1" customHeight="1" outlineLevel="1" x14ac:dyDescent="0.25">
      <c r="A7304" s="18">
        <v>4331</v>
      </c>
      <c r="B7304" s="4" t="s">
        <v>250</v>
      </c>
      <c r="C7304" s="38" t="s">
        <v>6033</v>
      </c>
      <c r="D7304" s="18">
        <v>2022</v>
      </c>
      <c r="E7304" s="18" t="s">
        <v>0</v>
      </c>
      <c r="F7304" s="42">
        <v>1</v>
      </c>
      <c r="G7304" s="4">
        <v>15</v>
      </c>
      <c r="H7304" s="18">
        <f>0.03851188*(1000)</f>
        <v>38.511879999999998</v>
      </c>
    </row>
    <row r="7305" spans="1:8" s="15" customFormat="1" ht="16.5" hidden="1" customHeight="1" outlineLevel="1" x14ac:dyDescent="0.25">
      <c r="A7305" s="18">
        <v>4332</v>
      </c>
      <c r="B7305" s="4" t="s">
        <v>250</v>
      </c>
      <c r="C7305" s="38" t="s">
        <v>6034</v>
      </c>
      <c r="D7305" s="18">
        <v>2022</v>
      </c>
      <c r="E7305" s="18" t="s">
        <v>0</v>
      </c>
      <c r="F7305" s="42">
        <v>1</v>
      </c>
      <c r="G7305" s="4">
        <v>15</v>
      </c>
      <c r="H7305" s="18">
        <f>0.03871173*(1000)</f>
        <v>38.711730000000003</v>
      </c>
    </row>
    <row r="7306" spans="1:8" s="15" customFormat="1" ht="16.5" hidden="1" customHeight="1" outlineLevel="1" x14ac:dyDescent="0.25">
      <c r="A7306" s="18">
        <v>4336</v>
      </c>
      <c r="B7306" s="4" t="s">
        <v>250</v>
      </c>
      <c r="C7306" s="38" t="s">
        <v>6035</v>
      </c>
      <c r="D7306" s="18">
        <v>2022</v>
      </c>
      <c r="E7306" s="18" t="s">
        <v>0</v>
      </c>
      <c r="F7306" s="42">
        <v>1</v>
      </c>
      <c r="G7306" s="4">
        <v>4</v>
      </c>
      <c r="H7306" s="18">
        <f>0.04208061*(1000)</f>
        <v>42.08061</v>
      </c>
    </row>
    <row r="7307" spans="1:8" s="15" customFormat="1" ht="16.5" hidden="1" customHeight="1" outlineLevel="1" x14ac:dyDescent="0.25">
      <c r="A7307" s="18">
        <v>4338</v>
      </c>
      <c r="B7307" s="4" t="s">
        <v>250</v>
      </c>
      <c r="C7307" s="38" t="s">
        <v>6036</v>
      </c>
      <c r="D7307" s="18">
        <v>2022</v>
      </c>
      <c r="E7307" s="18" t="s">
        <v>0</v>
      </c>
      <c r="F7307" s="42">
        <v>1</v>
      </c>
      <c r="G7307" s="4">
        <v>10</v>
      </c>
      <c r="H7307" s="18">
        <f>0.04057708*(1000)</f>
        <v>40.577080000000002</v>
      </c>
    </row>
    <row r="7308" spans="1:8" s="15" customFormat="1" ht="16.5" hidden="1" customHeight="1" outlineLevel="1" x14ac:dyDescent="0.25">
      <c r="A7308" s="18">
        <v>4345</v>
      </c>
      <c r="B7308" s="4" t="s">
        <v>250</v>
      </c>
      <c r="C7308" s="38" t="s">
        <v>6037</v>
      </c>
      <c r="D7308" s="18">
        <v>2022</v>
      </c>
      <c r="E7308" s="18" t="s">
        <v>0</v>
      </c>
      <c r="F7308" s="42">
        <v>1</v>
      </c>
      <c r="G7308" s="4">
        <v>15</v>
      </c>
      <c r="H7308" s="18">
        <f>0.03919018*(1000)</f>
        <v>39.190179999999998</v>
      </c>
    </row>
    <row r="7309" spans="1:8" s="15" customFormat="1" ht="16.5" hidden="1" customHeight="1" outlineLevel="1" x14ac:dyDescent="0.25">
      <c r="A7309" s="18">
        <v>4346</v>
      </c>
      <c r="B7309" s="4" t="s">
        <v>250</v>
      </c>
      <c r="C7309" s="38" t="s">
        <v>6038</v>
      </c>
      <c r="D7309" s="18">
        <v>2022</v>
      </c>
      <c r="E7309" s="18" t="s">
        <v>0</v>
      </c>
      <c r="F7309" s="42">
        <v>1</v>
      </c>
      <c r="G7309" s="4">
        <v>15</v>
      </c>
      <c r="H7309" s="18">
        <f>0.03922348*(1000)</f>
        <v>39.223479999999995</v>
      </c>
    </row>
    <row r="7310" spans="1:8" s="15" customFormat="1" ht="16.5" hidden="1" customHeight="1" outlineLevel="1" x14ac:dyDescent="0.25">
      <c r="A7310" s="18">
        <v>4347</v>
      </c>
      <c r="B7310" s="4" t="s">
        <v>250</v>
      </c>
      <c r="C7310" s="38" t="s">
        <v>6039</v>
      </c>
      <c r="D7310" s="18">
        <v>2022</v>
      </c>
      <c r="E7310" s="18" t="s">
        <v>0</v>
      </c>
      <c r="F7310" s="42">
        <v>1</v>
      </c>
      <c r="G7310" s="4">
        <v>15</v>
      </c>
      <c r="H7310" s="18">
        <f>0.03928466*(1000)</f>
        <v>39.284660000000002</v>
      </c>
    </row>
    <row r="7311" spans="1:8" s="15" customFormat="1" ht="16.5" hidden="1" customHeight="1" outlineLevel="1" x14ac:dyDescent="0.25">
      <c r="A7311" s="18">
        <v>4351</v>
      </c>
      <c r="B7311" s="4" t="s">
        <v>250</v>
      </c>
      <c r="C7311" s="38" t="s">
        <v>6040</v>
      </c>
      <c r="D7311" s="18">
        <v>2022</v>
      </c>
      <c r="E7311" s="18" t="s">
        <v>0</v>
      </c>
      <c r="F7311" s="42">
        <v>1</v>
      </c>
      <c r="G7311" s="4">
        <v>15</v>
      </c>
      <c r="H7311" s="18">
        <f>0.03872864*(1000)</f>
        <v>38.728639999999999</v>
      </c>
    </row>
    <row r="7312" spans="1:8" s="15" customFormat="1" ht="16.5" hidden="1" customHeight="1" outlineLevel="1" x14ac:dyDescent="0.25">
      <c r="A7312" s="18">
        <v>4352</v>
      </c>
      <c r="B7312" s="4" t="s">
        <v>250</v>
      </c>
      <c r="C7312" s="38" t="s">
        <v>6041</v>
      </c>
      <c r="D7312" s="18">
        <v>2022</v>
      </c>
      <c r="E7312" s="18" t="s">
        <v>0</v>
      </c>
      <c r="F7312" s="42">
        <v>1</v>
      </c>
      <c r="G7312" s="4">
        <v>15</v>
      </c>
      <c r="H7312" s="18">
        <f>0.03872864*(1000)</f>
        <v>38.728639999999999</v>
      </c>
    </row>
    <row r="7313" spans="1:8" s="15" customFormat="1" ht="16.5" hidden="1" customHeight="1" outlineLevel="1" x14ac:dyDescent="0.25">
      <c r="A7313" s="18">
        <v>4353</v>
      </c>
      <c r="B7313" s="4" t="s">
        <v>250</v>
      </c>
      <c r="C7313" s="38" t="s">
        <v>6042</v>
      </c>
      <c r="D7313" s="18">
        <v>2022</v>
      </c>
      <c r="E7313" s="18" t="s">
        <v>0</v>
      </c>
      <c r="F7313" s="42">
        <v>1</v>
      </c>
      <c r="G7313" s="4">
        <v>11</v>
      </c>
      <c r="H7313" s="18">
        <f>0.03872864*(1000)</f>
        <v>38.728639999999999</v>
      </c>
    </row>
    <row r="7314" spans="1:8" s="15" customFormat="1" ht="16.5" hidden="1" customHeight="1" outlineLevel="1" x14ac:dyDescent="0.25">
      <c r="A7314" s="18">
        <v>4354</v>
      </c>
      <c r="B7314" s="4" t="s">
        <v>250</v>
      </c>
      <c r="C7314" s="38" t="s">
        <v>6043</v>
      </c>
      <c r="D7314" s="18">
        <v>2022</v>
      </c>
      <c r="E7314" s="18" t="s">
        <v>0</v>
      </c>
      <c r="F7314" s="42">
        <v>1</v>
      </c>
      <c r="G7314" s="4">
        <v>15</v>
      </c>
      <c r="H7314" s="18">
        <f>0.0385743*(1000)</f>
        <v>38.574300000000001</v>
      </c>
    </row>
    <row r="7315" spans="1:8" s="15" customFormat="1" ht="16.5" hidden="1" customHeight="1" outlineLevel="1" x14ac:dyDescent="0.25">
      <c r="A7315" s="18">
        <v>4355</v>
      </c>
      <c r="B7315" s="4" t="s">
        <v>250</v>
      </c>
      <c r="C7315" s="38" t="s">
        <v>6044</v>
      </c>
      <c r="D7315" s="18">
        <v>2022</v>
      </c>
      <c r="E7315" s="18" t="s">
        <v>0</v>
      </c>
      <c r="F7315" s="42">
        <v>1</v>
      </c>
      <c r="G7315" s="4">
        <v>15</v>
      </c>
      <c r="H7315" s="18">
        <f>0.0385743*(1000)</f>
        <v>38.574300000000001</v>
      </c>
    </row>
    <row r="7316" spans="1:8" s="15" customFormat="1" ht="16.5" hidden="1" customHeight="1" outlineLevel="1" x14ac:dyDescent="0.25">
      <c r="A7316" s="18">
        <v>4356</v>
      </c>
      <c r="B7316" s="4" t="s">
        <v>250</v>
      </c>
      <c r="C7316" s="38" t="s">
        <v>6045</v>
      </c>
      <c r="D7316" s="18">
        <v>2022</v>
      </c>
      <c r="E7316" s="18" t="s">
        <v>0</v>
      </c>
      <c r="F7316" s="42">
        <v>1</v>
      </c>
      <c r="G7316" s="4">
        <v>15</v>
      </c>
      <c r="H7316" s="18">
        <f>0.03857431*(1000)</f>
        <v>38.574309999999997</v>
      </c>
    </row>
    <row r="7317" spans="1:8" s="15" customFormat="1" ht="16.5" hidden="1" customHeight="1" outlineLevel="1" x14ac:dyDescent="0.25">
      <c r="A7317" s="18">
        <v>4358</v>
      </c>
      <c r="B7317" s="4" t="s">
        <v>250</v>
      </c>
      <c r="C7317" s="38" t="s">
        <v>6046</v>
      </c>
      <c r="D7317" s="18">
        <v>2022</v>
      </c>
      <c r="E7317" s="18" t="s">
        <v>0</v>
      </c>
      <c r="F7317" s="42">
        <v>1</v>
      </c>
      <c r="G7317" s="4">
        <v>15</v>
      </c>
      <c r="H7317" s="18">
        <f>0.03872939*(1000)</f>
        <v>38.729390000000002</v>
      </c>
    </row>
    <row r="7318" spans="1:8" s="15" customFormat="1" ht="16.5" hidden="1" customHeight="1" outlineLevel="1" x14ac:dyDescent="0.25">
      <c r="A7318" s="18">
        <v>4360</v>
      </c>
      <c r="B7318" s="4" t="s">
        <v>250</v>
      </c>
      <c r="C7318" s="38" t="s">
        <v>6047</v>
      </c>
      <c r="D7318" s="18">
        <v>2022</v>
      </c>
      <c r="E7318" s="18" t="s">
        <v>0</v>
      </c>
      <c r="F7318" s="42">
        <v>1</v>
      </c>
      <c r="G7318" s="4">
        <v>11</v>
      </c>
      <c r="H7318" s="18">
        <f>0.03862901*(1000)</f>
        <v>38.629010000000001</v>
      </c>
    </row>
    <row r="7319" spans="1:8" s="15" customFormat="1" ht="16.5" hidden="1" customHeight="1" outlineLevel="1" x14ac:dyDescent="0.25">
      <c r="A7319" s="18">
        <v>4361</v>
      </c>
      <c r="B7319" s="4" t="s">
        <v>250</v>
      </c>
      <c r="C7319" s="38" t="s">
        <v>6048</v>
      </c>
      <c r="D7319" s="18">
        <v>2022</v>
      </c>
      <c r="E7319" s="18" t="s">
        <v>0</v>
      </c>
      <c r="F7319" s="42">
        <v>1</v>
      </c>
      <c r="G7319" s="4">
        <v>6</v>
      </c>
      <c r="H7319" s="18">
        <f>0.03878333*(1000)</f>
        <v>38.783329999999999</v>
      </c>
    </row>
    <row r="7320" spans="1:8" s="15" customFormat="1" ht="16.5" hidden="1" customHeight="1" outlineLevel="1" x14ac:dyDescent="0.25">
      <c r="A7320" s="18">
        <v>4362</v>
      </c>
      <c r="B7320" s="4" t="s">
        <v>250</v>
      </c>
      <c r="C7320" s="38" t="s">
        <v>6049</v>
      </c>
      <c r="D7320" s="18">
        <v>2022</v>
      </c>
      <c r="E7320" s="18" t="s">
        <v>0</v>
      </c>
      <c r="F7320" s="42">
        <v>1</v>
      </c>
      <c r="G7320" s="4">
        <v>14</v>
      </c>
      <c r="H7320" s="18">
        <f>0.03878334*(1000)</f>
        <v>38.783340000000003</v>
      </c>
    </row>
    <row r="7321" spans="1:8" s="15" customFormat="1" ht="16.5" hidden="1" customHeight="1" outlineLevel="1" x14ac:dyDescent="0.25">
      <c r="A7321" s="18">
        <v>4366</v>
      </c>
      <c r="B7321" s="4" t="s">
        <v>250</v>
      </c>
      <c r="C7321" s="38" t="s">
        <v>6050</v>
      </c>
      <c r="D7321" s="18">
        <v>2022</v>
      </c>
      <c r="E7321" s="18" t="s">
        <v>0</v>
      </c>
      <c r="F7321" s="42">
        <v>1</v>
      </c>
      <c r="G7321" s="4">
        <v>15</v>
      </c>
      <c r="H7321" s="18">
        <f>0.03878333*(1000)</f>
        <v>38.783329999999999</v>
      </c>
    </row>
    <row r="7322" spans="1:8" s="15" customFormat="1" ht="16.5" hidden="1" customHeight="1" outlineLevel="1" x14ac:dyDescent="0.25">
      <c r="A7322" s="18">
        <v>4370</v>
      </c>
      <c r="B7322" s="4" t="s">
        <v>250</v>
      </c>
      <c r="C7322" s="38" t="s">
        <v>6051</v>
      </c>
      <c r="D7322" s="18">
        <v>2022</v>
      </c>
      <c r="E7322" s="18" t="s">
        <v>0</v>
      </c>
      <c r="F7322" s="42">
        <v>1</v>
      </c>
      <c r="G7322" s="4">
        <v>15</v>
      </c>
      <c r="H7322" s="18">
        <f>0.03878334*(1000)</f>
        <v>38.783340000000003</v>
      </c>
    </row>
    <row r="7323" spans="1:8" s="15" customFormat="1" ht="16.5" hidden="1" customHeight="1" outlineLevel="1" x14ac:dyDescent="0.25">
      <c r="A7323" s="18">
        <v>4371</v>
      </c>
      <c r="B7323" s="4" t="s">
        <v>250</v>
      </c>
      <c r="C7323" s="38" t="s">
        <v>6052</v>
      </c>
      <c r="D7323" s="18">
        <v>2022</v>
      </c>
      <c r="E7323" s="18" t="s">
        <v>0</v>
      </c>
      <c r="F7323" s="42">
        <v>1</v>
      </c>
      <c r="G7323" s="4">
        <v>15</v>
      </c>
      <c r="H7323" s="18">
        <f>0.03671551*(1000)</f>
        <v>36.715510000000002</v>
      </c>
    </row>
    <row r="7324" spans="1:8" s="15" customFormat="1" ht="16.5" hidden="1" customHeight="1" outlineLevel="1" x14ac:dyDescent="0.25">
      <c r="A7324" s="18">
        <v>4372</v>
      </c>
      <c r="B7324" s="4" t="s">
        <v>250</v>
      </c>
      <c r="C7324" s="38" t="s">
        <v>6053</v>
      </c>
      <c r="D7324" s="18">
        <v>2022</v>
      </c>
      <c r="E7324" s="18" t="s">
        <v>0</v>
      </c>
      <c r="F7324" s="42">
        <v>1</v>
      </c>
      <c r="G7324" s="4">
        <v>14</v>
      </c>
      <c r="H7324" s="18">
        <f>0.0343505*(1000)</f>
        <v>34.350499999999997</v>
      </c>
    </row>
    <row r="7325" spans="1:8" s="15" customFormat="1" ht="16.5" hidden="1" customHeight="1" outlineLevel="1" x14ac:dyDescent="0.25">
      <c r="A7325" s="18">
        <v>4373</v>
      </c>
      <c r="B7325" s="4" t="s">
        <v>250</v>
      </c>
      <c r="C7325" s="38" t="s">
        <v>6054</v>
      </c>
      <c r="D7325" s="18">
        <v>2022</v>
      </c>
      <c r="E7325" s="18" t="s">
        <v>0</v>
      </c>
      <c r="F7325" s="42">
        <v>1</v>
      </c>
      <c r="G7325" s="4">
        <v>15</v>
      </c>
      <c r="H7325" s="18">
        <f>0.0343505*(1000)</f>
        <v>34.350499999999997</v>
      </c>
    </row>
    <row r="7326" spans="1:8" s="15" customFormat="1" ht="16.5" hidden="1" customHeight="1" outlineLevel="1" x14ac:dyDescent="0.25">
      <c r="A7326" s="18">
        <v>4374</v>
      </c>
      <c r="B7326" s="4" t="s">
        <v>250</v>
      </c>
      <c r="C7326" s="38" t="s">
        <v>6055</v>
      </c>
      <c r="D7326" s="18">
        <v>2022</v>
      </c>
      <c r="E7326" s="18" t="s">
        <v>0</v>
      </c>
      <c r="F7326" s="42">
        <v>1</v>
      </c>
      <c r="G7326" s="4">
        <v>15</v>
      </c>
      <c r="H7326" s="18">
        <f>0.03435049*(1000)</f>
        <v>34.350490000000001</v>
      </c>
    </row>
    <row r="7327" spans="1:8" s="15" customFormat="1" ht="16.5" hidden="1" customHeight="1" outlineLevel="1" x14ac:dyDescent="0.25">
      <c r="A7327" s="18">
        <v>4379</v>
      </c>
      <c r="B7327" s="4" t="s">
        <v>250</v>
      </c>
      <c r="C7327" s="38" t="s">
        <v>6056</v>
      </c>
      <c r="D7327" s="18">
        <v>2022</v>
      </c>
      <c r="E7327" s="18" t="s">
        <v>0</v>
      </c>
      <c r="F7327" s="42">
        <v>1</v>
      </c>
      <c r="G7327" s="4">
        <v>15</v>
      </c>
      <c r="H7327" s="18">
        <f>0.0343505*(1000)</f>
        <v>34.350499999999997</v>
      </c>
    </row>
    <row r="7328" spans="1:8" s="15" customFormat="1" ht="16.5" hidden="1" customHeight="1" outlineLevel="1" x14ac:dyDescent="0.25">
      <c r="A7328" s="18">
        <v>4385</v>
      </c>
      <c r="B7328" s="4" t="s">
        <v>250</v>
      </c>
      <c r="C7328" s="38" t="s">
        <v>6057</v>
      </c>
      <c r="D7328" s="18">
        <v>2022</v>
      </c>
      <c r="E7328" s="18" t="s">
        <v>0</v>
      </c>
      <c r="F7328" s="42">
        <v>1</v>
      </c>
      <c r="G7328" s="4">
        <v>15</v>
      </c>
      <c r="H7328" s="18">
        <f>0.03435053*(1000)</f>
        <v>34.350529999999999</v>
      </c>
    </row>
    <row r="7329" spans="1:8" s="15" customFormat="1" ht="16.5" hidden="1" customHeight="1" outlineLevel="1" x14ac:dyDescent="0.25">
      <c r="A7329" s="18">
        <v>4386</v>
      </c>
      <c r="B7329" s="4" t="s">
        <v>250</v>
      </c>
      <c r="C7329" s="38" t="s">
        <v>6058</v>
      </c>
      <c r="D7329" s="18">
        <v>2022</v>
      </c>
      <c r="E7329" s="18" t="s">
        <v>0</v>
      </c>
      <c r="F7329" s="42">
        <v>1</v>
      </c>
      <c r="G7329" s="4">
        <v>15</v>
      </c>
      <c r="H7329" s="18">
        <f>0.0343505*(1000)</f>
        <v>34.350499999999997</v>
      </c>
    </row>
    <row r="7330" spans="1:8" s="15" customFormat="1" ht="16.5" hidden="1" customHeight="1" outlineLevel="1" x14ac:dyDescent="0.25">
      <c r="A7330" s="18">
        <v>4391</v>
      </c>
      <c r="B7330" s="4" t="s">
        <v>250</v>
      </c>
      <c r="C7330" s="38" t="s">
        <v>6059</v>
      </c>
      <c r="D7330" s="18">
        <v>2022</v>
      </c>
      <c r="E7330" s="18" t="s">
        <v>0</v>
      </c>
      <c r="F7330" s="42">
        <v>1</v>
      </c>
      <c r="G7330" s="4">
        <v>15</v>
      </c>
      <c r="H7330" s="18">
        <f>0.03435048*(1000)</f>
        <v>34.350480000000005</v>
      </c>
    </row>
    <row r="7331" spans="1:8" s="15" customFormat="1" ht="16.5" hidden="1" customHeight="1" outlineLevel="1" x14ac:dyDescent="0.25">
      <c r="A7331" s="18">
        <v>4399</v>
      </c>
      <c r="B7331" s="4" t="s">
        <v>250</v>
      </c>
      <c r="C7331" s="38" t="s">
        <v>6060</v>
      </c>
      <c r="D7331" s="18">
        <v>2022</v>
      </c>
      <c r="E7331" s="18" t="s">
        <v>0</v>
      </c>
      <c r="F7331" s="42">
        <v>1</v>
      </c>
      <c r="G7331" s="4">
        <v>15</v>
      </c>
      <c r="H7331" s="18">
        <f>0.03435046*(1000)</f>
        <v>34.350459999999998</v>
      </c>
    </row>
    <row r="7332" spans="1:8" s="15" customFormat="1" ht="16.5" hidden="1" customHeight="1" outlineLevel="1" x14ac:dyDescent="0.25">
      <c r="A7332" s="18">
        <v>4402</v>
      </c>
      <c r="B7332" s="4" t="s">
        <v>250</v>
      </c>
      <c r="C7332" s="38" t="s">
        <v>6061</v>
      </c>
      <c r="D7332" s="18">
        <v>2022</v>
      </c>
      <c r="E7332" s="18" t="s">
        <v>0</v>
      </c>
      <c r="F7332" s="42">
        <v>1</v>
      </c>
      <c r="G7332" s="4">
        <v>15</v>
      </c>
      <c r="H7332" s="18">
        <f>0.0343505*(1000)</f>
        <v>34.350499999999997</v>
      </c>
    </row>
    <row r="7333" spans="1:8" s="15" customFormat="1" ht="16.5" hidden="1" customHeight="1" outlineLevel="1" x14ac:dyDescent="0.25">
      <c r="A7333" s="18">
        <v>4409</v>
      </c>
      <c r="B7333" s="4" t="s">
        <v>250</v>
      </c>
      <c r="C7333" s="38" t="s">
        <v>6062</v>
      </c>
      <c r="D7333" s="18">
        <v>2022</v>
      </c>
      <c r="E7333" s="18" t="s">
        <v>0</v>
      </c>
      <c r="F7333" s="42">
        <v>1</v>
      </c>
      <c r="G7333" s="4">
        <v>15</v>
      </c>
      <c r="H7333" s="18">
        <f>0.03435049*(1000)</f>
        <v>34.350490000000001</v>
      </c>
    </row>
    <row r="7334" spans="1:8" s="15" customFormat="1" ht="16.5" hidden="1" customHeight="1" outlineLevel="1" x14ac:dyDescent="0.25">
      <c r="A7334" s="18">
        <v>4415</v>
      </c>
      <c r="B7334" s="4" t="s">
        <v>250</v>
      </c>
      <c r="C7334" s="38" t="s">
        <v>6063</v>
      </c>
      <c r="D7334" s="18">
        <v>2022</v>
      </c>
      <c r="E7334" s="18" t="s">
        <v>0</v>
      </c>
      <c r="F7334" s="42">
        <v>1</v>
      </c>
      <c r="G7334" s="4">
        <v>15</v>
      </c>
      <c r="H7334" s="18">
        <f>0.03435051*(1000)</f>
        <v>34.35051</v>
      </c>
    </row>
    <row r="7335" spans="1:8" s="15" customFormat="1" ht="16.5" hidden="1" customHeight="1" outlineLevel="1" x14ac:dyDescent="0.25">
      <c r="A7335" s="18">
        <v>4418</v>
      </c>
      <c r="B7335" s="4" t="s">
        <v>250</v>
      </c>
      <c r="C7335" s="38" t="s">
        <v>6064</v>
      </c>
      <c r="D7335" s="18">
        <v>2022</v>
      </c>
      <c r="E7335" s="18" t="s">
        <v>0</v>
      </c>
      <c r="F7335" s="42">
        <v>1</v>
      </c>
      <c r="G7335" s="4">
        <v>15</v>
      </c>
      <c r="H7335" s="18">
        <f>0.03435049*(1000)</f>
        <v>34.350490000000001</v>
      </c>
    </row>
    <row r="7336" spans="1:8" s="15" customFormat="1" ht="16.5" hidden="1" customHeight="1" outlineLevel="1" x14ac:dyDescent="0.25">
      <c r="A7336" s="18">
        <v>4423</v>
      </c>
      <c r="B7336" s="4" t="s">
        <v>250</v>
      </c>
      <c r="C7336" s="38" t="s">
        <v>6065</v>
      </c>
      <c r="D7336" s="18">
        <v>2022</v>
      </c>
      <c r="E7336" s="18" t="s">
        <v>0</v>
      </c>
      <c r="F7336" s="42">
        <v>1</v>
      </c>
      <c r="G7336" s="4">
        <v>15</v>
      </c>
      <c r="H7336" s="18">
        <f>0.03435051*(1000)</f>
        <v>34.35051</v>
      </c>
    </row>
    <row r="7337" spans="1:8" s="15" customFormat="1" ht="16.5" hidden="1" customHeight="1" outlineLevel="1" x14ac:dyDescent="0.25">
      <c r="A7337" s="18">
        <v>4430</v>
      </c>
      <c r="B7337" s="4" t="s">
        <v>250</v>
      </c>
      <c r="C7337" s="38" t="s">
        <v>6066</v>
      </c>
      <c r="D7337" s="18">
        <v>2022</v>
      </c>
      <c r="E7337" s="18" t="s">
        <v>0</v>
      </c>
      <c r="F7337" s="42">
        <v>1</v>
      </c>
      <c r="G7337" s="4">
        <v>10</v>
      </c>
      <c r="H7337" s="18">
        <f>0.03431774*(1000)</f>
        <v>34.317740000000001</v>
      </c>
    </row>
    <row r="7338" spans="1:8" s="15" customFormat="1" ht="16.5" hidden="1" customHeight="1" outlineLevel="1" x14ac:dyDescent="0.25">
      <c r="A7338" s="18">
        <v>4432</v>
      </c>
      <c r="B7338" s="4" t="s">
        <v>250</v>
      </c>
      <c r="C7338" s="38" t="s">
        <v>6067</v>
      </c>
      <c r="D7338" s="18">
        <v>2022</v>
      </c>
      <c r="E7338" s="18" t="s">
        <v>0</v>
      </c>
      <c r="F7338" s="42">
        <v>1</v>
      </c>
      <c r="G7338" s="4">
        <v>15</v>
      </c>
      <c r="H7338" s="18">
        <f>0.03435051*(1000)</f>
        <v>34.35051</v>
      </c>
    </row>
    <row r="7339" spans="1:8" s="15" customFormat="1" ht="16.5" hidden="1" customHeight="1" outlineLevel="1" x14ac:dyDescent="0.25">
      <c r="A7339" s="18">
        <v>4433</v>
      </c>
      <c r="B7339" s="4" t="s">
        <v>250</v>
      </c>
      <c r="C7339" s="38" t="s">
        <v>6068</v>
      </c>
      <c r="D7339" s="18">
        <v>2022</v>
      </c>
      <c r="E7339" s="18" t="s">
        <v>0</v>
      </c>
      <c r="F7339" s="42">
        <v>1</v>
      </c>
      <c r="G7339" s="4">
        <v>15</v>
      </c>
      <c r="H7339" s="18">
        <f t="shared" ref="H7339:H7346" si="9">0.0343505*(1000)</f>
        <v>34.350499999999997</v>
      </c>
    </row>
    <row r="7340" spans="1:8" s="15" customFormat="1" ht="16.5" hidden="1" customHeight="1" outlineLevel="1" x14ac:dyDescent="0.25">
      <c r="A7340" s="18">
        <v>4435</v>
      </c>
      <c r="B7340" s="4" t="s">
        <v>250</v>
      </c>
      <c r="C7340" s="38" t="s">
        <v>6069</v>
      </c>
      <c r="D7340" s="18">
        <v>2022</v>
      </c>
      <c r="E7340" s="18" t="s">
        <v>0</v>
      </c>
      <c r="F7340" s="42">
        <v>1</v>
      </c>
      <c r="G7340" s="4">
        <v>15</v>
      </c>
      <c r="H7340" s="18">
        <f t="shared" si="9"/>
        <v>34.350499999999997</v>
      </c>
    </row>
    <row r="7341" spans="1:8" s="15" customFormat="1" ht="16.5" hidden="1" customHeight="1" outlineLevel="1" x14ac:dyDescent="0.25">
      <c r="A7341" s="18">
        <v>4442</v>
      </c>
      <c r="B7341" s="4" t="s">
        <v>250</v>
      </c>
      <c r="C7341" s="38" t="s">
        <v>6070</v>
      </c>
      <c r="D7341" s="18">
        <v>2022</v>
      </c>
      <c r="E7341" s="18" t="s">
        <v>0</v>
      </c>
      <c r="F7341" s="42">
        <v>1</v>
      </c>
      <c r="G7341" s="4">
        <v>15</v>
      </c>
      <c r="H7341" s="18">
        <f t="shared" si="9"/>
        <v>34.350499999999997</v>
      </c>
    </row>
    <row r="7342" spans="1:8" s="15" customFormat="1" ht="16.5" hidden="1" customHeight="1" outlineLevel="1" x14ac:dyDescent="0.25">
      <c r="A7342" s="18">
        <v>4444</v>
      </c>
      <c r="B7342" s="4" t="s">
        <v>250</v>
      </c>
      <c r="C7342" s="38" t="s">
        <v>6071</v>
      </c>
      <c r="D7342" s="18">
        <v>2022</v>
      </c>
      <c r="E7342" s="18" t="s">
        <v>0</v>
      </c>
      <c r="F7342" s="42">
        <v>1</v>
      </c>
      <c r="G7342" s="4">
        <v>14</v>
      </c>
      <c r="H7342" s="18">
        <f t="shared" si="9"/>
        <v>34.350499999999997</v>
      </c>
    </row>
    <row r="7343" spans="1:8" s="15" customFormat="1" ht="16.5" hidden="1" customHeight="1" outlineLevel="1" x14ac:dyDescent="0.25">
      <c r="A7343" s="18">
        <v>4446</v>
      </c>
      <c r="B7343" s="4" t="s">
        <v>250</v>
      </c>
      <c r="C7343" s="38" t="s">
        <v>6072</v>
      </c>
      <c r="D7343" s="18">
        <v>2022</v>
      </c>
      <c r="E7343" s="18" t="s">
        <v>0</v>
      </c>
      <c r="F7343" s="42">
        <v>1</v>
      </c>
      <c r="G7343" s="4">
        <v>15</v>
      </c>
      <c r="H7343" s="18">
        <f t="shared" si="9"/>
        <v>34.350499999999997</v>
      </c>
    </row>
    <row r="7344" spans="1:8" s="15" customFormat="1" ht="16.5" hidden="1" customHeight="1" outlineLevel="1" x14ac:dyDescent="0.25">
      <c r="A7344" s="18">
        <v>4454</v>
      </c>
      <c r="B7344" s="4" t="s">
        <v>250</v>
      </c>
      <c r="C7344" s="38" t="s">
        <v>6073</v>
      </c>
      <c r="D7344" s="18">
        <v>2022</v>
      </c>
      <c r="E7344" s="18" t="s">
        <v>0</v>
      </c>
      <c r="F7344" s="42">
        <v>1</v>
      </c>
      <c r="G7344" s="4">
        <v>10</v>
      </c>
      <c r="H7344" s="18">
        <f t="shared" si="9"/>
        <v>34.350499999999997</v>
      </c>
    </row>
    <row r="7345" spans="1:8" s="15" customFormat="1" ht="16.5" hidden="1" customHeight="1" outlineLevel="1" x14ac:dyDescent="0.25">
      <c r="A7345" s="18">
        <v>4456</v>
      </c>
      <c r="B7345" s="4" t="s">
        <v>250</v>
      </c>
      <c r="C7345" s="38" t="s">
        <v>6074</v>
      </c>
      <c r="D7345" s="18">
        <v>2022</v>
      </c>
      <c r="E7345" s="18" t="s">
        <v>0</v>
      </c>
      <c r="F7345" s="42">
        <v>1</v>
      </c>
      <c r="G7345" s="4">
        <v>14</v>
      </c>
      <c r="H7345" s="18">
        <f t="shared" si="9"/>
        <v>34.350499999999997</v>
      </c>
    </row>
    <row r="7346" spans="1:8" s="15" customFormat="1" ht="16.5" hidden="1" customHeight="1" outlineLevel="1" x14ac:dyDescent="0.25">
      <c r="A7346" s="18">
        <v>4465</v>
      </c>
      <c r="B7346" s="4" t="s">
        <v>250</v>
      </c>
      <c r="C7346" s="38" t="s">
        <v>6075</v>
      </c>
      <c r="D7346" s="18">
        <v>2022</v>
      </c>
      <c r="E7346" s="18" t="s">
        <v>0</v>
      </c>
      <c r="F7346" s="42">
        <v>1</v>
      </c>
      <c r="G7346" s="4">
        <v>15</v>
      </c>
      <c r="H7346" s="18">
        <f t="shared" si="9"/>
        <v>34.350499999999997</v>
      </c>
    </row>
    <row r="7347" spans="1:8" s="15" customFormat="1" ht="16.5" hidden="1" customHeight="1" outlineLevel="1" x14ac:dyDescent="0.25">
      <c r="A7347" s="18">
        <v>4470</v>
      </c>
      <c r="B7347" s="4" t="s">
        <v>250</v>
      </c>
      <c r="C7347" s="38" t="s">
        <v>6076</v>
      </c>
      <c r="D7347" s="18">
        <v>2022</v>
      </c>
      <c r="E7347" s="18" t="s">
        <v>0</v>
      </c>
      <c r="F7347" s="42">
        <v>1</v>
      </c>
      <c r="G7347" s="4">
        <v>15</v>
      </c>
      <c r="H7347" s="18">
        <f>0.03431317*(1000)</f>
        <v>34.31317</v>
      </c>
    </row>
    <row r="7348" spans="1:8" s="15" customFormat="1" ht="16.5" hidden="1" customHeight="1" outlineLevel="1" x14ac:dyDescent="0.25">
      <c r="A7348" s="18">
        <v>4472</v>
      </c>
      <c r="B7348" s="4" t="s">
        <v>250</v>
      </c>
      <c r="C7348" s="38" t="s">
        <v>6077</v>
      </c>
      <c r="D7348" s="18">
        <v>2022</v>
      </c>
      <c r="E7348" s="18" t="s">
        <v>0</v>
      </c>
      <c r="F7348" s="42">
        <v>1</v>
      </c>
      <c r="G7348" s="4">
        <v>15</v>
      </c>
      <c r="H7348" s="18">
        <f>0.03421564*(1000)</f>
        <v>34.21564</v>
      </c>
    </row>
    <row r="7349" spans="1:8" s="15" customFormat="1" ht="16.5" hidden="1" customHeight="1" outlineLevel="1" x14ac:dyDescent="0.25">
      <c r="A7349" s="18">
        <v>4473</v>
      </c>
      <c r="B7349" s="4" t="s">
        <v>250</v>
      </c>
      <c r="C7349" s="38" t="s">
        <v>6078</v>
      </c>
      <c r="D7349" s="18">
        <v>2022</v>
      </c>
      <c r="E7349" s="18" t="s">
        <v>0</v>
      </c>
      <c r="F7349" s="42">
        <v>1</v>
      </c>
      <c r="G7349" s="4">
        <v>15</v>
      </c>
      <c r="H7349" s="18">
        <f>0.03425293*(1000)</f>
        <v>34.252929999999999</v>
      </c>
    </row>
    <row r="7350" spans="1:8" s="15" customFormat="1" ht="16.5" hidden="1" customHeight="1" outlineLevel="1" x14ac:dyDescent="0.25">
      <c r="A7350" s="18">
        <v>4476</v>
      </c>
      <c r="B7350" s="4" t="s">
        <v>250</v>
      </c>
      <c r="C7350" s="38" t="s">
        <v>6079</v>
      </c>
      <c r="D7350" s="18">
        <v>2022</v>
      </c>
      <c r="E7350" s="18" t="s">
        <v>0</v>
      </c>
      <c r="F7350" s="42">
        <v>1</v>
      </c>
      <c r="G7350" s="4">
        <v>14</v>
      </c>
      <c r="H7350" s="18">
        <f>0.03421564*(1000)</f>
        <v>34.21564</v>
      </c>
    </row>
    <row r="7351" spans="1:8" s="15" customFormat="1" ht="16.5" hidden="1" customHeight="1" outlineLevel="1" x14ac:dyDescent="0.25">
      <c r="A7351" s="18">
        <v>4487</v>
      </c>
      <c r="B7351" s="4" t="s">
        <v>250</v>
      </c>
      <c r="C7351" s="38" t="s">
        <v>6080</v>
      </c>
      <c r="D7351" s="18">
        <v>2022</v>
      </c>
      <c r="E7351" s="18" t="s">
        <v>0</v>
      </c>
      <c r="F7351" s="42">
        <v>1</v>
      </c>
      <c r="G7351" s="4">
        <v>15</v>
      </c>
      <c r="H7351" s="18">
        <f>0.03406126*(1000)</f>
        <v>34.061260000000004</v>
      </c>
    </row>
    <row r="7352" spans="1:8" s="15" customFormat="1" ht="16.5" hidden="1" customHeight="1" outlineLevel="1" x14ac:dyDescent="0.25">
      <c r="A7352" s="18">
        <v>4489</v>
      </c>
      <c r="B7352" s="4" t="s">
        <v>250</v>
      </c>
      <c r="C7352" s="38" t="s">
        <v>6081</v>
      </c>
      <c r="D7352" s="18">
        <v>2022</v>
      </c>
      <c r="E7352" s="18" t="s">
        <v>0</v>
      </c>
      <c r="F7352" s="42">
        <v>1</v>
      </c>
      <c r="G7352" s="4">
        <v>15</v>
      </c>
      <c r="H7352" s="18">
        <f>0.03406126*(1000)</f>
        <v>34.061260000000004</v>
      </c>
    </row>
    <row r="7353" spans="1:8" s="15" customFormat="1" ht="16.5" hidden="1" customHeight="1" outlineLevel="1" x14ac:dyDescent="0.25">
      <c r="A7353" s="18">
        <v>4493</v>
      </c>
      <c r="B7353" s="4" t="s">
        <v>250</v>
      </c>
      <c r="C7353" s="38" t="s">
        <v>6082</v>
      </c>
      <c r="D7353" s="18">
        <v>2022</v>
      </c>
      <c r="E7353" s="18" t="s">
        <v>0</v>
      </c>
      <c r="F7353" s="42">
        <v>1</v>
      </c>
      <c r="G7353" s="4">
        <v>15</v>
      </c>
      <c r="H7353" s="18">
        <f>0.03406126*(1000)</f>
        <v>34.061260000000004</v>
      </c>
    </row>
    <row r="7354" spans="1:8" s="15" customFormat="1" ht="16.5" hidden="1" customHeight="1" outlineLevel="1" x14ac:dyDescent="0.25">
      <c r="A7354" s="18">
        <v>4498</v>
      </c>
      <c r="B7354" s="4" t="s">
        <v>250</v>
      </c>
      <c r="C7354" s="38" t="s">
        <v>6083</v>
      </c>
      <c r="D7354" s="18">
        <v>2022</v>
      </c>
      <c r="E7354" s="18" t="s">
        <v>0</v>
      </c>
      <c r="F7354" s="42">
        <v>1</v>
      </c>
      <c r="G7354" s="4">
        <v>15</v>
      </c>
      <c r="H7354" s="18">
        <f>0.03421564*(1000)</f>
        <v>34.21564</v>
      </c>
    </row>
    <row r="7355" spans="1:8" s="15" customFormat="1" ht="16.5" hidden="1" customHeight="1" outlineLevel="1" x14ac:dyDescent="0.25">
      <c r="A7355" s="18">
        <v>4500</v>
      </c>
      <c r="B7355" s="4" t="s">
        <v>250</v>
      </c>
      <c r="C7355" s="38" t="s">
        <v>6084</v>
      </c>
      <c r="D7355" s="18">
        <v>2022</v>
      </c>
      <c r="E7355" s="18" t="s">
        <v>0</v>
      </c>
      <c r="F7355" s="42">
        <v>1</v>
      </c>
      <c r="G7355" s="4">
        <v>15</v>
      </c>
      <c r="H7355" s="18">
        <f>0.03421564*(1000)</f>
        <v>34.21564</v>
      </c>
    </row>
    <row r="7356" spans="1:8" s="15" customFormat="1" ht="16.5" hidden="1" customHeight="1" outlineLevel="1" x14ac:dyDescent="0.25">
      <c r="A7356" s="18">
        <v>4531</v>
      </c>
      <c r="B7356" s="4" t="s">
        <v>250</v>
      </c>
      <c r="C7356" s="38" t="s">
        <v>6085</v>
      </c>
      <c r="D7356" s="18">
        <v>2022</v>
      </c>
      <c r="E7356" s="18" t="s">
        <v>0</v>
      </c>
      <c r="F7356" s="42">
        <v>1</v>
      </c>
      <c r="G7356" s="4">
        <v>15</v>
      </c>
      <c r="H7356" s="18">
        <f>0.03406126*(1000)</f>
        <v>34.061260000000004</v>
      </c>
    </row>
    <row r="7357" spans="1:8" s="15" customFormat="1" ht="16.5" hidden="1" customHeight="1" outlineLevel="1" x14ac:dyDescent="0.25">
      <c r="A7357" s="18">
        <v>4532</v>
      </c>
      <c r="B7357" s="4" t="s">
        <v>250</v>
      </c>
      <c r="C7357" s="38" t="s">
        <v>6086</v>
      </c>
      <c r="D7357" s="18">
        <v>2022</v>
      </c>
      <c r="E7357" s="18" t="s">
        <v>0</v>
      </c>
      <c r="F7357" s="42">
        <v>1</v>
      </c>
      <c r="G7357" s="4">
        <v>15</v>
      </c>
      <c r="H7357" s="18">
        <f>0.03421564*(1000)</f>
        <v>34.21564</v>
      </c>
    </row>
    <row r="7358" spans="1:8" s="15" customFormat="1" ht="16.5" hidden="1" customHeight="1" outlineLevel="1" x14ac:dyDescent="0.25">
      <c r="A7358" s="18">
        <v>4534</v>
      </c>
      <c r="B7358" s="4" t="s">
        <v>250</v>
      </c>
      <c r="C7358" s="38" t="s">
        <v>6087</v>
      </c>
      <c r="D7358" s="18">
        <v>2022</v>
      </c>
      <c r="E7358" s="18" t="s">
        <v>0</v>
      </c>
      <c r="F7358" s="42">
        <v>1</v>
      </c>
      <c r="G7358" s="4">
        <v>14</v>
      </c>
      <c r="H7358" s="18">
        <f>0.03421564*(1000)</f>
        <v>34.21564</v>
      </c>
    </row>
    <row r="7359" spans="1:8" s="15" customFormat="1" ht="16.5" hidden="1" customHeight="1" outlineLevel="1" x14ac:dyDescent="0.25">
      <c r="A7359" s="18">
        <v>4539</v>
      </c>
      <c r="B7359" s="4" t="s">
        <v>250</v>
      </c>
      <c r="C7359" s="38" t="s">
        <v>6088</v>
      </c>
      <c r="D7359" s="18">
        <v>2022</v>
      </c>
      <c r="E7359" s="18" t="s">
        <v>0</v>
      </c>
      <c r="F7359" s="42">
        <v>1</v>
      </c>
      <c r="G7359" s="4">
        <v>15</v>
      </c>
      <c r="H7359" s="18">
        <f>0.03406126*(1000)</f>
        <v>34.061260000000004</v>
      </c>
    </row>
    <row r="7360" spans="1:8" s="15" customFormat="1" ht="16.5" hidden="1" customHeight="1" outlineLevel="1" x14ac:dyDescent="0.25">
      <c r="A7360" s="18">
        <v>4540</v>
      </c>
      <c r="B7360" s="4" t="s">
        <v>250</v>
      </c>
      <c r="C7360" s="38" t="s">
        <v>6089</v>
      </c>
      <c r="D7360" s="18">
        <v>2022</v>
      </c>
      <c r="E7360" s="18" t="s">
        <v>0</v>
      </c>
      <c r="F7360" s="42">
        <v>1</v>
      </c>
      <c r="G7360" s="4">
        <v>15</v>
      </c>
      <c r="H7360" s="18">
        <f>0.03406126*(1000)</f>
        <v>34.061260000000004</v>
      </c>
    </row>
    <row r="7361" spans="1:8" s="15" customFormat="1" ht="16.5" hidden="1" customHeight="1" outlineLevel="1" x14ac:dyDescent="0.25">
      <c r="A7361" s="18">
        <v>4541</v>
      </c>
      <c r="B7361" s="4" t="s">
        <v>250</v>
      </c>
      <c r="C7361" s="38" t="s">
        <v>6090</v>
      </c>
      <c r="D7361" s="18">
        <v>2022</v>
      </c>
      <c r="E7361" s="18" t="s">
        <v>0</v>
      </c>
      <c r="F7361" s="42">
        <v>1</v>
      </c>
      <c r="G7361" s="4">
        <v>15</v>
      </c>
      <c r="H7361" s="18">
        <f>0.03405981*(1000)</f>
        <v>34.059810000000006</v>
      </c>
    </row>
    <row r="7362" spans="1:8" s="15" customFormat="1" ht="16.5" hidden="1" customHeight="1" outlineLevel="1" x14ac:dyDescent="0.25">
      <c r="A7362" s="18">
        <v>4542</v>
      </c>
      <c r="B7362" s="4" t="s">
        <v>250</v>
      </c>
      <c r="C7362" s="38" t="s">
        <v>6091</v>
      </c>
      <c r="D7362" s="18">
        <v>2022</v>
      </c>
      <c r="E7362" s="18" t="s">
        <v>0</v>
      </c>
      <c r="F7362" s="42">
        <v>1</v>
      </c>
      <c r="G7362" s="4">
        <v>235</v>
      </c>
      <c r="H7362" s="18">
        <f>0.47096844*(1000)</f>
        <v>470.96843999999999</v>
      </c>
    </row>
    <row r="7363" spans="1:8" s="15" customFormat="1" ht="16.5" hidden="1" customHeight="1" outlineLevel="1" x14ac:dyDescent="0.25">
      <c r="A7363" s="18">
        <v>4543</v>
      </c>
      <c r="B7363" s="4" t="s">
        <v>250</v>
      </c>
      <c r="C7363" s="38" t="s">
        <v>6092</v>
      </c>
      <c r="D7363" s="18">
        <v>2022</v>
      </c>
      <c r="E7363" s="18" t="s">
        <v>0</v>
      </c>
      <c r="F7363" s="42">
        <v>1</v>
      </c>
      <c r="G7363" s="4">
        <v>100</v>
      </c>
      <c r="H7363" s="18">
        <f>0.47118763*(1000)</f>
        <v>471.18763000000001</v>
      </c>
    </row>
    <row r="7364" spans="1:8" s="15" customFormat="1" ht="16.5" hidden="1" customHeight="1" outlineLevel="1" x14ac:dyDescent="0.25">
      <c r="A7364" s="18">
        <v>4544</v>
      </c>
      <c r="B7364" s="4" t="s">
        <v>250</v>
      </c>
      <c r="C7364" s="38" t="s">
        <v>6093</v>
      </c>
      <c r="D7364" s="18">
        <v>2022</v>
      </c>
      <c r="E7364" s="18" t="s">
        <v>0</v>
      </c>
      <c r="F7364" s="42">
        <v>1</v>
      </c>
      <c r="G7364" s="4">
        <v>15</v>
      </c>
      <c r="H7364" s="18">
        <f>0.47383077*(1000)</f>
        <v>473.83077000000003</v>
      </c>
    </row>
    <row r="7365" spans="1:8" s="15" customFormat="1" ht="16.5" hidden="1" customHeight="1" outlineLevel="1" x14ac:dyDescent="0.25">
      <c r="A7365" s="18">
        <v>4545</v>
      </c>
      <c r="B7365" s="4" t="s">
        <v>250</v>
      </c>
      <c r="C7365" s="38" t="s">
        <v>6094</v>
      </c>
      <c r="D7365" s="18">
        <v>2022</v>
      </c>
      <c r="E7365" s="18" t="s">
        <v>0</v>
      </c>
      <c r="F7365" s="42">
        <v>1</v>
      </c>
      <c r="G7365" s="4">
        <v>150</v>
      </c>
      <c r="H7365" s="18">
        <f>0.4728893*(1000)</f>
        <v>472.88929999999999</v>
      </c>
    </row>
    <row r="7366" spans="1:8" s="15" customFormat="1" ht="16.5" hidden="1" customHeight="1" outlineLevel="1" x14ac:dyDescent="0.25">
      <c r="A7366" s="18">
        <v>4546</v>
      </c>
      <c r="B7366" s="4" t="s">
        <v>250</v>
      </c>
      <c r="C7366" s="38" t="s">
        <v>6095</v>
      </c>
      <c r="D7366" s="18">
        <v>2022</v>
      </c>
      <c r="E7366" s="18" t="s">
        <v>0</v>
      </c>
      <c r="F7366" s="42">
        <v>1</v>
      </c>
      <c r="G7366" s="4">
        <v>150</v>
      </c>
      <c r="H7366" s="18">
        <f>0.4738104*(1000)</f>
        <v>473.81040000000002</v>
      </c>
    </row>
    <row r="7367" spans="1:8" s="15" customFormat="1" ht="16.5" hidden="1" customHeight="1" outlineLevel="1" x14ac:dyDescent="0.25">
      <c r="A7367" s="18">
        <v>4547</v>
      </c>
      <c r="B7367" s="4" t="s">
        <v>250</v>
      </c>
      <c r="C7367" s="38" t="s">
        <v>4013</v>
      </c>
      <c r="D7367" s="18">
        <v>2022</v>
      </c>
      <c r="E7367" s="18" t="s">
        <v>0</v>
      </c>
      <c r="F7367" s="42">
        <v>1</v>
      </c>
      <c r="G7367" s="4">
        <v>140</v>
      </c>
      <c r="H7367" s="18">
        <f>0.1978213*(1000)</f>
        <v>197.82130000000001</v>
      </c>
    </row>
    <row r="7368" spans="1:8" s="15" customFormat="1" ht="16.5" hidden="1" customHeight="1" outlineLevel="1" x14ac:dyDescent="0.25">
      <c r="A7368" s="18">
        <v>4548</v>
      </c>
      <c r="B7368" s="4" t="s">
        <v>250</v>
      </c>
      <c r="C7368" s="38" t="s">
        <v>4014</v>
      </c>
      <c r="D7368" s="18">
        <v>2022</v>
      </c>
      <c r="E7368" s="18" t="s">
        <v>0</v>
      </c>
      <c r="F7368" s="42">
        <v>1</v>
      </c>
      <c r="G7368" s="4">
        <v>149</v>
      </c>
      <c r="H7368" s="18">
        <f>0.27812726*(1000)</f>
        <v>278.12725999999998</v>
      </c>
    </row>
    <row r="7369" spans="1:8" s="15" customFormat="1" ht="16.5" hidden="1" customHeight="1" outlineLevel="1" x14ac:dyDescent="0.25">
      <c r="A7369" s="18">
        <v>2712</v>
      </c>
      <c r="B7369" s="4" t="s">
        <v>250</v>
      </c>
      <c r="C7369" s="38" t="s">
        <v>3946</v>
      </c>
      <c r="D7369" s="18">
        <v>2022</v>
      </c>
      <c r="E7369" s="18" t="s">
        <v>0</v>
      </c>
      <c r="F7369" s="42">
        <v>1</v>
      </c>
      <c r="G7369" s="4">
        <v>300</v>
      </c>
      <c r="H7369" s="18">
        <f>0.13146*(1000)</f>
        <v>131.45999999999998</v>
      </c>
    </row>
    <row r="7370" spans="1:8" s="15" customFormat="1" ht="16.5" hidden="1" customHeight="1" outlineLevel="1" x14ac:dyDescent="0.25">
      <c r="A7370" s="18">
        <v>2736</v>
      </c>
      <c r="B7370" s="4" t="s">
        <v>250</v>
      </c>
      <c r="C7370" s="38" t="s">
        <v>6096</v>
      </c>
      <c r="D7370" s="18">
        <v>2022</v>
      </c>
      <c r="E7370" s="18" t="s">
        <v>0</v>
      </c>
      <c r="F7370" s="42">
        <v>3</v>
      </c>
      <c r="G7370" s="4">
        <v>36</v>
      </c>
      <c r="H7370" s="18">
        <f>0.067453*(1000)</f>
        <v>67.453000000000003</v>
      </c>
    </row>
    <row r="7371" spans="1:8" s="15" customFormat="1" ht="16.5" hidden="1" customHeight="1" outlineLevel="1" x14ac:dyDescent="0.25">
      <c r="A7371" s="18">
        <v>2746</v>
      </c>
      <c r="B7371" s="4" t="s">
        <v>250</v>
      </c>
      <c r="C7371" s="38" t="s">
        <v>6097</v>
      </c>
      <c r="D7371" s="18">
        <v>2022</v>
      </c>
      <c r="E7371" s="18" t="s">
        <v>0</v>
      </c>
      <c r="F7371" s="42">
        <v>2</v>
      </c>
      <c r="G7371" s="4">
        <v>12</v>
      </c>
      <c r="H7371" s="18">
        <f>0.053406*(1000)</f>
        <v>53.405999999999999</v>
      </c>
    </row>
    <row r="7372" spans="1:8" s="15" customFormat="1" ht="16.5" hidden="1" customHeight="1" outlineLevel="1" x14ac:dyDescent="0.25">
      <c r="A7372" s="18">
        <v>2759</v>
      </c>
      <c r="B7372" s="4" t="s">
        <v>250</v>
      </c>
      <c r="C7372" s="38" t="s">
        <v>6098</v>
      </c>
      <c r="D7372" s="18">
        <v>2022</v>
      </c>
      <c r="E7372" s="18" t="s">
        <v>0</v>
      </c>
      <c r="F7372" s="42">
        <v>3</v>
      </c>
      <c r="G7372" s="4">
        <v>36.47</v>
      </c>
      <c r="H7372" s="18">
        <f>0.086889*(1000)</f>
        <v>86.888999999999996</v>
      </c>
    </row>
    <row r="7373" spans="1:8" s="15" customFormat="1" ht="16.5" hidden="1" customHeight="1" outlineLevel="1" x14ac:dyDescent="0.25">
      <c r="A7373" s="18">
        <v>2773</v>
      </c>
      <c r="B7373" s="4" t="s">
        <v>250</v>
      </c>
      <c r="C7373" s="38" t="s">
        <v>6099</v>
      </c>
      <c r="D7373" s="18">
        <v>2022</v>
      </c>
      <c r="E7373" s="18" t="s">
        <v>0</v>
      </c>
      <c r="F7373" s="42">
        <v>1</v>
      </c>
      <c r="G7373" s="4">
        <v>5</v>
      </c>
      <c r="H7373" s="18">
        <f>0.039235*(1000)</f>
        <v>39.234999999999999</v>
      </c>
    </row>
    <row r="7374" spans="1:8" s="15" customFormat="1" ht="16.5" hidden="1" customHeight="1" outlineLevel="1" x14ac:dyDescent="0.25">
      <c r="A7374" s="18">
        <v>2789</v>
      </c>
      <c r="B7374" s="4" t="s">
        <v>250</v>
      </c>
      <c r="C7374" s="38" t="s">
        <v>6100</v>
      </c>
      <c r="D7374" s="18">
        <v>2022</v>
      </c>
      <c r="E7374" s="18" t="s">
        <v>0</v>
      </c>
      <c r="F7374" s="42">
        <v>1</v>
      </c>
      <c r="G7374" s="4">
        <v>15</v>
      </c>
      <c r="H7374" s="18">
        <f>0.039155*(1000)</f>
        <v>39.155000000000001</v>
      </c>
    </row>
    <row r="7375" spans="1:8" s="15" customFormat="1" ht="16.5" hidden="1" customHeight="1" outlineLevel="1" x14ac:dyDescent="0.25">
      <c r="A7375" s="18">
        <v>2794</v>
      </c>
      <c r="B7375" s="4" t="s">
        <v>250</v>
      </c>
      <c r="C7375" s="38" t="s">
        <v>6101</v>
      </c>
      <c r="D7375" s="18">
        <v>2022</v>
      </c>
      <c r="E7375" s="18" t="s">
        <v>0</v>
      </c>
      <c r="F7375" s="42">
        <v>1</v>
      </c>
      <c r="G7375" s="4">
        <v>10</v>
      </c>
      <c r="H7375" s="18">
        <f>0.029518*(1000)</f>
        <v>29.518000000000001</v>
      </c>
    </row>
    <row r="7376" spans="1:8" s="15" customFormat="1" ht="16.5" hidden="1" customHeight="1" outlineLevel="1" x14ac:dyDescent="0.25">
      <c r="A7376" s="18">
        <v>2801</v>
      </c>
      <c r="B7376" s="4" t="s">
        <v>250</v>
      </c>
      <c r="C7376" s="38" t="s">
        <v>6102</v>
      </c>
      <c r="D7376" s="18">
        <v>2022</v>
      </c>
      <c r="E7376" s="18" t="s">
        <v>0</v>
      </c>
      <c r="F7376" s="42">
        <v>4</v>
      </c>
      <c r="G7376" s="4">
        <v>27</v>
      </c>
      <c r="H7376" s="18">
        <f>0.07227261*(1000)</f>
        <v>72.27261</v>
      </c>
    </row>
    <row r="7377" spans="1:8" s="15" customFormat="1" ht="16.5" hidden="1" customHeight="1" outlineLevel="1" x14ac:dyDescent="0.25">
      <c r="A7377" s="18">
        <v>2805</v>
      </c>
      <c r="B7377" s="4" t="s">
        <v>250</v>
      </c>
      <c r="C7377" s="38" t="s">
        <v>6103</v>
      </c>
      <c r="D7377" s="18">
        <v>2022</v>
      </c>
      <c r="E7377" s="18" t="s">
        <v>0</v>
      </c>
      <c r="F7377" s="42">
        <v>2</v>
      </c>
      <c r="G7377" s="4">
        <v>30</v>
      </c>
      <c r="H7377" s="18">
        <f>0.052311*(1000)</f>
        <v>52.311</v>
      </c>
    </row>
    <row r="7378" spans="1:8" s="15" customFormat="1" ht="16.5" hidden="1" customHeight="1" outlineLevel="1" x14ac:dyDescent="0.25">
      <c r="A7378" s="18">
        <v>2810</v>
      </c>
      <c r="B7378" s="4" t="s">
        <v>250</v>
      </c>
      <c r="C7378" s="38" t="s">
        <v>3355</v>
      </c>
      <c r="D7378" s="18">
        <v>2022</v>
      </c>
      <c r="E7378" s="18" t="s">
        <v>0</v>
      </c>
      <c r="F7378" s="42">
        <v>1</v>
      </c>
      <c r="G7378" s="4">
        <v>10</v>
      </c>
      <c r="H7378" s="18">
        <f>0.090238*(1000)</f>
        <v>90.238</v>
      </c>
    </row>
    <row r="7379" spans="1:8" s="15" customFormat="1" ht="16.5" hidden="1" customHeight="1" outlineLevel="1" x14ac:dyDescent="0.25">
      <c r="A7379" s="18">
        <v>2812</v>
      </c>
      <c r="B7379" s="4" t="s">
        <v>250</v>
      </c>
      <c r="C7379" s="38" t="s">
        <v>6104</v>
      </c>
      <c r="D7379" s="18">
        <v>2022</v>
      </c>
      <c r="E7379" s="18" t="s">
        <v>0</v>
      </c>
      <c r="F7379" s="42">
        <v>1</v>
      </c>
      <c r="G7379" s="4">
        <v>10</v>
      </c>
      <c r="H7379" s="18">
        <f>0.029411*(1000)</f>
        <v>29.411000000000001</v>
      </c>
    </row>
    <row r="7380" spans="1:8" s="15" customFormat="1" ht="16.5" hidden="1" customHeight="1" outlineLevel="1" x14ac:dyDescent="0.25">
      <c r="A7380" s="18">
        <v>2844</v>
      </c>
      <c r="B7380" s="4" t="s">
        <v>250</v>
      </c>
      <c r="C7380" s="38" t="s">
        <v>3356</v>
      </c>
      <c r="D7380" s="18">
        <v>2022</v>
      </c>
      <c r="E7380" s="18" t="s">
        <v>0</v>
      </c>
      <c r="F7380" s="42">
        <v>1</v>
      </c>
      <c r="G7380" s="4">
        <v>80</v>
      </c>
      <c r="H7380" s="18">
        <f>0.10055*(1000)</f>
        <v>100.55</v>
      </c>
    </row>
    <row r="7381" spans="1:8" s="15" customFormat="1" ht="16.5" hidden="1" customHeight="1" outlineLevel="1" x14ac:dyDescent="0.25">
      <c r="A7381" s="18">
        <v>2881</v>
      </c>
      <c r="B7381" s="4" t="s">
        <v>250</v>
      </c>
      <c r="C7381" s="38" t="s">
        <v>4015</v>
      </c>
      <c r="D7381" s="18">
        <v>2022</v>
      </c>
      <c r="E7381" s="18" t="s">
        <v>0</v>
      </c>
      <c r="F7381" s="42">
        <v>1</v>
      </c>
      <c r="G7381" s="4">
        <v>130</v>
      </c>
      <c r="H7381" s="18">
        <f>0.134121*(1000)</f>
        <v>134.12099999999998</v>
      </c>
    </row>
    <row r="7382" spans="1:8" s="15" customFormat="1" ht="16.5" hidden="1" customHeight="1" outlineLevel="1" x14ac:dyDescent="0.25">
      <c r="A7382" s="18">
        <v>2887</v>
      </c>
      <c r="B7382" s="4" t="s">
        <v>250</v>
      </c>
      <c r="C7382" s="38" t="s">
        <v>3357</v>
      </c>
      <c r="D7382" s="18">
        <v>2022</v>
      </c>
      <c r="E7382" s="18" t="s">
        <v>0</v>
      </c>
      <c r="F7382" s="42">
        <v>1</v>
      </c>
      <c r="G7382" s="4">
        <v>100</v>
      </c>
      <c r="H7382" s="18">
        <f>0.082333*(1000)</f>
        <v>82.332999999999998</v>
      </c>
    </row>
    <row r="7383" spans="1:8" s="15" customFormat="1" ht="16.5" hidden="1" customHeight="1" outlineLevel="1" x14ac:dyDescent="0.25">
      <c r="A7383" s="18">
        <v>2929</v>
      </c>
      <c r="B7383" s="4" t="s">
        <v>250</v>
      </c>
      <c r="C7383" s="38" t="s">
        <v>6105</v>
      </c>
      <c r="D7383" s="18">
        <v>2022</v>
      </c>
      <c r="E7383" s="18" t="s">
        <v>0</v>
      </c>
      <c r="F7383" s="42">
        <v>2</v>
      </c>
      <c r="G7383" s="4">
        <v>27</v>
      </c>
      <c r="H7383" s="18">
        <f>0.04682857*(1000)</f>
        <v>46.828569999999999</v>
      </c>
    </row>
    <row r="7384" spans="1:8" s="15" customFormat="1" ht="16.5" hidden="1" customHeight="1" outlineLevel="1" x14ac:dyDescent="0.25">
      <c r="A7384" s="18">
        <v>2930</v>
      </c>
      <c r="B7384" s="4" t="s">
        <v>250</v>
      </c>
      <c r="C7384" s="38" t="s">
        <v>6106</v>
      </c>
      <c r="D7384" s="18">
        <v>2022</v>
      </c>
      <c r="E7384" s="18" t="s">
        <v>0</v>
      </c>
      <c r="F7384" s="42">
        <v>1</v>
      </c>
      <c r="G7384" s="4">
        <v>5</v>
      </c>
      <c r="H7384" s="18">
        <f>0.03525092*(1000)</f>
        <v>35.250920000000001</v>
      </c>
    </row>
    <row r="7385" spans="1:8" s="15" customFormat="1" ht="16.5" hidden="1" customHeight="1" outlineLevel="1" x14ac:dyDescent="0.25">
      <c r="A7385" s="18">
        <v>2931</v>
      </c>
      <c r="B7385" s="4" t="s">
        <v>250</v>
      </c>
      <c r="C7385" s="38" t="s">
        <v>6107</v>
      </c>
      <c r="D7385" s="18">
        <v>2022</v>
      </c>
      <c r="E7385" s="18" t="s">
        <v>0</v>
      </c>
      <c r="F7385" s="42">
        <v>2</v>
      </c>
      <c r="G7385" s="4">
        <v>28</v>
      </c>
      <c r="H7385" s="18">
        <f>0.06951559*(1000)</f>
        <v>69.515590000000003</v>
      </c>
    </row>
    <row r="7386" spans="1:8" s="15" customFormat="1" ht="16.5" hidden="1" customHeight="1" outlineLevel="1" x14ac:dyDescent="0.25">
      <c r="A7386" s="18">
        <v>2932</v>
      </c>
      <c r="B7386" s="4" t="s">
        <v>250</v>
      </c>
      <c r="C7386" s="38" t="s">
        <v>6108</v>
      </c>
      <c r="D7386" s="18">
        <v>2022</v>
      </c>
      <c r="E7386" s="18" t="s">
        <v>0</v>
      </c>
      <c r="F7386" s="42">
        <v>2</v>
      </c>
      <c r="G7386" s="4">
        <v>21</v>
      </c>
      <c r="H7386" s="18">
        <f>0.06438746*(1000)</f>
        <v>64.38745999999999</v>
      </c>
    </row>
    <row r="7387" spans="1:8" s="15" customFormat="1" ht="16.5" hidden="1" customHeight="1" outlineLevel="1" x14ac:dyDescent="0.25">
      <c r="A7387" s="18">
        <v>2934</v>
      </c>
      <c r="B7387" s="4" t="s">
        <v>250</v>
      </c>
      <c r="C7387" s="38" t="s">
        <v>6109</v>
      </c>
      <c r="D7387" s="18">
        <v>2022</v>
      </c>
      <c r="E7387" s="18" t="s">
        <v>0</v>
      </c>
      <c r="F7387" s="42">
        <v>3</v>
      </c>
      <c r="G7387" s="4">
        <v>29</v>
      </c>
      <c r="H7387" s="18">
        <f>0.10109676*(1000)</f>
        <v>101.09675999999999</v>
      </c>
    </row>
    <row r="7388" spans="1:8" s="15" customFormat="1" ht="16.5" hidden="1" customHeight="1" outlineLevel="1" x14ac:dyDescent="0.25">
      <c r="A7388" s="18">
        <v>2935</v>
      </c>
      <c r="B7388" s="4" t="s">
        <v>250</v>
      </c>
      <c r="C7388" s="38" t="s">
        <v>6110</v>
      </c>
      <c r="D7388" s="18">
        <v>2022</v>
      </c>
      <c r="E7388" s="18" t="s">
        <v>0</v>
      </c>
      <c r="F7388" s="42">
        <v>3</v>
      </c>
      <c r="G7388" s="4">
        <v>33</v>
      </c>
      <c r="H7388" s="18">
        <f>0.09736707*(1000)</f>
        <v>97.367069999999998</v>
      </c>
    </row>
    <row r="7389" spans="1:8" s="15" customFormat="1" ht="16.5" hidden="1" customHeight="1" outlineLevel="1" x14ac:dyDescent="0.25">
      <c r="A7389" s="18">
        <v>2940</v>
      </c>
      <c r="B7389" s="4" t="s">
        <v>250</v>
      </c>
      <c r="C7389" s="38" t="s">
        <v>6111</v>
      </c>
      <c r="D7389" s="18">
        <v>2022</v>
      </c>
      <c r="E7389" s="18" t="s">
        <v>0</v>
      </c>
      <c r="F7389" s="42">
        <v>3</v>
      </c>
      <c r="G7389" s="4">
        <v>31</v>
      </c>
      <c r="H7389" s="18">
        <f>0.08577041*(1000)</f>
        <v>85.770409999999998</v>
      </c>
    </row>
    <row r="7390" spans="1:8" s="15" customFormat="1" ht="16.5" hidden="1" customHeight="1" outlineLevel="1" x14ac:dyDescent="0.25">
      <c r="A7390" s="18">
        <v>2945</v>
      </c>
      <c r="B7390" s="4" t="s">
        <v>250</v>
      </c>
      <c r="C7390" s="38" t="s">
        <v>6112</v>
      </c>
      <c r="D7390" s="18">
        <v>2022</v>
      </c>
      <c r="E7390" s="18" t="s">
        <v>0</v>
      </c>
      <c r="F7390" s="42">
        <v>2</v>
      </c>
      <c r="G7390" s="4">
        <v>10</v>
      </c>
      <c r="H7390" s="18">
        <f>0.04721791*(1000)</f>
        <v>47.217910000000003</v>
      </c>
    </row>
    <row r="7391" spans="1:8" s="15" customFormat="1" ht="16.5" hidden="1" customHeight="1" outlineLevel="1" x14ac:dyDescent="0.25">
      <c r="A7391" s="18">
        <v>2965</v>
      </c>
      <c r="B7391" s="4" t="s">
        <v>250</v>
      </c>
      <c r="C7391" s="38" t="s">
        <v>6113</v>
      </c>
      <c r="D7391" s="18">
        <v>2022</v>
      </c>
      <c r="E7391" s="18" t="s">
        <v>0</v>
      </c>
      <c r="F7391" s="42">
        <v>2</v>
      </c>
      <c r="G7391" s="4">
        <v>20</v>
      </c>
      <c r="H7391" s="18">
        <f>0.03824764*(1000)</f>
        <v>38.247639999999997</v>
      </c>
    </row>
    <row r="7392" spans="1:8" s="15" customFormat="1" ht="16.5" hidden="1" customHeight="1" outlineLevel="1" x14ac:dyDescent="0.25">
      <c r="A7392" s="18">
        <v>2966</v>
      </c>
      <c r="B7392" s="4" t="s">
        <v>250</v>
      </c>
      <c r="C7392" s="38" t="s">
        <v>6114</v>
      </c>
      <c r="D7392" s="18">
        <v>2022</v>
      </c>
      <c r="E7392" s="18" t="s">
        <v>0</v>
      </c>
      <c r="F7392" s="42">
        <v>1</v>
      </c>
      <c r="G7392" s="4">
        <v>15</v>
      </c>
      <c r="H7392" s="18">
        <f>0.02574581*(1000)</f>
        <v>25.745810000000002</v>
      </c>
    </row>
    <row r="7393" spans="1:8" s="15" customFormat="1" ht="16.5" hidden="1" customHeight="1" outlineLevel="1" x14ac:dyDescent="0.25">
      <c r="A7393" s="18">
        <v>2990</v>
      </c>
      <c r="B7393" s="4" t="s">
        <v>250</v>
      </c>
      <c r="C7393" s="38" t="s">
        <v>4266</v>
      </c>
      <c r="D7393" s="18">
        <v>2022</v>
      </c>
      <c r="E7393" s="18" t="s">
        <v>0</v>
      </c>
      <c r="F7393" s="42">
        <v>1</v>
      </c>
      <c r="G7393" s="4">
        <v>150</v>
      </c>
      <c r="H7393" s="18">
        <f>0.17073262*(1000)</f>
        <v>170.73262</v>
      </c>
    </row>
    <row r="7394" spans="1:8" s="15" customFormat="1" ht="16.5" hidden="1" customHeight="1" outlineLevel="1" x14ac:dyDescent="0.25">
      <c r="A7394" s="18">
        <v>3003</v>
      </c>
      <c r="B7394" s="4" t="s">
        <v>250</v>
      </c>
      <c r="C7394" s="38" t="s">
        <v>3947</v>
      </c>
      <c r="D7394" s="18">
        <v>2022</v>
      </c>
      <c r="E7394" s="18" t="s">
        <v>0</v>
      </c>
      <c r="F7394" s="42">
        <v>12</v>
      </c>
      <c r="G7394" s="4">
        <v>185</v>
      </c>
      <c r="H7394" s="18">
        <f>0.463605*(1000)</f>
        <v>463.60499999999996</v>
      </c>
    </row>
    <row r="7395" spans="1:8" s="15" customFormat="1" ht="16.5" hidden="1" customHeight="1" outlineLevel="1" x14ac:dyDescent="0.25">
      <c r="A7395" s="18">
        <v>3009</v>
      </c>
      <c r="B7395" s="4" t="s">
        <v>250</v>
      </c>
      <c r="C7395" s="38" t="s">
        <v>6115</v>
      </c>
      <c r="D7395" s="18">
        <v>2022</v>
      </c>
      <c r="E7395" s="18" t="s">
        <v>0</v>
      </c>
      <c r="F7395" s="42">
        <v>1</v>
      </c>
      <c r="G7395" s="4">
        <v>15</v>
      </c>
      <c r="H7395" s="18">
        <f>0.02178738*(1000)</f>
        <v>21.787379999999999</v>
      </c>
    </row>
    <row r="7396" spans="1:8" s="15" customFormat="1" ht="16.5" hidden="1" customHeight="1" outlineLevel="1" x14ac:dyDescent="0.25">
      <c r="A7396" s="18">
        <v>3011</v>
      </c>
      <c r="B7396" s="4" t="s">
        <v>250</v>
      </c>
      <c r="C7396" s="38" t="s">
        <v>6116</v>
      </c>
      <c r="D7396" s="18">
        <v>2022</v>
      </c>
      <c r="E7396" s="18" t="s">
        <v>0</v>
      </c>
      <c r="F7396" s="42">
        <v>1</v>
      </c>
      <c r="G7396" s="4">
        <v>5</v>
      </c>
      <c r="H7396" s="18">
        <f>0.0217877*(1000)</f>
        <v>21.787700000000001</v>
      </c>
    </row>
    <row r="7397" spans="1:8" s="15" customFormat="1" ht="16.5" hidden="1" customHeight="1" outlineLevel="1" x14ac:dyDescent="0.25">
      <c r="A7397" s="18">
        <v>2711</v>
      </c>
      <c r="B7397" s="4" t="s">
        <v>250</v>
      </c>
      <c r="C7397" s="38" t="s">
        <v>3948</v>
      </c>
      <c r="D7397" s="18">
        <v>2022</v>
      </c>
      <c r="E7397" s="18" t="s">
        <v>0</v>
      </c>
      <c r="F7397" s="42">
        <v>2</v>
      </c>
      <c r="G7397" s="4">
        <v>194.71</v>
      </c>
      <c r="H7397" s="18">
        <f>0.525567*(1000)</f>
        <v>525.56700000000001</v>
      </c>
    </row>
    <row r="7398" spans="1:8" s="15" customFormat="1" ht="16.5" hidden="1" customHeight="1" outlineLevel="1" x14ac:dyDescent="0.25">
      <c r="A7398" s="18">
        <v>2737</v>
      </c>
      <c r="B7398" s="4" t="s">
        <v>250</v>
      </c>
      <c r="C7398" s="38" t="s">
        <v>6117</v>
      </c>
      <c r="D7398" s="18">
        <v>2022</v>
      </c>
      <c r="E7398" s="18" t="s">
        <v>0</v>
      </c>
      <c r="F7398" s="42">
        <v>11</v>
      </c>
      <c r="G7398" s="4">
        <v>137</v>
      </c>
      <c r="H7398" s="18">
        <f>0.20217965*(1000)</f>
        <v>202.17964999999998</v>
      </c>
    </row>
    <row r="7399" spans="1:8" s="15" customFormat="1" ht="16.5" hidden="1" customHeight="1" outlineLevel="1" x14ac:dyDescent="0.25">
      <c r="A7399" s="18">
        <v>2739</v>
      </c>
      <c r="B7399" s="4" t="s">
        <v>250</v>
      </c>
      <c r="C7399" s="38" t="s">
        <v>6118</v>
      </c>
      <c r="D7399" s="18">
        <v>2022</v>
      </c>
      <c r="E7399" s="18" t="s">
        <v>0</v>
      </c>
      <c r="F7399" s="42">
        <v>1</v>
      </c>
      <c r="G7399" s="4">
        <v>15</v>
      </c>
      <c r="H7399" s="18">
        <f>0.02677759*(1000)</f>
        <v>26.77759</v>
      </c>
    </row>
    <row r="7400" spans="1:8" s="15" customFormat="1" ht="16.5" hidden="1" customHeight="1" outlineLevel="1" x14ac:dyDescent="0.25">
      <c r="A7400" s="18">
        <v>2740</v>
      </c>
      <c r="B7400" s="4" t="s">
        <v>250</v>
      </c>
      <c r="C7400" s="38" t="s">
        <v>6119</v>
      </c>
      <c r="D7400" s="18">
        <v>2022</v>
      </c>
      <c r="E7400" s="18" t="s">
        <v>0</v>
      </c>
      <c r="F7400" s="42">
        <v>8</v>
      </c>
      <c r="G7400" s="4">
        <v>90</v>
      </c>
      <c r="H7400" s="18">
        <f>0.14204158*(1000)</f>
        <v>142.04158000000001</v>
      </c>
    </row>
    <row r="7401" spans="1:8" s="15" customFormat="1" ht="16.5" hidden="1" customHeight="1" outlineLevel="1" x14ac:dyDescent="0.25">
      <c r="A7401" s="18">
        <v>2742</v>
      </c>
      <c r="B7401" s="4" t="s">
        <v>250</v>
      </c>
      <c r="C7401" s="38" t="s">
        <v>6120</v>
      </c>
      <c r="D7401" s="18">
        <v>2022</v>
      </c>
      <c r="E7401" s="18" t="s">
        <v>0</v>
      </c>
      <c r="F7401" s="42">
        <v>6</v>
      </c>
      <c r="G7401" s="4">
        <v>75</v>
      </c>
      <c r="H7401" s="18">
        <f>0.10230505*(1000)</f>
        <v>102.30504999999999</v>
      </c>
    </row>
    <row r="7402" spans="1:8" s="15" customFormat="1" ht="16.5" hidden="1" customHeight="1" outlineLevel="1" x14ac:dyDescent="0.25">
      <c r="A7402" s="18">
        <v>2744</v>
      </c>
      <c r="B7402" s="4" t="s">
        <v>250</v>
      </c>
      <c r="C7402" s="38" t="s">
        <v>6121</v>
      </c>
      <c r="D7402" s="18">
        <v>2022</v>
      </c>
      <c r="E7402" s="18" t="s">
        <v>0</v>
      </c>
      <c r="F7402" s="42">
        <v>7</v>
      </c>
      <c r="G7402" s="4">
        <v>80</v>
      </c>
      <c r="H7402" s="18">
        <f>0.10811874*(1000)</f>
        <v>108.11874</v>
      </c>
    </row>
    <row r="7403" spans="1:8" s="15" customFormat="1" ht="16.5" hidden="1" customHeight="1" outlineLevel="1" x14ac:dyDescent="0.25">
      <c r="A7403" s="18">
        <v>2745</v>
      </c>
      <c r="B7403" s="4" t="s">
        <v>250</v>
      </c>
      <c r="C7403" s="38" t="s">
        <v>6122</v>
      </c>
      <c r="D7403" s="18">
        <v>2022</v>
      </c>
      <c r="E7403" s="18" t="s">
        <v>0</v>
      </c>
      <c r="F7403" s="42">
        <v>6</v>
      </c>
      <c r="G7403" s="4">
        <v>70</v>
      </c>
      <c r="H7403" s="18">
        <f>0.10256023*(1000)</f>
        <v>102.56023</v>
      </c>
    </row>
    <row r="7404" spans="1:8" s="15" customFormat="1" ht="16.5" hidden="1" customHeight="1" outlineLevel="1" x14ac:dyDescent="0.25">
      <c r="A7404" s="18">
        <v>2747</v>
      </c>
      <c r="B7404" s="4" t="s">
        <v>250</v>
      </c>
      <c r="C7404" s="38" t="s">
        <v>6123</v>
      </c>
      <c r="D7404" s="18">
        <v>2022</v>
      </c>
      <c r="E7404" s="18" t="s">
        <v>0</v>
      </c>
      <c r="F7404" s="42">
        <v>1</v>
      </c>
      <c r="G7404" s="4">
        <v>15</v>
      </c>
      <c r="H7404" s="18">
        <f>0.03499978*(1000)</f>
        <v>34.999780000000001</v>
      </c>
    </row>
    <row r="7405" spans="1:8" s="15" customFormat="1" ht="16.5" hidden="1" customHeight="1" outlineLevel="1" x14ac:dyDescent="0.25">
      <c r="A7405" s="18">
        <v>2748</v>
      </c>
      <c r="B7405" s="4" t="s">
        <v>250</v>
      </c>
      <c r="C7405" s="38" t="s">
        <v>6124</v>
      </c>
      <c r="D7405" s="18">
        <v>2022</v>
      </c>
      <c r="E7405" s="18" t="s">
        <v>0</v>
      </c>
      <c r="F7405" s="42">
        <v>2</v>
      </c>
      <c r="G7405" s="4">
        <v>20</v>
      </c>
      <c r="H7405" s="18">
        <f>0.06936719*(1000)</f>
        <v>69.367189999999994</v>
      </c>
    </row>
    <row r="7406" spans="1:8" s="15" customFormat="1" ht="16.5" hidden="1" customHeight="1" outlineLevel="1" x14ac:dyDescent="0.25">
      <c r="A7406" s="18">
        <v>2753</v>
      </c>
      <c r="B7406" s="4" t="s">
        <v>250</v>
      </c>
      <c r="C7406" s="38" t="s">
        <v>6125</v>
      </c>
      <c r="D7406" s="18">
        <v>2022</v>
      </c>
      <c r="E7406" s="18" t="s">
        <v>0</v>
      </c>
      <c r="F7406" s="42">
        <v>13</v>
      </c>
      <c r="G7406" s="4">
        <v>167</v>
      </c>
      <c r="H7406" s="18">
        <f>0.21397526*(1000)</f>
        <v>213.97525999999999</v>
      </c>
    </row>
    <row r="7407" spans="1:8" s="15" customFormat="1" ht="16.5" hidden="1" customHeight="1" outlineLevel="1" x14ac:dyDescent="0.25">
      <c r="A7407" s="18">
        <v>2754</v>
      </c>
      <c r="B7407" s="4" t="s">
        <v>250</v>
      </c>
      <c r="C7407" s="38" t="s">
        <v>6126</v>
      </c>
      <c r="D7407" s="18">
        <v>2022</v>
      </c>
      <c r="E7407" s="18" t="s">
        <v>0</v>
      </c>
      <c r="F7407" s="42">
        <v>2</v>
      </c>
      <c r="G7407" s="4">
        <v>23</v>
      </c>
      <c r="H7407" s="18">
        <f>0.04937032*(1000)</f>
        <v>49.37032</v>
      </c>
    </row>
    <row r="7408" spans="1:8" s="15" customFormat="1" ht="16.5" hidden="1" customHeight="1" outlineLevel="1" x14ac:dyDescent="0.25">
      <c r="A7408" s="18">
        <v>2755</v>
      </c>
      <c r="B7408" s="4" t="s">
        <v>250</v>
      </c>
      <c r="C7408" s="38" t="s">
        <v>6127</v>
      </c>
      <c r="D7408" s="18">
        <v>2022</v>
      </c>
      <c r="E7408" s="18" t="s">
        <v>0</v>
      </c>
      <c r="F7408" s="42">
        <v>6</v>
      </c>
      <c r="G7408" s="4">
        <v>65</v>
      </c>
      <c r="H7408" s="18">
        <f>0.08565756*(1000)</f>
        <v>85.657559999999989</v>
      </c>
    </row>
    <row r="7409" spans="1:8" s="15" customFormat="1" ht="16.5" hidden="1" customHeight="1" outlineLevel="1" x14ac:dyDescent="0.25">
      <c r="A7409" s="18">
        <v>2756</v>
      </c>
      <c r="B7409" s="4" t="s">
        <v>250</v>
      </c>
      <c r="C7409" s="38" t="s">
        <v>6128</v>
      </c>
      <c r="D7409" s="18">
        <v>2022</v>
      </c>
      <c r="E7409" s="18" t="s">
        <v>0</v>
      </c>
      <c r="F7409" s="42">
        <v>5</v>
      </c>
      <c r="G7409" s="4">
        <v>57</v>
      </c>
      <c r="H7409" s="18">
        <f>0.14098678*(1000)</f>
        <v>140.98678000000001</v>
      </c>
    </row>
    <row r="7410" spans="1:8" s="15" customFormat="1" ht="16.5" hidden="1" customHeight="1" outlineLevel="1" x14ac:dyDescent="0.25">
      <c r="A7410" s="18">
        <v>2757</v>
      </c>
      <c r="B7410" s="4" t="s">
        <v>250</v>
      </c>
      <c r="C7410" s="38" t="s">
        <v>6129</v>
      </c>
      <c r="D7410" s="18">
        <v>2022</v>
      </c>
      <c r="E7410" s="18" t="s">
        <v>0</v>
      </c>
      <c r="F7410" s="42">
        <v>6</v>
      </c>
      <c r="G7410" s="4">
        <v>75</v>
      </c>
      <c r="H7410" s="18">
        <f>0.10230503*(1000)</f>
        <v>102.30503</v>
      </c>
    </row>
    <row r="7411" spans="1:8" s="15" customFormat="1" ht="16.5" hidden="1" customHeight="1" outlineLevel="1" x14ac:dyDescent="0.25">
      <c r="A7411" s="18">
        <v>2758</v>
      </c>
      <c r="B7411" s="4" t="s">
        <v>250</v>
      </c>
      <c r="C7411" s="38" t="s">
        <v>6130</v>
      </c>
      <c r="D7411" s="18">
        <v>2022</v>
      </c>
      <c r="E7411" s="18" t="s">
        <v>0</v>
      </c>
      <c r="F7411" s="42">
        <v>5</v>
      </c>
      <c r="G7411" s="4">
        <v>62</v>
      </c>
      <c r="H7411" s="18">
        <f>0.08337475*(1000)</f>
        <v>83.374749999999992</v>
      </c>
    </row>
    <row r="7412" spans="1:8" s="15" customFormat="1" ht="16.5" hidden="1" customHeight="1" outlineLevel="1" x14ac:dyDescent="0.25">
      <c r="A7412" s="18">
        <v>2761</v>
      </c>
      <c r="B7412" s="4" t="s">
        <v>250</v>
      </c>
      <c r="C7412" s="38" t="s">
        <v>6131</v>
      </c>
      <c r="D7412" s="18">
        <v>2022</v>
      </c>
      <c r="E7412" s="18" t="s">
        <v>0</v>
      </c>
      <c r="F7412" s="42">
        <v>11</v>
      </c>
      <c r="G7412" s="4">
        <v>145</v>
      </c>
      <c r="H7412" s="18">
        <f>0.20140731*(1000)</f>
        <v>201.40731</v>
      </c>
    </row>
    <row r="7413" spans="1:8" s="15" customFormat="1" ht="16.5" hidden="1" customHeight="1" outlineLevel="1" x14ac:dyDescent="0.25">
      <c r="A7413" s="18">
        <v>2762</v>
      </c>
      <c r="B7413" s="4" t="s">
        <v>250</v>
      </c>
      <c r="C7413" s="38" t="s">
        <v>6132</v>
      </c>
      <c r="D7413" s="18">
        <v>2022</v>
      </c>
      <c r="E7413" s="18" t="s">
        <v>0</v>
      </c>
      <c r="F7413" s="42">
        <v>7</v>
      </c>
      <c r="G7413" s="4">
        <v>75</v>
      </c>
      <c r="H7413" s="18">
        <f>0.08642305*(1000)</f>
        <v>86.423050000000003</v>
      </c>
    </row>
    <row r="7414" spans="1:8" s="15" customFormat="1" ht="16.5" hidden="1" customHeight="1" outlineLevel="1" x14ac:dyDescent="0.25">
      <c r="A7414" s="18">
        <v>2763</v>
      </c>
      <c r="B7414" s="4" t="s">
        <v>250</v>
      </c>
      <c r="C7414" s="38" t="s">
        <v>6133</v>
      </c>
      <c r="D7414" s="18">
        <v>2022</v>
      </c>
      <c r="E7414" s="18" t="s">
        <v>0</v>
      </c>
      <c r="F7414" s="42">
        <v>1</v>
      </c>
      <c r="G7414" s="4">
        <v>50</v>
      </c>
      <c r="H7414" s="18">
        <f>0.03872536*(1000)</f>
        <v>38.725360000000002</v>
      </c>
    </row>
    <row r="7415" spans="1:8" s="15" customFormat="1" ht="16.5" hidden="1" customHeight="1" outlineLevel="1" x14ac:dyDescent="0.25">
      <c r="A7415" s="18">
        <v>2764</v>
      </c>
      <c r="B7415" s="4" t="s">
        <v>250</v>
      </c>
      <c r="C7415" s="38" t="s">
        <v>6134</v>
      </c>
      <c r="D7415" s="18">
        <v>2022</v>
      </c>
      <c r="E7415" s="18" t="s">
        <v>0</v>
      </c>
      <c r="F7415" s="42">
        <v>2</v>
      </c>
      <c r="G7415" s="4">
        <v>26</v>
      </c>
      <c r="H7415" s="18">
        <f>0.06386349*(1000)</f>
        <v>63.863489999999992</v>
      </c>
    </row>
    <row r="7416" spans="1:8" s="15" customFormat="1" ht="16.5" hidden="1" customHeight="1" outlineLevel="1" x14ac:dyDescent="0.25">
      <c r="A7416" s="18">
        <v>2767</v>
      </c>
      <c r="B7416" s="4" t="s">
        <v>250</v>
      </c>
      <c r="C7416" s="38" t="s">
        <v>6135</v>
      </c>
      <c r="D7416" s="18">
        <v>2022</v>
      </c>
      <c r="E7416" s="18" t="s">
        <v>0</v>
      </c>
      <c r="F7416" s="42">
        <v>17</v>
      </c>
      <c r="G7416" s="4">
        <v>178</v>
      </c>
      <c r="H7416" s="18">
        <f>0.2308727*(1000)</f>
        <v>230.87269999999998</v>
      </c>
    </row>
    <row r="7417" spans="1:8" s="15" customFormat="1" ht="16.5" hidden="1" customHeight="1" outlineLevel="1" x14ac:dyDescent="0.25">
      <c r="A7417" s="18">
        <v>2774</v>
      </c>
      <c r="B7417" s="4" t="s">
        <v>250</v>
      </c>
      <c r="C7417" s="38" t="s">
        <v>6136</v>
      </c>
      <c r="D7417" s="18">
        <v>2022</v>
      </c>
      <c r="E7417" s="18" t="s">
        <v>0</v>
      </c>
      <c r="F7417" s="42">
        <v>7</v>
      </c>
      <c r="G7417" s="4">
        <v>83</v>
      </c>
      <c r="H7417" s="18">
        <f>0.16502509*(1000)</f>
        <v>165.02509000000001</v>
      </c>
    </row>
    <row r="7418" spans="1:8" s="15" customFormat="1" ht="16.5" hidden="1" customHeight="1" outlineLevel="1" x14ac:dyDescent="0.25">
      <c r="A7418" s="18">
        <v>2775</v>
      </c>
      <c r="B7418" s="4" t="s">
        <v>250</v>
      </c>
      <c r="C7418" s="38" t="s">
        <v>6137</v>
      </c>
      <c r="D7418" s="18">
        <v>2022</v>
      </c>
      <c r="E7418" s="18" t="s">
        <v>0</v>
      </c>
      <c r="F7418" s="42">
        <v>1</v>
      </c>
      <c r="G7418" s="4">
        <v>40</v>
      </c>
      <c r="H7418" s="18">
        <f>0.03539498*(1000)</f>
        <v>35.394979999999997</v>
      </c>
    </row>
    <row r="7419" spans="1:8" s="15" customFormat="1" ht="16.5" hidden="1" customHeight="1" outlineLevel="1" x14ac:dyDescent="0.25">
      <c r="A7419" s="18">
        <v>2787</v>
      </c>
      <c r="B7419" s="4" t="s">
        <v>250</v>
      </c>
      <c r="C7419" s="38" t="s">
        <v>6138</v>
      </c>
      <c r="D7419" s="18">
        <v>2022</v>
      </c>
      <c r="E7419" s="18" t="s">
        <v>0</v>
      </c>
      <c r="F7419" s="42">
        <v>17</v>
      </c>
      <c r="G7419" s="4">
        <v>197</v>
      </c>
      <c r="H7419" s="18">
        <f>0.27716325*(1000)</f>
        <v>277.16325000000001</v>
      </c>
    </row>
    <row r="7420" spans="1:8" s="15" customFormat="1" ht="16.5" hidden="1" customHeight="1" outlineLevel="1" x14ac:dyDescent="0.25">
      <c r="A7420" s="18">
        <v>2790</v>
      </c>
      <c r="B7420" s="4" t="s">
        <v>250</v>
      </c>
      <c r="C7420" s="38" t="s">
        <v>6139</v>
      </c>
      <c r="D7420" s="18">
        <v>2022</v>
      </c>
      <c r="E7420" s="18" t="s">
        <v>0</v>
      </c>
      <c r="F7420" s="42">
        <v>5</v>
      </c>
      <c r="G7420" s="4">
        <v>59</v>
      </c>
      <c r="H7420" s="18">
        <f>0.13952465*(1000)</f>
        <v>139.52465000000001</v>
      </c>
    </row>
    <row r="7421" spans="1:8" s="15" customFormat="1" ht="16.5" hidden="1" customHeight="1" outlineLevel="1" x14ac:dyDescent="0.25">
      <c r="A7421" s="18">
        <v>2791</v>
      </c>
      <c r="B7421" s="4" t="s">
        <v>250</v>
      </c>
      <c r="C7421" s="38" t="s">
        <v>6140</v>
      </c>
      <c r="D7421" s="18">
        <v>2022</v>
      </c>
      <c r="E7421" s="18" t="s">
        <v>0</v>
      </c>
      <c r="F7421" s="42">
        <v>28</v>
      </c>
      <c r="G7421" s="4">
        <v>388</v>
      </c>
      <c r="H7421" s="18">
        <f>0.47251064*(1000)</f>
        <v>472.51063999999997</v>
      </c>
    </row>
    <row r="7422" spans="1:8" s="15" customFormat="1" ht="16.5" hidden="1" customHeight="1" outlineLevel="1" x14ac:dyDescent="0.25">
      <c r="A7422" s="18">
        <v>2800</v>
      </c>
      <c r="B7422" s="4" t="s">
        <v>250</v>
      </c>
      <c r="C7422" s="38" t="s">
        <v>6141</v>
      </c>
      <c r="D7422" s="18">
        <v>2022</v>
      </c>
      <c r="E7422" s="18" t="s">
        <v>0</v>
      </c>
      <c r="F7422" s="42">
        <v>1</v>
      </c>
      <c r="G7422" s="4">
        <v>58</v>
      </c>
      <c r="H7422" s="18">
        <f>0.04091864*(1000)</f>
        <v>40.918639999999996</v>
      </c>
    </row>
    <row r="7423" spans="1:8" s="15" customFormat="1" ht="16.5" hidden="1" customHeight="1" outlineLevel="1" x14ac:dyDescent="0.25">
      <c r="A7423" s="18">
        <v>2817</v>
      </c>
      <c r="B7423" s="4" t="s">
        <v>250</v>
      </c>
      <c r="C7423" s="38" t="s">
        <v>6142</v>
      </c>
      <c r="D7423" s="18">
        <v>2022</v>
      </c>
      <c r="E7423" s="18" t="s">
        <v>0</v>
      </c>
      <c r="F7423" s="42">
        <v>1</v>
      </c>
      <c r="G7423" s="4">
        <v>10</v>
      </c>
      <c r="H7423" s="18">
        <f>0.02949997*(1000)</f>
        <v>29.499970000000001</v>
      </c>
    </row>
    <row r="7424" spans="1:8" s="15" customFormat="1" ht="16.5" hidden="1" customHeight="1" outlineLevel="1" x14ac:dyDescent="0.25">
      <c r="A7424" s="18">
        <v>2818</v>
      </c>
      <c r="B7424" s="4" t="s">
        <v>250</v>
      </c>
      <c r="C7424" s="38" t="s">
        <v>6143</v>
      </c>
      <c r="D7424" s="18">
        <v>2022</v>
      </c>
      <c r="E7424" s="18" t="s">
        <v>0</v>
      </c>
      <c r="F7424" s="42">
        <v>1</v>
      </c>
      <c r="G7424" s="4">
        <v>15</v>
      </c>
      <c r="H7424" s="18">
        <f>0.01817633*(1000)</f>
        <v>18.17633</v>
      </c>
    </row>
    <row r="7425" spans="1:8" s="15" customFormat="1" ht="16.5" hidden="1" customHeight="1" outlineLevel="1" x14ac:dyDescent="0.25">
      <c r="A7425" s="18">
        <v>2819</v>
      </c>
      <c r="B7425" s="4" t="s">
        <v>250</v>
      </c>
      <c r="C7425" s="38" t="s">
        <v>6144</v>
      </c>
      <c r="D7425" s="18">
        <v>2022</v>
      </c>
      <c r="E7425" s="18" t="s">
        <v>0</v>
      </c>
      <c r="F7425" s="42">
        <v>1</v>
      </c>
      <c r="G7425" s="4">
        <v>20</v>
      </c>
      <c r="H7425" s="18">
        <f>0.01892015*(1000)</f>
        <v>18.92015</v>
      </c>
    </row>
    <row r="7426" spans="1:8" s="15" customFormat="1" ht="16.5" hidden="1" customHeight="1" outlineLevel="1" x14ac:dyDescent="0.25">
      <c r="A7426" s="18">
        <v>2820</v>
      </c>
      <c r="B7426" s="4" t="s">
        <v>250</v>
      </c>
      <c r="C7426" s="38" t="s">
        <v>6145</v>
      </c>
      <c r="D7426" s="18">
        <v>2022</v>
      </c>
      <c r="E7426" s="18" t="s">
        <v>0</v>
      </c>
      <c r="F7426" s="42">
        <v>7</v>
      </c>
      <c r="G7426" s="4">
        <v>90</v>
      </c>
      <c r="H7426" s="18">
        <f>0.10242959*(1000)</f>
        <v>102.42959</v>
      </c>
    </row>
    <row r="7427" spans="1:8" s="15" customFormat="1" ht="16.5" hidden="1" customHeight="1" outlineLevel="1" x14ac:dyDescent="0.25">
      <c r="A7427" s="18">
        <v>2821</v>
      </c>
      <c r="B7427" s="4" t="s">
        <v>250</v>
      </c>
      <c r="C7427" s="38" t="s">
        <v>6146</v>
      </c>
      <c r="D7427" s="18">
        <v>2022</v>
      </c>
      <c r="E7427" s="18" t="s">
        <v>0</v>
      </c>
      <c r="F7427" s="42">
        <v>4</v>
      </c>
      <c r="G7427" s="4">
        <v>60</v>
      </c>
      <c r="H7427" s="18">
        <f>0.07340217*(1000)</f>
        <v>73.402169999999998</v>
      </c>
    </row>
    <row r="7428" spans="1:8" s="15" customFormat="1" ht="16.5" hidden="1" customHeight="1" outlineLevel="1" x14ac:dyDescent="0.25">
      <c r="A7428" s="18">
        <v>2822</v>
      </c>
      <c r="B7428" s="4" t="s">
        <v>250</v>
      </c>
      <c r="C7428" s="38" t="s">
        <v>6147</v>
      </c>
      <c r="D7428" s="18">
        <v>2022</v>
      </c>
      <c r="E7428" s="18" t="s">
        <v>0</v>
      </c>
      <c r="F7428" s="42">
        <v>1</v>
      </c>
      <c r="G7428" s="4">
        <v>60</v>
      </c>
      <c r="H7428" s="18">
        <f>0.01820872*(1000)</f>
        <v>18.20872</v>
      </c>
    </row>
    <row r="7429" spans="1:8" s="15" customFormat="1" ht="16.5" hidden="1" customHeight="1" outlineLevel="1" x14ac:dyDescent="0.25">
      <c r="A7429" s="18">
        <v>2823</v>
      </c>
      <c r="B7429" s="4" t="s">
        <v>250</v>
      </c>
      <c r="C7429" s="38" t="s">
        <v>6148</v>
      </c>
      <c r="D7429" s="18">
        <v>2022</v>
      </c>
      <c r="E7429" s="18" t="s">
        <v>0</v>
      </c>
      <c r="F7429" s="42">
        <v>1</v>
      </c>
      <c r="G7429" s="4">
        <v>40</v>
      </c>
      <c r="H7429" s="18">
        <f>0.02714291*(1000)</f>
        <v>27.142910000000001</v>
      </c>
    </row>
    <row r="7430" spans="1:8" s="15" customFormat="1" ht="16.5" hidden="1" customHeight="1" outlineLevel="1" x14ac:dyDescent="0.25">
      <c r="A7430" s="18">
        <v>2825</v>
      </c>
      <c r="B7430" s="4" t="s">
        <v>250</v>
      </c>
      <c r="C7430" s="38" t="s">
        <v>6149</v>
      </c>
      <c r="D7430" s="18">
        <v>2022</v>
      </c>
      <c r="E7430" s="18" t="s">
        <v>0</v>
      </c>
      <c r="F7430" s="42">
        <v>2</v>
      </c>
      <c r="G7430" s="4">
        <v>25</v>
      </c>
      <c r="H7430" s="18">
        <f>0.03940598*(1000)</f>
        <v>39.40598</v>
      </c>
    </row>
    <row r="7431" spans="1:8" s="15" customFormat="1" ht="16.5" hidden="1" customHeight="1" outlineLevel="1" x14ac:dyDescent="0.25">
      <c r="A7431" s="18">
        <v>2826</v>
      </c>
      <c r="B7431" s="4" t="s">
        <v>250</v>
      </c>
      <c r="C7431" s="38" t="s">
        <v>6150</v>
      </c>
      <c r="D7431" s="18">
        <v>2022</v>
      </c>
      <c r="E7431" s="18" t="s">
        <v>0</v>
      </c>
      <c r="F7431" s="42">
        <v>8</v>
      </c>
      <c r="G7431" s="4">
        <v>105</v>
      </c>
      <c r="H7431" s="18">
        <f>0.10321053*(1000)</f>
        <v>103.21052999999999</v>
      </c>
    </row>
    <row r="7432" spans="1:8" s="15" customFormat="1" ht="16.5" hidden="1" customHeight="1" outlineLevel="1" x14ac:dyDescent="0.25">
      <c r="A7432" s="18">
        <v>2827</v>
      </c>
      <c r="B7432" s="4" t="s">
        <v>250</v>
      </c>
      <c r="C7432" s="38" t="s">
        <v>6151</v>
      </c>
      <c r="D7432" s="18">
        <v>2022</v>
      </c>
      <c r="E7432" s="18" t="s">
        <v>0</v>
      </c>
      <c r="F7432" s="42">
        <v>4</v>
      </c>
      <c r="G7432" s="4">
        <v>47</v>
      </c>
      <c r="H7432" s="18">
        <f>0.06369498*(1000)</f>
        <v>63.694980000000001</v>
      </c>
    </row>
    <row r="7433" spans="1:8" s="15" customFormat="1" ht="16.5" hidden="1" customHeight="1" outlineLevel="1" x14ac:dyDescent="0.25">
      <c r="A7433" s="18">
        <v>2828</v>
      </c>
      <c r="B7433" s="4" t="s">
        <v>250</v>
      </c>
      <c r="C7433" s="38" t="s">
        <v>6152</v>
      </c>
      <c r="D7433" s="18">
        <v>2022</v>
      </c>
      <c r="E7433" s="18" t="s">
        <v>0</v>
      </c>
      <c r="F7433" s="42">
        <v>2</v>
      </c>
      <c r="G7433" s="4">
        <v>16</v>
      </c>
      <c r="H7433" s="18">
        <f>0.0295663*(1000)</f>
        <v>29.566300000000002</v>
      </c>
    </row>
    <row r="7434" spans="1:8" s="15" customFormat="1" ht="16.5" hidden="1" customHeight="1" outlineLevel="1" x14ac:dyDescent="0.25">
      <c r="A7434" s="18">
        <v>2829</v>
      </c>
      <c r="B7434" s="4" t="s">
        <v>250</v>
      </c>
      <c r="C7434" s="38" t="s">
        <v>6153</v>
      </c>
      <c r="D7434" s="18">
        <v>2022</v>
      </c>
      <c r="E7434" s="18" t="s">
        <v>0</v>
      </c>
      <c r="F7434" s="42">
        <v>1</v>
      </c>
      <c r="G7434" s="4">
        <v>50</v>
      </c>
      <c r="H7434" s="18">
        <f>0.01809625*(1000)</f>
        <v>18.096250000000001</v>
      </c>
    </row>
    <row r="7435" spans="1:8" s="15" customFormat="1" ht="16.5" hidden="1" customHeight="1" outlineLevel="1" x14ac:dyDescent="0.25">
      <c r="A7435" s="18">
        <v>2830</v>
      </c>
      <c r="B7435" s="4" t="s">
        <v>250</v>
      </c>
      <c r="C7435" s="38" t="s">
        <v>6154</v>
      </c>
      <c r="D7435" s="18">
        <v>2022</v>
      </c>
      <c r="E7435" s="18" t="s">
        <v>0</v>
      </c>
      <c r="F7435" s="42">
        <v>2</v>
      </c>
      <c r="G7435" s="4">
        <v>24</v>
      </c>
      <c r="H7435" s="18">
        <f>0.03670102*(1000)</f>
        <v>36.70102</v>
      </c>
    </row>
    <row r="7436" spans="1:8" s="15" customFormat="1" ht="16.5" hidden="1" customHeight="1" outlineLevel="1" x14ac:dyDescent="0.25">
      <c r="A7436" s="18">
        <v>2832</v>
      </c>
      <c r="B7436" s="4" t="s">
        <v>250</v>
      </c>
      <c r="C7436" s="38" t="s">
        <v>6155</v>
      </c>
      <c r="D7436" s="18">
        <v>2022</v>
      </c>
      <c r="E7436" s="18" t="s">
        <v>0</v>
      </c>
      <c r="F7436" s="42">
        <v>3</v>
      </c>
      <c r="G7436" s="4">
        <v>45</v>
      </c>
      <c r="H7436" s="18">
        <f>0.05482882*(1000)</f>
        <v>54.82882</v>
      </c>
    </row>
    <row r="7437" spans="1:8" s="15" customFormat="1" ht="16.5" hidden="1" customHeight="1" outlineLevel="1" x14ac:dyDescent="0.25">
      <c r="A7437" s="18">
        <v>2833</v>
      </c>
      <c r="B7437" s="4" t="s">
        <v>250</v>
      </c>
      <c r="C7437" s="38" t="s">
        <v>6156</v>
      </c>
      <c r="D7437" s="18">
        <v>2022</v>
      </c>
      <c r="E7437" s="18" t="s">
        <v>0</v>
      </c>
      <c r="F7437" s="42">
        <v>13</v>
      </c>
      <c r="G7437" s="4">
        <v>150</v>
      </c>
      <c r="H7437" s="18">
        <f>0.16686151*(1000)</f>
        <v>166.86150999999998</v>
      </c>
    </row>
    <row r="7438" spans="1:8" s="15" customFormat="1" ht="16.5" hidden="1" customHeight="1" outlineLevel="1" x14ac:dyDescent="0.25">
      <c r="A7438" s="18">
        <v>2834</v>
      </c>
      <c r="B7438" s="4" t="s">
        <v>250</v>
      </c>
      <c r="C7438" s="38" t="s">
        <v>6157</v>
      </c>
      <c r="D7438" s="18">
        <v>2022</v>
      </c>
      <c r="E7438" s="18" t="s">
        <v>0</v>
      </c>
      <c r="F7438" s="42">
        <v>1</v>
      </c>
      <c r="G7438" s="4">
        <v>50</v>
      </c>
      <c r="H7438" s="18">
        <f>0.02479167*(1000)</f>
        <v>24.79167</v>
      </c>
    </row>
    <row r="7439" spans="1:8" s="15" customFormat="1" ht="16.5" hidden="1" customHeight="1" outlineLevel="1" x14ac:dyDescent="0.25">
      <c r="A7439" s="18">
        <v>2835</v>
      </c>
      <c r="B7439" s="4" t="s">
        <v>250</v>
      </c>
      <c r="C7439" s="38" t="s">
        <v>6158</v>
      </c>
      <c r="D7439" s="18">
        <v>2022</v>
      </c>
      <c r="E7439" s="18" t="s">
        <v>0</v>
      </c>
      <c r="F7439" s="42">
        <v>1</v>
      </c>
      <c r="G7439" s="4">
        <v>15</v>
      </c>
      <c r="H7439" s="18">
        <f>0.02564976*(1000)</f>
        <v>25.649760000000001</v>
      </c>
    </row>
    <row r="7440" spans="1:8" s="15" customFormat="1" ht="16.5" hidden="1" customHeight="1" outlineLevel="1" x14ac:dyDescent="0.25">
      <c r="A7440" s="18">
        <v>2836</v>
      </c>
      <c r="B7440" s="4" t="s">
        <v>250</v>
      </c>
      <c r="C7440" s="38" t="s">
        <v>6159</v>
      </c>
      <c r="D7440" s="18">
        <v>2022</v>
      </c>
      <c r="E7440" s="18" t="s">
        <v>0</v>
      </c>
      <c r="F7440" s="42">
        <v>1</v>
      </c>
      <c r="G7440" s="4">
        <v>15</v>
      </c>
      <c r="H7440" s="18">
        <f>0.02564982*(1000)</f>
        <v>25.649820000000002</v>
      </c>
    </row>
    <row r="7441" spans="1:8" s="15" customFormat="1" ht="16.5" hidden="1" customHeight="1" outlineLevel="1" x14ac:dyDescent="0.25">
      <c r="A7441" s="18">
        <v>2838</v>
      </c>
      <c r="B7441" s="4" t="s">
        <v>250</v>
      </c>
      <c r="C7441" s="38" t="s">
        <v>6160</v>
      </c>
      <c r="D7441" s="18">
        <v>2022</v>
      </c>
      <c r="E7441" s="18" t="s">
        <v>0</v>
      </c>
      <c r="F7441" s="42">
        <v>3</v>
      </c>
      <c r="G7441" s="4">
        <v>29</v>
      </c>
      <c r="H7441" s="18">
        <f>0.05801438*(1000)</f>
        <v>58.014379999999996</v>
      </c>
    </row>
    <row r="7442" spans="1:8" s="15" customFormat="1" ht="16.5" hidden="1" customHeight="1" outlineLevel="1" x14ac:dyDescent="0.25">
      <c r="A7442" s="18">
        <v>2849</v>
      </c>
      <c r="B7442" s="4" t="s">
        <v>250</v>
      </c>
      <c r="C7442" s="38" t="s">
        <v>6161</v>
      </c>
      <c r="D7442" s="18">
        <v>2022</v>
      </c>
      <c r="E7442" s="18" t="s">
        <v>0</v>
      </c>
      <c r="F7442" s="42">
        <v>1</v>
      </c>
      <c r="G7442" s="4">
        <v>15</v>
      </c>
      <c r="H7442" s="18">
        <f>0.02590878*(1000)</f>
        <v>25.90878</v>
      </c>
    </row>
    <row r="7443" spans="1:8" s="15" customFormat="1" ht="16.5" hidden="1" customHeight="1" outlineLevel="1" x14ac:dyDescent="0.25">
      <c r="A7443" s="18">
        <v>2854</v>
      </c>
      <c r="B7443" s="4" t="s">
        <v>250</v>
      </c>
      <c r="C7443" s="38" t="s">
        <v>6162</v>
      </c>
      <c r="D7443" s="18">
        <v>2022</v>
      </c>
      <c r="E7443" s="18" t="s">
        <v>0</v>
      </c>
      <c r="F7443" s="42">
        <v>1</v>
      </c>
      <c r="G7443" s="4">
        <v>15</v>
      </c>
      <c r="H7443" s="18">
        <f>0.02649016*(1000)</f>
        <v>26.490159999999999</v>
      </c>
    </row>
    <row r="7444" spans="1:8" s="15" customFormat="1" ht="16.5" hidden="1" customHeight="1" outlineLevel="1" x14ac:dyDescent="0.25">
      <c r="A7444" s="18">
        <v>2856</v>
      </c>
      <c r="B7444" s="4" t="s">
        <v>250</v>
      </c>
      <c r="C7444" s="38" t="s">
        <v>6163</v>
      </c>
      <c r="D7444" s="18">
        <v>2022</v>
      </c>
      <c r="E7444" s="18" t="s">
        <v>0</v>
      </c>
      <c r="F7444" s="42">
        <v>1</v>
      </c>
      <c r="G7444" s="4">
        <v>10</v>
      </c>
      <c r="H7444" s="18">
        <f>0.02541802*(1000)</f>
        <v>25.418019999999999</v>
      </c>
    </row>
    <row r="7445" spans="1:8" s="15" customFormat="1" ht="16.5" hidden="1" customHeight="1" outlineLevel="1" x14ac:dyDescent="0.25">
      <c r="A7445" s="18">
        <v>2857</v>
      </c>
      <c r="B7445" s="4" t="s">
        <v>250</v>
      </c>
      <c r="C7445" s="38" t="s">
        <v>6164</v>
      </c>
      <c r="D7445" s="18">
        <v>2022</v>
      </c>
      <c r="E7445" s="18" t="s">
        <v>0</v>
      </c>
      <c r="F7445" s="42">
        <v>1</v>
      </c>
      <c r="G7445" s="4">
        <v>15</v>
      </c>
      <c r="H7445" s="18">
        <f>0.02541802*(1000)</f>
        <v>25.418019999999999</v>
      </c>
    </row>
    <row r="7446" spans="1:8" s="15" customFormat="1" ht="16.5" hidden="1" customHeight="1" outlineLevel="1" x14ac:dyDescent="0.25">
      <c r="A7446" s="18">
        <v>2864</v>
      </c>
      <c r="B7446" s="4" t="s">
        <v>250</v>
      </c>
      <c r="C7446" s="38" t="s">
        <v>6165</v>
      </c>
      <c r="D7446" s="18">
        <v>2022</v>
      </c>
      <c r="E7446" s="18" t="s">
        <v>0</v>
      </c>
      <c r="F7446" s="42">
        <v>1</v>
      </c>
      <c r="G7446" s="4">
        <v>15</v>
      </c>
      <c r="H7446" s="18">
        <f>0.03607603*(1000)</f>
        <v>36.076030000000003</v>
      </c>
    </row>
    <row r="7447" spans="1:8" s="15" customFormat="1" ht="16.5" hidden="1" customHeight="1" outlineLevel="1" x14ac:dyDescent="0.25">
      <c r="A7447" s="18">
        <v>2865</v>
      </c>
      <c r="B7447" s="4" t="s">
        <v>250</v>
      </c>
      <c r="C7447" s="38" t="s">
        <v>6166</v>
      </c>
      <c r="D7447" s="18">
        <v>2022</v>
      </c>
      <c r="E7447" s="18" t="s">
        <v>0</v>
      </c>
      <c r="F7447" s="42">
        <v>1</v>
      </c>
      <c r="G7447" s="4">
        <v>45</v>
      </c>
      <c r="H7447" s="18">
        <f>0.02609855*(1000)</f>
        <v>26.098550000000003</v>
      </c>
    </row>
    <row r="7448" spans="1:8" s="15" customFormat="1" ht="16.5" hidden="1" customHeight="1" outlineLevel="1" x14ac:dyDescent="0.25">
      <c r="A7448" s="18">
        <v>2871</v>
      </c>
      <c r="B7448" s="4" t="s">
        <v>250</v>
      </c>
      <c r="C7448" s="38" t="s">
        <v>6167</v>
      </c>
      <c r="D7448" s="18">
        <v>2022</v>
      </c>
      <c r="E7448" s="18" t="s">
        <v>0</v>
      </c>
      <c r="F7448" s="42">
        <v>1</v>
      </c>
      <c r="G7448" s="4">
        <v>42</v>
      </c>
      <c r="H7448" s="18">
        <f>0.03464245*(1000)</f>
        <v>34.642449999999997</v>
      </c>
    </row>
    <row r="7449" spans="1:8" s="15" customFormat="1" ht="16.5" hidden="1" customHeight="1" outlineLevel="1" x14ac:dyDescent="0.25">
      <c r="A7449" s="18">
        <v>2872</v>
      </c>
      <c r="B7449" s="4" t="s">
        <v>250</v>
      </c>
      <c r="C7449" s="38" t="s">
        <v>6168</v>
      </c>
      <c r="D7449" s="18">
        <v>2022</v>
      </c>
      <c r="E7449" s="18" t="s">
        <v>0</v>
      </c>
      <c r="F7449" s="42">
        <v>2</v>
      </c>
      <c r="G7449" s="4">
        <v>5</v>
      </c>
      <c r="H7449" s="18">
        <f>0.03807793*(1000)</f>
        <v>38.077930000000002</v>
      </c>
    </row>
    <row r="7450" spans="1:8" s="15" customFormat="1" ht="16.5" hidden="1" customHeight="1" outlineLevel="1" x14ac:dyDescent="0.25">
      <c r="A7450" s="18">
        <v>2873</v>
      </c>
      <c r="B7450" s="4" t="s">
        <v>250</v>
      </c>
      <c r="C7450" s="38" t="s">
        <v>6169</v>
      </c>
      <c r="D7450" s="18">
        <v>2022</v>
      </c>
      <c r="E7450" s="18" t="s">
        <v>0</v>
      </c>
      <c r="F7450" s="42">
        <v>1</v>
      </c>
      <c r="G7450" s="4">
        <v>35</v>
      </c>
      <c r="H7450" s="18">
        <f>0.02604725*(1000)</f>
        <v>26.047250000000002</v>
      </c>
    </row>
    <row r="7451" spans="1:8" s="15" customFormat="1" ht="16.5" hidden="1" customHeight="1" outlineLevel="1" x14ac:dyDescent="0.25">
      <c r="A7451" s="18">
        <v>2874</v>
      </c>
      <c r="B7451" s="4" t="s">
        <v>250</v>
      </c>
      <c r="C7451" s="38" t="s">
        <v>6170</v>
      </c>
      <c r="D7451" s="18">
        <v>2022</v>
      </c>
      <c r="E7451" s="18" t="s">
        <v>0</v>
      </c>
      <c r="F7451" s="42">
        <v>1</v>
      </c>
      <c r="G7451" s="4">
        <v>90</v>
      </c>
      <c r="H7451" s="18">
        <f>0.03864867*(1000)</f>
        <v>38.648670000000003</v>
      </c>
    </row>
    <row r="7452" spans="1:8" s="15" customFormat="1" ht="16.5" hidden="1" customHeight="1" outlineLevel="1" x14ac:dyDescent="0.25">
      <c r="A7452" s="18">
        <v>2875</v>
      </c>
      <c r="B7452" s="4" t="s">
        <v>250</v>
      </c>
      <c r="C7452" s="38" t="s">
        <v>6171</v>
      </c>
      <c r="D7452" s="18">
        <v>2022</v>
      </c>
      <c r="E7452" s="18" t="s">
        <v>0</v>
      </c>
      <c r="F7452" s="42">
        <v>2</v>
      </c>
      <c r="G7452" s="4">
        <v>7</v>
      </c>
      <c r="H7452" s="18">
        <f>0.03798254*(1000)</f>
        <v>37.98254</v>
      </c>
    </row>
    <row r="7453" spans="1:8" s="15" customFormat="1" ht="16.5" hidden="1" customHeight="1" outlineLevel="1" x14ac:dyDescent="0.25">
      <c r="A7453" s="18">
        <v>2877</v>
      </c>
      <c r="B7453" s="4" t="s">
        <v>250</v>
      </c>
      <c r="C7453" s="38" t="s">
        <v>6172</v>
      </c>
      <c r="D7453" s="18">
        <v>2022</v>
      </c>
      <c r="E7453" s="18" t="s">
        <v>0</v>
      </c>
      <c r="F7453" s="42">
        <v>1</v>
      </c>
      <c r="G7453" s="4">
        <v>15</v>
      </c>
      <c r="H7453" s="18">
        <f>0.03474204*(1000)</f>
        <v>34.742040000000003</v>
      </c>
    </row>
    <row r="7454" spans="1:8" s="15" customFormat="1" ht="16.5" hidden="1" customHeight="1" outlineLevel="1" x14ac:dyDescent="0.25">
      <c r="A7454" s="18">
        <v>2891</v>
      </c>
      <c r="B7454" s="4" t="s">
        <v>250</v>
      </c>
      <c r="C7454" s="38" t="s">
        <v>6173</v>
      </c>
      <c r="D7454" s="18">
        <v>2022</v>
      </c>
      <c r="E7454" s="18" t="s">
        <v>0</v>
      </c>
      <c r="F7454" s="42">
        <v>1</v>
      </c>
      <c r="G7454" s="4">
        <v>15</v>
      </c>
      <c r="H7454" s="18">
        <f>0.0250114*(1000)</f>
        <v>25.011399999999998</v>
      </c>
    </row>
    <row r="7455" spans="1:8" s="15" customFormat="1" ht="16.5" hidden="1" customHeight="1" outlineLevel="1" x14ac:dyDescent="0.25">
      <c r="A7455" s="18">
        <v>2892</v>
      </c>
      <c r="B7455" s="4" t="s">
        <v>250</v>
      </c>
      <c r="C7455" s="38" t="s">
        <v>6174</v>
      </c>
      <c r="D7455" s="18">
        <v>2022</v>
      </c>
      <c r="E7455" s="18" t="s">
        <v>0</v>
      </c>
      <c r="F7455" s="42">
        <v>2</v>
      </c>
      <c r="G7455" s="4">
        <v>8</v>
      </c>
      <c r="H7455" s="18">
        <f>0.03807792*(1000)</f>
        <v>38.077919999999999</v>
      </c>
    </row>
    <row r="7456" spans="1:8" s="15" customFormat="1" ht="16.5" hidden="1" customHeight="1" outlineLevel="1" x14ac:dyDescent="0.25">
      <c r="A7456" s="18">
        <v>2893</v>
      </c>
      <c r="B7456" s="4" t="s">
        <v>250</v>
      </c>
      <c r="C7456" s="38" t="s">
        <v>6175</v>
      </c>
      <c r="D7456" s="18">
        <v>2022</v>
      </c>
      <c r="E7456" s="18" t="s">
        <v>0</v>
      </c>
      <c r="F7456" s="42">
        <v>1</v>
      </c>
      <c r="G7456" s="4">
        <v>50</v>
      </c>
      <c r="H7456" s="18">
        <f>0.02507907*(1000)</f>
        <v>25.079069999999998</v>
      </c>
    </row>
    <row r="7457" spans="1:8" s="15" customFormat="1" ht="16.5" hidden="1" customHeight="1" outlineLevel="1" x14ac:dyDescent="0.25">
      <c r="A7457" s="18">
        <v>2896</v>
      </c>
      <c r="B7457" s="4" t="s">
        <v>250</v>
      </c>
      <c r="C7457" s="38" t="s">
        <v>6176</v>
      </c>
      <c r="D7457" s="18">
        <v>2022</v>
      </c>
      <c r="E7457" s="18" t="s">
        <v>0</v>
      </c>
      <c r="F7457" s="42">
        <v>1</v>
      </c>
      <c r="G7457" s="4">
        <v>15</v>
      </c>
      <c r="H7457" s="18">
        <f>0.02490979*(1000)</f>
        <v>24.909790000000001</v>
      </c>
    </row>
    <row r="7458" spans="1:8" s="15" customFormat="1" ht="16.5" hidden="1" customHeight="1" outlineLevel="1" x14ac:dyDescent="0.25">
      <c r="A7458" s="18">
        <v>2898</v>
      </c>
      <c r="B7458" s="4" t="s">
        <v>250</v>
      </c>
      <c r="C7458" s="38" t="s">
        <v>6177</v>
      </c>
      <c r="D7458" s="18">
        <v>2022</v>
      </c>
      <c r="E7458" s="18" t="s">
        <v>0</v>
      </c>
      <c r="F7458" s="42">
        <v>1</v>
      </c>
      <c r="G7458" s="4">
        <v>2</v>
      </c>
      <c r="H7458" s="18">
        <f>0.02507909*(1000)</f>
        <v>25.079089999999997</v>
      </c>
    </row>
    <row r="7459" spans="1:8" s="15" customFormat="1" ht="16.5" hidden="1" customHeight="1" outlineLevel="1" x14ac:dyDescent="0.25">
      <c r="A7459" s="18">
        <v>2899</v>
      </c>
      <c r="B7459" s="4" t="s">
        <v>250</v>
      </c>
      <c r="C7459" s="38" t="s">
        <v>6178</v>
      </c>
      <c r="D7459" s="18">
        <v>2022</v>
      </c>
      <c r="E7459" s="18" t="s">
        <v>0</v>
      </c>
      <c r="F7459" s="42">
        <v>1</v>
      </c>
      <c r="G7459" s="4">
        <v>2</v>
      </c>
      <c r="H7459" s="18">
        <f>0.02504226*(1000)</f>
        <v>25.042259999999999</v>
      </c>
    </row>
    <row r="7460" spans="1:8" s="15" customFormat="1" ht="16.5" hidden="1" customHeight="1" outlineLevel="1" x14ac:dyDescent="0.25">
      <c r="A7460" s="18">
        <v>2900</v>
      </c>
      <c r="B7460" s="4" t="s">
        <v>250</v>
      </c>
      <c r="C7460" s="38" t="s">
        <v>6179</v>
      </c>
      <c r="D7460" s="18">
        <v>2022</v>
      </c>
      <c r="E7460" s="18" t="s">
        <v>0</v>
      </c>
      <c r="F7460" s="42">
        <v>1</v>
      </c>
      <c r="G7460" s="4">
        <v>2</v>
      </c>
      <c r="H7460" s="18">
        <f>0.02660444*(1000)</f>
        <v>26.60444</v>
      </c>
    </row>
    <row r="7461" spans="1:8" s="15" customFormat="1" ht="16.5" hidden="1" customHeight="1" outlineLevel="1" x14ac:dyDescent="0.25">
      <c r="A7461" s="18">
        <v>2901</v>
      </c>
      <c r="B7461" s="4" t="s">
        <v>250</v>
      </c>
      <c r="C7461" s="38" t="s">
        <v>6180</v>
      </c>
      <c r="D7461" s="18">
        <v>2022</v>
      </c>
      <c r="E7461" s="18" t="s">
        <v>0</v>
      </c>
      <c r="F7461" s="42">
        <v>1</v>
      </c>
      <c r="G7461" s="4">
        <v>2</v>
      </c>
      <c r="H7461" s="18">
        <f>0.02497752*(1000)</f>
        <v>24.977519999999998</v>
      </c>
    </row>
    <row r="7462" spans="1:8" s="15" customFormat="1" ht="16.5" hidden="1" customHeight="1" outlineLevel="1" x14ac:dyDescent="0.25">
      <c r="A7462" s="18">
        <v>2902</v>
      </c>
      <c r="B7462" s="4" t="s">
        <v>250</v>
      </c>
      <c r="C7462" s="38" t="s">
        <v>6181</v>
      </c>
      <c r="D7462" s="18">
        <v>2022</v>
      </c>
      <c r="E7462" s="18" t="s">
        <v>0</v>
      </c>
      <c r="F7462" s="42">
        <v>1</v>
      </c>
      <c r="G7462" s="4">
        <v>2</v>
      </c>
      <c r="H7462" s="18">
        <f>0.0250114*(1000)</f>
        <v>25.011399999999998</v>
      </c>
    </row>
    <row r="7463" spans="1:8" s="15" customFormat="1" ht="16.5" hidden="1" customHeight="1" outlineLevel="1" x14ac:dyDescent="0.25">
      <c r="A7463" s="18">
        <v>2903</v>
      </c>
      <c r="B7463" s="4" t="s">
        <v>250</v>
      </c>
      <c r="C7463" s="38" t="s">
        <v>6182</v>
      </c>
      <c r="D7463" s="18">
        <v>2022</v>
      </c>
      <c r="E7463" s="18" t="s">
        <v>0</v>
      </c>
      <c r="F7463" s="42">
        <v>1</v>
      </c>
      <c r="G7463" s="4">
        <v>2</v>
      </c>
      <c r="H7463" s="18">
        <f>0.02505453*(1000)</f>
        <v>25.05453</v>
      </c>
    </row>
    <row r="7464" spans="1:8" s="15" customFormat="1" ht="16.5" hidden="1" customHeight="1" outlineLevel="1" x14ac:dyDescent="0.25">
      <c r="A7464" s="18">
        <v>2904</v>
      </c>
      <c r="B7464" s="4" t="s">
        <v>250</v>
      </c>
      <c r="C7464" s="38" t="s">
        <v>6183</v>
      </c>
      <c r="D7464" s="18">
        <v>2022</v>
      </c>
      <c r="E7464" s="18" t="s">
        <v>0</v>
      </c>
      <c r="F7464" s="42">
        <v>1</v>
      </c>
      <c r="G7464" s="4">
        <v>2</v>
      </c>
      <c r="H7464" s="18">
        <f>0.02490981*(1000)</f>
        <v>24.90981</v>
      </c>
    </row>
    <row r="7465" spans="1:8" s="15" customFormat="1" ht="16.5" hidden="1" customHeight="1" outlineLevel="1" x14ac:dyDescent="0.25">
      <c r="A7465" s="18">
        <v>2905</v>
      </c>
      <c r="B7465" s="4" t="s">
        <v>250</v>
      </c>
      <c r="C7465" s="38" t="s">
        <v>6184</v>
      </c>
      <c r="D7465" s="18">
        <v>2022</v>
      </c>
      <c r="E7465" s="18" t="s">
        <v>0</v>
      </c>
      <c r="F7465" s="42">
        <v>1</v>
      </c>
      <c r="G7465" s="4">
        <v>2.8</v>
      </c>
      <c r="H7465" s="18">
        <f>0.02507909*(1000)</f>
        <v>25.079089999999997</v>
      </c>
    </row>
    <row r="7466" spans="1:8" s="15" customFormat="1" ht="16.5" hidden="1" customHeight="1" outlineLevel="1" x14ac:dyDescent="0.25">
      <c r="A7466" s="18">
        <v>2907</v>
      </c>
      <c r="B7466" s="4" t="s">
        <v>250</v>
      </c>
      <c r="C7466" s="38" t="s">
        <v>6185</v>
      </c>
      <c r="D7466" s="18">
        <v>2022</v>
      </c>
      <c r="E7466" s="18" t="s">
        <v>0</v>
      </c>
      <c r="F7466" s="42">
        <v>10</v>
      </c>
      <c r="G7466" s="4">
        <v>134</v>
      </c>
      <c r="H7466" s="18">
        <f>0.15450514*(1000)</f>
        <v>154.50514000000001</v>
      </c>
    </row>
    <row r="7467" spans="1:8" s="15" customFormat="1" ht="16.5" hidden="1" customHeight="1" outlineLevel="1" x14ac:dyDescent="0.25">
      <c r="A7467" s="18">
        <v>2933</v>
      </c>
      <c r="B7467" s="4" t="s">
        <v>250</v>
      </c>
      <c r="C7467" s="38" t="s">
        <v>6186</v>
      </c>
      <c r="D7467" s="18">
        <v>2022</v>
      </c>
      <c r="E7467" s="18" t="s">
        <v>0</v>
      </c>
      <c r="F7467" s="42">
        <v>3</v>
      </c>
      <c r="G7467" s="4">
        <v>35</v>
      </c>
      <c r="H7467" s="18">
        <f>0.04613473*(1000)</f>
        <v>46.134729999999998</v>
      </c>
    </row>
    <row r="7468" spans="1:8" s="15" customFormat="1" ht="16.5" hidden="1" customHeight="1" outlineLevel="1" x14ac:dyDescent="0.25">
      <c r="A7468" s="18">
        <v>2936</v>
      </c>
      <c r="B7468" s="4" t="s">
        <v>250</v>
      </c>
      <c r="C7468" s="38" t="s">
        <v>6187</v>
      </c>
      <c r="D7468" s="18">
        <v>2022</v>
      </c>
      <c r="E7468" s="18" t="s">
        <v>0</v>
      </c>
      <c r="F7468" s="42">
        <v>1</v>
      </c>
      <c r="G7468" s="4">
        <v>10</v>
      </c>
      <c r="H7468" s="18">
        <f>0.02310776*(1000)</f>
        <v>23.107760000000003</v>
      </c>
    </row>
    <row r="7469" spans="1:8" s="15" customFormat="1" ht="16.5" hidden="1" customHeight="1" outlineLevel="1" x14ac:dyDescent="0.25">
      <c r="A7469" s="18">
        <v>2937</v>
      </c>
      <c r="B7469" s="4" t="s">
        <v>250</v>
      </c>
      <c r="C7469" s="38" t="s">
        <v>6188</v>
      </c>
      <c r="D7469" s="18">
        <v>2022</v>
      </c>
      <c r="E7469" s="18" t="s">
        <v>0</v>
      </c>
      <c r="F7469" s="42">
        <v>12</v>
      </c>
      <c r="G7469" s="4">
        <v>145</v>
      </c>
      <c r="H7469" s="18">
        <f>0.19690911*(1000)</f>
        <v>196.90911</v>
      </c>
    </row>
    <row r="7470" spans="1:8" s="15" customFormat="1" ht="16.5" hidden="1" customHeight="1" outlineLevel="1" x14ac:dyDescent="0.25">
      <c r="A7470" s="18">
        <v>2938</v>
      </c>
      <c r="B7470" s="4" t="s">
        <v>250</v>
      </c>
      <c r="C7470" s="38" t="s">
        <v>6189</v>
      </c>
      <c r="D7470" s="18">
        <v>2022</v>
      </c>
      <c r="E7470" s="18" t="s">
        <v>0</v>
      </c>
      <c r="F7470" s="42">
        <v>7</v>
      </c>
      <c r="G7470" s="4">
        <v>80</v>
      </c>
      <c r="H7470" s="18">
        <f>0.09981603*(1000)</f>
        <v>99.816029999999998</v>
      </c>
    </row>
    <row r="7471" spans="1:8" s="15" customFormat="1" ht="16.5" hidden="1" customHeight="1" outlineLevel="1" x14ac:dyDescent="0.25">
      <c r="A7471" s="18">
        <v>2941</v>
      </c>
      <c r="B7471" s="4" t="s">
        <v>250</v>
      </c>
      <c r="C7471" s="38" t="s">
        <v>6190</v>
      </c>
      <c r="D7471" s="18">
        <v>2022</v>
      </c>
      <c r="E7471" s="18" t="s">
        <v>0</v>
      </c>
      <c r="F7471" s="42">
        <v>3</v>
      </c>
      <c r="G7471" s="4">
        <v>40</v>
      </c>
      <c r="H7471" s="18">
        <f>0.08913799*(1000)</f>
        <v>89.137990000000002</v>
      </c>
    </row>
    <row r="7472" spans="1:8" s="15" customFormat="1" ht="16.5" hidden="1" customHeight="1" outlineLevel="1" x14ac:dyDescent="0.25">
      <c r="A7472" s="18">
        <v>2942</v>
      </c>
      <c r="B7472" s="4" t="s">
        <v>250</v>
      </c>
      <c r="C7472" s="38" t="s">
        <v>6191</v>
      </c>
      <c r="D7472" s="18">
        <v>2022</v>
      </c>
      <c r="E7472" s="18" t="s">
        <v>0</v>
      </c>
      <c r="F7472" s="42">
        <v>10</v>
      </c>
      <c r="G7472" s="4">
        <v>112</v>
      </c>
      <c r="H7472" s="18">
        <f>0.13188653*(1000)</f>
        <v>131.88652999999999</v>
      </c>
    </row>
    <row r="7473" spans="1:8" s="15" customFormat="1" ht="16.5" hidden="1" customHeight="1" outlineLevel="1" x14ac:dyDescent="0.25">
      <c r="A7473" s="18">
        <v>2943</v>
      </c>
      <c r="B7473" s="4" t="s">
        <v>250</v>
      </c>
      <c r="C7473" s="38" t="s">
        <v>6192</v>
      </c>
      <c r="D7473" s="18">
        <v>2022</v>
      </c>
      <c r="E7473" s="18" t="s">
        <v>0</v>
      </c>
      <c r="F7473" s="42">
        <v>35</v>
      </c>
      <c r="G7473" s="4">
        <v>385</v>
      </c>
      <c r="H7473" s="18">
        <f>0.49191483*(1000)</f>
        <v>491.91483000000005</v>
      </c>
    </row>
    <row r="7474" spans="1:8" s="15" customFormat="1" ht="16.5" hidden="1" customHeight="1" outlineLevel="1" x14ac:dyDescent="0.25">
      <c r="A7474" s="18">
        <v>2946</v>
      </c>
      <c r="B7474" s="4" t="s">
        <v>250</v>
      </c>
      <c r="C7474" s="38" t="s">
        <v>6193</v>
      </c>
      <c r="D7474" s="18">
        <v>2022</v>
      </c>
      <c r="E7474" s="18" t="s">
        <v>0</v>
      </c>
      <c r="F7474" s="42">
        <v>4</v>
      </c>
      <c r="G7474" s="4">
        <v>28.12</v>
      </c>
      <c r="H7474" s="18">
        <f>0.04987805*(1000)</f>
        <v>49.878050000000002</v>
      </c>
    </row>
    <row r="7475" spans="1:8" s="15" customFormat="1" ht="16.5" hidden="1" customHeight="1" outlineLevel="1" x14ac:dyDescent="0.25">
      <c r="A7475" s="18">
        <v>2947</v>
      </c>
      <c r="B7475" s="4" t="s">
        <v>250</v>
      </c>
      <c r="C7475" s="38" t="s">
        <v>6194</v>
      </c>
      <c r="D7475" s="18">
        <v>2022</v>
      </c>
      <c r="E7475" s="18" t="s">
        <v>0</v>
      </c>
      <c r="F7475" s="42">
        <v>3</v>
      </c>
      <c r="G7475" s="4">
        <v>35</v>
      </c>
      <c r="H7475" s="18">
        <f>0.06225983*(1000)</f>
        <v>62.259830000000001</v>
      </c>
    </row>
    <row r="7476" spans="1:8" s="15" customFormat="1" ht="16.5" hidden="1" customHeight="1" outlineLevel="1" x14ac:dyDescent="0.25">
      <c r="A7476" s="18">
        <v>2948</v>
      </c>
      <c r="B7476" s="4" t="s">
        <v>250</v>
      </c>
      <c r="C7476" s="38" t="s">
        <v>6195</v>
      </c>
      <c r="D7476" s="18">
        <v>2022</v>
      </c>
      <c r="E7476" s="18" t="s">
        <v>0</v>
      </c>
      <c r="F7476" s="42">
        <v>3</v>
      </c>
      <c r="G7476" s="4">
        <v>40</v>
      </c>
      <c r="H7476" s="18">
        <f>0.07346244*(1000)</f>
        <v>73.462440000000001</v>
      </c>
    </row>
    <row r="7477" spans="1:8" s="15" customFormat="1" ht="16.5" hidden="1" customHeight="1" outlineLevel="1" x14ac:dyDescent="0.25">
      <c r="A7477" s="18">
        <v>2949</v>
      </c>
      <c r="B7477" s="4" t="s">
        <v>250</v>
      </c>
      <c r="C7477" s="38" t="s">
        <v>6196</v>
      </c>
      <c r="D7477" s="18">
        <v>2022</v>
      </c>
      <c r="E7477" s="18" t="s">
        <v>0</v>
      </c>
      <c r="F7477" s="42">
        <v>2</v>
      </c>
      <c r="G7477" s="4">
        <v>25</v>
      </c>
      <c r="H7477" s="18">
        <f>0.05158973*(1000)</f>
        <v>51.589730000000003</v>
      </c>
    </row>
    <row r="7478" spans="1:8" s="15" customFormat="1" ht="16.5" hidden="1" customHeight="1" outlineLevel="1" x14ac:dyDescent="0.25">
      <c r="A7478" s="18">
        <v>2950</v>
      </c>
      <c r="B7478" s="4" t="s">
        <v>250</v>
      </c>
      <c r="C7478" s="38" t="s">
        <v>6197</v>
      </c>
      <c r="D7478" s="18">
        <v>2022</v>
      </c>
      <c r="E7478" s="18" t="s">
        <v>0</v>
      </c>
      <c r="F7478" s="42">
        <v>3</v>
      </c>
      <c r="G7478" s="4">
        <v>66</v>
      </c>
      <c r="H7478" s="18">
        <f>0.06282568*(1000)</f>
        <v>62.825679999999991</v>
      </c>
    </row>
    <row r="7479" spans="1:8" s="15" customFormat="1" ht="16.5" hidden="1" customHeight="1" outlineLevel="1" x14ac:dyDescent="0.25">
      <c r="A7479" s="18">
        <v>2951</v>
      </c>
      <c r="B7479" s="4" t="s">
        <v>250</v>
      </c>
      <c r="C7479" s="38" t="s">
        <v>6198</v>
      </c>
      <c r="D7479" s="18">
        <v>2022</v>
      </c>
      <c r="E7479" s="18" t="s">
        <v>0</v>
      </c>
      <c r="F7479" s="42">
        <v>3</v>
      </c>
      <c r="G7479" s="4">
        <v>37</v>
      </c>
      <c r="H7479" s="18">
        <f>0.07310261*(1000)</f>
        <v>73.102609999999999</v>
      </c>
    </row>
    <row r="7480" spans="1:8" s="15" customFormat="1" ht="16.5" hidden="1" customHeight="1" outlineLevel="1" x14ac:dyDescent="0.25">
      <c r="A7480" s="18">
        <v>2953</v>
      </c>
      <c r="B7480" s="4" t="s">
        <v>250</v>
      </c>
      <c r="C7480" s="38" t="s">
        <v>6199</v>
      </c>
      <c r="D7480" s="18">
        <v>2022</v>
      </c>
      <c r="E7480" s="18" t="s">
        <v>0</v>
      </c>
      <c r="F7480" s="42">
        <v>2</v>
      </c>
      <c r="G7480" s="4">
        <v>21</v>
      </c>
      <c r="H7480" s="18">
        <f>0.04336875*(1000)</f>
        <v>43.368749999999999</v>
      </c>
    </row>
    <row r="7481" spans="1:8" s="15" customFormat="1" ht="16.5" hidden="1" customHeight="1" outlineLevel="1" x14ac:dyDescent="0.25">
      <c r="A7481" s="18">
        <v>2956</v>
      </c>
      <c r="B7481" s="4" t="s">
        <v>250</v>
      </c>
      <c r="C7481" s="38" t="s">
        <v>6200</v>
      </c>
      <c r="D7481" s="18">
        <v>2022</v>
      </c>
      <c r="E7481" s="18" t="s">
        <v>0</v>
      </c>
      <c r="F7481" s="42">
        <v>3</v>
      </c>
      <c r="G7481" s="4">
        <v>20</v>
      </c>
      <c r="H7481" s="18">
        <f>0.06456762*(1000)</f>
        <v>64.567620000000005</v>
      </c>
    </row>
    <row r="7482" spans="1:8" s="15" customFormat="1" ht="16.5" hidden="1" customHeight="1" outlineLevel="1" x14ac:dyDescent="0.25">
      <c r="A7482" s="18">
        <v>2960</v>
      </c>
      <c r="B7482" s="4" t="s">
        <v>250</v>
      </c>
      <c r="C7482" s="38" t="s">
        <v>6201</v>
      </c>
      <c r="D7482" s="18">
        <v>2022</v>
      </c>
      <c r="E7482" s="18" t="s">
        <v>0</v>
      </c>
      <c r="F7482" s="42">
        <v>2</v>
      </c>
      <c r="G7482" s="4">
        <v>25</v>
      </c>
      <c r="H7482" s="18">
        <f>0.05880541*(1000)</f>
        <v>58.805410000000002</v>
      </c>
    </row>
    <row r="7483" spans="1:8" s="15" customFormat="1" ht="16.5" hidden="1" customHeight="1" outlineLevel="1" x14ac:dyDescent="0.25">
      <c r="A7483" s="18">
        <v>2961</v>
      </c>
      <c r="B7483" s="4" t="s">
        <v>250</v>
      </c>
      <c r="C7483" s="38" t="s">
        <v>6202</v>
      </c>
      <c r="D7483" s="18">
        <v>2022</v>
      </c>
      <c r="E7483" s="18" t="s">
        <v>0</v>
      </c>
      <c r="F7483" s="42">
        <v>1</v>
      </c>
      <c r="G7483" s="4">
        <v>10</v>
      </c>
      <c r="H7483" s="18">
        <f>0.02310777*(1000)</f>
        <v>23.107769999999999</v>
      </c>
    </row>
    <row r="7484" spans="1:8" s="15" customFormat="1" ht="16.5" hidden="1" customHeight="1" outlineLevel="1" x14ac:dyDescent="0.25">
      <c r="A7484" s="18">
        <v>2963</v>
      </c>
      <c r="B7484" s="4" t="s">
        <v>250</v>
      </c>
      <c r="C7484" s="38" t="s">
        <v>6203</v>
      </c>
      <c r="D7484" s="18">
        <v>2022</v>
      </c>
      <c r="E7484" s="18" t="s">
        <v>0</v>
      </c>
      <c r="F7484" s="42">
        <v>1</v>
      </c>
      <c r="G7484" s="4">
        <v>15</v>
      </c>
      <c r="H7484" s="18">
        <f>0.03234399*(1000)</f>
        <v>32.343990000000005</v>
      </c>
    </row>
    <row r="7485" spans="1:8" s="15" customFormat="1" ht="16.5" hidden="1" customHeight="1" outlineLevel="1" x14ac:dyDescent="0.25">
      <c r="A7485" s="18">
        <v>2967</v>
      </c>
      <c r="B7485" s="4" t="s">
        <v>250</v>
      </c>
      <c r="C7485" s="38" t="s">
        <v>6204</v>
      </c>
      <c r="D7485" s="18">
        <v>2022</v>
      </c>
      <c r="E7485" s="18" t="s">
        <v>0</v>
      </c>
      <c r="F7485" s="42">
        <v>1</v>
      </c>
      <c r="G7485" s="4">
        <v>74</v>
      </c>
      <c r="H7485" s="18">
        <f>0.02244456*(1000)</f>
        <v>22.444559999999999</v>
      </c>
    </row>
    <row r="7486" spans="1:8" s="15" customFormat="1" ht="16.5" hidden="1" customHeight="1" outlineLevel="1" x14ac:dyDescent="0.25">
      <c r="A7486" s="18">
        <v>2969</v>
      </c>
      <c r="B7486" s="4" t="s">
        <v>250</v>
      </c>
      <c r="C7486" s="38" t="s">
        <v>6205</v>
      </c>
      <c r="D7486" s="18">
        <v>2022</v>
      </c>
      <c r="E7486" s="18" t="s">
        <v>0</v>
      </c>
      <c r="F7486" s="42">
        <v>17</v>
      </c>
      <c r="G7486" s="4">
        <v>178</v>
      </c>
      <c r="H7486" s="18">
        <f>0.24173635*(1000)</f>
        <v>241.73634999999999</v>
      </c>
    </row>
    <row r="7487" spans="1:8" s="15" customFormat="1" ht="16.5" hidden="1" customHeight="1" outlineLevel="1" x14ac:dyDescent="0.25">
      <c r="A7487" s="18">
        <v>2970</v>
      </c>
      <c r="B7487" s="4" t="s">
        <v>250</v>
      </c>
      <c r="C7487" s="38" t="s">
        <v>6206</v>
      </c>
      <c r="D7487" s="18">
        <v>2022</v>
      </c>
      <c r="E7487" s="18" t="s">
        <v>0</v>
      </c>
      <c r="F7487" s="42">
        <v>3</v>
      </c>
      <c r="G7487" s="4">
        <v>40</v>
      </c>
      <c r="H7487" s="18">
        <f>0.02491951*(1000)</f>
        <v>24.919509999999999</v>
      </c>
    </row>
    <row r="7488" spans="1:8" s="15" customFormat="1" ht="16.5" hidden="1" customHeight="1" outlineLevel="1" x14ac:dyDescent="0.25">
      <c r="A7488" s="18">
        <v>2971</v>
      </c>
      <c r="B7488" s="4" t="s">
        <v>250</v>
      </c>
      <c r="C7488" s="38" t="s">
        <v>6207</v>
      </c>
      <c r="D7488" s="18">
        <v>2022</v>
      </c>
      <c r="E7488" s="18" t="s">
        <v>0</v>
      </c>
      <c r="F7488" s="42">
        <v>13</v>
      </c>
      <c r="G7488" s="4">
        <v>160</v>
      </c>
      <c r="H7488" s="18">
        <f>0.21958691*(1000)</f>
        <v>219.58690999999999</v>
      </c>
    </row>
    <row r="7489" spans="1:8" s="15" customFormat="1" ht="16.5" hidden="1" customHeight="1" outlineLevel="1" x14ac:dyDescent="0.25">
      <c r="A7489" s="18">
        <v>2972</v>
      </c>
      <c r="B7489" s="4" t="s">
        <v>250</v>
      </c>
      <c r="C7489" s="38" t="s">
        <v>6208</v>
      </c>
      <c r="D7489" s="18">
        <v>2022</v>
      </c>
      <c r="E7489" s="18" t="s">
        <v>0</v>
      </c>
      <c r="F7489" s="42">
        <v>30</v>
      </c>
      <c r="G7489" s="4">
        <v>326</v>
      </c>
      <c r="H7489" s="18">
        <f>0.43675571*(1000)</f>
        <v>436.75571000000002</v>
      </c>
    </row>
    <row r="7490" spans="1:8" s="15" customFormat="1" ht="16.5" hidden="1" customHeight="1" outlineLevel="1" x14ac:dyDescent="0.25">
      <c r="A7490" s="18">
        <v>2973</v>
      </c>
      <c r="B7490" s="4" t="s">
        <v>250</v>
      </c>
      <c r="C7490" s="38" t="s">
        <v>6209</v>
      </c>
      <c r="D7490" s="18">
        <v>2022</v>
      </c>
      <c r="E7490" s="18" t="s">
        <v>0</v>
      </c>
      <c r="F7490" s="42">
        <v>5</v>
      </c>
      <c r="G7490" s="4">
        <v>60</v>
      </c>
      <c r="H7490" s="18">
        <f>0.04636124*(1000)</f>
        <v>46.361239999999995</v>
      </c>
    </row>
    <row r="7491" spans="1:8" s="15" customFormat="1" ht="16.5" hidden="1" customHeight="1" outlineLevel="1" x14ac:dyDescent="0.25">
      <c r="A7491" s="18">
        <v>2974</v>
      </c>
      <c r="B7491" s="4" t="s">
        <v>250</v>
      </c>
      <c r="C7491" s="38" t="s">
        <v>6210</v>
      </c>
      <c r="D7491" s="18">
        <v>2022</v>
      </c>
      <c r="E7491" s="18" t="s">
        <v>0</v>
      </c>
      <c r="F7491" s="42">
        <v>17</v>
      </c>
      <c r="G7491" s="4">
        <v>243</v>
      </c>
      <c r="H7491" s="18">
        <f>0.25715453*(1000)</f>
        <v>257.15452999999997</v>
      </c>
    </row>
    <row r="7492" spans="1:8" s="15" customFormat="1" ht="16.5" hidden="1" customHeight="1" outlineLevel="1" x14ac:dyDescent="0.25">
      <c r="A7492" s="18">
        <v>2975</v>
      </c>
      <c r="B7492" s="4" t="s">
        <v>250</v>
      </c>
      <c r="C7492" s="38" t="s">
        <v>6211</v>
      </c>
      <c r="D7492" s="18">
        <v>2022</v>
      </c>
      <c r="E7492" s="18" t="s">
        <v>0</v>
      </c>
      <c r="F7492" s="42">
        <v>17</v>
      </c>
      <c r="G7492" s="4">
        <v>208</v>
      </c>
      <c r="H7492" s="18">
        <f>0.1275607*(1000)</f>
        <v>127.5607</v>
      </c>
    </row>
    <row r="7493" spans="1:8" s="15" customFormat="1" ht="16.5" hidden="1" customHeight="1" outlineLevel="1" x14ac:dyDescent="0.25">
      <c r="A7493" s="18">
        <v>2976</v>
      </c>
      <c r="B7493" s="4" t="s">
        <v>250</v>
      </c>
      <c r="C7493" s="38" t="s">
        <v>6212</v>
      </c>
      <c r="D7493" s="18">
        <v>2022</v>
      </c>
      <c r="E7493" s="18" t="s">
        <v>0</v>
      </c>
      <c r="F7493" s="42">
        <v>7</v>
      </c>
      <c r="G7493" s="4">
        <v>87</v>
      </c>
      <c r="H7493" s="18">
        <f>0.06082144*(1000)</f>
        <v>60.821439999999996</v>
      </c>
    </row>
    <row r="7494" spans="1:8" s="15" customFormat="1" ht="16.5" hidden="1" customHeight="1" outlineLevel="1" x14ac:dyDescent="0.25">
      <c r="A7494" s="18">
        <v>2977</v>
      </c>
      <c r="B7494" s="4" t="s">
        <v>250</v>
      </c>
      <c r="C7494" s="38" t="s">
        <v>6213</v>
      </c>
      <c r="D7494" s="18">
        <v>2022</v>
      </c>
      <c r="E7494" s="18" t="s">
        <v>0</v>
      </c>
      <c r="F7494" s="42">
        <v>5</v>
      </c>
      <c r="G7494" s="4">
        <v>70</v>
      </c>
      <c r="H7494" s="18">
        <f>0.08582963*(1000)</f>
        <v>85.829630000000009</v>
      </c>
    </row>
    <row r="7495" spans="1:8" s="15" customFormat="1" ht="16.5" hidden="1" customHeight="1" outlineLevel="1" x14ac:dyDescent="0.25">
      <c r="A7495" s="18">
        <v>2978</v>
      </c>
      <c r="B7495" s="4" t="s">
        <v>250</v>
      </c>
      <c r="C7495" s="38" t="s">
        <v>6214</v>
      </c>
      <c r="D7495" s="18">
        <v>2022</v>
      </c>
      <c r="E7495" s="18" t="s">
        <v>0</v>
      </c>
      <c r="F7495" s="42">
        <v>6</v>
      </c>
      <c r="G7495" s="4">
        <v>65</v>
      </c>
      <c r="H7495" s="18">
        <f>0.06704616*(1000)</f>
        <v>67.04616</v>
      </c>
    </row>
    <row r="7496" spans="1:8" s="15" customFormat="1" ht="16.5" hidden="1" customHeight="1" outlineLevel="1" x14ac:dyDescent="0.25">
      <c r="A7496" s="18">
        <v>2979</v>
      </c>
      <c r="B7496" s="4" t="s">
        <v>250</v>
      </c>
      <c r="C7496" s="38" t="s">
        <v>6215</v>
      </c>
      <c r="D7496" s="18">
        <v>2022</v>
      </c>
      <c r="E7496" s="18" t="s">
        <v>0</v>
      </c>
      <c r="F7496" s="42">
        <v>7</v>
      </c>
      <c r="G7496" s="4">
        <v>110</v>
      </c>
      <c r="H7496" s="18">
        <f>0.0954655*(1000)</f>
        <v>95.465499999999992</v>
      </c>
    </row>
    <row r="7497" spans="1:8" s="15" customFormat="1" ht="16.5" hidden="1" customHeight="1" outlineLevel="1" x14ac:dyDescent="0.25">
      <c r="A7497" s="18">
        <v>2980</v>
      </c>
      <c r="B7497" s="4" t="s">
        <v>250</v>
      </c>
      <c r="C7497" s="38" t="s">
        <v>6216</v>
      </c>
      <c r="D7497" s="18">
        <v>2022</v>
      </c>
      <c r="E7497" s="18" t="s">
        <v>0</v>
      </c>
      <c r="F7497" s="42">
        <v>9</v>
      </c>
      <c r="G7497" s="4">
        <v>110</v>
      </c>
      <c r="H7497" s="18">
        <f>0.07340391*(1000)</f>
        <v>73.403909999999996</v>
      </c>
    </row>
    <row r="7498" spans="1:8" s="15" customFormat="1" ht="16.5" hidden="1" customHeight="1" outlineLevel="1" x14ac:dyDescent="0.25">
      <c r="A7498" s="18">
        <v>2981</v>
      </c>
      <c r="B7498" s="4" t="s">
        <v>250</v>
      </c>
      <c r="C7498" s="38" t="s">
        <v>6217</v>
      </c>
      <c r="D7498" s="18">
        <v>2022</v>
      </c>
      <c r="E7498" s="18" t="s">
        <v>0</v>
      </c>
      <c r="F7498" s="42">
        <v>5</v>
      </c>
      <c r="G7498" s="4">
        <v>65</v>
      </c>
      <c r="H7498" s="18">
        <f>0.03628488*(1000)</f>
        <v>36.284880000000001</v>
      </c>
    </row>
    <row r="7499" spans="1:8" s="15" customFormat="1" ht="16.5" hidden="1" customHeight="1" outlineLevel="1" x14ac:dyDescent="0.25">
      <c r="A7499" s="18">
        <v>2982</v>
      </c>
      <c r="B7499" s="4" t="s">
        <v>250</v>
      </c>
      <c r="C7499" s="38" t="s">
        <v>6218</v>
      </c>
      <c r="D7499" s="18">
        <v>2022</v>
      </c>
      <c r="E7499" s="18" t="s">
        <v>0</v>
      </c>
      <c r="F7499" s="42">
        <v>9</v>
      </c>
      <c r="G7499" s="4">
        <v>92</v>
      </c>
      <c r="H7499" s="18">
        <f>0.12084411*(1000)</f>
        <v>120.84411</v>
      </c>
    </row>
    <row r="7500" spans="1:8" s="15" customFormat="1" ht="16.5" hidden="1" customHeight="1" outlineLevel="1" x14ac:dyDescent="0.25">
      <c r="A7500" s="18">
        <v>2987</v>
      </c>
      <c r="B7500" s="4" t="s">
        <v>250</v>
      </c>
      <c r="C7500" s="38" t="s">
        <v>6219</v>
      </c>
      <c r="D7500" s="18">
        <v>2022</v>
      </c>
      <c r="E7500" s="18" t="s">
        <v>0</v>
      </c>
      <c r="F7500" s="42">
        <v>1</v>
      </c>
      <c r="G7500" s="4">
        <v>27</v>
      </c>
      <c r="H7500" s="18">
        <f>0.02398995*(1000)</f>
        <v>23.98995</v>
      </c>
    </row>
    <row r="7501" spans="1:8" s="15" customFormat="1" ht="16.5" hidden="1" customHeight="1" outlineLevel="1" x14ac:dyDescent="0.25">
      <c r="A7501" s="18">
        <v>2988</v>
      </c>
      <c r="B7501" s="4" t="s">
        <v>250</v>
      </c>
      <c r="C7501" s="38" t="s">
        <v>6220</v>
      </c>
      <c r="D7501" s="18">
        <v>2022</v>
      </c>
      <c r="E7501" s="18" t="s">
        <v>0</v>
      </c>
      <c r="F7501" s="42">
        <v>2</v>
      </c>
      <c r="G7501" s="4">
        <v>30</v>
      </c>
      <c r="H7501" s="18">
        <f>0.04575558*(1000)</f>
        <v>45.755579999999995</v>
      </c>
    </row>
    <row r="7502" spans="1:8" s="15" customFormat="1" ht="16.5" hidden="1" customHeight="1" outlineLevel="1" x14ac:dyDescent="0.25">
      <c r="A7502" s="18">
        <v>3017</v>
      </c>
      <c r="B7502" s="4" t="s">
        <v>250</v>
      </c>
      <c r="C7502" s="38" t="s">
        <v>6221</v>
      </c>
      <c r="D7502" s="18">
        <v>2022</v>
      </c>
      <c r="E7502" s="18" t="s">
        <v>0</v>
      </c>
      <c r="F7502" s="42">
        <v>1</v>
      </c>
      <c r="G7502" s="4">
        <v>10</v>
      </c>
      <c r="H7502" s="18">
        <f>0.01916573*(1000)</f>
        <v>19.16573</v>
      </c>
    </row>
    <row r="7503" spans="1:8" s="15" customFormat="1" ht="16.5" hidden="1" customHeight="1" outlineLevel="1" x14ac:dyDescent="0.25">
      <c r="A7503" s="18">
        <v>3018</v>
      </c>
      <c r="B7503" s="4" t="s">
        <v>250</v>
      </c>
      <c r="C7503" s="38" t="s">
        <v>6222</v>
      </c>
      <c r="D7503" s="18">
        <v>2022</v>
      </c>
      <c r="E7503" s="18" t="s">
        <v>0</v>
      </c>
      <c r="F7503" s="42">
        <v>1</v>
      </c>
      <c r="G7503" s="4">
        <v>15</v>
      </c>
      <c r="H7503" s="18">
        <f>0.01916572*(1000)</f>
        <v>19.16572</v>
      </c>
    </row>
    <row r="7504" spans="1:8" s="15" customFormat="1" ht="16.5" hidden="1" customHeight="1" outlineLevel="1" x14ac:dyDescent="0.25">
      <c r="A7504" s="18">
        <v>3019</v>
      </c>
      <c r="B7504" s="4" t="s">
        <v>250</v>
      </c>
      <c r="C7504" s="38" t="s">
        <v>6223</v>
      </c>
      <c r="D7504" s="18">
        <v>2022</v>
      </c>
      <c r="E7504" s="18" t="s">
        <v>0</v>
      </c>
      <c r="F7504" s="42">
        <v>1</v>
      </c>
      <c r="G7504" s="4">
        <v>10</v>
      </c>
      <c r="H7504" s="18">
        <f>0.01893578*(1000)</f>
        <v>18.935779999999998</v>
      </c>
    </row>
    <row r="7505" spans="1:8" s="15" customFormat="1" ht="16.5" hidden="1" customHeight="1" outlineLevel="1" x14ac:dyDescent="0.25">
      <c r="A7505" s="18">
        <v>3024</v>
      </c>
      <c r="B7505" s="4" t="s">
        <v>250</v>
      </c>
      <c r="C7505" s="38" t="s">
        <v>6224</v>
      </c>
      <c r="D7505" s="18">
        <v>2022</v>
      </c>
      <c r="E7505" s="18" t="s">
        <v>0</v>
      </c>
      <c r="F7505" s="42">
        <v>2</v>
      </c>
      <c r="G7505" s="4">
        <v>17</v>
      </c>
      <c r="H7505" s="18">
        <f>0.02993381*(1000)</f>
        <v>29.933810000000001</v>
      </c>
    </row>
    <row r="7506" spans="1:8" s="15" customFormat="1" ht="16.5" hidden="1" customHeight="1" outlineLevel="1" x14ac:dyDescent="0.25">
      <c r="A7506" s="18">
        <v>3025</v>
      </c>
      <c r="B7506" s="4" t="s">
        <v>250</v>
      </c>
      <c r="C7506" s="38" t="s">
        <v>6225</v>
      </c>
      <c r="D7506" s="18">
        <v>2022</v>
      </c>
      <c r="E7506" s="18" t="s">
        <v>0</v>
      </c>
      <c r="F7506" s="42">
        <v>1</v>
      </c>
      <c r="G7506" s="4">
        <v>11</v>
      </c>
      <c r="H7506" s="18">
        <f>0.02864675*(1000)</f>
        <v>28.646749999999997</v>
      </c>
    </row>
    <row r="7507" spans="1:8" s="15" customFormat="1" ht="16.5" hidden="1" customHeight="1" outlineLevel="1" x14ac:dyDescent="0.25">
      <c r="A7507" s="18">
        <v>3026</v>
      </c>
      <c r="B7507" s="4" t="s">
        <v>250</v>
      </c>
      <c r="C7507" s="38" t="s">
        <v>6226</v>
      </c>
      <c r="D7507" s="18">
        <v>2022</v>
      </c>
      <c r="E7507" s="18" t="s">
        <v>0</v>
      </c>
      <c r="F7507" s="42">
        <v>1</v>
      </c>
      <c r="G7507" s="4">
        <v>10</v>
      </c>
      <c r="H7507" s="18">
        <f>0.01822365*(1000)</f>
        <v>18.223649999999999</v>
      </c>
    </row>
    <row r="7508" spans="1:8" s="15" customFormat="1" ht="16.5" hidden="1" customHeight="1" outlineLevel="1" x14ac:dyDescent="0.25">
      <c r="A7508" s="18">
        <v>3027</v>
      </c>
      <c r="B7508" s="4" t="s">
        <v>250</v>
      </c>
      <c r="C7508" s="38" t="s">
        <v>6227</v>
      </c>
      <c r="D7508" s="18">
        <v>2022</v>
      </c>
      <c r="E7508" s="18" t="s">
        <v>0</v>
      </c>
      <c r="F7508" s="42">
        <v>1</v>
      </c>
      <c r="G7508" s="4">
        <v>14</v>
      </c>
      <c r="H7508" s="18">
        <f>0.01916573*(1000)</f>
        <v>19.16573</v>
      </c>
    </row>
    <row r="7509" spans="1:8" s="15" customFormat="1" ht="16.5" hidden="1" customHeight="1" outlineLevel="1" x14ac:dyDescent="0.25">
      <c r="A7509" s="18">
        <v>3029</v>
      </c>
      <c r="B7509" s="4" t="s">
        <v>250</v>
      </c>
      <c r="C7509" s="38" t="s">
        <v>6228</v>
      </c>
      <c r="D7509" s="18">
        <v>2022</v>
      </c>
      <c r="E7509" s="18" t="s">
        <v>0</v>
      </c>
      <c r="F7509" s="42">
        <v>1</v>
      </c>
      <c r="G7509" s="4">
        <v>15</v>
      </c>
      <c r="H7509" s="18">
        <f>0.01916575*(1000)</f>
        <v>19.165749999999999</v>
      </c>
    </row>
    <row r="7510" spans="1:8" s="15" customFormat="1" ht="16.5" hidden="1" customHeight="1" outlineLevel="1" x14ac:dyDescent="0.25">
      <c r="A7510" s="18">
        <v>3030</v>
      </c>
      <c r="B7510" s="4" t="s">
        <v>250</v>
      </c>
      <c r="C7510" s="38" t="s">
        <v>6229</v>
      </c>
      <c r="D7510" s="18">
        <v>2022</v>
      </c>
      <c r="E7510" s="18" t="s">
        <v>0</v>
      </c>
      <c r="F7510" s="42">
        <v>1</v>
      </c>
      <c r="G7510" s="4">
        <v>7</v>
      </c>
      <c r="H7510" s="18">
        <f>0.01916573*(1000)</f>
        <v>19.16573</v>
      </c>
    </row>
    <row r="7511" spans="1:8" s="15" customFormat="1" ht="16.5" hidden="1" customHeight="1" outlineLevel="1" x14ac:dyDescent="0.25">
      <c r="A7511" s="18">
        <v>3031</v>
      </c>
      <c r="B7511" s="4" t="s">
        <v>250</v>
      </c>
      <c r="C7511" s="38" t="s">
        <v>6230</v>
      </c>
      <c r="D7511" s="18">
        <v>2022</v>
      </c>
      <c r="E7511" s="18" t="s">
        <v>0</v>
      </c>
      <c r="F7511" s="42">
        <v>1</v>
      </c>
      <c r="G7511" s="4">
        <v>12</v>
      </c>
      <c r="H7511" s="18">
        <f>0.01916573*(1000)</f>
        <v>19.16573</v>
      </c>
    </row>
    <row r="7512" spans="1:8" s="15" customFormat="1" ht="16.5" hidden="1" customHeight="1" outlineLevel="1" x14ac:dyDescent="0.25">
      <c r="A7512" s="18">
        <v>3032</v>
      </c>
      <c r="B7512" s="4" t="s">
        <v>250</v>
      </c>
      <c r="C7512" s="38" t="s">
        <v>6231</v>
      </c>
      <c r="D7512" s="18">
        <v>2022</v>
      </c>
      <c r="E7512" s="18" t="s">
        <v>0</v>
      </c>
      <c r="F7512" s="42">
        <v>1</v>
      </c>
      <c r="G7512" s="4">
        <v>14</v>
      </c>
      <c r="H7512" s="18">
        <f>0.01916574*(1000)</f>
        <v>19.16574</v>
      </c>
    </row>
    <row r="7513" spans="1:8" s="15" customFormat="1" ht="16.5" hidden="1" customHeight="1" outlineLevel="1" x14ac:dyDescent="0.25">
      <c r="A7513" s="18">
        <v>3033</v>
      </c>
      <c r="B7513" s="4" t="s">
        <v>250</v>
      </c>
      <c r="C7513" s="38" t="s">
        <v>6232</v>
      </c>
      <c r="D7513" s="18">
        <v>2022</v>
      </c>
      <c r="E7513" s="18" t="s">
        <v>0</v>
      </c>
      <c r="F7513" s="42">
        <v>1</v>
      </c>
      <c r="G7513" s="4">
        <v>14</v>
      </c>
      <c r="H7513" s="18">
        <f>0.01893578*(1000)</f>
        <v>18.935779999999998</v>
      </c>
    </row>
    <row r="7514" spans="1:8" s="15" customFormat="1" ht="16.5" hidden="1" customHeight="1" outlineLevel="1" x14ac:dyDescent="0.25">
      <c r="A7514" s="18">
        <v>3034</v>
      </c>
      <c r="B7514" s="4" t="s">
        <v>250</v>
      </c>
      <c r="C7514" s="38" t="s">
        <v>6233</v>
      </c>
      <c r="D7514" s="18">
        <v>2022</v>
      </c>
      <c r="E7514" s="18" t="s">
        <v>0</v>
      </c>
      <c r="F7514" s="42">
        <v>1</v>
      </c>
      <c r="G7514" s="4">
        <v>10</v>
      </c>
      <c r="H7514" s="18">
        <f>0.01893577*(1000)</f>
        <v>18.935770000000002</v>
      </c>
    </row>
    <row r="7515" spans="1:8" s="15" customFormat="1" ht="16.5" hidden="1" customHeight="1" outlineLevel="1" x14ac:dyDescent="0.25">
      <c r="A7515" s="18">
        <v>3037</v>
      </c>
      <c r="B7515" s="4" t="s">
        <v>250</v>
      </c>
      <c r="C7515" s="38" t="s">
        <v>6234</v>
      </c>
      <c r="D7515" s="18">
        <v>2022</v>
      </c>
      <c r="E7515" s="18" t="s">
        <v>0</v>
      </c>
      <c r="F7515" s="42">
        <v>1</v>
      </c>
      <c r="G7515" s="4">
        <v>15</v>
      </c>
      <c r="H7515" s="18">
        <f>0.01893578*(1000)</f>
        <v>18.935779999999998</v>
      </c>
    </row>
    <row r="7516" spans="1:8" s="15" customFormat="1" ht="16.5" hidden="1" customHeight="1" outlineLevel="1" x14ac:dyDescent="0.25">
      <c r="A7516" s="18">
        <v>3038</v>
      </c>
      <c r="B7516" s="4" t="s">
        <v>250</v>
      </c>
      <c r="C7516" s="38" t="s">
        <v>6235</v>
      </c>
      <c r="D7516" s="18">
        <v>2022</v>
      </c>
      <c r="E7516" s="18" t="s">
        <v>0</v>
      </c>
      <c r="F7516" s="42">
        <v>1</v>
      </c>
      <c r="G7516" s="4">
        <v>14</v>
      </c>
      <c r="H7516" s="18">
        <f>0.01893577*(1000)</f>
        <v>18.935770000000002</v>
      </c>
    </row>
    <row r="7517" spans="1:8" s="15" customFormat="1" ht="16.5" hidden="1" customHeight="1" outlineLevel="1" x14ac:dyDescent="0.25">
      <c r="A7517" s="18">
        <v>3040</v>
      </c>
      <c r="B7517" s="4" t="s">
        <v>250</v>
      </c>
      <c r="C7517" s="38" t="s">
        <v>6236</v>
      </c>
      <c r="D7517" s="18">
        <v>2022</v>
      </c>
      <c r="E7517" s="18" t="s">
        <v>0</v>
      </c>
      <c r="F7517" s="42">
        <v>1</v>
      </c>
      <c r="G7517" s="4">
        <v>10</v>
      </c>
      <c r="H7517" s="18">
        <f>0.01893578*(1000)</f>
        <v>18.935779999999998</v>
      </c>
    </row>
    <row r="7518" spans="1:8" s="15" customFormat="1" ht="16.5" hidden="1" customHeight="1" outlineLevel="1" x14ac:dyDescent="0.25">
      <c r="A7518" s="18">
        <v>3041</v>
      </c>
      <c r="B7518" s="4" t="s">
        <v>250</v>
      </c>
      <c r="C7518" s="38" t="s">
        <v>6237</v>
      </c>
      <c r="D7518" s="18">
        <v>2022</v>
      </c>
      <c r="E7518" s="18" t="s">
        <v>0</v>
      </c>
      <c r="F7518" s="42">
        <v>1</v>
      </c>
      <c r="G7518" s="4">
        <v>15</v>
      </c>
      <c r="H7518" s="18">
        <f>0.01893577*(1000)</f>
        <v>18.935770000000002</v>
      </c>
    </row>
    <row r="7519" spans="1:8" s="15" customFormat="1" ht="16.5" hidden="1" customHeight="1" outlineLevel="1" x14ac:dyDescent="0.25">
      <c r="A7519" s="18">
        <v>3045</v>
      </c>
      <c r="B7519" s="4" t="s">
        <v>250</v>
      </c>
      <c r="C7519" s="38" t="s">
        <v>6238</v>
      </c>
      <c r="D7519" s="18">
        <v>2022</v>
      </c>
      <c r="E7519" s="18" t="s">
        <v>0</v>
      </c>
      <c r="F7519" s="42">
        <v>1</v>
      </c>
      <c r="G7519" s="4">
        <v>14</v>
      </c>
      <c r="H7519" s="18">
        <f>0.01916574*(1000)</f>
        <v>19.16574</v>
      </c>
    </row>
    <row r="7520" spans="1:8" s="15" customFormat="1" ht="16.5" hidden="1" customHeight="1" outlineLevel="1" x14ac:dyDescent="0.25">
      <c r="A7520" s="18">
        <v>3046</v>
      </c>
      <c r="B7520" s="4" t="s">
        <v>250</v>
      </c>
      <c r="C7520" s="38" t="s">
        <v>6239</v>
      </c>
      <c r="D7520" s="18">
        <v>2022</v>
      </c>
      <c r="E7520" s="18" t="s">
        <v>0</v>
      </c>
      <c r="F7520" s="42">
        <v>1</v>
      </c>
      <c r="G7520" s="4">
        <v>15</v>
      </c>
      <c r="H7520" s="18">
        <f>0.01916572*(1000)</f>
        <v>19.16572</v>
      </c>
    </row>
    <row r="7521" spans="1:8" s="15" customFormat="1" ht="16.5" hidden="1" customHeight="1" outlineLevel="1" x14ac:dyDescent="0.25">
      <c r="A7521" s="18">
        <v>3047</v>
      </c>
      <c r="B7521" s="4" t="s">
        <v>250</v>
      </c>
      <c r="C7521" s="38" t="s">
        <v>6240</v>
      </c>
      <c r="D7521" s="18">
        <v>2022</v>
      </c>
      <c r="E7521" s="18" t="s">
        <v>0</v>
      </c>
      <c r="F7521" s="42">
        <v>1</v>
      </c>
      <c r="G7521" s="4">
        <v>10</v>
      </c>
      <c r="H7521" s="18">
        <f>0.01916573*(1000)</f>
        <v>19.16573</v>
      </c>
    </row>
    <row r="7522" spans="1:8" s="15" customFormat="1" ht="16.5" hidden="1" customHeight="1" outlineLevel="1" x14ac:dyDescent="0.25">
      <c r="A7522" s="18">
        <v>3048</v>
      </c>
      <c r="B7522" s="4" t="s">
        <v>250</v>
      </c>
      <c r="C7522" s="38" t="s">
        <v>6241</v>
      </c>
      <c r="D7522" s="18">
        <v>2022</v>
      </c>
      <c r="E7522" s="18" t="s">
        <v>0</v>
      </c>
      <c r="F7522" s="42">
        <v>1</v>
      </c>
      <c r="G7522" s="4">
        <v>10</v>
      </c>
      <c r="H7522" s="18">
        <f>0.01916572*(1000)</f>
        <v>19.16572</v>
      </c>
    </row>
    <row r="7523" spans="1:8" s="15" customFormat="1" ht="16.5" hidden="1" customHeight="1" outlineLevel="1" x14ac:dyDescent="0.25">
      <c r="A7523" s="18">
        <v>3049</v>
      </c>
      <c r="B7523" s="4" t="s">
        <v>250</v>
      </c>
      <c r="C7523" s="38" t="s">
        <v>6242</v>
      </c>
      <c r="D7523" s="18">
        <v>2022</v>
      </c>
      <c r="E7523" s="18" t="s">
        <v>0</v>
      </c>
      <c r="F7523" s="42">
        <v>1</v>
      </c>
      <c r="G7523" s="4">
        <v>15</v>
      </c>
      <c r="H7523" s="18">
        <f>0.01338467*(1000)</f>
        <v>13.38467</v>
      </c>
    </row>
    <row r="7524" spans="1:8" s="15" customFormat="1" ht="16.5" hidden="1" customHeight="1" outlineLevel="1" x14ac:dyDescent="0.25">
      <c r="A7524" s="18">
        <v>3050</v>
      </c>
      <c r="B7524" s="4" t="s">
        <v>250</v>
      </c>
      <c r="C7524" s="38" t="s">
        <v>6243</v>
      </c>
      <c r="D7524" s="18">
        <v>2022</v>
      </c>
      <c r="E7524" s="18" t="s">
        <v>0</v>
      </c>
      <c r="F7524" s="42">
        <v>1</v>
      </c>
      <c r="G7524" s="4">
        <v>15</v>
      </c>
      <c r="H7524" s="18">
        <f>0.01338466*(1000)</f>
        <v>13.38466</v>
      </c>
    </row>
    <row r="7525" spans="1:8" s="15" customFormat="1" ht="16.5" hidden="1" customHeight="1" outlineLevel="1" x14ac:dyDescent="0.25">
      <c r="A7525" s="18">
        <v>3051</v>
      </c>
      <c r="B7525" s="4" t="s">
        <v>250</v>
      </c>
      <c r="C7525" s="38" t="s">
        <v>6244</v>
      </c>
      <c r="D7525" s="18">
        <v>2022</v>
      </c>
      <c r="E7525" s="18" t="s">
        <v>0</v>
      </c>
      <c r="F7525" s="42">
        <v>1</v>
      </c>
      <c r="G7525" s="4">
        <v>15</v>
      </c>
      <c r="H7525" s="18">
        <f>0.01338467*(1000)</f>
        <v>13.38467</v>
      </c>
    </row>
    <row r="7526" spans="1:8" s="15" customFormat="1" ht="16.5" hidden="1" customHeight="1" outlineLevel="1" x14ac:dyDescent="0.25">
      <c r="A7526" s="18">
        <v>3052</v>
      </c>
      <c r="B7526" s="4" t="s">
        <v>250</v>
      </c>
      <c r="C7526" s="38" t="s">
        <v>6245</v>
      </c>
      <c r="D7526" s="18">
        <v>2022</v>
      </c>
      <c r="E7526" s="18" t="s">
        <v>0</v>
      </c>
      <c r="F7526" s="42">
        <v>1</v>
      </c>
      <c r="G7526" s="4">
        <v>15</v>
      </c>
      <c r="H7526" s="18">
        <f>0.01338466*(1000)</f>
        <v>13.38466</v>
      </c>
    </row>
    <row r="7527" spans="1:8" s="15" customFormat="1" ht="16.5" hidden="1" customHeight="1" outlineLevel="1" x14ac:dyDescent="0.25">
      <c r="A7527" s="18">
        <v>3053</v>
      </c>
      <c r="B7527" s="4" t="s">
        <v>250</v>
      </c>
      <c r="C7527" s="38" t="s">
        <v>6246</v>
      </c>
      <c r="D7527" s="18">
        <v>2022</v>
      </c>
      <c r="E7527" s="18" t="s">
        <v>0</v>
      </c>
      <c r="F7527" s="42">
        <v>1</v>
      </c>
      <c r="G7527" s="4">
        <v>15</v>
      </c>
      <c r="H7527" s="18">
        <f>0.01338467*(1000)</f>
        <v>13.38467</v>
      </c>
    </row>
    <row r="7528" spans="1:8" s="15" customFormat="1" ht="16.5" hidden="1" customHeight="1" outlineLevel="1" x14ac:dyDescent="0.25">
      <c r="A7528" s="18">
        <v>3054</v>
      </c>
      <c r="B7528" s="4" t="s">
        <v>250</v>
      </c>
      <c r="C7528" s="38" t="s">
        <v>6247</v>
      </c>
      <c r="D7528" s="18">
        <v>2022</v>
      </c>
      <c r="E7528" s="18" t="s">
        <v>0</v>
      </c>
      <c r="F7528" s="42">
        <v>1</v>
      </c>
      <c r="G7528" s="4">
        <v>15</v>
      </c>
      <c r="H7528" s="18">
        <f>0.01338368*(1000)</f>
        <v>13.38368</v>
      </c>
    </row>
    <row r="7529" spans="1:8" s="15" customFormat="1" ht="16.5" hidden="1" customHeight="1" outlineLevel="1" x14ac:dyDescent="0.25">
      <c r="A7529" s="18">
        <v>3056</v>
      </c>
      <c r="B7529" s="4" t="s">
        <v>250</v>
      </c>
      <c r="C7529" s="38" t="s">
        <v>6248</v>
      </c>
      <c r="D7529" s="18">
        <v>2022</v>
      </c>
      <c r="E7529" s="18" t="s">
        <v>0</v>
      </c>
      <c r="F7529" s="42">
        <v>2</v>
      </c>
      <c r="G7529" s="4">
        <v>20</v>
      </c>
      <c r="H7529" s="18">
        <f>0.03536632*(1000)</f>
        <v>35.366320000000002</v>
      </c>
    </row>
    <row r="7530" spans="1:8" s="15" customFormat="1" ht="16.5" hidden="1" customHeight="1" outlineLevel="1" x14ac:dyDescent="0.25">
      <c r="A7530" s="18">
        <v>3057</v>
      </c>
      <c r="B7530" s="4" t="s">
        <v>250</v>
      </c>
      <c r="C7530" s="38" t="s">
        <v>6249</v>
      </c>
      <c r="D7530" s="18">
        <v>2022</v>
      </c>
      <c r="E7530" s="18" t="s">
        <v>0</v>
      </c>
      <c r="F7530" s="42">
        <v>1</v>
      </c>
      <c r="G7530" s="4">
        <v>6</v>
      </c>
      <c r="H7530" s="18">
        <f>0.01780619*(1000)</f>
        <v>17.806190000000001</v>
      </c>
    </row>
    <row r="7531" spans="1:8" s="15" customFormat="1" ht="16.5" hidden="1" customHeight="1" outlineLevel="1" x14ac:dyDescent="0.25">
      <c r="A7531" s="18">
        <v>3058</v>
      </c>
      <c r="B7531" s="4" t="s">
        <v>250</v>
      </c>
      <c r="C7531" s="38" t="s">
        <v>6250</v>
      </c>
      <c r="D7531" s="18">
        <v>2022</v>
      </c>
      <c r="E7531" s="18" t="s">
        <v>0</v>
      </c>
      <c r="F7531" s="42">
        <v>1</v>
      </c>
      <c r="G7531" s="4">
        <v>15</v>
      </c>
      <c r="H7531" s="18">
        <f>0.01780619*(1000)</f>
        <v>17.806190000000001</v>
      </c>
    </row>
    <row r="7532" spans="1:8" s="15" customFormat="1" ht="16.5" hidden="1" customHeight="1" outlineLevel="1" x14ac:dyDescent="0.25">
      <c r="A7532" s="18">
        <v>3059</v>
      </c>
      <c r="B7532" s="4" t="s">
        <v>250</v>
      </c>
      <c r="C7532" s="38" t="s">
        <v>6251</v>
      </c>
      <c r="D7532" s="18">
        <v>2022</v>
      </c>
      <c r="E7532" s="18" t="s">
        <v>0</v>
      </c>
      <c r="F7532" s="42">
        <v>1</v>
      </c>
      <c r="G7532" s="4">
        <v>10</v>
      </c>
      <c r="H7532" s="18">
        <f>0.01780619*(1000)</f>
        <v>17.806190000000001</v>
      </c>
    </row>
    <row r="7533" spans="1:8" s="15" customFormat="1" ht="16.5" hidden="1" customHeight="1" outlineLevel="1" x14ac:dyDescent="0.25">
      <c r="A7533" s="18">
        <v>3060</v>
      </c>
      <c r="B7533" s="4" t="s">
        <v>250</v>
      </c>
      <c r="C7533" s="38" t="s">
        <v>6252</v>
      </c>
      <c r="D7533" s="18">
        <v>2022</v>
      </c>
      <c r="E7533" s="18" t="s">
        <v>0</v>
      </c>
      <c r="F7533" s="42">
        <v>1</v>
      </c>
      <c r="G7533" s="4">
        <v>15</v>
      </c>
      <c r="H7533" s="18">
        <f>0.01780619*(1000)</f>
        <v>17.806190000000001</v>
      </c>
    </row>
    <row r="7534" spans="1:8" s="15" customFormat="1" ht="16.5" hidden="1" customHeight="1" outlineLevel="1" x14ac:dyDescent="0.25">
      <c r="A7534" s="18">
        <v>3062</v>
      </c>
      <c r="B7534" s="4" t="s">
        <v>250</v>
      </c>
      <c r="C7534" s="38" t="s">
        <v>6253</v>
      </c>
      <c r="D7534" s="18">
        <v>2022</v>
      </c>
      <c r="E7534" s="18" t="s">
        <v>0</v>
      </c>
      <c r="F7534" s="42">
        <v>2</v>
      </c>
      <c r="G7534" s="4">
        <v>12</v>
      </c>
      <c r="H7534" s="18">
        <f>0.02780196*(1000)</f>
        <v>27.801960000000001</v>
      </c>
    </row>
    <row r="7535" spans="1:8" s="15" customFormat="1" ht="16.5" hidden="1" customHeight="1" outlineLevel="1" x14ac:dyDescent="0.25">
      <c r="A7535" s="18">
        <v>3064</v>
      </c>
      <c r="B7535" s="4" t="s">
        <v>250</v>
      </c>
      <c r="C7535" s="38" t="s">
        <v>6254</v>
      </c>
      <c r="D7535" s="18">
        <v>2022</v>
      </c>
      <c r="E7535" s="18" t="s">
        <v>0</v>
      </c>
      <c r="F7535" s="42">
        <v>1</v>
      </c>
      <c r="G7535" s="4">
        <v>15</v>
      </c>
      <c r="H7535" s="18">
        <f>0.01780618*(1000)</f>
        <v>17.806180000000001</v>
      </c>
    </row>
    <row r="7536" spans="1:8" s="15" customFormat="1" ht="16.5" hidden="1" customHeight="1" outlineLevel="1" x14ac:dyDescent="0.25">
      <c r="A7536" s="18">
        <v>3065</v>
      </c>
      <c r="B7536" s="4" t="s">
        <v>250</v>
      </c>
      <c r="C7536" s="38" t="s">
        <v>6255</v>
      </c>
      <c r="D7536" s="18">
        <v>2022</v>
      </c>
      <c r="E7536" s="18" t="s">
        <v>0</v>
      </c>
      <c r="F7536" s="42">
        <v>1</v>
      </c>
      <c r="G7536" s="4">
        <v>15</v>
      </c>
      <c r="H7536" s="18">
        <f>0.0178062*(1000)</f>
        <v>17.8062</v>
      </c>
    </row>
    <row r="7537" spans="1:8" s="15" customFormat="1" ht="16.5" hidden="1" customHeight="1" outlineLevel="1" x14ac:dyDescent="0.25">
      <c r="A7537" s="18">
        <v>3066</v>
      </c>
      <c r="B7537" s="4" t="s">
        <v>250</v>
      </c>
      <c r="C7537" s="38" t="s">
        <v>6256</v>
      </c>
      <c r="D7537" s="18">
        <v>2022</v>
      </c>
      <c r="E7537" s="18" t="s">
        <v>0</v>
      </c>
      <c r="F7537" s="42">
        <v>1</v>
      </c>
      <c r="G7537" s="4">
        <v>15</v>
      </c>
      <c r="H7537" s="18">
        <f>0.0178062*(1000)</f>
        <v>17.8062</v>
      </c>
    </row>
    <row r="7538" spans="1:8" s="15" customFormat="1" ht="16.5" hidden="1" customHeight="1" outlineLevel="1" x14ac:dyDescent="0.25">
      <c r="A7538" s="18">
        <v>3067</v>
      </c>
      <c r="B7538" s="4" t="s">
        <v>250</v>
      </c>
      <c r="C7538" s="38" t="s">
        <v>6257</v>
      </c>
      <c r="D7538" s="18">
        <v>2022</v>
      </c>
      <c r="E7538" s="18" t="s">
        <v>0</v>
      </c>
      <c r="F7538" s="42">
        <v>1</v>
      </c>
      <c r="G7538" s="4">
        <v>15</v>
      </c>
      <c r="H7538" s="18">
        <f>0.01780618*(1000)</f>
        <v>17.806180000000001</v>
      </c>
    </row>
    <row r="7539" spans="1:8" s="15" customFormat="1" ht="16.5" hidden="1" customHeight="1" outlineLevel="1" x14ac:dyDescent="0.25">
      <c r="A7539" s="18">
        <v>3068</v>
      </c>
      <c r="B7539" s="4" t="s">
        <v>250</v>
      </c>
      <c r="C7539" s="38" t="s">
        <v>6258</v>
      </c>
      <c r="D7539" s="18">
        <v>2022</v>
      </c>
      <c r="E7539" s="18" t="s">
        <v>0</v>
      </c>
      <c r="F7539" s="42">
        <v>1</v>
      </c>
      <c r="G7539" s="4">
        <v>15</v>
      </c>
      <c r="H7539" s="18">
        <f>0.01780618*(1000)</f>
        <v>17.806180000000001</v>
      </c>
    </row>
    <row r="7540" spans="1:8" s="15" customFormat="1" ht="16.5" hidden="1" customHeight="1" outlineLevel="1" x14ac:dyDescent="0.25">
      <c r="A7540" s="18">
        <v>3070</v>
      </c>
      <c r="B7540" s="4" t="s">
        <v>250</v>
      </c>
      <c r="C7540" s="38" t="s">
        <v>6259</v>
      </c>
      <c r="D7540" s="18">
        <v>2022</v>
      </c>
      <c r="E7540" s="18" t="s">
        <v>0</v>
      </c>
      <c r="F7540" s="42">
        <v>1</v>
      </c>
      <c r="G7540" s="4">
        <v>12</v>
      </c>
      <c r="H7540" s="18">
        <f>0.01780618*(1000)</f>
        <v>17.806180000000001</v>
      </c>
    </row>
    <row r="7541" spans="1:8" s="15" customFormat="1" ht="16.5" hidden="1" customHeight="1" outlineLevel="1" x14ac:dyDescent="0.25">
      <c r="A7541" s="18">
        <v>3072</v>
      </c>
      <c r="B7541" s="4" t="s">
        <v>250</v>
      </c>
      <c r="C7541" s="38" t="s">
        <v>6260</v>
      </c>
      <c r="D7541" s="18">
        <v>2022</v>
      </c>
      <c r="E7541" s="18" t="s">
        <v>0</v>
      </c>
      <c r="F7541" s="42">
        <v>1</v>
      </c>
      <c r="G7541" s="4">
        <v>5</v>
      </c>
      <c r="H7541" s="18">
        <f>0.01780413*(1000)</f>
        <v>17.804130000000001</v>
      </c>
    </row>
    <row r="7542" spans="1:8" s="15" customFormat="1" ht="16.5" hidden="1" customHeight="1" outlineLevel="1" x14ac:dyDescent="0.25">
      <c r="A7542" s="18">
        <v>3073</v>
      </c>
      <c r="B7542" s="4" t="s">
        <v>250</v>
      </c>
      <c r="C7542" s="38" t="s">
        <v>6261</v>
      </c>
      <c r="D7542" s="18">
        <v>2022</v>
      </c>
      <c r="E7542" s="18" t="s">
        <v>0</v>
      </c>
      <c r="F7542" s="42">
        <v>1</v>
      </c>
      <c r="G7542" s="4">
        <v>5</v>
      </c>
      <c r="H7542" s="18">
        <f>0.01780414*(1000)</f>
        <v>17.80414</v>
      </c>
    </row>
    <row r="7543" spans="1:8" s="15" customFormat="1" ht="16.5" hidden="1" customHeight="1" outlineLevel="1" x14ac:dyDescent="0.25">
      <c r="A7543" s="18">
        <v>3074</v>
      </c>
      <c r="B7543" s="4" t="s">
        <v>250</v>
      </c>
      <c r="C7543" s="38" t="s">
        <v>6262</v>
      </c>
      <c r="D7543" s="18">
        <v>2022</v>
      </c>
      <c r="E7543" s="18" t="s">
        <v>0</v>
      </c>
      <c r="F7543" s="42">
        <v>2</v>
      </c>
      <c r="G7543" s="4">
        <v>27</v>
      </c>
      <c r="H7543" s="18">
        <f>0.03536633*(1000)</f>
        <v>35.366330000000005</v>
      </c>
    </row>
    <row r="7544" spans="1:8" s="15" customFormat="1" ht="16.5" hidden="1" customHeight="1" outlineLevel="1" x14ac:dyDescent="0.25">
      <c r="A7544" s="18">
        <v>3075</v>
      </c>
      <c r="B7544" s="4" t="s">
        <v>250</v>
      </c>
      <c r="C7544" s="38" t="s">
        <v>6263</v>
      </c>
      <c r="D7544" s="18">
        <v>2022</v>
      </c>
      <c r="E7544" s="18" t="s">
        <v>0</v>
      </c>
      <c r="F7544" s="42">
        <v>1</v>
      </c>
      <c r="G7544" s="4">
        <v>10</v>
      </c>
      <c r="H7544" s="18">
        <f>0.01780618*(1000)</f>
        <v>17.806180000000001</v>
      </c>
    </row>
    <row r="7545" spans="1:8" s="15" customFormat="1" ht="16.5" hidden="1" customHeight="1" outlineLevel="1" x14ac:dyDescent="0.25">
      <c r="A7545" s="18">
        <v>3076</v>
      </c>
      <c r="B7545" s="4" t="s">
        <v>250</v>
      </c>
      <c r="C7545" s="38" t="s">
        <v>6264</v>
      </c>
      <c r="D7545" s="18">
        <v>2022</v>
      </c>
      <c r="E7545" s="18" t="s">
        <v>0</v>
      </c>
      <c r="F7545" s="42">
        <v>1</v>
      </c>
      <c r="G7545" s="4">
        <v>15</v>
      </c>
      <c r="H7545" s="18">
        <f>0.01780619*(1000)</f>
        <v>17.806190000000001</v>
      </c>
    </row>
    <row r="7546" spans="1:8" s="15" customFormat="1" ht="16.5" hidden="1" customHeight="1" outlineLevel="1" x14ac:dyDescent="0.25">
      <c r="A7546" s="18">
        <v>3078</v>
      </c>
      <c r="B7546" s="4" t="s">
        <v>250</v>
      </c>
      <c r="C7546" s="38" t="s">
        <v>6265</v>
      </c>
      <c r="D7546" s="18">
        <v>2022</v>
      </c>
      <c r="E7546" s="18" t="s">
        <v>0</v>
      </c>
      <c r="F7546" s="42">
        <v>2</v>
      </c>
      <c r="G7546" s="4">
        <v>20</v>
      </c>
      <c r="H7546" s="18">
        <f>0.02780196*(1000)</f>
        <v>27.801960000000001</v>
      </c>
    </row>
    <row r="7547" spans="1:8" s="15" customFormat="1" ht="16.5" hidden="1" customHeight="1" outlineLevel="1" x14ac:dyDescent="0.25">
      <c r="A7547" s="18">
        <v>3079</v>
      </c>
      <c r="B7547" s="4" t="s">
        <v>250</v>
      </c>
      <c r="C7547" s="38" t="s">
        <v>6266</v>
      </c>
      <c r="D7547" s="18">
        <v>2022</v>
      </c>
      <c r="E7547" s="18" t="s">
        <v>0</v>
      </c>
      <c r="F7547" s="42">
        <v>1</v>
      </c>
      <c r="G7547" s="4">
        <v>15</v>
      </c>
      <c r="H7547" s="18">
        <f>0.01780619*(1000)</f>
        <v>17.806190000000001</v>
      </c>
    </row>
    <row r="7548" spans="1:8" s="15" customFormat="1" ht="16.5" hidden="1" customHeight="1" outlineLevel="1" x14ac:dyDescent="0.25">
      <c r="A7548" s="18">
        <v>3080</v>
      </c>
      <c r="B7548" s="4" t="s">
        <v>250</v>
      </c>
      <c r="C7548" s="38" t="s">
        <v>6267</v>
      </c>
      <c r="D7548" s="18">
        <v>2022</v>
      </c>
      <c r="E7548" s="18" t="s">
        <v>0</v>
      </c>
      <c r="F7548" s="42">
        <v>1</v>
      </c>
      <c r="G7548" s="4">
        <v>15</v>
      </c>
      <c r="H7548" s="18">
        <f>0.01780618*(1000)</f>
        <v>17.806180000000001</v>
      </c>
    </row>
    <row r="7549" spans="1:8" s="15" customFormat="1" ht="16.5" hidden="1" customHeight="1" outlineLevel="1" x14ac:dyDescent="0.25">
      <c r="A7549" s="18">
        <v>3081</v>
      </c>
      <c r="B7549" s="4" t="s">
        <v>250</v>
      </c>
      <c r="C7549" s="38" t="s">
        <v>6268</v>
      </c>
      <c r="D7549" s="18">
        <v>2022</v>
      </c>
      <c r="E7549" s="18" t="s">
        <v>0</v>
      </c>
      <c r="F7549" s="42">
        <v>1</v>
      </c>
      <c r="G7549" s="4">
        <v>11</v>
      </c>
      <c r="H7549" s="18">
        <f>0.01780619*(1000)</f>
        <v>17.806190000000001</v>
      </c>
    </row>
    <row r="7550" spans="1:8" s="15" customFormat="1" ht="16.5" hidden="1" customHeight="1" outlineLevel="1" x14ac:dyDescent="0.25">
      <c r="A7550" s="18">
        <v>3083</v>
      </c>
      <c r="B7550" s="4" t="s">
        <v>250</v>
      </c>
      <c r="C7550" s="38" t="s">
        <v>6269</v>
      </c>
      <c r="D7550" s="18">
        <v>2022</v>
      </c>
      <c r="E7550" s="18" t="s">
        <v>0</v>
      </c>
      <c r="F7550" s="42">
        <v>1</v>
      </c>
      <c r="G7550" s="4">
        <v>10</v>
      </c>
      <c r="H7550" s="18">
        <f>0.01780619*(1000)</f>
        <v>17.806190000000001</v>
      </c>
    </row>
    <row r="7551" spans="1:8" s="15" customFormat="1" ht="16.5" hidden="1" customHeight="1" outlineLevel="1" x14ac:dyDescent="0.25">
      <c r="A7551" s="18">
        <v>3087</v>
      </c>
      <c r="B7551" s="4" t="s">
        <v>250</v>
      </c>
      <c r="C7551" s="38" t="s">
        <v>6270</v>
      </c>
      <c r="D7551" s="18">
        <v>2022</v>
      </c>
      <c r="E7551" s="18" t="s">
        <v>0</v>
      </c>
      <c r="F7551" s="42">
        <v>1</v>
      </c>
      <c r="G7551" s="4">
        <v>15</v>
      </c>
      <c r="H7551" s="18">
        <f>0.01780619*(1000)</f>
        <v>17.806190000000001</v>
      </c>
    </row>
    <row r="7552" spans="1:8" s="15" customFormat="1" ht="16.5" hidden="1" customHeight="1" outlineLevel="1" x14ac:dyDescent="0.25">
      <c r="A7552" s="18">
        <v>3088</v>
      </c>
      <c r="B7552" s="4" t="s">
        <v>250</v>
      </c>
      <c r="C7552" s="38" t="s">
        <v>6271</v>
      </c>
      <c r="D7552" s="18">
        <v>2022</v>
      </c>
      <c r="E7552" s="18" t="s">
        <v>0</v>
      </c>
      <c r="F7552" s="42">
        <v>1</v>
      </c>
      <c r="G7552" s="4">
        <v>15</v>
      </c>
      <c r="H7552" s="18">
        <f>0.01780618*(1000)</f>
        <v>17.806180000000001</v>
      </c>
    </row>
    <row r="7553" spans="1:8" s="15" customFormat="1" ht="16.5" hidden="1" customHeight="1" outlineLevel="1" x14ac:dyDescent="0.25">
      <c r="A7553" s="18">
        <v>3089</v>
      </c>
      <c r="B7553" s="4" t="s">
        <v>250</v>
      </c>
      <c r="C7553" s="38" t="s">
        <v>6272</v>
      </c>
      <c r="D7553" s="18">
        <v>2022</v>
      </c>
      <c r="E7553" s="18" t="s">
        <v>0</v>
      </c>
      <c r="F7553" s="42">
        <v>1</v>
      </c>
      <c r="G7553" s="4">
        <v>12</v>
      </c>
      <c r="H7553" s="18">
        <f>0.01780619*(1000)</f>
        <v>17.806190000000001</v>
      </c>
    </row>
    <row r="7554" spans="1:8" s="15" customFormat="1" ht="16.5" hidden="1" customHeight="1" outlineLevel="1" x14ac:dyDescent="0.25">
      <c r="A7554" s="18">
        <v>3092</v>
      </c>
      <c r="B7554" s="4" t="s">
        <v>250</v>
      </c>
      <c r="C7554" s="38" t="s">
        <v>6273</v>
      </c>
      <c r="D7554" s="18">
        <v>2022</v>
      </c>
      <c r="E7554" s="18" t="s">
        <v>0</v>
      </c>
      <c r="F7554" s="42">
        <v>1</v>
      </c>
      <c r="G7554" s="4">
        <v>10</v>
      </c>
      <c r="H7554" s="18">
        <f>0.0178062*(1000)</f>
        <v>17.8062</v>
      </c>
    </row>
    <row r="7555" spans="1:8" s="15" customFormat="1" ht="16.5" hidden="1" customHeight="1" outlineLevel="1" x14ac:dyDescent="0.25">
      <c r="A7555" s="18">
        <v>3093</v>
      </c>
      <c r="B7555" s="4" t="s">
        <v>250</v>
      </c>
      <c r="C7555" s="38" t="s">
        <v>6274</v>
      </c>
      <c r="D7555" s="18">
        <v>2022</v>
      </c>
      <c r="E7555" s="18" t="s">
        <v>0</v>
      </c>
      <c r="F7555" s="42">
        <v>1</v>
      </c>
      <c r="G7555" s="4">
        <v>7</v>
      </c>
      <c r="H7555" s="18">
        <f>0.01780618*(1000)</f>
        <v>17.806180000000001</v>
      </c>
    </row>
    <row r="7556" spans="1:8" s="15" customFormat="1" ht="16.5" hidden="1" customHeight="1" outlineLevel="1" x14ac:dyDescent="0.25">
      <c r="A7556" s="18">
        <v>3094</v>
      </c>
      <c r="B7556" s="4" t="s">
        <v>250</v>
      </c>
      <c r="C7556" s="38" t="s">
        <v>6275</v>
      </c>
      <c r="D7556" s="18">
        <v>2022</v>
      </c>
      <c r="E7556" s="18" t="s">
        <v>0</v>
      </c>
      <c r="F7556" s="42">
        <v>1</v>
      </c>
      <c r="G7556" s="4">
        <v>15</v>
      </c>
      <c r="H7556" s="18">
        <f>0.01780618*(1000)</f>
        <v>17.806180000000001</v>
      </c>
    </row>
    <row r="7557" spans="1:8" s="15" customFormat="1" ht="16.5" hidden="1" customHeight="1" outlineLevel="1" x14ac:dyDescent="0.25">
      <c r="A7557" s="18">
        <v>3095</v>
      </c>
      <c r="B7557" s="4" t="s">
        <v>250</v>
      </c>
      <c r="C7557" s="38" t="s">
        <v>6276</v>
      </c>
      <c r="D7557" s="18">
        <v>2022</v>
      </c>
      <c r="E7557" s="18" t="s">
        <v>0</v>
      </c>
      <c r="F7557" s="42">
        <v>1</v>
      </c>
      <c r="G7557" s="4">
        <v>15</v>
      </c>
      <c r="H7557" s="18">
        <f>0.01780618*(1000)</f>
        <v>17.806180000000001</v>
      </c>
    </row>
    <row r="7558" spans="1:8" s="15" customFormat="1" ht="16.5" hidden="1" customHeight="1" outlineLevel="1" x14ac:dyDescent="0.25">
      <c r="A7558" s="18">
        <v>3097</v>
      </c>
      <c r="B7558" s="4" t="s">
        <v>250</v>
      </c>
      <c r="C7558" s="38" t="s">
        <v>6277</v>
      </c>
      <c r="D7558" s="18">
        <v>2022</v>
      </c>
      <c r="E7558" s="18" t="s">
        <v>0</v>
      </c>
      <c r="F7558" s="42">
        <v>1</v>
      </c>
      <c r="G7558" s="4">
        <v>15</v>
      </c>
      <c r="H7558" s="18">
        <f>0.01780619*(1000)</f>
        <v>17.806190000000001</v>
      </c>
    </row>
    <row r="7559" spans="1:8" s="15" customFormat="1" ht="16.5" hidden="1" customHeight="1" outlineLevel="1" x14ac:dyDescent="0.25">
      <c r="A7559" s="18">
        <v>3098</v>
      </c>
      <c r="B7559" s="4" t="s">
        <v>250</v>
      </c>
      <c r="C7559" s="38" t="s">
        <v>6278</v>
      </c>
      <c r="D7559" s="18">
        <v>2022</v>
      </c>
      <c r="E7559" s="18" t="s">
        <v>0</v>
      </c>
      <c r="F7559" s="42">
        <v>1</v>
      </c>
      <c r="G7559" s="4">
        <v>7</v>
      </c>
      <c r="H7559" s="18">
        <f>0.01780618*(1000)</f>
        <v>17.806180000000001</v>
      </c>
    </row>
    <row r="7560" spans="1:8" s="15" customFormat="1" ht="16.5" hidden="1" customHeight="1" outlineLevel="1" x14ac:dyDescent="0.25">
      <c r="A7560" s="18">
        <v>3099</v>
      </c>
      <c r="B7560" s="4" t="s">
        <v>250</v>
      </c>
      <c r="C7560" s="38" t="s">
        <v>6279</v>
      </c>
      <c r="D7560" s="18">
        <v>2022</v>
      </c>
      <c r="E7560" s="18" t="s">
        <v>0</v>
      </c>
      <c r="F7560" s="42">
        <v>1</v>
      </c>
      <c r="G7560" s="4">
        <v>30</v>
      </c>
      <c r="H7560" s="18">
        <f>0.01780618*(1000)</f>
        <v>17.806180000000001</v>
      </c>
    </row>
    <row r="7561" spans="1:8" s="15" customFormat="1" ht="16.5" hidden="1" customHeight="1" outlineLevel="1" x14ac:dyDescent="0.25">
      <c r="A7561" s="18">
        <v>3103</v>
      </c>
      <c r="B7561" s="4" t="s">
        <v>250</v>
      </c>
      <c r="C7561" s="38" t="s">
        <v>6280</v>
      </c>
      <c r="D7561" s="18">
        <v>2022</v>
      </c>
      <c r="E7561" s="18" t="s">
        <v>0</v>
      </c>
      <c r="F7561" s="42">
        <v>1</v>
      </c>
      <c r="G7561" s="4">
        <v>15</v>
      </c>
      <c r="H7561" s="18">
        <f>0.01768315*(1000)</f>
        <v>17.683150000000001</v>
      </c>
    </row>
    <row r="7562" spans="1:8" s="15" customFormat="1" ht="16.5" hidden="1" customHeight="1" outlineLevel="1" x14ac:dyDescent="0.25">
      <c r="A7562" s="18">
        <v>3104</v>
      </c>
      <c r="B7562" s="4" t="s">
        <v>250</v>
      </c>
      <c r="C7562" s="38" t="s">
        <v>6281</v>
      </c>
      <c r="D7562" s="18">
        <v>2022</v>
      </c>
      <c r="E7562" s="18" t="s">
        <v>0</v>
      </c>
      <c r="F7562" s="42">
        <v>1</v>
      </c>
      <c r="G7562" s="4">
        <v>12</v>
      </c>
      <c r="H7562" s="18">
        <f>0.01768317*(1000)</f>
        <v>17.68317</v>
      </c>
    </row>
    <row r="7563" spans="1:8" s="15" customFormat="1" ht="16.5" hidden="1" customHeight="1" outlineLevel="1" x14ac:dyDescent="0.25">
      <c r="A7563" s="18">
        <v>3106</v>
      </c>
      <c r="B7563" s="4" t="s">
        <v>250</v>
      </c>
      <c r="C7563" s="38" t="s">
        <v>6282</v>
      </c>
      <c r="D7563" s="18">
        <v>2022</v>
      </c>
      <c r="E7563" s="18" t="s">
        <v>0</v>
      </c>
      <c r="F7563" s="42">
        <v>1</v>
      </c>
      <c r="G7563" s="4">
        <v>14</v>
      </c>
      <c r="H7563" s="18">
        <f>0.01768317*(1000)</f>
        <v>17.68317</v>
      </c>
    </row>
    <row r="7564" spans="1:8" s="15" customFormat="1" ht="16.5" hidden="1" customHeight="1" outlineLevel="1" x14ac:dyDescent="0.25">
      <c r="A7564" s="18">
        <v>3107</v>
      </c>
      <c r="B7564" s="4" t="s">
        <v>250</v>
      </c>
      <c r="C7564" s="38" t="s">
        <v>6283</v>
      </c>
      <c r="D7564" s="18">
        <v>2022</v>
      </c>
      <c r="E7564" s="18" t="s">
        <v>0</v>
      </c>
      <c r="F7564" s="42">
        <v>1</v>
      </c>
      <c r="G7564" s="4">
        <v>10</v>
      </c>
      <c r="H7564" s="18">
        <f>0.01768316*(1000)</f>
        <v>17.683160000000001</v>
      </c>
    </row>
    <row r="7565" spans="1:8" s="15" customFormat="1" ht="16.5" hidden="1" customHeight="1" outlineLevel="1" x14ac:dyDescent="0.25">
      <c r="A7565" s="18">
        <v>3108</v>
      </c>
      <c r="B7565" s="4" t="s">
        <v>250</v>
      </c>
      <c r="C7565" s="38" t="s">
        <v>6284</v>
      </c>
      <c r="D7565" s="18">
        <v>2022</v>
      </c>
      <c r="E7565" s="18" t="s">
        <v>0</v>
      </c>
      <c r="F7565" s="42">
        <v>1</v>
      </c>
      <c r="G7565" s="4">
        <v>15</v>
      </c>
      <c r="H7565" s="18">
        <f>0.01768319*(1000)</f>
        <v>17.68319</v>
      </c>
    </row>
    <row r="7566" spans="1:8" s="15" customFormat="1" ht="16.5" hidden="1" customHeight="1" outlineLevel="1" x14ac:dyDescent="0.25">
      <c r="A7566" s="18">
        <v>3109</v>
      </c>
      <c r="B7566" s="4" t="s">
        <v>250</v>
      </c>
      <c r="C7566" s="38" t="s">
        <v>6285</v>
      </c>
      <c r="D7566" s="18">
        <v>2022</v>
      </c>
      <c r="E7566" s="18" t="s">
        <v>0</v>
      </c>
      <c r="F7566" s="42">
        <v>1</v>
      </c>
      <c r="G7566" s="4">
        <v>15</v>
      </c>
      <c r="H7566" s="18">
        <f>0.01768316*(1000)</f>
        <v>17.683160000000001</v>
      </c>
    </row>
    <row r="7567" spans="1:8" s="15" customFormat="1" ht="16.5" hidden="1" customHeight="1" outlineLevel="1" x14ac:dyDescent="0.25">
      <c r="A7567" s="18">
        <v>3111</v>
      </c>
      <c r="B7567" s="4" t="s">
        <v>250</v>
      </c>
      <c r="C7567" s="38" t="s">
        <v>6286</v>
      </c>
      <c r="D7567" s="18">
        <v>2022</v>
      </c>
      <c r="E7567" s="18" t="s">
        <v>0</v>
      </c>
      <c r="F7567" s="42">
        <v>1</v>
      </c>
      <c r="G7567" s="4">
        <v>14</v>
      </c>
      <c r="H7567" s="18">
        <f>0.01768316*(1000)</f>
        <v>17.683160000000001</v>
      </c>
    </row>
    <row r="7568" spans="1:8" s="15" customFormat="1" ht="16.5" hidden="1" customHeight="1" outlineLevel="1" x14ac:dyDescent="0.25">
      <c r="A7568" s="18">
        <v>3112</v>
      </c>
      <c r="B7568" s="4" t="s">
        <v>250</v>
      </c>
      <c r="C7568" s="38" t="s">
        <v>6287</v>
      </c>
      <c r="D7568" s="18">
        <v>2022</v>
      </c>
      <c r="E7568" s="18" t="s">
        <v>0</v>
      </c>
      <c r="F7568" s="42">
        <v>1</v>
      </c>
      <c r="G7568" s="4">
        <v>14</v>
      </c>
      <c r="H7568" s="18">
        <f>0.0176832*(1000)</f>
        <v>17.683199999999999</v>
      </c>
    </row>
    <row r="7569" spans="1:8" s="15" customFormat="1" ht="16.5" hidden="1" customHeight="1" outlineLevel="1" x14ac:dyDescent="0.25">
      <c r="A7569" s="18">
        <v>3113</v>
      </c>
      <c r="B7569" s="4" t="s">
        <v>250</v>
      </c>
      <c r="C7569" s="38" t="s">
        <v>6288</v>
      </c>
      <c r="D7569" s="18">
        <v>2022</v>
      </c>
      <c r="E7569" s="18" t="s">
        <v>0</v>
      </c>
      <c r="F7569" s="42">
        <v>1</v>
      </c>
      <c r="G7569" s="4">
        <v>14</v>
      </c>
      <c r="H7569" s="18">
        <f>0.01780618*(1000)</f>
        <v>17.806180000000001</v>
      </c>
    </row>
    <row r="7570" spans="1:8" s="15" customFormat="1" ht="16.5" hidden="1" customHeight="1" outlineLevel="1" x14ac:dyDescent="0.25">
      <c r="A7570" s="18">
        <v>3114</v>
      </c>
      <c r="B7570" s="4" t="s">
        <v>250</v>
      </c>
      <c r="C7570" s="38" t="s">
        <v>6289</v>
      </c>
      <c r="D7570" s="18">
        <v>2022</v>
      </c>
      <c r="E7570" s="18" t="s">
        <v>0</v>
      </c>
      <c r="F7570" s="42">
        <v>1</v>
      </c>
      <c r="G7570" s="4">
        <v>9</v>
      </c>
      <c r="H7570" s="18">
        <f>0.01780619*(1000)</f>
        <v>17.806190000000001</v>
      </c>
    </row>
    <row r="7571" spans="1:8" s="15" customFormat="1" ht="16.5" hidden="1" customHeight="1" outlineLevel="1" x14ac:dyDescent="0.25">
      <c r="A7571" s="18">
        <v>3115</v>
      </c>
      <c r="B7571" s="4" t="s">
        <v>250</v>
      </c>
      <c r="C7571" s="38" t="s">
        <v>6290</v>
      </c>
      <c r="D7571" s="18">
        <v>2022</v>
      </c>
      <c r="E7571" s="18" t="s">
        <v>0</v>
      </c>
      <c r="F7571" s="42">
        <v>1</v>
      </c>
      <c r="G7571" s="4">
        <v>6</v>
      </c>
      <c r="H7571" s="18">
        <f>0.01780618*(1000)</f>
        <v>17.806180000000001</v>
      </c>
    </row>
    <row r="7572" spans="1:8" s="15" customFormat="1" ht="16.5" hidden="1" customHeight="1" outlineLevel="1" x14ac:dyDescent="0.25">
      <c r="A7572" s="18">
        <v>3116</v>
      </c>
      <c r="B7572" s="4" t="s">
        <v>250</v>
      </c>
      <c r="C7572" s="38" t="s">
        <v>6291</v>
      </c>
      <c r="D7572" s="18">
        <v>2022</v>
      </c>
      <c r="E7572" s="18" t="s">
        <v>0</v>
      </c>
      <c r="F7572" s="42">
        <v>1</v>
      </c>
      <c r="G7572" s="4">
        <v>10</v>
      </c>
      <c r="H7572" s="18">
        <f>0.0178062*(1000)</f>
        <v>17.8062</v>
      </c>
    </row>
    <row r="7573" spans="1:8" s="15" customFormat="1" ht="16.5" hidden="1" customHeight="1" outlineLevel="1" x14ac:dyDescent="0.25">
      <c r="A7573" s="18">
        <v>3117</v>
      </c>
      <c r="B7573" s="4" t="s">
        <v>250</v>
      </c>
      <c r="C7573" s="38" t="s">
        <v>6292</v>
      </c>
      <c r="D7573" s="18">
        <v>2022</v>
      </c>
      <c r="E7573" s="18" t="s">
        <v>0</v>
      </c>
      <c r="F7573" s="42">
        <v>1</v>
      </c>
      <c r="G7573" s="4">
        <v>10</v>
      </c>
      <c r="H7573" s="18">
        <f>0.01780618*(1000)</f>
        <v>17.806180000000001</v>
      </c>
    </row>
    <row r="7574" spans="1:8" s="15" customFormat="1" ht="16.5" hidden="1" customHeight="1" outlineLevel="1" x14ac:dyDescent="0.25">
      <c r="A7574" s="18">
        <v>3118</v>
      </c>
      <c r="B7574" s="4" t="s">
        <v>250</v>
      </c>
      <c r="C7574" s="38" t="s">
        <v>6293</v>
      </c>
      <c r="D7574" s="18">
        <v>2022</v>
      </c>
      <c r="E7574" s="18" t="s">
        <v>0</v>
      </c>
      <c r="F7574" s="42">
        <v>1</v>
      </c>
      <c r="G7574" s="4">
        <v>5</v>
      </c>
      <c r="H7574" s="18">
        <f>0.01780619*(1000)</f>
        <v>17.806190000000001</v>
      </c>
    </row>
    <row r="7575" spans="1:8" s="15" customFormat="1" ht="16.5" hidden="1" customHeight="1" outlineLevel="1" x14ac:dyDescent="0.25">
      <c r="A7575" s="18">
        <v>3120</v>
      </c>
      <c r="B7575" s="4" t="s">
        <v>250</v>
      </c>
      <c r="C7575" s="38" t="s">
        <v>6294</v>
      </c>
      <c r="D7575" s="18">
        <v>2022</v>
      </c>
      <c r="E7575" s="18" t="s">
        <v>0</v>
      </c>
      <c r="F7575" s="42">
        <v>1</v>
      </c>
      <c r="G7575" s="4">
        <v>15</v>
      </c>
      <c r="H7575" s="18">
        <f>0.01780619*(1000)</f>
        <v>17.806190000000001</v>
      </c>
    </row>
    <row r="7576" spans="1:8" s="15" customFormat="1" ht="16.5" hidden="1" customHeight="1" outlineLevel="1" x14ac:dyDescent="0.25">
      <c r="A7576" s="18">
        <v>3121</v>
      </c>
      <c r="B7576" s="4" t="s">
        <v>250</v>
      </c>
      <c r="C7576" s="38" t="s">
        <v>6295</v>
      </c>
      <c r="D7576" s="18">
        <v>2022</v>
      </c>
      <c r="E7576" s="18" t="s">
        <v>0</v>
      </c>
      <c r="F7576" s="42">
        <v>1</v>
      </c>
      <c r="G7576" s="4">
        <v>15</v>
      </c>
      <c r="H7576" s="18">
        <f>0.01780608*(1000)</f>
        <v>17.806079999999998</v>
      </c>
    </row>
    <row r="7577" spans="1:8" s="15" customFormat="1" ht="16.5" hidden="1" customHeight="1" outlineLevel="1" x14ac:dyDescent="0.25">
      <c r="A7577" s="18">
        <v>3123</v>
      </c>
      <c r="B7577" s="4" t="s">
        <v>250</v>
      </c>
      <c r="C7577" s="38" t="s">
        <v>6296</v>
      </c>
      <c r="D7577" s="18">
        <v>2022</v>
      </c>
      <c r="E7577" s="18" t="s">
        <v>0</v>
      </c>
      <c r="F7577" s="42">
        <v>1</v>
      </c>
      <c r="G7577" s="4">
        <v>15</v>
      </c>
      <c r="H7577" s="18">
        <f>0.01780608*(1000)</f>
        <v>17.806079999999998</v>
      </c>
    </row>
    <row r="7578" spans="1:8" s="15" customFormat="1" ht="16.5" hidden="1" customHeight="1" outlineLevel="1" x14ac:dyDescent="0.25">
      <c r="A7578" s="18">
        <v>3125</v>
      </c>
      <c r="B7578" s="4" t="s">
        <v>250</v>
      </c>
      <c r="C7578" s="38" t="s">
        <v>6297</v>
      </c>
      <c r="D7578" s="18">
        <v>2022</v>
      </c>
      <c r="E7578" s="18" t="s">
        <v>0</v>
      </c>
      <c r="F7578" s="42">
        <v>1</v>
      </c>
      <c r="G7578" s="4">
        <v>12</v>
      </c>
      <c r="H7578" s="18">
        <f>0.01780608*(1000)</f>
        <v>17.806079999999998</v>
      </c>
    </row>
    <row r="7579" spans="1:8" s="15" customFormat="1" ht="16.5" hidden="1" customHeight="1" outlineLevel="1" x14ac:dyDescent="0.25">
      <c r="A7579" s="18">
        <v>3126</v>
      </c>
      <c r="B7579" s="4" t="s">
        <v>250</v>
      </c>
      <c r="C7579" s="38" t="s">
        <v>6298</v>
      </c>
      <c r="D7579" s="18">
        <v>2022</v>
      </c>
      <c r="E7579" s="18" t="s">
        <v>0</v>
      </c>
      <c r="F7579" s="42">
        <v>1</v>
      </c>
      <c r="G7579" s="4">
        <v>7</v>
      </c>
      <c r="H7579" s="18">
        <f>0.01780609*(1000)</f>
        <v>17.806090000000001</v>
      </c>
    </row>
    <row r="7580" spans="1:8" s="15" customFormat="1" ht="16.5" hidden="1" customHeight="1" outlineLevel="1" x14ac:dyDescent="0.25">
      <c r="A7580" s="18">
        <v>3127</v>
      </c>
      <c r="B7580" s="4" t="s">
        <v>250</v>
      </c>
      <c r="C7580" s="38" t="s">
        <v>6299</v>
      </c>
      <c r="D7580" s="18">
        <v>2022</v>
      </c>
      <c r="E7580" s="18" t="s">
        <v>0</v>
      </c>
      <c r="F7580" s="42">
        <v>1</v>
      </c>
      <c r="G7580" s="4">
        <v>5</v>
      </c>
      <c r="H7580" s="18">
        <f>0.01768306*(1000)</f>
        <v>17.683060000000001</v>
      </c>
    </row>
    <row r="7581" spans="1:8" s="15" customFormat="1" ht="16.5" hidden="1" customHeight="1" outlineLevel="1" x14ac:dyDescent="0.25">
      <c r="A7581" s="18">
        <v>3128</v>
      </c>
      <c r="B7581" s="4" t="s">
        <v>250</v>
      </c>
      <c r="C7581" s="38" t="s">
        <v>6300</v>
      </c>
      <c r="D7581" s="18">
        <v>2022</v>
      </c>
      <c r="E7581" s="18" t="s">
        <v>0</v>
      </c>
      <c r="F7581" s="42">
        <v>1</v>
      </c>
      <c r="G7581" s="4">
        <v>7.5</v>
      </c>
      <c r="H7581" s="18">
        <f>0.01768307*(1000)</f>
        <v>17.683069999999997</v>
      </c>
    </row>
    <row r="7582" spans="1:8" s="15" customFormat="1" ht="16.5" hidden="1" customHeight="1" outlineLevel="1" x14ac:dyDescent="0.25">
      <c r="A7582" s="18">
        <v>3129</v>
      </c>
      <c r="B7582" s="4" t="s">
        <v>250</v>
      </c>
      <c r="C7582" s="38" t="s">
        <v>6301</v>
      </c>
      <c r="D7582" s="18">
        <v>2022</v>
      </c>
      <c r="E7582" s="18" t="s">
        <v>0</v>
      </c>
      <c r="F7582" s="42">
        <v>1</v>
      </c>
      <c r="G7582" s="4">
        <v>7.5</v>
      </c>
      <c r="H7582" s="18">
        <f>0.01768306*(1000)</f>
        <v>17.683060000000001</v>
      </c>
    </row>
    <row r="7583" spans="1:8" s="15" customFormat="1" ht="16.5" hidden="1" customHeight="1" outlineLevel="1" x14ac:dyDescent="0.25">
      <c r="A7583" s="18">
        <v>3130</v>
      </c>
      <c r="B7583" s="4" t="s">
        <v>250</v>
      </c>
      <c r="C7583" s="38" t="s">
        <v>6302</v>
      </c>
      <c r="D7583" s="18">
        <v>2022</v>
      </c>
      <c r="E7583" s="18" t="s">
        <v>0</v>
      </c>
      <c r="F7583" s="42">
        <v>1</v>
      </c>
      <c r="G7583" s="4">
        <v>7.5</v>
      </c>
      <c r="H7583" s="18">
        <f>0.01768307*(1000)</f>
        <v>17.683069999999997</v>
      </c>
    </row>
    <row r="7584" spans="1:8" s="15" customFormat="1" ht="16.5" hidden="1" customHeight="1" outlineLevel="1" x14ac:dyDescent="0.25">
      <c r="A7584" s="18">
        <v>3131</v>
      </c>
      <c r="B7584" s="4" t="s">
        <v>250</v>
      </c>
      <c r="C7584" s="38" t="s">
        <v>6303</v>
      </c>
      <c r="D7584" s="18">
        <v>2022</v>
      </c>
      <c r="E7584" s="18" t="s">
        <v>0</v>
      </c>
      <c r="F7584" s="42">
        <v>1</v>
      </c>
      <c r="G7584" s="4">
        <v>6</v>
      </c>
      <c r="H7584" s="18">
        <f>0.01768306*(1000)</f>
        <v>17.683060000000001</v>
      </c>
    </row>
    <row r="7585" spans="1:8" s="15" customFormat="1" ht="16.5" hidden="1" customHeight="1" outlineLevel="1" x14ac:dyDescent="0.25">
      <c r="A7585" s="18">
        <v>3132</v>
      </c>
      <c r="B7585" s="4" t="s">
        <v>250</v>
      </c>
      <c r="C7585" s="38" t="s">
        <v>6304</v>
      </c>
      <c r="D7585" s="18">
        <v>2022</v>
      </c>
      <c r="E7585" s="18" t="s">
        <v>0</v>
      </c>
      <c r="F7585" s="42">
        <v>1</v>
      </c>
      <c r="G7585" s="4">
        <v>15</v>
      </c>
      <c r="H7585" s="18">
        <f>0.01768307*(1000)</f>
        <v>17.683069999999997</v>
      </c>
    </row>
    <row r="7586" spans="1:8" s="15" customFormat="1" ht="16.5" hidden="1" customHeight="1" outlineLevel="1" x14ac:dyDescent="0.25">
      <c r="A7586" s="18">
        <v>3133</v>
      </c>
      <c r="B7586" s="4" t="s">
        <v>250</v>
      </c>
      <c r="C7586" s="38" t="s">
        <v>6305</v>
      </c>
      <c r="D7586" s="18">
        <v>2022</v>
      </c>
      <c r="E7586" s="18" t="s">
        <v>0</v>
      </c>
      <c r="F7586" s="42">
        <v>1</v>
      </c>
      <c r="G7586" s="4">
        <v>15</v>
      </c>
      <c r="H7586" s="18">
        <f>0.01768306*(1000)</f>
        <v>17.683060000000001</v>
      </c>
    </row>
    <row r="7587" spans="1:8" s="15" customFormat="1" ht="16.5" hidden="1" customHeight="1" outlineLevel="1" x14ac:dyDescent="0.25">
      <c r="A7587" s="18">
        <v>3134</v>
      </c>
      <c r="B7587" s="4" t="s">
        <v>250</v>
      </c>
      <c r="C7587" s="38" t="s">
        <v>6306</v>
      </c>
      <c r="D7587" s="18">
        <v>2022</v>
      </c>
      <c r="E7587" s="18" t="s">
        <v>0</v>
      </c>
      <c r="F7587" s="42">
        <v>1</v>
      </c>
      <c r="G7587" s="4">
        <v>15</v>
      </c>
      <c r="H7587" s="18">
        <f>0.01768307*(1000)</f>
        <v>17.683069999999997</v>
      </c>
    </row>
    <row r="7588" spans="1:8" s="15" customFormat="1" ht="16.5" hidden="1" customHeight="1" outlineLevel="1" x14ac:dyDescent="0.25">
      <c r="A7588" s="18">
        <v>3136</v>
      </c>
      <c r="B7588" s="4" t="s">
        <v>250</v>
      </c>
      <c r="C7588" s="38" t="s">
        <v>6307</v>
      </c>
      <c r="D7588" s="18">
        <v>2022</v>
      </c>
      <c r="E7588" s="18" t="s">
        <v>0</v>
      </c>
      <c r="F7588" s="42">
        <v>1</v>
      </c>
      <c r="G7588" s="4">
        <v>12</v>
      </c>
      <c r="H7588" s="18">
        <f>0.01768307*(1000)</f>
        <v>17.683069999999997</v>
      </c>
    </row>
    <row r="7589" spans="1:8" s="15" customFormat="1" ht="16.5" hidden="1" customHeight="1" outlineLevel="1" x14ac:dyDescent="0.25">
      <c r="A7589" s="18">
        <v>3139</v>
      </c>
      <c r="B7589" s="4" t="s">
        <v>250</v>
      </c>
      <c r="C7589" s="38" t="s">
        <v>6308</v>
      </c>
      <c r="D7589" s="18">
        <v>2022</v>
      </c>
      <c r="E7589" s="18" t="s">
        <v>0</v>
      </c>
      <c r="F7589" s="42">
        <v>1</v>
      </c>
      <c r="G7589" s="4">
        <v>12</v>
      </c>
      <c r="H7589" s="18">
        <f>0.01768306*(1000)</f>
        <v>17.683060000000001</v>
      </c>
    </row>
    <row r="7590" spans="1:8" s="15" customFormat="1" ht="16.5" hidden="1" customHeight="1" outlineLevel="1" x14ac:dyDescent="0.25">
      <c r="A7590" s="18">
        <v>3143</v>
      </c>
      <c r="B7590" s="4" t="s">
        <v>250</v>
      </c>
      <c r="C7590" s="38" t="s">
        <v>6309</v>
      </c>
      <c r="D7590" s="18">
        <v>2022</v>
      </c>
      <c r="E7590" s="18" t="s">
        <v>0</v>
      </c>
      <c r="F7590" s="42">
        <v>1</v>
      </c>
      <c r="G7590" s="4">
        <v>15</v>
      </c>
      <c r="H7590" s="18">
        <f>0.01768306*(1000)</f>
        <v>17.683060000000001</v>
      </c>
    </row>
    <row r="7591" spans="1:8" s="15" customFormat="1" ht="16.5" hidden="1" customHeight="1" outlineLevel="1" x14ac:dyDescent="0.25">
      <c r="A7591" s="18">
        <v>3144</v>
      </c>
      <c r="B7591" s="4" t="s">
        <v>250</v>
      </c>
      <c r="C7591" s="38" t="s">
        <v>6310</v>
      </c>
      <c r="D7591" s="18">
        <v>2022</v>
      </c>
      <c r="E7591" s="18" t="s">
        <v>0</v>
      </c>
      <c r="F7591" s="42">
        <v>1</v>
      </c>
      <c r="G7591" s="4">
        <v>15</v>
      </c>
      <c r="H7591" s="18">
        <f>0.01768307*(1000)</f>
        <v>17.683069999999997</v>
      </c>
    </row>
    <row r="7592" spans="1:8" s="15" customFormat="1" ht="16.5" hidden="1" customHeight="1" outlineLevel="1" x14ac:dyDescent="0.25">
      <c r="A7592" s="18">
        <v>3146</v>
      </c>
      <c r="B7592" s="4" t="s">
        <v>250</v>
      </c>
      <c r="C7592" s="38" t="s">
        <v>6311</v>
      </c>
      <c r="D7592" s="18">
        <v>2022</v>
      </c>
      <c r="E7592" s="18" t="s">
        <v>0</v>
      </c>
      <c r="F7592" s="42">
        <v>1</v>
      </c>
      <c r="G7592" s="4">
        <v>10</v>
      </c>
      <c r="H7592" s="18">
        <f>0.01768307*(1000)</f>
        <v>17.683069999999997</v>
      </c>
    </row>
    <row r="7593" spans="1:8" s="15" customFormat="1" ht="16.5" hidden="1" customHeight="1" outlineLevel="1" x14ac:dyDescent="0.25">
      <c r="A7593" s="18">
        <v>3147</v>
      </c>
      <c r="B7593" s="4" t="s">
        <v>250</v>
      </c>
      <c r="C7593" s="38" t="s">
        <v>6312</v>
      </c>
      <c r="D7593" s="18">
        <v>2022</v>
      </c>
      <c r="E7593" s="18" t="s">
        <v>0</v>
      </c>
      <c r="F7593" s="42">
        <v>1</v>
      </c>
      <c r="G7593" s="4">
        <v>15</v>
      </c>
      <c r="H7593" s="18">
        <f>0.01768306*(1000)</f>
        <v>17.683060000000001</v>
      </c>
    </row>
    <row r="7594" spans="1:8" s="15" customFormat="1" ht="16.5" hidden="1" customHeight="1" outlineLevel="1" x14ac:dyDescent="0.25">
      <c r="A7594" s="18">
        <v>3148</v>
      </c>
      <c r="B7594" s="4" t="s">
        <v>250</v>
      </c>
      <c r="C7594" s="38" t="s">
        <v>6313</v>
      </c>
      <c r="D7594" s="18">
        <v>2022</v>
      </c>
      <c r="E7594" s="18" t="s">
        <v>0</v>
      </c>
      <c r="F7594" s="42">
        <v>1</v>
      </c>
      <c r="G7594" s="4">
        <v>15</v>
      </c>
      <c r="H7594" s="18">
        <f>0.01768307*(1000)</f>
        <v>17.683069999999997</v>
      </c>
    </row>
    <row r="7595" spans="1:8" s="15" customFormat="1" ht="16.5" hidden="1" customHeight="1" outlineLevel="1" x14ac:dyDescent="0.25">
      <c r="A7595" s="18">
        <v>3149</v>
      </c>
      <c r="B7595" s="4" t="s">
        <v>250</v>
      </c>
      <c r="C7595" s="38" t="s">
        <v>6314</v>
      </c>
      <c r="D7595" s="18">
        <v>2022</v>
      </c>
      <c r="E7595" s="18" t="s">
        <v>0</v>
      </c>
      <c r="F7595" s="42">
        <v>1</v>
      </c>
      <c r="G7595" s="4">
        <v>15</v>
      </c>
      <c r="H7595" s="18">
        <f>0.01768306*(1000)</f>
        <v>17.683060000000001</v>
      </c>
    </row>
    <row r="7596" spans="1:8" s="15" customFormat="1" ht="16.5" hidden="1" customHeight="1" outlineLevel="1" x14ac:dyDescent="0.25">
      <c r="A7596" s="18">
        <v>3150</v>
      </c>
      <c r="B7596" s="4" t="s">
        <v>250</v>
      </c>
      <c r="C7596" s="38" t="s">
        <v>6315</v>
      </c>
      <c r="D7596" s="18">
        <v>2022</v>
      </c>
      <c r="E7596" s="18" t="s">
        <v>0</v>
      </c>
      <c r="F7596" s="42">
        <v>1</v>
      </c>
      <c r="G7596" s="4">
        <v>12</v>
      </c>
      <c r="H7596" s="18">
        <f>0.01768307*(1000)</f>
        <v>17.683069999999997</v>
      </c>
    </row>
    <row r="7597" spans="1:8" s="15" customFormat="1" ht="16.5" hidden="1" customHeight="1" outlineLevel="1" x14ac:dyDescent="0.25">
      <c r="A7597" s="18">
        <v>3151</v>
      </c>
      <c r="B7597" s="4" t="s">
        <v>250</v>
      </c>
      <c r="C7597" s="38" t="s">
        <v>6316</v>
      </c>
      <c r="D7597" s="18">
        <v>2022</v>
      </c>
      <c r="E7597" s="18" t="s">
        <v>0</v>
      </c>
      <c r="F7597" s="42">
        <v>1</v>
      </c>
      <c r="G7597" s="4">
        <v>10</v>
      </c>
      <c r="H7597" s="18">
        <f>0.01768306*(1000)</f>
        <v>17.683060000000001</v>
      </c>
    </row>
    <row r="7598" spans="1:8" s="15" customFormat="1" ht="16.5" hidden="1" customHeight="1" outlineLevel="1" x14ac:dyDescent="0.25">
      <c r="A7598" s="18">
        <v>3152</v>
      </c>
      <c r="B7598" s="4" t="s">
        <v>250</v>
      </c>
      <c r="C7598" s="38" t="s">
        <v>6317</v>
      </c>
      <c r="D7598" s="18">
        <v>2022</v>
      </c>
      <c r="E7598" s="18" t="s">
        <v>0</v>
      </c>
      <c r="F7598" s="42">
        <v>1</v>
      </c>
      <c r="G7598" s="4">
        <v>15</v>
      </c>
      <c r="H7598" s="18">
        <f>0.01768307*(1000)</f>
        <v>17.683069999999997</v>
      </c>
    </row>
    <row r="7599" spans="1:8" s="15" customFormat="1" ht="16.5" hidden="1" customHeight="1" outlineLevel="1" x14ac:dyDescent="0.25">
      <c r="A7599" s="18">
        <v>3154</v>
      </c>
      <c r="B7599" s="4" t="s">
        <v>250</v>
      </c>
      <c r="C7599" s="38" t="s">
        <v>6318</v>
      </c>
      <c r="D7599" s="18">
        <v>2022</v>
      </c>
      <c r="E7599" s="18" t="s">
        <v>0</v>
      </c>
      <c r="F7599" s="42">
        <v>1</v>
      </c>
      <c r="G7599" s="4">
        <v>5</v>
      </c>
      <c r="H7599" s="18">
        <f>0.01768307*(1000)</f>
        <v>17.683069999999997</v>
      </c>
    </row>
    <row r="7600" spans="1:8" s="15" customFormat="1" ht="16.5" hidden="1" customHeight="1" outlineLevel="1" x14ac:dyDescent="0.25">
      <c r="A7600" s="18">
        <v>3155</v>
      </c>
      <c r="B7600" s="4" t="s">
        <v>250</v>
      </c>
      <c r="C7600" s="38" t="s">
        <v>6319</v>
      </c>
      <c r="D7600" s="18">
        <v>2022</v>
      </c>
      <c r="E7600" s="18" t="s">
        <v>0</v>
      </c>
      <c r="F7600" s="42">
        <v>1</v>
      </c>
      <c r="G7600" s="4">
        <v>8</v>
      </c>
      <c r="H7600" s="18">
        <f>0.01768306*(1000)</f>
        <v>17.683060000000001</v>
      </c>
    </row>
    <row r="7601" spans="1:8" s="15" customFormat="1" ht="16.5" hidden="1" customHeight="1" outlineLevel="1" x14ac:dyDescent="0.25">
      <c r="A7601" s="18">
        <v>3157</v>
      </c>
      <c r="B7601" s="4" t="s">
        <v>250</v>
      </c>
      <c r="C7601" s="38" t="s">
        <v>6320</v>
      </c>
      <c r="D7601" s="18">
        <v>2022</v>
      </c>
      <c r="E7601" s="18" t="s">
        <v>0</v>
      </c>
      <c r="F7601" s="42">
        <v>5</v>
      </c>
      <c r="G7601" s="4">
        <v>63</v>
      </c>
      <c r="H7601" s="18">
        <f>0.12593119*(1000)</f>
        <v>125.93119</v>
      </c>
    </row>
    <row r="7602" spans="1:8" s="15" customFormat="1" ht="16.5" hidden="1" customHeight="1" outlineLevel="1" x14ac:dyDescent="0.25">
      <c r="A7602" s="18">
        <v>3160</v>
      </c>
      <c r="B7602" s="4" t="s">
        <v>250</v>
      </c>
      <c r="C7602" s="38" t="s">
        <v>6321</v>
      </c>
      <c r="D7602" s="18">
        <v>2022</v>
      </c>
      <c r="E7602" s="18" t="s">
        <v>0</v>
      </c>
      <c r="F7602" s="42">
        <v>2</v>
      </c>
      <c r="G7602" s="4">
        <v>20</v>
      </c>
      <c r="H7602" s="18">
        <f>0.03439253*(1000)</f>
        <v>34.392530000000001</v>
      </c>
    </row>
    <row r="7603" spans="1:8" s="15" customFormat="1" ht="16.5" hidden="1" customHeight="1" outlineLevel="1" x14ac:dyDescent="0.25">
      <c r="A7603" s="18">
        <v>3162</v>
      </c>
      <c r="B7603" s="4" t="s">
        <v>250</v>
      </c>
      <c r="C7603" s="38" t="s">
        <v>6322</v>
      </c>
      <c r="D7603" s="18">
        <v>2022</v>
      </c>
      <c r="E7603" s="18" t="s">
        <v>0</v>
      </c>
      <c r="F7603" s="42">
        <v>4</v>
      </c>
      <c r="G7603" s="4">
        <v>35</v>
      </c>
      <c r="H7603" s="18">
        <f>0.05026292*(1000)</f>
        <v>50.262920000000001</v>
      </c>
    </row>
    <row r="7604" spans="1:8" s="15" customFormat="1" ht="16.5" hidden="1" customHeight="1" outlineLevel="1" x14ac:dyDescent="0.25">
      <c r="A7604" s="18">
        <v>3163</v>
      </c>
      <c r="B7604" s="4" t="s">
        <v>250</v>
      </c>
      <c r="C7604" s="38" t="s">
        <v>6323</v>
      </c>
      <c r="D7604" s="18">
        <v>2022</v>
      </c>
      <c r="E7604" s="18" t="s">
        <v>0</v>
      </c>
      <c r="F7604" s="42">
        <v>2</v>
      </c>
      <c r="G7604" s="4">
        <v>25</v>
      </c>
      <c r="H7604" s="18">
        <f>0.02055242*(1000)</f>
        <v>20.552419999999998</v>
      </c>
    </row>
    <row r="7605" spans="1:8" s="15" customFormat="1" ht="16.5" hidden="1" customHeight="1" outlineLevel="1" x14ac:dyDescent="0.25">
      <c r="A7605" s="18">
        <v>3164</v>
      </c>
      <c r="B7605" s="4" t="s">
        <v>250</v>
      </c>
      <c r="C7605" s="38" t="s">
        <v>6324</v>
      </c>
      <c r="D7605" s="18">
        <v>2022</v>
      </c>
      <c r="E7605" s="18" t="s">
        <v>0</v>
      </c>
      <c r="F7605" s="42">
        <v>1</v>
      </c>
      <c r="G7605" s="4">
        <v>15</v>
      </c>
      <c r="H7605" s="18">
        <f>0.01037061*(1000)</f>
        <v>10.370610000000001</v>
      </c>
    </row>
    <row r="7606" spans="1:8" s="15" customFormat="1" ht="16.5" hidden="1" customHeight="1" outlineLevel="1" x14ac:dyDescent="0.25">
      <c r="A7606" s="18">
        <v>3166</v>
      </c>
      <c r="B7606" s="4" t="s">
        <v>250</v>
      </c>
      <c r="C7606" s="38" t="s">
        <v>6325</v>
      </c>
      <c r="D7606" s="18">
        <v>2022</v>
      </c>
      <c r="E7606" s="18" t="s">
        <v>0</v>
      </c>
      <c r="F7606" s="42">
        <v>1</v>
      </c>
      <c r="G7606" s="4">
        <v>15</v>
      </c>
      <c r="H7606" s="18">
        <f>0.01037061*(1000)</f>
        <v>10.370610000000001</v>
      </c>
    </row>
    <row r="7607" spans="1:8" s="15" customFormat="1" ht="16.5" hidden="1" customHeight="1" outlineLevel="1" x14ac:dyDescent="0.25">
      <c r="A7607" s="18">
        <v>3167</v>
      </c>
      <c r="B7607" s="4" t="s">
        <v>250</v>
      </c>
      <c r="C7607" s="38" t="s">
        <v>6326</v>
      </c>
      <c r="D7607" s="18">
        <v>2022</v>
      </c>
      <c r="E7607" s="18" t="s">
        <v>0</v>
      </c>
      <c r="F7607" s="42">
        <v>1</v>
      </c>
      <c r="G7607" s="4">
        <v>15</v>
      </c>
      <c r="H7607" s="18">
        <f>0.01788321*(1000)</f>
        <v>17.883210000000002</v>
      </c>
    </row>
    <row r="7608" spans="1:8" s="15" customFormat="1" ht="16.5" hidden="1" customHeight="1" outlineLevel="1" x14ac:dyDescent="0.25">
      <c r="A7608" s="18">
        <v>3168</v>
      </c>
      <c r="B7608" s="4" t="s">
        <v>250</v>
      </c>
      <c r="C7608" s="38" t="s">
        <v>6327</v>
      </c>
      <c r="D7608" s="18">
        <v>2022</v>
      </c>
      <c r="E7608" s="18" t="s">
        <v>0</v>
      </c>
      <c r="F7608" s="42">
        <v>1</v>
      </c>
      <c r="G7608" s="4">
        <v>15</v>
      </c>
      <c r="H7608" s="18">
        <f>0.01763809*(1000)</f>
        <v>17.638089999999998</v>
      </c>
    </row>
    <row r="7609" spans="1:8" s="15" customFormat="1" ht="16.5" hidden="1" customHeight="1" outlineLevel="1" x14ac:dyDescent="0.25">
      <c r="A7609" s="18">
        <v>3169</v>
      </c>
      <c r="B7609" s="4" t="s">
        <v>250</v>
      </c>
      <c r="C7609" s="38" t="s">
        <v>6328</v>
      </c>
      <c r="D7609" s="18">
        <v>2022</v>
      </c>
      <c r="E7609" s="18" t="s">
        <v>0</v>
      </c>
      <c r="F7609" s="42">
        <v>2</v>
      </c>
      <c r="G7609" s="4">
        <v>25</v>
      </c>
      <c r="H7609" s="18">
        <f>0.03508741*(1000)</f>
        <v>35.087409999999998</v>
      </c>
    </row>
    <row r="7610" spans="1:8" s="15" customFormat="1" ht="16.5" hidden="1" customHeight="1" outlineLevel="1" x14ac:dyDescent="0.25">
      <c r="A7610" s="18">
        <v>3170</v>
      </c>
      <c r="B7610" s="4" t="s">
        <v>250</v>
      </c>
      <c r="C7610" s="38" t="s">
        <v>6329</v>
      </c>
      <c r="D7610" s="18">
        <v>2022</v>
      </c>
      <c r="E7610" s="18" t="s">
        <v>0</v>
      </c>
      <c r="F7610" s="42">
        <v>1</v>
      </c>
      <c r="G7610" s="4">
        <v>15</v>
      </c>
      <c r="H7610" s="18">
        <f>0.01037061*(1000)</f>
        <v>10.370610000000001</v>
      </c>
    </row>
    <row r="7611" spans="1:8" s="15" customFormat="1" ht="16.5" hidden="1" customHeight="1" outlineLevel="1" x14ac:dyDescent="0.25">
      <c r="A7611" s="18">
        <v>3171</v>
      </c>
      <c r="B7611" s="4" t="s">
        <v>250</v>
      </c>
      <c r="C7611" s="38" t="s">
        <v>6330</v>
      </c>
      <c r="D7611" s="18">
        <v>2022</v>
      </c>
      <c r="E7611" s="18" t="s">
        <v>0</v>
      </c>
      <c r="F7611" s="42">
        <v>2</v>
      </c>
      <c r="G7611" s="4">
        <v>30</v>
      </c>
      <c r="H7611" s="18">
        <f>0.03873447*(1000)</f>
        <v>38.734470000000002</v>
      </c>
    </row>
    <row r="7612" spans="1:8" s="15" customFormat="1" ht="16.5" hidden="1" customHeight="1" outlineLevel="1" x14ac:dyDescent="0.25">
      <c r="A7612" s="18">
        <v>3172</v>
      </c>
      <c r="B7612" s="4" t="s">
        <v>250</v>
      </c>
      <c r="C7612" s="38" t="s">
        <v>6331</v>
      </c>
      <c r="D7612" s="18">
        <v>2022</v>
      </c>
      <c r="E7612" s="18" t="s">
        <v>0</v>
      </c>
      <c r="F7612" s="42">
        <v>2</v>
      </c>
      <c r="G7612" s="4">
        <v>25</v>
      </c>
      <c r="H7612" s="18">
        <f>0.02055242*(1000)</f>
        <v>20.552419999999998</v>
      </c>
    </row>
    <row r="7613" spans="1:8" s="15" customFormat="1" ht="16.5" hidden="1" customHeight="1" outlineLevel="1" x14ac:dyDescent="0.25">
      <c r="A7613" s="18">
        <v>3173</v>
      </c>
      <c r="B7613" s="4" t="s">
        <v>250</v>
      </c>
      <c r="C7613" s="38" t="s">
        <v>6332</v>
      </c>
      <c r="D7613" s="18">
        <v>2022</v>
      </c>
      <c r="E7613" s="18" t="s">
        <v>0</v>
      </c>
      <c r="F7613" s="42">
        <v>3</v>
      </c>
      <c r="G7613" s="4">
        <v>45</v>
      </c>
      <c r="H7613" s="18">
        <f>0.02960673*(1000)</f>
        <v>29.606730000000002</v>
      </c>
    </row>
    <row r="7614" spans="1:8" s="15" customFormat="1" ht="16.5" hidden="1" customHeight="1" outlineLevel="1" x14ac:dyDescent="0.25">
      <c r="A7614" s="18">
        <v>3174</v>
      </c>
      <c r="B7614" s="4" t="s">
        <v>250</v>
      </c>
      <c r="C7614" s="38" t="s">
        <v>6333</v>
      </c>
      <c r="D7614" s="18">
        <v>2022</v>
      </c>
      <c r="E7614" s="18" t="s">
        <v>0</v>
      </c>
      <c r="F7614" s="42">
        <v>1</v>
      </c>
      <c r="G7614" s="4">
        <v>15</v>
      </c>
      <c r="H7614" s="18">
        <f>0.0205568*(1000)</f>
        <v>20.556799999999999</v>
      </c>
    </row>
    <row r="7615" spans="1:8" s="15" customFormat="1" ht="16.5" hidden="1" customHeight="1" outlineLevel="1" x14ac:dyDescent="0.25">
      <c r="A7615" s="18">
        <v>3175</v>
      </c>
      <c r="B7615" s="4" t="s">
        <v>250</v>
      </c>
      <c r="C7615" s="38" t="s">
        <v>6334</v>
      </c>
      <c r="D7615" s="18">
        <v>2022</v>
      </c>
      <c r="E7615" s="18" t="s">
        <v>0</v>
      </c>
      <c r="F7615" s="42">
        <v>3</v>
      </c>
      <c r="G7615" s="4">
        <v>35</v>
      </c>
      <c r="H7615" s="18">
        <f>0.04658656*(1000)</f>
        <v>46.586559999999999</v>
      </c>
    </row>
    <row r="7616" spans="1:8" s="15" customFormat="1" ht="16.5" hidden="1" customHeight="1" outlineLevel="1" x14ac:dyDescent="0.25">
      <c r="A7616" s="18">
        <v>3176</v>
      </c>
      <c r="B7616" s="4" t="s">
        <v>250</v>
      </c>
      <c r="C7616" s="38" t="s">
        <v>6335</v>
      </c>
      <c r="D7616" s="18">
        <v>2022</v>
      </c>
      <c r="E7616" s="18" t="s">
        <v>0</v>
      </c>
      <c r="F7616" s="42">
        <v>4</v>
      </c>
      <c r="G7616" s="4">
        <v>50</v>
      </c>
      <c r="H7616" s="18">
        <f>0.06128858*(1000)</f>
        <v>61.288580000000003</v>
      </c>
    </row>
    <row r="7617" spans="1:8" s="15" customFormat="1" ht="16.5" hidden="1" customHeight="1" outlineLevel="1" x14ac:dyDescent="0.25">
      <c r="A7617" s="18">
        <v>3177</v>
      </c>
      <c r="B7617" s="4" t="s">
        <v>250</v>
      </c>
      <c r="C7617" s="38" t="s">
        <v>6336</v>
      </c>
      <c r="D7617" s="18">
        <v>2022</v>
      </c>
      <c r="E7617" s="18" t="s">
        <v>0</v>
      </c>
      <c r="F7617" s="42">
        <v>4</v>
      </c>
      <c r="G7617" s="4">
        <v>55</v>
      </c>
      <c r="H7617" s="18">
        <f>0.0693859*(1000)</f>
        <v>69.385900000000007</v>
      </c>
    </row>
    <row r="7618" spans="1:8" s="15" customFormat="1" ht="16.5" hidden="1" customHeight="1" outlineLevel="1" x14ac:dyDescent="0.25">
      <c r="A7618" s="18">
        <v>3178</v>
      </c>
      <c r="B7618" s="4" t="s">
        <v>250</v>
      </c>
      <c r="C7618" s="38" t="s">
        <v>6337</v>
      </c>
      <c r="D7618" s="18">
        <v>2022</v>
      </c>
      <c r="E7618" s="18" t="s">
        <v>0</v>
      </c>
      <c r="F7618" s="42">
        <v>1</v>
      </c>
      <c r="G7618" s="4">
        <v>15</v>
      </c>
      <c r="H7618" s="18">
        <f>0.01735451*(1000)</f>
        <v>17.354510000000001</v>
      </c>
    </row>
    <row r="7619" spans="1:8" s="15" customFormat="1" ht="16.5" hidden="1" customHeight="1" outlineLevel="1" x14ac:dyDescent="0.25">
      <c r="A7619" s="18">
        <v>3179</v>
      </c>
      <c r="B7619" s="4" t="s">
        <v>250</v>
      </c>
      <c r="C7619" s="38" t="s">
        <v>6338</v>
      </c>
      <c r="D7619" s="18">
        <v>2022</v>
      </c>
      <c r="E7619" s="18" t="s">
        <v>0</v>
      </c>
      <c r="F7619" s="42">
        <v>2</v>
      </c>
      <c r="G7619" s="4">
        <v>15</v>
      </c>
      <c r="H7619" s="18">
        <f>0.0209266*(1000)</f>
        <v>20.926600000000001</v>
      </c>
    </row>
    <row r="7620" spans="1:8" s="15" customFormat="1" ht="16.5" hidden="1" customHeight="1" outlineLevel="1" x14ac:dyDescent="0.25">
      <c r="A7620" s="18">
        <v>3180</v>
      </c>
      <c r="B7620" s="4" t="s">
        <v>250</v>
      </c>
      <c r="C7620" s="38" t="s">
        <v>6339</v>
      </c>
      <c r="D7620" s="18">
        <v>2022</v>
      </c>
      <c r="E7620" s="18" t="s">
        <v>0</v>
      </c>
      <c r="F7620" s="42">
        <v>2</v>
      </c>
      <c r="G7620" s="4">
        <v>25</v>
      </c>
      <c r="H7620" s="18">
        <f>0.0209266*(1000)</f>
        <v>20.926600000000001</v>
      </c>
    </row>
    <row r="7621" spans="1:8" s="15" customFormat="1" ht="16.5" hidden="1" customHeight="1" outlineLevel="1" x14ac:dyDescent="0.25">
      <c r="A7621" s="18">
        <v>3181</v>
      </c>
      <c r="B7621" s="4" t="s">
        <v>250</v>
      </c>
      <c r="C7621" s="38" t="s">
        <v>6340</v>
      </c>
      <c r="D7621" s="18">
        <v>2022</v>
      </c>
      <c r="E7621" s="18" t="s">
        <v>0</v>
      </c>
      <c r="F7621" s="42">
        <v>7</v>
      </c>
      <c r="G7621" s="4">
        <v>83</v>
      </c>
      <c r="H7621" s="18">
        <f>0.09979806*(1000)</f>
        <v>99.798059999999992</v>
      </c>
    </row>
    <row r="7622" spans="1:8" s="15" customFormat="1" ht="16.5" hidden="1" customHeight="1" outlineLevel="1" x14ac:dyDescent="0.25">
      <c r="A7622" s="18">
        <v>3182</v>
      </c>
      <c r="B7622" s="4" t="s">
        <v>250</v>
      </c>
      <c r="C7622" s="38" t="s">
        <v>6341</v>
      </c>
      <c r="D7622" s="18">
        <v>2022</v>
      </c>
      <c r="E7622" s="18" t="s">
        <v>0</v>
      </c>
      <c r="F7622" s="42">
        <v>2</v>
      </c>
      <c r="G7622" s="4">
        <v>20</v>
      </c>
      <c r="H7622" s="18">
        <f>0.01880846*(1000)</f>
        <v>18.80846</v>
      </c>
    </row>
    <row r="7623" spans="1:8" s="15" customFormat="1" ht="16.5" hidden="1" customHeight="1" outlineLevel="1" x14ac:dyDescent="0.25">
      <c r="A7623" s="18">
        <v>3183</v>
      </c>
      <c r="B7623" s="4" t="s">
        <v>250</v>
      </c>
      <c r="C7623" s="38" t="s">
        <v>6342</v>
      </c>
      <c r="D7623" s="18">
        <v>2022</v>
      </c>
      <c r="E7623" s="18" t="s">
        <v>0</v>
      </c>
      <c r="F7623" s="42">
        <v>4</v>
      </c>
      <c r="G7623" s="4">
        <v>50</v>
      </c>
      <c r="H7623" s="18">
        <f>0.06319426*(1000)</f>
        <v>63.19426</v>
      </c>
    </row>
    <row r="7624" spans="1:8" s="15" customFormat="1" ht="16.5" hidden="1" customHeight="1" outlineLevel="1" x14ac:dyDescent="0.25">
      <c r="A7624" s="18">
        <v>3184</v>
      </c>
      <c r="B7624" s="4" t="s">
        <v>250</v>
      </c>
      <c r="C7624" s="38" t="s">
        <v>6343</v>
      </c>
      <c r="D7624" s="18">
        <v>2022</v>
      </c>
      <c r="E7624" s="18" t="s">
        <v>0</v>
      </c>
      <c r="F7624" s="42">
        <v>4</v>
      </c>
      <c r="G7624" s="4">
        <v>55</v>
      </c>
      <c r="H7624" s="18">
        <f>0.05480584*(1000)</f>
        <v>54.805840000000003</v>
      </c>
    </row>
    <row r="7625" spans="1:8" s="15" customFormat="1" ht="16.5" hidden="1" customHeight="1" outlineLevel="1" x14ac:dyDescent="0.25">
      <c r="A7625" s="18">
        <v>3186</v>
      </c>
      <c r="B7625" s="4" t="s">
        <v>250</v>
      </c>
      <c r="C7625" s="38" t="s">
        <v>6344</v>
      </c>
      <c r="D7625" s="18">
        <v>2022</v>
      </c>
      <c r="E7625" s="18" t="s">
        <v>0</v>
      </c>
      <c r="F7625" s="42">
        <v>3</v>
      </c>
      <c r="G7625" s="4">
        <v>35</v>
      </c>
      <c r="H7625" s="18">
        <f>0.04869242*(1000)</f>
        <v>48.692419999999998</v>
      </c>
    </row>
    <row r="7626" spans="1:8" s="15" customFormat="1" ht="16.5" hidden="1" customHeight="1" outlineLevel="1" x14ac:dyDescent="0.25">
      <c r="A7626" s="18">
        <v>3187</v>
      </c>
      <c r="B7626" s="4" t="s">
        <v>250</v>
      </c>
      <c r="C7626" s="38" t="s">
        <v>6345</v>
      </c>
      <c r="D7626" s="18">
        <v>2022</v>
      </c>
      <c r="E7626" s="18" t="s">
        <v>0</v>
      </c>
      <c r="F7626" s="42">
        <v>1</v>
      </c>
      <c r="G7626" s="4">
        <v>15</v>
      </c>
      <c r="H7626" s="18">
        <f>0.01942949*(1000)</f>
        <v>19.429490000000001</v>
      </c>
    </row>
    <row r="7627" spans="1:8" s="15" customFormat="1" ht="16.5" hidden="1" customHeight="1" outlineLevel="1" x14ac:dyDescent="0.25">
      <c r="A7627" s="18">
        <v>3188</v>
      </c>
      <c r="B7627" s="4" t="s">
        <v>250</v>
      </c>
      <c r="C7627" s="38" t="s">
        <v>6346</v>
      </c>
      <c r="D7627" s="18">
        <v>2022</v>
      </c>
      <c r="E7627" s="18" t="s">
        <v>0</v>
      </c>
      <c r="F7627" s="42">
        <v>2</v>
      </c>
      <c r="G7627" s="4">
        <v>25</v>
      </c>
      <c r="H7627" s="18">
        <f>0.03206894*(1000)</f>
        <v>32.068939999999998</v>
      </c>
    </row>
    <row r="7628" spans="1:8" s="15" customFormat="1" ht="16.5" hidden="1" customHeight="1" outlineLevel="1" x14ac:dyDescent="0.25">
      <c r="A7628" s="18">
        <v>3189</v>
      </c>
      <c r="B7628" s="4" t="s">
        <v>250</v>
      </c>
      <c r="C7628" s="38" t="s">
        <v>6347</v>
      </c>
      <c r="D7628" s="18">
        <v>2022</v>
      </c>
      <c r="E7628" s="18" t="s">
        <v>0</v>
      </c>
      <c r="F7628" s="42">
        <v>4</v>
      </c>
      <c r="G7628" s="4">
        <v>45</v>
      </c>
      <c r="H7628" s="18">
        <f>0.038455*(1000)</f>
        <v>38.455000000000005</v>
      </c>
    </row>
    <row r="7629" spans="1:8" s="15" customFormat="1" ht="16.5" hidden="1" customHeight="1" outlineLevel="1" x14ac:dyDescent="0.25">
      <c r="A7629" s="18">
        <v>3190</v>
      </c>
      <c r="B7629" s="4" t="s">
        <v>250</v>
      </c>
      <c r="C7629" s="38" t="s">
        <v>6348</v>
      </c>
      <c r="D7629" s="18">
        <v>2022</v>
      </c>
      <c r="E7629" s="18" t="s">
        <v>0</v>
      </c>
      <c r="F7629" s="42">
        <v>4</v>
      </c>
      <c r="G7629" s="4">
        <v>45</v>
      </c>
      <c r="H7629" s="18">
        <f>0.04841102*(1000)</f>
        <v>48.411020000000001</v>
      </c>
    </row>
    <row r="7630" spans="1:8" s="15" customFormat="1" ht="16.5" hidden="1" customHeight="1" outlineLevel="1" x14ac:dyDescent="0.25">
      <c r="A7630" s="18">
        <v>3191</v>
      </c>
      <c r="B7630" s="4" t="s">
        <v>250</v>
      </c>
      <c r="C7630" s="38" t="s">
        <v>6349</v>
      </c>
      <c r="D7630" s="18">
        <v>2022</v>
      </c>
      <c r="E7630" s="18" t="s">
        <v>0</v>
      </c>
      <c r="F7630" s="42">
        <v>2</v>
      </c>
      <c r="G7630" s="4">
        <v>26</v>
      </c>
      <c r="H7630" s="18">
        <f>0.03556291*(1000)</f>
        <v>35.562910000000002</v>
      </c>
    </row>
    <row r="7631" spans="1:8" s="15" customFormat="1" ht="16.5" hidden="1" customHeight="1" outlineLevel="1" x14ac:dyDescent="0.25">
      <c r="A7631" s="18">
        <v>3192</v>
      </c>
      <c r="B7631" s="4" t="s">
        <v>250</v>
      </c>
      <c r="C7631" s="38" t="s">
        <v>6350</v>
      </c>
      <c r="D7631" s="18">
        <v>2022</v>
      </c>
      <c r="E7631" s="18" t="s">
        <v>0</v>
      </c>
      <c r="F7631" s="42">
        <v>1</v>
      </c>
      <c r="G7631" s="4">
        <v>15</v>
      </c>
      <c r="H7631" s="18">
        <f>0.01752128*(1000)</f>
        <v>17.521280000000001</v>
      </c>
    </row>
    <row r="7632" spans="1:8" s="15" customFormat="1" ht="16.5" hidden="1" customHeight="1" outlineLevel="1" x14ac:dyDescent="0.25">
      <c r="A7632" s="18">
        <v>3194</v>
      </c>
      <c r="B7632" s="4" t="s">
        <v>250</v>
      </c>
      <c r="C7632" s="38" t="s">
        <v>6351</v>
      </c>
      <c r="D7632" s="18">
        <v>2022</v>
      </c>
      <c r="E7632" s="18" t="s">
        <v>0</v>
      </c>
      <c r="F7632" s="42">
        <v>2</v>
      </c>
      <c r="G7632" s="4">
        <v>29</v>
      </c>
      <c r="H7632" s="18">
        <f>0.03539998*(1000)</f>
        <v>35.399979999999999</v>
      </c>
    </row>
    <row r="7633" spans="1:8" s="15" customFormat="1" ht="16.5" hidden="1" customHeight="1" outlineLevel="1" x14ac:dyDescent="0.25">
      <c r="A7633" s="18">
        <v>3195</v>
      </c>
      <c r="B7633" s="4" t="s">
        <v>250</v>
      </c>
      <c r="C7633" s="38" t="s">
        <v>6352</v>
      </c>
      <c r="D7633" s="18">
        <v>2022</v>
      </c>
      <c r="E7633" s="18" t="s">
        <v>0</v>
      </c>
      <c r="F7633" s="42">
        <v>1</v>
      </c>
      <c r="G7633" s="4">
        <v>100</v>
      </c>
      <c r="H7633" s="18">
        <f>0.01769998*(1000)</f>
        <v>17.69998</v>
      </c>
    </row>
    <row r="7634" spans="1:8" s="15" customFormat="1" ht="16.5" hidden="1" customHeight="1" outlineLevel="1" x14ac:dyDescent="0.25">
      <c r="A7634" s="18">
        <v>3196</v>
      </c>
      <c r="B7634" s="4" t="s">
        <v>250</v>
      </c>
      <c r="C7634" s="38" t="s">
        <v>6353</v>
      </c>
      <c r="D7634" s="18">
        <v>2022</v>
      </c>
      <c r="E7634" s="18" t="s">
        <v>0</v>
      </c>
      <c r="F7634" s="42">
        <v>1</v>
      </c>
      <c r="G7634" s="4">
        <v>15</v>
      </c>
      <c r="H7634" s="18">
        <f>0.01769999*(1000)</f>
        <v>17.69999</v>
      </c>
    </row>
    <row r="7635" spans="1:8" s="15" customFormat="1" ht="16.5" hidden="1" customHeight="1" outlineLevel="1" x14ac:dyDescent="0.25">
      <c r="A7635" s="18">
        <v>3199</v>
      </c>
      <c r="B7635" s="4" t="s">
        <v>250</v>
      </c>
      <c r="C7635" s="38" t="s">
        <v>6354</v>
      </c>
      <c r="D7635" s="18">
        <v>2022</v>
      </c>
      <c r="E7635" s="18" t="s">
        <v>0</v>
      </c>
      <c r="F7635" s="42">
        <v>2</v>
      </c>
      <c r="G7635" s="4">
        <v>25</v>
      </c>
      <c r="H7635" s="18">
        <f>0.02625086*(1000)</f>
        <v>26.250859999999999</v>
      </c>
    </row>
    <row r="7636" spans="1:8" s="15" customFormat="1" ht="16.5" hidden="1" customHeight="1" outlineLevel="1" x14ac:dyDescent="0.25">
      <c r="A7636" s="18">
        <v>3200</v>
      </c>
      <c r="B7636" s="4" t="s">
        <v>250</v>
      </c>
      <c r="C7636" s="38" t="s">
        <v>6355</v>
      </c>
      <c r="D7636" s="18">
        <v>2022</v>
      </c>
      <c r="E7636" s="18" t="s">
        <v>0</v>
      </c>
      <c r="F7636" s="42">
        <v>4</v>
      </c>
      <c r="G7636" s="4">
        <v>50</v>
      </c>
      <c r="H7636" s="18">
        <f>0.07162549*(1000)</f>
        <v>71.625489999999999</v>
      </c>
    </row>
    <row r="7637" spans="1:8" s="15" customFormat="1" ht="16.5" hidden="1" customHeight="1" outlineLevel="1" x14ac:dyDescent="0.25">
      <c r="A7637" s="18">
        <v>3201</v>
      </c>
      <c r="B7637" s="4" t="s">
        <v>250</v>
      </c>
      <c r="C7637" s="38" t="s">
        <v>6356</v>
      </c>
      <c r="D7637" s="18">
        <v>2022</v>
      </c>
      <c r="E7637" s="18" t="s">
        <v>0</v>
      </c>
      <c r="F7637" s="42">
        <v>5</v>
      </c>
      <c r="G7637" s="4">
        <v>60</v>
      </c>
      <c r="H7637" s="18">
        <f>0.06355052*(1000)</f>
        <v>63.550519999999999</v>
      </c>
    </row>
    <row r="7638" spans="1:8" s="15" customFormat="1" ht="16.5" hidden="1" customHeight="1" outlineLevel="1" x14ac:dyDescent="0.25">
      <c r="A7638" s="18">
        <v>3203</v>
      </c>
      <c r="B7638" s="4" t="s">
        <v>250</v>
      </c>
      <c r="C7638" s="38" t="s">
        <v>6357</v>
      </c>
      <c r="D7638" s="18">
        <v>2022</v>
      </c>
      <c r="E7638" s="18" t="s">
        <v>0</v>
      </c>
      <c r="F7638" s="42">
        <v>5</v>
      </c>
      <c r="G7638" s="4">
        <v>55</v>
      </c>
      <c r="H7638" s="18">
        <f>0.05526326*(1000)</f>
        <v>55.263260000000002</v>
      </c>
    </row>
    <row r="7639" spans="1:8" s="15" customFormat="1" ht="16.5" hidden="1" customHeight="1" outlineLevel="1" x14ac:dyDescent="0.25">
      <c r="A7639" s="18">
        <v>3204</v>
      </c>
      <c r="B7639" s="4" t="s">
        <v>250</v>
      </c>
      <c r="C7639" s="38" t="s">
        <v>6358</v>
      </c>
      <c r="D7639" s="18">
        <v>2022</v>
      </c>
      <c r="E7639" s="18" t="s">
        <v>0</v>
      </c>
      <c r="F7639" s="42">
        <v>1</v>
      </c>
      <c r="G7639" s="4">
        <v>15</v>
      </c>
      <c r="H7639" s="18">
        <f>0.01664078*(1000)</f>
        <v>16.640779999999999</v>
      </c>
    </row>
    <row r="7640" spans="1:8" s="15" customFormat="1" ht="16.5" hidden="1" customHeight="1" outlineLevel="1" x14ac:dyDescent="0.25">
      <c r="A7640" s="18">
        <v>3205</v>
      </c>
      <c r="B7640" s="4" t="s">
        <v>250</v>
      </c>
      <c r="C7640" s="38" t="s">
        <v>6359</v>
      </c>
      <c r="D7640" s="18">
        <v>2022</v>
      </c>
      <c r="E7640" s="18" t="s">
        <v>0</v>
      </c>
      <c r="F7640" s="42">
        <v>7</v>
      </c>
      <c r="G7640" s="4">
        <v>91</v>
      </c>
      <c r="H7640" s="18">
        <f>0.08928707*(1000)</f>
        <v>89.28707</v>
      </c>
    </row>
    <row r="7641" spans="1:8" s="15" customFormat="1" ht="16.5" hidden="1" customHeight="1" outlineLevel="1" x14ac:dyDescent="0.25">
      <c r="A7641" s="18">
        <v>3208</v>
      </c>
      <c r="B7641" s="4" t="s">
        <v>250</v>
      </c>
      <c r="C7641" s="38" t="s">
        <v>6360</v>
      </c>
      <c r="D7641" s="18">
        <v>2022</v>
      </c>
      <c r="E7641" s="18" t="s">
        <v>0</v>
      </c>
      <c r="F7641" s="42">
        <v>1</v>
      </c>
      <c r="G7641" s="4">
        <v>15</v>
      </c>
      <c r="H7641" s="18">
        <f>0.01664078*(1000)</f>
        <v>16.640779999999999</v>
      </c>
    </row>
    <row r="7642" spans="1:8" s="15" customFormat="1" ht="16.5" hidden="1" customHeight="1" outlineLevel="1" x14ac:dyDescent="0.25">
      <c r="A7642" s="18">
        <v>3209</v>
      </c>
      <c r="B7642" s="4" t="s">
        <v>250</v>
      </c>
      <c r="C7642" s="38" t="s">
        <v>6361</v>
      </c>
      <c r="D7642" s="18">
        <v>2022</v>
      </c>
      <c r="E7642" s="18" t="s">
        <v>0</v>
      </c>
      <c r="F7642" s="42">
        <v>1</v>
      </c>
      <c r="G7642" s="4">
        <v>15</v>
      </c>
      <c r="H7642" s="18">
        <f>0.01725742*(1000)</f>
        <v>17.25742</v>
      </c>
    </row>
    <row r="7643" spans="1:8" s="15" customFormat="1" ht="16.5" hidden="1" customHeight="1" outlineLevel="1" x14ac:dyDescent="0.25">
      <c r="A7643" s="18">
        <v>3210</v>
      </c>
      <c r="B7643" s="4" t="s">
        <v>250</v>
      </c>
      <c r="C7643" s="38" t="s">
        <v>6362</v>
      </c>
      <c r="D7643" s="18">
        <v>2022</v>
      </c>
      <c r="E7643" s="18" t="s">
        <v>0</v>
      </c>
      <c r="F7643" s="42">
        <v>1</v>
      </c>
      <c r="G7643" s="4">
        <v>15</v>
      </c>
      <c r="H7643" s="18">
        <f>0.01725742*(1000)</f>
        <v>17.25742</v>
      </c>
    </row>
    <row r="7644" spans="1:8" s="15" customFormat="1" ht="16.5" hidden="1" customHeight="1" outlineLevel="1" x14ac:dyDescent="0.25">
      <c r="A7644" s="18">
        <v>3213</v>
      </c>
      <c r="B7644" s="4" t="s">
        <v>250</v>
      </c>
      <c r="C7644" s="38" t="s">
        <v>6363</v>
      </c>
      <c r="D7644" s="18">
        <v>2022</v>
      </c>
      <c r="E7644" s="18" t="s">
        <v>0</v>
      </c>
      <c r="F7644" s="42">
        <v>1</v>
      </c>
      <c r="G7644" s="4">
        <v>15</v>
      </c>
      <c r="H7644" s="18">
        <f>0.01664078*(1000)</f>
        <v>16.640779999999999</v>
      </c>
    </row>
    <row r="7645" spans="1:8" s="15" customFormat="1" ht="16.5" hidden="1" customHeight="1" outlineLevel="1" x14ac:dyDescent="0.25">
      <c r="A7645" s="18">
        <v>3214</v>
      </c>
      <c r="B7645" s="4" t="s">
        <v>250</v>
      </c>
      <c r="C7645" s="38" t="s">
        <v>6364</v>
      </c>
      <c r="D7645" s="18">
        <v>2022</v>
      </c>
      <c r="E7645" s="18" t="s">
        <v>0</v>
      </c>
      <c r="F7645" s="42">
        <v>1</v>
      </c>
      <c r="G7645" s="4">
        <v>15</v>
      </c>
      <c r="H7645" s="18">
        <f>0.01664078*(1000)</f>
        <v>16.640779999999999</v>
      </c>
    </row>
    <row r="7646" spans="1:8" s="15" customFormat="1" ht="16.5" hidden="1" customHeight="1" outlineLevel="1" x14ac:dyDescent="0.25">
      <c r="A7646" s="18">
        <v>3215</v>
      </c>
      <c r="B7646" s="4" t="s">
        <v>250</v>
      </c>
      <c r="C7646" s="38" t="s">
        <v>6365</v>
      </c>
      <c r="D7646" s="18">
        <v>2022</v>
      </c>
      <c r="E7646" s="18" t="s">
        <v>0</v>
      </c>
      <c r="F7646" s="42">
        <v>1</v>
      </c>
      <c r="G7646" s="4">
        <v>15</v>
      </c>
      <c r="H7646" s="18">
        <f>0.01664078*(1000)</f>
        <v>16.640779999999999</v>
      </c>
    </row>
    <row r="7647" spans="1:8" s="15" customFormat="1" ht="16.5" hidden="1" customHeight="1" outlineLevel="1" x14ac:dyDescent="0.25">
      <c r="A7647" s="18">
        <v>3218</v>
      </c>
      <c r="B7647" s="4" t="s">
        <v>250</v>
      </c>
      <c r="C7647" s="38" t="s">
        <v>6366</v>
      </c>
      <c r="D7647" s="18">
        <v>2022</v>
      </c>
      <c r="E7647" s="18" t="s">
        <v>0</v>
      </c>
      <c r="F7647" s="42">
        <v>1</v>
      </c>
      <c r="G7647" s="4">
        <v>15</v>
      </c>
      <c r="H7647" s="18">
        <f>0.01914837*(1000)</f>
        <v>19.14837</v>
      </c>
    </row>
    <row r="7648" spans="1:8" s="15" customFormat="1" ht="16.5" hidden="1" customHeight="1" outlineLevel="1" x14ac:dyDescent="0.25">
      <c r="A7648" s="18">
        <v>3219</v>
      </c>
      <c r="B7648" s="4" t="s">
        <v>250</v>
      </c>
      <c r="C7648" s="38" t="s">
        <v>6367</v>
      </c>
      <c r="D7648" s="18">
        <v>2022</v>
      </c>
      <c r="E7648" s="18" t="s">
        <v>0</v>
      </c>
      <c r="F7648" s="42">
        <v>3</v>
      </c>
      <c r="G7648" s="4">
        <v>35</v>
      </c>
      <c r="H7648" s="18">
        <f>0.03601778*(1000)</f>
        <v>36.017780000000002</v>
      </c>
    </row>
    <row r="7649" spans="1:8" s="15" customFormat="1" ht="16.5" hidden="1" customHeight="1" outlineLevel="1" x14ac:dyDescent="0.25">
      <c r="A7649" s="18">
        <v>3221</v>
      </c>
      <c r="B7649" s="4" t="s">
        <v>250</v>
      </c>
      <c r="C7649" s="38" t="s">
        <v>6368</v>
      </c>
      <c r="D7649" s="18">
        <v>2022</v>
      </c>
      <c r="E7649" s="18" t="s">
        <v>0</v>
      </c>
      <c r="F7649" s="42">
        <v>1</v>
      </c>
      <c r="G7649" s="4">
        <v>15</v>
      </c>
      <c r="H7649" s="18">
        <f>0.01666408*(1000)</f>
        <v>16.664080000000002</v>
      </c>
    </row>
    <row r="7650" spans="1:8" s="15" customFormat="1" ht="16.5" hidden="1" customHeight="1" outlineLevel="1" x14ac:dyDescent="0.25">
      <c r="A7650" s="18">
        <v>3223</v>
      </c>
      <c r="B7650" s="4" t="s">
        <v>250</v>
      </c>
      <c r="C7650" s="38" t="s">
        <v>6369</v>
      </c>
      <c r="D7650" s="18">
        <v>2022</v>
      </c>
      <c r="E7650" s="18" t="s">
        <v>0</v>
      </c>
      <c r="F7650" s="42">
        <v>1</v>
      </c>
      <c r="G7650" s="4">
        <v>15</v>
      </c>
      <c r="H7650" s="18">
        <f>0.01666408*(1000)</f>
        <v>16.664080000000002</v>
      </c>
    </row>
    <row r="7651" spans="1:8" s="15" customFormat="1" ht="16.5" hidden="1" customHeight="1" outlineLevel="1" x14ac:dyDescent="0.25">
      <c r="A7651" s="18">
        <v>3224</v>
      </c>
      <c r="B7651" s="4" t="s">
        <v>250</v>
      </c>
      <c r="C7651" s="38" t="s">
        <v>6370</v>
      </c>
      <c r="D7651" s="18">
        <v>2022</v>
      </c>
      <c r="E7651" s="18" t="s">
        <v>0</v>
      </c>
      <c r="F7651" s="42">
        <v>1</v>
      </c>
      <c r="G7651" s="4">
        <v>15</v>
      </c>
      <c r="H7651" s="18">
        <f>0.01666409*(1000)</f>
        <v>16.664089999999998</v>
      </c>
    </row>
    <row r="7652" spans="1:8" s="15" customFormat="1" ht="16.5" hidden="1" customHeight="1" outlineLevel="1" x14ac:dyDescent="0.25">
      <c r="A7652" s="18">
        <v>3226</v>
      </c>
      <c r="B7652" s="4" t="s">
        <v>250</v>
      </c>
      <c r="C7652" s="38" t="s">
        <v>6371</v>
      </c>
      <c r="D7652" s="18">
        <v>2022</v>
      </c>
      <c r="E7652" s="18" t="s">
        <v>0</v>
      </c>
      <c r="F7652" s="42">
        <v>1</v>
      </c>
      <c r="G7652" s="4">
        <v>15</v>
      </c>
      <c r="H7652" s="18">
        <f>0.01666408*(1000)</f>
        <v>16.664080000000002</v>
      </c>
    </row>
    <row r="7653" spans="1:8" s="15" customFormat="1" ht="16.5" hidden="1" customHeight="1" outlineLevel="1" x14ac:dyDescent="0.25">
      <c r="A7653" s="18">
        <v>3228</v>
      </c>
      <c r="B7653" s="4" t="s">
        <v>250</v>
      </c>
      <c r="C7653" s="38" t="s">
        <v>6372</v>
      </c>
      <c r="D7653" s="18">
        <v>2022</v>
      </c>
      <c r="E7653" s="18" t="s">
        <v>0</v>
      </c>
      <c r="F7653" s="42">
        <v>1</v>
      </c>
      <c r="G7653" s="4">
        <v>15</v>
      </c>
      <c r="H7653" s="18">
        <f>0.01666408*(1000)</f>
        <v>16.664080000000002</v>
      </c>
    </row>
    <row r="7654" spans="1:8" s="15" customFormat="1" ht="16.5" hidden="1" customHeight="1" outlineLevel="1" x14ac:dyDescent="0.25">
      <c r="A7654" s="18">
        <v>3229</v>
      </c>
      <c r="B7654" s="4" t="s">
        <v>250</v>
      </c>
      <c r="C7654" s="38" t="s">
        <v>6373</v>
      </c>
      <c r="D7654" s="18">
        <v>2022</v>
      </c>
      <c r="E7654" s="18" t="s">
        <v>0</v>
      </c>
      <c r="F7654" s="42">
        <v>1</v>
      </c>
      <c r="G7654" s="4">
        <v>10</v>
      </c>
      <c r="H7654" s="18">
        <f>0.00986562*(1000)</f>
        <v>9.8656199999999998</v>
      </c>
    </row>
    <row r="7655" spans="1:8" s="15" customFormat="1" ht="16.5" hidden="1" customHeight="1" outlineLevel="1" x14ac:dyDescent="0.25">
      <c r="A7655" s="18">
        <v>3230</v>
      </c>
      <c r="B7655" s="4" t="s">
        <v>250</v>
      </c>
      <c r="C7655" s="38" t="s">
        <v>6374</v>
      </c>
      <c r="D7655" s="18">
        <v>2022</v>
      </c>
      <c r="E7655" s="18" t="s">
        <v>0</v>
      </c>
      <c r="F7655" s="42">
        <v>1</v>
      </c>
      <c r="G7655" s="4">
        <v>15</v>
      </c>
      <c r="H7655" s="18">
        <f>0.01666408*(1000)</f>
        <v>16.664080000000002</v>
      </c>
    </row>
    <row r="7656" spans="1:8" s="15" customFormat="1" ht="16.5" hidden="1" customHeight="1" outlineLevel="1" x14ac:dyDescent="0.25">
      <c r="A7656" s="18">
        <v>3237</v>
      </c>
      <c r="B7656" s="4" t="s">
        <v>250</v>
      </c>
      <c r="C7656" s="38" t="s">
        <v>6375</v>
      </c>
      <c r="D7656" s="18">
        <v>2022</v>
      </c>
      <c r="E7656" s="18" t="s">
        <v>0</v>
      </c>
      <c r="F7656" s="42">
        <v>1</v>
      </c>
      <c r="G7656" s="4">
        <v>15</v>
      </c>
      <c r="H7656" s="18">
        <f>0.01666408*(1000)</f>
        <v>16.664080000000002</v>
      </c>
    </row>
    <row r="7657" spans="1:8" s="15" customFormat="1" ht="16.5" hidden="1" customHeight="1" outlineLevel="1" x14ac:dyDescent="0.25">
      <c r="A7657" s="18">
        <v>3240</v>
      </c>
      <c r="B7657" s="4" t="s">
        <v>250</v>
      </c>
      <c r="C7657" s="38" t="s">
        <v>6376</v>
      </c>
      <c r="D7657" s="18">
        <v>2022</v>
      </c>
      <c r="E7657" s="18" t="s">
        <v>0</v>
      </c>
      <c r="F7657" s="42">
        <v>1</v>
      </c>
      <c r="G7657" s="4">
        <v>15</v>
      </c>
      <c r="H7657" s="18">
        <f>0.01666408*(1000)</f>
        <v>16.664080000000002</v>
      </c>
    </row>
    <row r="7658" spans="1:8" s="15" customFormat="1" ht="16.5" hidden="1" customHeight="1" outlineLevel="1" x14ac:dyDescent="0.25">
      <c r="A7658" s="18">
        <v>3241</v>
      </c>
      <c r="B7658" s="4" t="s">
        <v>250</v>
      </c>
      <c r="C7658" s="38" t="s">
        <v>6377</v>
      </c>
      <c r="D7658" s="18">
        <v>2022</v>
      </c>
      <c r="E7658" s="18" t="s">
        <v>0</v>
      </c>
      <c r="F7658" s="42">
        <v>1</v>
      </c>
      <c r="G7658" s="4">
        <v>15</v>
      </c>
      <c r="H7658" s="18">
        <f>0.01666408*(1000)</f>
        <v>16.664080000000002</v>
      </c>
    </row>
    <row r="7659" spans="1:8" s="15" customFormat="1" ht="16.5" hidden="1" customHeight="1" outlineLevel="1" x14ac:dyDescent="0.25">
      <c r="A7659" s="18">
        <v>3242</v>
      </c>
      <c r="B7659" s="4" t="s">
        <v>250</v>
      </c>
      <c r="C7659" s="38" t="s">
        <v>6378</v>
      </c>
      <c r="D7659" s="18">
        <v>2022</v>
      </c>
      <c r="E7659" s="18" t="s">
        <v>0</v>
      </c>
      <c r="F7659" s="42">
        <v>1</v>
      </c>
      <c r="G7659" s="4">
        <v>15</v>
      </c>
      <c r="H7659" s="18">
        <f>0.01666407*(1000)</f>
        <v>16.664069999999999</v>
      </c>
    </row>
    <row r="7660" spans="1:8" s="15" customFormat="1" ht="16.5" hidden="1" customHeight="1" outlineLevel="1" x14ac:dyDescent="0.25">
      <c r="A7660" s="18">
        <v>3243</v>
      </c>
      <c r="B7660" s="4" t="s">
        <v>250</v>
      </c>
      <c r="C7660" s="38" t="s">
        <v>6379</v>
      </c>
      <c r="D7660" s="18">
        <v>2022</v>
      </c>
      <c r="E7660" s="18" t="s">
        <v>0</v>
      </c>
      <c r="F7660" s="42">
        <v>1</v>
      </c>
      <c r="G7660" s="4">
        <v>15</v>
      </c>
      <c r="H7660" s="18">
        <f>0.01666408*(1000)</f>
        <v>16.664080000000002</v>
      </c>
    </row>
    <row r="7661" spans="1:8" s="15" customFormat="1" ht="16.5" hidden="1" customHeight="1" outlineLevel="1" x14ac:dyDescent="0.25">
      <c r="A7661" s="18">
        <v>3248</v>
      </c>
      <c r="B7661" s="4" t="s">
        <v>250</v>
      </c>
      <c r="C7661" s="38" t="s">
        <v>6380</v>
      </c>
      <c r="D7661" s="18">
        <v>2022</v>
      </c>
      <c r="E7661" s="18" t="s">
        <v>0</v>
      </c>
      <c r="F7661" s="42">
        <v>1</v>
      </c>
      <c r="G7661" s="4">
        <v>15</v>
      </c>
      <c r="H7661" s="18">
        <f>0.01825692*(1000)</f>
        <v>18.256920000000001</v>
      </c>
    </row>
    <row r="7662" spans="1:8" s="15" customFormat="1" ht="16.5" hidden="1" customHeight="1" outlineLevel="1" x14ac:dyDescent="0.25">
      <c r="A7662" s="18">
        <v>3249</v>
      </c>
      <c r="B7662" s="4" t="s">
        <v>250</v>
      </c>
      <c r="C7662" s="38" t="s">
        <v>6381</v>
      </c>
      <c r="D7662" s="18">
        <v>2022</v>
      </c>
      <c r="E7662" s="18" t="s">
        <v>0</v>
      </c>
      <c r="F7662" s="42">
        <v>1</v>
      </c>
      <c r="G7662" s="4">
        <v>15</v>
      </c>
      <c r="H7662" s="18">
        <f>0.01825693*(1000)</f>
        <v>18.256930000000001</v>
      </c>
    </row>
    <row r="7663" spans="1:8" s="15" customFormat="1" ht="16.5" hidden="1" customHeight="1" outlineLevel="1" x14ac:dyDescent="0.25">
      <c r="A7663" s="18">
        <v>3251</v>
      </c>
      <c r="B7663" s="4" t="s">
        <v>250</v>
      </c>
      <c r="C7663" s="38" t="s">
        <v>6382</v>
      </c>
      <c r="D7663" s="18">
        <v>2022</v>
      </c>
      <c r="E7663" s="18" t="s">
        <v>0</v>
      </c>
      <c r="F7663" s="42">
        <v>1</v>
      </c>
      <c r="G7663" s="4">
        <v>15</v>
      </c>
      <c r="H7663" s="18">
        <f>0.01825694*(1000)</f>
        <v>18.25694</v>
      </c>
    </row>
    <row r="7664" spans="1:8" s="15" customFormat="1" ht="16.5" hidden="1" customHeight="1" outlineLevel="1" x14ac:dyDescent="0.25">
      <c r="A7664" s="18">
        <v>3254</v>
      </c>
      <c r="B7664" s="4" t="s">
        <v>250</v>
      </c>
      <c r="C7664" s="38" t="s">
        <v>6383</v>
      </c>
      <c r="D7664" s="18">
        <v>2022</v>
      </c>
      <c r="E7664" s="18" t="s">
        <v>0</v>
      </c>
      <c r="F7664" s="42">
        <v>1</v>
      </c>
      <c r="G7664" s="4">
        <v>15</v>
      </c>
      <c r="H7664" s="18">
        <f>0.01825693*(1000)</f>
        <v>18.256930000000001</v>
      </c>
    </row>
    <row r="7665" spans="1:8" s="15" customFormat="1" ht="16.5" hidden="1" customHeight="1" outlineLevel="1" x14ac:dyDescent="0.25">
      <c r="A7665" s="18">
        <v>3257</v>
      </c>
      <c r="B7665" s="4" t="s">
        <v>250</v>
      </c>
      <c r="C7665" s="38" t="s">
        <v>6384</v>
      </c>
      <c r="D7665" s="18">
        <v>2022</v>
      </c>
      <c r="E7665" s="18" t="s">
        <v>0</v>
      </c>
      <c r="F7665" s="42">
        <v>1</v>
      </c>
      <c r="G7665" s="4">
        <v>15</v>
      </c>
      <c r="H7665" s="18">
        <f>0.01794371*(1000)</f>
        <v>17.943710000000003</v>
      </c>
    </row>
    <row r="7666" spans="1:8" s="15" customFormat="1" ht="16.5" hidden="1" customHeight="1" outlineLevel="1" x14ac:dyDescent="0.25">
      <c r="A7666" s="18">
        <v>3258</v>
      </c>
      <c r="B7666" s="4" t="s">
        <v>250</v>
      </c>
      <c r="C7666" s="38" t="s">
        <v>6385</v>
      </c>
      <c r="D7666" s="18">
        <v>2022</v>
      </c>
      <c r="E7666" s="18" t="s">
        <v>0</v>
      </c>
      <c r="F7666" s="42">
        <v>1</v>
      </c>
      <c r="G7666" s="4">
        <v>15</v>
      </c>
      <c r="H7666" s="18">
        <f>0.01825693*(1000)</f>
        <v>18.256930000000001</v>
      </c>
    </row>
    <row r="7667" spans="1:8" s="15" customFormat="1" ht="16.5" hidden="1" customHeight="1" outlineLevel="1" x14ac:dyDescent="0.25">
      <c r="A7667" s="18">
        <v>3259</v>
      </c>
      <c r="B7667" s="4" t="s">
        <v>250</v>
      </c>
      <c r="C7667" s="38" t="s">
        <v>6386</v>
      </c>
      <c r="D7667" s="18">
        <v>2022</v>
      </c>
      <c r="E7667" s="18" t="s">
        <v>0</v>
      </c>
      <c r="F7667" s="42">
        <v>1</v>
      </c>
      <c r="G7667" s="4">
        <v>15</v>
      </c>
      <c r="H7667" s="18">
        <f>0.01825695*(1000)</f>
        <v>18.25695</v>
      </c>
    </row>
    <row r="7668" spans="1:8" s="15" customFormat="1" ht="16.5" hidden="1" customHeight="1" outlineLevel="1" x14ac:dyDescent="0.25">
      <c r="A7668" s="18">
        <v>3261</v>
      </c>
      <c r="B7668" s="4" t="s">
        <v>250</v>
      </c>
      <c r="C7668" s="38" t="s">
        <v>6387</v>
      </c>
      <c r="D7668" s="18">
        <v>2022</v>
      </c>
      <c r="E7668" s="18" t="s">
        <v>0</v>
      </c>
      <c r="F7668" s="42">
        <v>1</v>
      </c>
      <c r="G7668" s="4">
        <v>15</v>
      </c>
      <c r="H7668" s="18">
        <f>0.01825693*(1000)</f>
        <v>18.256930000000001</v>
      </c>
    </row>
    <row r="7669" spans="1:8" s="15" customFormat="1" ht="16.5" hidden="1" customHeight="1" outlineLevel="1" x14ac:dyDescent="0.25">
      <c r="A7669" s="18">
        <v>3262</v>
      </c>
      <c r="B7669" s="4" t="s">
        <v>250</v>
      </c>
      <c r="C7669" s="38" t="s">
        <v>6388</v>
      </c>
      <c r="D7669" s="18">
        <v>2022</v>
      </c>
      <c r="E7669" s="18" t="s">
        <v>0</v>
      </c>
      <c r="F7669" s="42">
        <v>1</v>
      </c>
      <c r="G7669" s="4">
        <v>15</v>
      </c>
      <c r="H7669" s="18">
        <f>0.00986561*(1000)</f>
        <v>9.8656100000000002</v>
      </c>
    </row>
    <row r="7670" spans="1:8" s="15" customFormat="1" ht="16.5" hidden="1" customHeight="1" outlineLevel="1" x14ac:dyDescent="0.25">
      <c r="A7670" s="18">
        <v>3265</v>
      </c>
      <c r="B7670" s="4" t="s">
        <v>250</v>
      </c>
      <c r="C7670" s="38" t="s">
        <v>6389</v>
      </c>
      <c r="D7670" s="18">
        <v>2022</v>
      </c>
      <c r="E7670" s="18" t="s">
        <v>0</v>
      </c>
      <c r="F7670" s="42">
        <v>1</v>
      </c>
      <c r="G7670" s="4">
        <v>15</v>
      </c>
      <c r="H7670" s="18">
        <f>0.01011762*(1000)</f>
        <v>10.117620000000001</v>
      </c>
    </row>
    <row r="7671" spans="1:8" s="15" customFormat="1" ht="16.5" hidden="1" customHeight="1" outlineLevel="1" x14ac:dyDescent="0.25">
      <c r="A7671" s="18">
        <v>3266</v>
      </c>
      <c r="B7671" s="4" t="s">
        <v>250</v>
      </c>
      <c r="C7671" s="38" t="s">
        <v>6390</v>
      </c>
      <c r="D7671" s="18">
        <v>2022</v>
      </c>
      <c r="E7671" s="18" t="s">
        <v>0</v>
      </c>
      <c r="F7671" s="42">
        <v>1</v>
      </c>
      <c r="G7671" s="4">
        <v>15</v>
      </c>
      <c r="H7671" s="18">
        <f>0.01011209*(1000)</f>
        <v>10.11209</v>
      </c>
    </row>
    <row r="7672" spans="1:8" s="15" customFormat="1" ht="16.5" hidden="1" customHeight="1" outlineLevel="1" x14ac:dyDescent="0.25">
      <c r="A7672" s="18">
        <v>3269</v>
      </c>
      <c r="B7672" s="4" t="s">
        <v>250</v>
      </c>
      <c r="C7672" s="38" t="s">
        <v>6391</v>
      </c>
      <c r="D7672" s="18">
        <v>2022</v>
      </c>
      <c r="E7672" s="18" t="s">
        <v>0</v>
      </c>
      <c r="F7672" s="42">
        <v>1</v>
      </c>
      <c r="G7672" s="4">
        <v>15</v>
      </c>
      <c r="H7672" s="18">
        <f>0.0166641*(1000)</f>
        <v>16.664100000000001</v>
      </c>
    </row>
    <row r="7673" spans="1:8" s="15" customFormat="1" ht="16.5" hidden="1" customHeight="1" outlineLevel="1" x14ac:dyDescent="0.25">
      <c r="A7673" s="18">
        <v>3270</v>
      </c>
      <c r="B7673" s="4" t="s">
        <v>250</v>
      </c>
      <c r="C7673" s="38" t="s">
        <v>6392</v>
      </c>
      <c r="D7673" s="18">
        <v>2022</v>
      </c>
      <c r="E7673" s="18" t="s">
        <v>0</v>
      </c>
      <c r="F7673" s="42">
        <v>1</v>
      </c>
      <c r="G7673" s="4">
        <v>15</v>
      </c>
      <c r="H7673" s="18">
        <f>0.00866633*(1000)</f>
        <v>8.6663300000000003</v>
      </c>
    </row>
    <row r="7674" spans="1:8" s="15" customFormat="1" ht="16.5" hidden="1" customHeight="1" outlineLevel="1" x14ac:dyDescent="0.25">
      <c r="A7674" s="18">
        <v>3271</v>
      </c>
      <c r="B7674" s="4" t="s">
        <v>250</v>
      </c>
      <c r="C7674" s="38" t="s">
        <v>6393</v>
      </c>
      <c r="D7674" s="18">
        <v>2022</v>
      </c>
      <c r="E7674" s="18" t="s">
        <v>0</v>
      </c>
      <c r="F7674" s="42">
        <v>1</v>
      </c>
      <c r="G7674" s="4">
        <v>15</v>
      </c>
      <c r="H7674" s="18">
        <f>0.01666408*(1000)</f>
        <v>16.664080000000002</v>
      </c>
    </row>
    <row r="7675" spans="1:8" s="15" customFormat="1" ht="16.5" hidden="1" customHeight="1" outlineLevel="1" x14ac:dyDescent="0.25">
      <c r="A7675" s="18">
        <v>3275</v>
      </c>
      <c r="B7675" s="4" t="s">
        <v>250</v>
      </c>
      <c r="C7675" s="38" t="s">
        <v>6394</v>
      </c>
      <c r="D7675" s="18">
        <v>2022</v>
      </c>
      <c r="E7675" s="18" t="s">
        <v>0</v>
      </c>
      <c r="F7675" s="42">
        <v>1</v>
      </c>
      <c r="G7675" s="4">
        <v>15</v>
      </c>
      <c r="H7675" s="18">
        <f>0.01666406*(1000)</f>
        <v>16.664060000000003</v>
      </c>
    </row>
    <row r="7676" spans="1:8" s="15" customFormat="1" ht="16.5" hidden="1" customHeight="1" outlineLevel="1" x14ac:dyDescent="0.25">
      <c r="A7676" s="18">
        <v>3277</v>
      </c>
      <c r="B7676" s="4" t="s">
        <v>250</v>
      </c>
      <c r="C7676" s="38" t="s">
        <v>6395</v>
      </c>
      <c r="D7676" s="18">
        <v>2022</v>
      </c>
      <c r="E7676" s="18" t="s">
        <v>0</v>
      </c>
      <c r="F7676" s="42">
        <v>1</v>
      </c>
      <c r="G7676" s="4">
        <v>15</v>
      </c>
      <c r="H7676" s="18">
        <f>0.02958664*(1000)</f>
        <v>29.586639999999999</v>
      </c>
    </row>
    <row r="7677" spans="1:8" s="15" customFormat="1" ht="16.5" hidden="1" customHeight="1" outlineLevel="1" x14ac:dyDescent="0.25">
      <c r="A7677" s="18">
        <v>3278</v>
      </c>
      <c r="B7677" s="4" t="s">
        <v>250</v>
      </c>
      <c r="C7677" s="38" t="s">
        <v>6396</v>
      </c>
      <c r="D7677" s="18">
        <v>2022</v>
      </c>
      <c r="E7677" s="18" t="s">
        <v>0</v>
      </c>
      <c r="F7677" s="42">
        <v>1</v>
      </c>
      <c r="G7677" s="4">
        <v>15</v>
      </c>
      <c r="H7677" s="18">
        <f>0.01666407*(1000)</f>
        <v>16.664069999999999</v>
      </c>
    </row>
    <row r="7678" spans="1:8" s="15" customFormat="1" ht="16.5" hidden="1" customHeight="1" outlineLevel="1" x14ac:dyDescent="0.25">
      <c r="A7678" s="18">
        <v>3282</v>
      </c>
      <c r="B7678" s="4" t="s">
        <v>250</v>
      </c>
      <c r="C7678" s="38" t="s">
        <v>6397</v>
      </c>
      <c r="D7678" s="18">
        <v>2022</v>
      </c>
      <c r="E7678" s="18" t="s">
        <v>0</v>
      </c>
      <c r="F7678" s="42">
        <v>1</v>
      </c>
      <c r="G7678" s="4">
        <v>15</v>
      </c>
      <c r="H7678" s="18">
        <f>0.01839828*(1000)</f>
        <v>18.39828</v>
      </c>
    </row>
    <row r="7679" spans="1:8" s="15" customFormat="1" ht="16.5" hidden="1" customHeight="1" outlineLevel="1" x14ac:dyDescent="0.25">
      <c r="A7679" s="18">
        <v>3284</v>
      </c>
      <c r="B7679" s="4" t="s">
        <v>250</v>
      </c>
      <c r="C7679" s="38" t="s">
        <v>6398</v>
      </c>
      <c r="D7679" s="18">
        <v>2022</v>
      </c>
      <c r="E7679" s="18" t="s">
        <v>0</v>
      </c>
      <c r="F7679" s="42">
        <v>1</v>
      </c>
      <c r="G7679" s="4">
        <v>15</v>
      </c>
      <c r="H7679" s="18">
        <f>0.01915754*(1000)</f>
        <v>19.157540000000001</v>
      </c>
    </row>
    <row r="7680" spans="1:8" s="15" customFormat="1" ht="16.5" hidden="1" customHeight="1" outlineLevel="1" x14ac:dyDescent="0.25">
      <c r="A7680" s="18">
        <v>3286</v>
      </c>
      <c r="B7680" s="4" t="s">
        <v>250</v>
      </c>
      <c r="C7680" s="38" t="s">
        <v>6399</v>
      </c>
      <c r="D7680" s="18">
        <v>2022</v>
      </c>
      <c r="E7680" s="18" t="s">
        <v>0</v>
      </c>
      <c r="F7680" s="42">
        <v>1</v>
      </c>
      <c r="G7680" s="4">
        <v>15</v>
      </c>
      <c r="H7680" s="18">
        <f>0.01911795*(1000)</f>
        <v>19.11795</v>
      </c>
    </row>
    <row r="7681" spans="1:8" s="15" customFormat="1" ht="16.5" hidden="1" customHeight="1" outlineLevel="1" x14ac:dyDescent="0.25">
      <c r="A7681" s="18">
        <v>3287</v>
      </c>
      <c r="B7681" s="4" t="s">
        <v>250</v>
      </c>
      <c r="C7681" s="38" t="s">
        <v>6400</v>
      </c>
      <c r="D7681" s="18">
        <v>2022</v>
      </c>
      <c r="E7681" s="18" t="s">
        <v>0</v>
      </c>
      <c r="F7681" s="42">
        <v>1</v>
      </c>
      <c r="G7681" s="4">
        <v>15</v>
      </c>
      <c r="H7681" s="18">
        <f>0.01911797*(1000)</f>
        <v>19.117970000000003</v>
      </c>
    </row>
    <row r="7682" spans="1:8" s="15" customFormat="1" ht="16.5" hidden="1" customHeight="1" outlineLevel="1" x14ac:dyDescent="0.25">
      <c r="A7682" s="18">
        <v>3288</v>
      </c>
      <c r="B7682" s="4" t="s">
        <v>250</v>
      </c>
      <c r="C7682" s="38" t="s">
        <v>6401</v>
      </c>
      <c r="D7682" s="18">
        <v>2022</v>
      </c>
      <c r="E7682" s="18" t="s">
        <v>0</v>
      </c>
      <c r="F7682" s="42">
        <v>1</v>
      </c>
      <c r="G7682" s="4">
        <v>15</v>
      </c>
      <c r="H7682" s="18">
        <f>0.01742332*(1000)</f>
        <v>17.42332</v>
      </c>
    </row>
    <row r="7683" spans="1:8" s="15" customFormat="1" ht="16.5" hidden="1" customHeight="1" outlineLevel="1" x14ac:dyDescent="0.25">
      <c r="A7683" s="18">
        <v>3293</v>
      </c>
      <c r="B7683" s="4" t="s">
        <v>250</v>
      </c>
      <c r="C7683" s="38" t="s">
        <v>6402</v>
      </c>
      <c r="D7683" s="18">
        <v>2022</v>
      </c>
      <c r="E7683" s="18" t="s">
        <v>0</v>
      </c>
      <c r="F7683" s="42">
        <v>1</v>
      </c>
      <c r="G7683" s="4">
        <v>15</v>
      </c>
      <c r="H7683" s="18">
        <f>0.01911797*(1000)</f>
        <v>19.117970000000003</v>
      </c>
    </row>
    <row r="7684" spans="1:8" s="15" customFormat="1" ht="16.5" hidden="1" customHeight="1" outlineLevel="1" x14ac:dyDescent="0.25">
      <c r="A7684" s="18">
        <v>3295</v>
      </c>
      <c r="B7684" s="4" t="s">
        <v>250</v>
      </c>
      <c r="C7684" s="38" t="s">
        <v>6403</v>
      </c>
      <c r="D7684" s="18">
        <v>2022</v>
      </c>
      <c r="E7684" s="18" t="s">
        <v>0</v>
      </c>
      <c r="F7684" s="42">
        <v>1</v>
      </c>
      <c r="G7684" s="4">
        <v>15</v>
      </c>
      <c r="H7684" s="18">
        <f>0.01666408*(1000)</f>
        <v>16.664080000000002</v>
      </c>
    </row>
    <row r="7685" spans="1:8" s="15" customFormat="1" ht="16.5" hidden="1" customHeight="1" outlineLevel="1" x14ac:dyDescent="0.25">
      <c r="A7685" s="18">
        <v>3298</v>
      </c>
      <c r="B7685" s="4" t="s">
        <v>250</v>
      </c>
      <c r="C7685" s="38" t="s">
        <v>6404</v>
      </c>
      <c r="D7685" s="18">
        <v>2022</v>
      </c>
      <c r="E7685" s="18" t="s">
        <v>0</v>
      </c>
      <c r="F7685" s="42">
        <v>1</v>
      </c>
      <c r="G7685" s="4">
        <v>15</v>
      </c>
      <c r="H7685" s="18">
        <f>0.01856108*(1000)</f>
        <v>18.56108</v>
      </c>
    </row>
    <row r="7686" spans="1:8" s="15" customFormat="1" ht="16.5" hidden="1" customHeight="1" outlineLevel="1" x14ac:dyDescent="0.25">
      <c r="A7686" s="18">
        <v>3299</v>
      </c>
      <c r="B7686" s="4" t="s">
        <v>250</v>
      </c>
      <c r="C7686" s="38" t="s">
        <v>6405</v>
      </c>
      <c r="D7686" s="18">
        <v>2022</v>
      </c>
      <c r="E7686" s="18" t="s">
        <v>0</v>
      </c>
      <c r="F7686" s="42">
        <v>1</v>
      </c>
      <c r="G7686" s="4">
        <v>15</v>
      </c>
      <c r="H7686" s="18">
        <f>0.01167213*(1000)</f>
        <v>11.672129999999999</v>
      </c>
    </row>
    <row r="7687" spans="1:8" s="15" customFormat="1" ht="16.5" hidden="1" customHeight="1" outlineLevel="1" x14ac:dyDescent="0.25">
      <c r="A7687" s="18">
        <v>3301</v>
      </c>
      <c r="B7687" s="4" t="s">
        <v>250</v>
      </c>
      <c r="C7687" s="38" t="s">
        <v>6406</v>
      </c>
      <c r="D7687" s="18">
        <v>2022</v>
      </c>
      <c r="E7687" s="18" t="s">
        <v>0</v>
      </c>
      <c r="F7687" s="42">
        <v>1</v>
      </c>
      <c r="G7687" s="4">
        <v>15</v>
      </c>
      <c r="H7687" s="18">
        <f>0.01856109*(1000)</f>
        <v>18.56109</v>
      </c>
    </row>
    <row r="7688" spans="1:8" s="15" customFormat="1" ht="16.5" hidden="1" customHeight="1" outlineLevel="1" x14ac:dyDescent="0.25">
      <c r="A7688" s="18">
        <v>3306</v>
      </c>
      <c r="B7688" s="4" t="s">
        <v>250</v>
      </c>
      <c r="C7688" s="38" t="s">
        <v>6407</v>
      </c>
      <c r="D7688" s="18">
        <v>2022</v>
      </c>
      <c r="E7688" s="18" t="s">
        <v>0</v>
      </c>
      <c r="F7688" s="42">
        <v>1</v>
      </c>
      <c r="G7688" s="4">
        <v>15</v>
      </c>
      <c r="H7688" s="18">
        <f>0.01888246*(1000)</f>
        <v>18.882460000000002</v>
      </c>
    </row>
    <row r="7689" spans="1:8" s="15" customFormat="1" ht="16.5" hidden="1" customHeight="1" outlineLevel="1" x14ac:dyDescent="0.25">
      <c r="A7689" s="18">
        <v>3307</v>
      </c>
      <c r="B7689" s="4" t="s">
        <v>250</v>
      </c>
      <c r="C7689" s="38" t="s">
        <v>6408</v>
      </c>
      <c r="D7689" s="18">
        <v>2022</v>
      </c>
      <c r="E7689" s="18" t="s">
        <v>0</v>
      </c>
      <c r="F7689" s="42">
        <v>1</v>
      </c>
      <c r="G7689" s="4">
        <v>15</v>
      </c>
      <c r="H7689" s="18">
        <f>0.0169869*(1000)</f>
        <v>16.986899999999999</v>
      </c>
    </row>
    <row r="7690" spans="1:8" s="15" customFormat="1" ht="16.5" hidden="1" customHeight="1" outlineLevel="1" x14ac:dyDescent="0.25">
      <c r="A7690" s="18">
        <v>3308</v>
      </c>
      <c r="B7690" s="4" t="s">
        <v>250</v>
      </c>
      <c r="C7690" s="38" t="s">
        <v>6409</v>
      </c>
      <c r="D7690" s="18">
        <v>2022</v>
      </c>
      <c r="E7690" s="18" t="s">
        <v>0</v>
      </c>
      <c r="F7690" s="42">
        <v>1</v>
      </c>
      <c r="G7690" s="4">
        <v>15</v>
      </c>
      <c r="H7690" s="18">
        <f>0.01018842*(1000)</f>
        <v>10.188420000000001</v>
      </c>
    </row>
    <row r="7691" spans="1:8" s="15" customFormat="1" ht="16.5" hidden="1" customHeight="1" outlineLevel="1" x14ac:dyDescent="0.25">
      <c r="A7691" s="18">
        <v>3311</v>
      </c>
      <c r="B7691" s="4" t="s">
        <v>250</v>
      </c>
      <c r="C7691" s="38" t="s">
        <v>6410</v>
      </c>
      <c r="D7691" s="18">
        <v>2022</v>
      </c>
      <c r="E7691" s="18" t="s">
        <v>0</v>
      </c>
      <c r="F7691" s="42">
        <v>1</v>
      </c>
      <c r="G7691" s="4">
        <v>15</v>
      </c>
      <c r="H7691" s="18">
        <f>0.0169869*(1000)</f>
        <v>16.986899999999999</v>
      </c>
    </row>
    <row r="7692" spans="1:8" s="15" customFormat="1" ht="16.5" hidden="1" customHeight="1" outlineLevel="1" x14ac:dyDescent="0.25">
      <c r="A7692" s="18">
        <v>3316</v>
      </c>
      <c r="B7692" s="4" t="s">
        <v>250</v>
      </c>
      <c r="C7692" s="38" t="s">
        <v>6411</v>
      </c>
      <c r="D7692" s="18">
        <v>2022</v>
      </c>
      <c r="E7692" s="18" t="s">
        <v>0</v>
      </c>
      <c r="F7692" s="42">
        <v>1</v>
      </c>
      <c r="G7692" s="4">
        <v>14.5</v>
      </c>
      <c r="H7692" s="18">
        <f>0.01717866*(1000)</f>
        <v>17.178659999999997</v>
      </c>
    </row>
    <row r="7693" spans="1:8" s="15" customFormat="1" ht="16.5" hidden="1" customHeight="1" outlineLevel="1" x14ac:dyDescent="0.25">
      <c r="A7693" s="18">
        <v>3322</v>
      </c>
      <c r="B7693" s="4" t="s">
        <v>250</v>
      </c>
      <c r="C7693" s="38" t="s">
        <v>6412</v>
      </c>
      <c r="D7693" s="18">
        <v>2022</v>
      </c>
      <c r="E7693" s="18" t="s">
        <v>0</v>
      </c>
      <c r="F7693" s="42">
        <v>1</v>
      </c>
      <c r="G7693" s="4">
        <v>15</v>
      </c>
      <c r="H7693" s="18">
        <f>0.01881077*(1000)</f>
        <v>18.810770000000002</v>
      </c>
    </row>
    <row r="7694" spans="1:8" s="15" customFormat="1" ht="16.5" hidden="1" customHeight="1" outlineLevel="1" x14ac:dyDescent="0.25">
      <c r="A7694" s="18">
        <v>3323</v>
      </c>
      <c r="B7694" s="4" t="s">
        <v>250</v>
      </c>
      <c r="C7694" s="38" t="s">
        <v>6413</v>
      </c>
      <c r="D7694" s="18">
        <v>2022</v>
      </c>
      <c r="E7694" s="18" t="s">
        <v>0</v>
      </c>
      <c r="F7694" s="42">
        <v>1</v>
      </c>
      <c r="G7694" s="4">
        <v>15</v>
      </c>
      <c r="H7694" s="18">
        <f>0.01711756*(1000)</f>
        <v>17.117560000000001</v>
      </c>
    </row>
    <row r="7695" spans="1:8" s="15" customFormat="1" ht="16.5" hidden="1" customHeight="1" outlineLevel="1" x14ac:dyDescent="0.25">
      <c r="A7695" s="18">
        <v>3324</v>
      </c>
      <c r="B7695" s="4" t="s">
        <v>250</v>
      </c>
      <c r="C7695" s="38" t="s">
        <v>6414</v>
      </c>
      <c r="D7695" s="18">
        <v>2022</v>
      </c>
      <c r="E7695" s="18" t="s">
        <v>0</v>
      </c>
      <c r="F7695" s="42">
        <v>1</v>
      </c>
      <c r="G7695" s="4">
        <v>15</v>
      </c>
      <c r="H7695" s="18">
        <f>0.01031767*(1000)</f>
        <v>10.31767</v>
      </c>
    </row>
    <row r="7696" spans="1:8" s="15" customFormat="1" ht="16.5" hidden="1" customHeight="1" outlineLevel="1" x14ac:dyDescent="0.25">
      <c r="A7696" s="18">
        <v>3325</v>
      </c>
      <c r="B7696" s="4" t="s">
        <v>250</v>
      </c>
      <c r="C7696" s="38" t="s">
        <v>6415</v>
      </c>
      <c r="D7696" s="18">
        <v>2022</v>
      </c>
      <c r="E7696" s="18" t="s">
        <v>0</v>
      </c>
      <c r="F7696" s="42">
        <v>1</v>
      </c>
      <c r="G7696" s="4">
        <v>15</v>
      </c>
      <c r="H7696" s="18">
        <f>0.01698804*(1000)</f>
        <v>16.988039999999998</v>
      </c>
    </row>
    <row r="7697" spans="1:8" s="15" customFormat="1" ht="16.5" hidden="1" customHeight="1" outlineLevel="1" x14ac:dyDescent="0.25">
      <c r="A7697" s="18">
        <v>3326</v>
      </c>
      <c r="B7697" s="4" t="s">
        <v>250</v>
      </c>
      <c r="C7697" s="38" t="s">
        <v>6416</v>
      </c>
      <c r="D7697" s="18">
        <v>2022</v>
      </c>
      <c r="E7697" s="18" t="s">
        <v>0</v>
      </c>
      <c r="F7697" s="42">
        <v>1</v>
      </c>
      <c r="G7697" s="4">
        <v>15</v>
      </c>
      <c r="H7697" s="18">
        <f>0.01698804*(1000)</f>
        <v>16.988039999999998</v>
      </c>
    </row>
    <row r="7698" spans="1:8" s="15" customFormat="1" ht="16.5" hidden="1" customHeight="1" outlineLevel="1" x14ac:dyDescent="0.25">
      <c r="A7698" s="18">
        <v>3329</v>
      </c>
      <c r="B7698" s="4" t="s">
        <v>250</v>
      </c>
      <c r="C7698" s="38" t="s">
        <v>6417</v>
      </c>
      <c r="D7698" s="18">
        <v>2022</v>
      </c>
      <c r="E7698" s="18" t="s">
        <v>0</v>
      </c>
      <c r="F7698" s="42">
        <v>1</v>
      </c>
      <c r="G7698" s="4">
        <v>15</v>
      </c>
      <c r="H7698" s="18">
        <f>0.01763027*(1000)</f>
        <v>17.630269999999999</v>
      </c>
    </row>
    <row r="7699" spans="1:8" s="15" customFormat="1" ht="16.5" hidden="1" customHeight="1" outlineLevel="1" x14ac:dyDescent="0.25">
      <c r="A7699" s="18">
        <v>3330</v>
      </c>
      <c r="B7699" s="4" t="s">
        <v>250</v>
      </c>
      <c r="C7699" s="38" t="s">
        <v>6418</v>
      </c>
      <c r="D7699" s="18">
        <v>2022</v>
      </c>
      <c r="E7699" s="18" t="s">
        <v>0</v>
      </c>
      <c r="F7699" s="42">
        <v>1</v>
      </c>
      <c r="G7699" s="4">
        <v>15</v>
      </c>
      <c r="H7699" s="18">
        <f>0.01763027*(1000)</f>
        <v>17.630269999999999</v>
      </c>
    </row>
    <row r="7700" spans="1:8" s="15" customFormat="1" ht="16.5" hidden="1" customHeight="1" outlineLevel="1" x14ac:dyDescent="0.25">
      <c r="A7700" s="18">
        <v>3338</v>
      </c>
      <c r="B7700" s="4" t="s">
        <v>250</v>
      </c>
      <c r="C7700" s="38" t="s">
        <v>6419</v>
      </c>
      <c r="D7700" s="18">
        <v>2022</v>
      </c>
      <c r="E7700" s="18" t="s">
        <v>0</v>
      </c>
      <c r="F7700" s="42">
        <v>1</v>
      </c>
      <c r="G7700" s="4">
        <v>15</v>
      </c>
      <c r="H7700" s="18">
        <f>0.01763027*(1000)</f>
        <v>17.630269999999999</v>
      </c>
    </row>
    <row r="7701" spans="1:8" s="15" customFormat="1" ht="16.5" hidden="1" customHeight="1" outlineLevel="1" x14ac:dyDescent="0.25">
      <c r="A7701" s="18">
        <v>3339</v>
      </c>
      <c r="B7701" s="4" t="s">
        <v>250</v>
      </c>
      <c r="C7701" s="38" t="s">
        <v>6420</v>
      </c>
      <c r="D7701" s="18">
        <v>2022</v>
      </c>
      <c r="E7701" s="18" t="s">
        <v>0</v>
      </c>
      <c r="F7701" s="42">
        <v>1</v>
      </c>
      <c r="G7701" s="4">
        <v>15</v>
      </c>
      <c r="H7701" s="18">
        <f>0.0172184*(1000)</f>
        <v>17.218399999999999</v>
      </c>
    </row>
    <row r="7702" spans="1:8" s="15" customFormat="1" ht="16.5" hidden="1" customHeight="1" outlineLevel="1" x14ac:dyDescent="0.25">
      <c r="A7702" s="18">
        <v>3342</v>
      </c>
      <c r="B7702" s="4" t="s">
        <v>250</v>
      </c>
      <c r="C7702" s="38" t="s">
        <v>6421</v>
      </c>
      <c r="D7702" s="18">
        <v>2022</v>
      </c>
      <c r="E7702" s="18" t="s">
        <v>0</v>
      </c>
      <c r="F7702" s="42">
        <v>1</v>
      </c>
      <c r="G7702" s="4">
        <v>15</v>
      </c>
      <c r="H7702" s="18">
        <f>0.01871157*(1000)</f>
        <v>18.711570000000002</v>
      </c>
    </row>
    <row r="7703" spans="1:8" s="15" customFormat="1" ht="16.5" hidden="1" customHeight="1" outlineLevel="1" x14ac:dyDescent="0.25">
      <c r="A7703" s="18">
        <v>3349</v>
      </c>
      <c r="B7703" s="4" t="s">
        <v>250</v>
      </c>
      <c r="C7703" s="38" t="s">
        <v>6422</v>
      </c>
      <c r="D7703" s="18">
        <v>2022</v>
      </c>
      <c r="E7703" s="18" t="s">
        <v>0</v>
      </c>
      <c r="F7703" s="42">
        <v>1</v>
      </c>
      <c r="G7703" s="4">
        <v>15</v>
      </c>
      <c r="H7703" s="18">
        <f>0.01867195*(1000)</f>
        <v>18.671949999999999</v>
      </c>
    </row>
    <row r="7704" spans="1:8" s="15" customFormat="1" ht="16.5" hidden="1" customHeight="1" outlineLevel="1" x14ac:dyDescent="0.25">
      <c r="A7704" s="18">
        <v>3351</v>
      </c>
      <c r="B7704" s="4" t="s">
        <v>250</v>
      </c>
      <c r="C7704" s="38" t="s">
        <v>6423</v>
      </c>
      <c r="D7704" s="18">
        <v>2022</v>
      </c>
      <c r="E7704" s="18" t="s">
        <v>0</v>
      </c>
      <c r="F7704" s="42">
        <v>1</v>
      </c>
      <c r="G7704" s="4">
        <v>15</v>
      </c>
      <c r="H7704" s="18">
        <f>0.01756665*(1000)</f>
        <v>17.566649999999999</v>
      </c>
    </row>
    <row r="7705" spans="1:8" s="15" customFormat="1" ht="16.5" hidden="1" customHeight="1" outlineLevel="1" x14ac:dyDescent="0.25">
      <c r="A7705" s="18">
        <v>3353</v>
      </c>
      <c r="B7705" s="4" t="s">
        <v>250</v>
      </c>
      <c r="C7705" s="38" t="s">
        <v>6424</v>
      </c>
      <c r="D7705" s="18">
        <v>2022</v>
      </c>
      <c r="E7705" s="18" t="s">
        <v>0</v>
      </c>
      <c r="F7705" s="42">
        <v>1</v>
      </c>
      <c r="G7705" s="4">
        <v>15</v>
      </c>
      <c r="H7705" s="18">
        <f>0.01756665*(1000)</f>
        <v>17.566649999999999</v>
      </c>
    </row>
    <row r="7706" spans="1:8" s="15" customFormat="1" ht="16.5" hidden="1" customHeight="1" outlineLevel="1" x14ac:dyDescent="0.25">
      <c r="A7706" s="18">
        <v>3355</v>
      </c>
      <c r="B7706" s="4" t="s">
        <v>250</v>
      </c>
      <c r="C7706" s="38" t="s">
        <v>6425</v>
      </c>
      <c r="D7706" s="18">
        <v>2022</v>
      </c>
      <c r="E7706" s="18" t="s">
        <v>0</v>
      </c>
      <c r="F7706" s="42">
        <v>1</v>
      </c>
      <c r="G7706" s="4">
        <v>15</v>
      </c>
      <c r="H7706" s="18">
        <f>0.02914063*(1000)</f>
        <v>29.140630000000002</v>
      </c>
    </row>
    <row r="7707" spans="1:8" s="15" customFormat="1" ht="16.5" hidden="1" customHeight="1" outlineLevel="1" x14ac:dyDescent="0.25">
      <c r="A7707" s="18">
        <v>3356</v>
      </c>
      <c r="B7707" s="4" t="s">
        <v>250</v>
      </c>
      <c r="C7707" s="38" t="s">
        <v>6426</v>
      </c>
      <c r="D7707" s="18">
        <v>2022</v>
      </c>
      <c r="E7707" s="18" t="s">
        <v>0</v>
      </c>
      <c r="F7707" s="42">
        <v>1</v>
      </c>
      <c r="G7707" s="4">
        <v>15</v>
      </c>
      <c r="H7707" s="18">
        <f>0.01756665*(1000)</f>
        <v>17.566649999999999</v>
      </c>
    </row>
    <row r="7708" spans="1:8" s="15" customFormat="1" ht="16.5" hidden="1" customHeight="1" outlineLevel="1" x14ac:dyDescent="0.25">
      <c r="A7708" s="18">
        <v>3358</v>
      </c>
      <c r="B7708" s="4" t="s">
        <v>250</v>
      </c>
      <c r="C7708" s="38" t="s">
        <v>6427</v>
      </c>
      <c r="D7708" s="18">
        <v>2022</v>
      </c>
      <c r="E7708" s="18" t="s">
        <v>0</v>
      </c>
      <c r="F7708" s="42">
        <v>1</v>
      </c>
      <c r="G7708" s="4">
        <v>15</v>
      </c>
      <c r="H7708" s="18">
        <f>0.01756665*(1000)</f>
        <v>17.566649999999999</v>
      </c>
    </row>
    <row r="7709" spans="1:8" s="15" customFormat="1" ht="16.5" hidden="1" customHeight="1" outlineLevel="1" x14ac:dyDescent="0.25">
      <c r="A7709" s="18">
        <v>3362</v>
      </c>
      <c r="B7709" s="4" t="s">
        <v>250</v>
      </c>
      <c r="C7709" s="38" t="s">
        <v>6428</v>
      </c>
      <c r="D7709" s="18">
        <v>2022</v>
      </c>
      <c r="E7709" s="18" t="s">
        <v>0</v>
      </c>
      <c r="F7709" s="42">
        <v>1</v>
      </c>
      <c r="G7709" s="4">
        <v>15</v>
      </c>
      <c r="H7709" s="18">
        <f>0.01715478*(1000)</f>
        <v>17.154780000000002</v>
      </c>
    </row>
    <row r="7710" spans="1:8" s="15" customFormat="1" ht="16.5" hidden="1" customHeight="1" outlineLevel="1" x14ac:dyDescent="0.25">
      <c r="A7710" s="18">
        <v>3363</v>
      </c>
      <c r="B7710" s="4" t="s">
        <v>250</v>
      </c>
      <c r="C7710" s="38" t="s">
        <v>6429</v>
      </c>
      <c r="D7710" s="18">
        <v>2022</v>
      </c>
      <c r="E7710" s="18" t="s">
        <v>0</v>
      </c>
      <c r="F7710" s="42">
        <v>1</v>
      </c>
      <c r="G7710" s="4">
        <v>15</v>
      </c>
      <c r="H7710" s="18">
        <f>0.01715478*(1000)</f>
        <v>17.154780000000002</v>
      </c>
    </row>
    <row r="7711" spans="1:8" s="15" customFormat="1" ht="16.5" hidden="1" customHeight="1" outlineLevel="1" x14ac:dyDescent="0.25">
      <c r="A7711" s="18">
        <v>3364</v>
      </c>
      <c r="B7711" s="4" t="s">
        <v>250</v>
      </c>
      <c r="C7711" s="38" t="s">
        <v>6430</v>
      </c>
      <c r="D7711" s="18">
        <v>2022</v>
      </c>
      <c r="E7711" s="18" t="s">
        <v>0</v>
      </c>
      <c r="F7711" s="42">
        <v>1</v>
      </c>
      <c r="G7711" s="4">
        <v>15</v>
      </c>
      <c r="H7711" s="18">
        <f>0.01719436*(1000)</f>
        <v>17.19436</v>
      </c>
    </row>
    <row r="7712" spans="1:8" s="15" customFormat="1" ht="16.5" hidden="1" customHeight="1" outlineLevel="1" x14ac:dyDescent="0.25">
      <c r="A7712" s="18">
        <v>3366</v>
      </c>
      <c r="B7712" s="4" t="s">
        <v>250</v>
      </c>
      <c r="C7712" s="38" t="s">
        <v>6431</v>
      </c>
      <c r="D7712" s="18">
        <v>2022</v>
      </c>
      <c r="E7712" s="18" t="s">
        <v>0</v>
      </c>
      <c r="F7712" s="42">
        <v>1</v>
      </c>
      <c r="G7712" s="4">
        <v>15</v>
      </c>
      <c r="H7712" s="18">
        <f>0.01714158*(1000)</f>
        <v>17.141580000000001</v>
      </c>
    </row>
    <row r="7713" spans="1:8" s="15" customFormat="1" ht="16.5" hidden="1" customHeight="1" outlineLevel="1" x14ac:dyDescent="0.25">
      <c r="A7713" s="18">
        <v>3369</v>
      </c>
      <c r="B7713" s="4" t="s">
        <v>250</v>
      </c>
      <c r="C7713" s="38" t="s">
        <v>6432</v>
      </c>
      <c r="D7713" s="18">
        <v>2022</v>
      </c>
      <c r="E7713" s="18" t="s">
        <v>0</v>
      </c>
      <c r="F7713" s="42">
        <v>1</v>
      </c>
      <c r="G7713" s="4">
        <v>15</v>
      </c>
      <c r="H7713" s="18">
        <f>0.01714158*(1000)</f>
        <v>17.141580000000001</v>
      </c>
    </row>
    <row r="7714" spans="1:8" s="15" customFormat="1" ht="16.5" hidden="1" customHeight="1" outlineLevel="1" x14ac:dyDescent="0.25">
      <c r="A7714" s="18">
        <v>3370</v>
      </c>
      <c r="B7714" s="4" t="s">
        <v>250</v>
      </c>
      <c r="C7714" s="38" t="s">
        <v>6433</v>
      </c>
      <c r="D7714" s="18">
        <v>2022</v>
      </c>
      <c r="E7714" s="18" t="s">
        <v>0</v>
      </c>
      <c r="F7714" s="42">
        <v>1</v>
      </c>
      <c r="G7714" s="4">
        <v>15</v>
      </c>
      <c r="H7714" s="18">
        <f>0.01714097*(1000)</f>
        <v>17.140969999999999</v>
      </c>
    </row>
    <row r="7715" spans="1:8" s="15" customFormat="1" ht="16.5" hidden="1" customHeight="1" outlineLevel="1" x14ac:dyDescent="0.25">
      <c r="A7715" s="18">
        <v>3371</v>
      </c>
      <c r="B7715" s="4" t="s">
        <v>250</v>
      </c>
      <c r="C7715" s="38" t="s">
        <v>6434</v>
      </c>
      <c r="D7715" s="18">
        <v>2022</v>
      </c>
      <c r="E7715" s="18" t="s">
        <v>0</v>
      </c>
      <c r="F7715" s="42">
        <v>1</v>
      </c>
      <c r="G7715" s="4">
        <v>15</v>
      </c>
      <c r="H7715" s="18">
        <f>0.0171416*(1000)</f>
        <v>17.1416</v>
      </c>
    </row>
    <row r="7716" spans="1:8" s="15" customFormat="1" ht="16.5" hidden="1" customHeight="1" outlineLevel="1" x14ac:dyDescent="0.25">
      <c r="A7716" s="18">
        <v>3372</v>
      </c>
      <c r="B7716" s="4" t="s">
        <v>250</v>
      </c>
      <c r="C7716" s="38" t="s">
        <v>6435</v>
      </c>
      <c r="D7716" s="18">
        <v>2022</v>
      </c>
      <c r="E7716" s="18" t="s">
        <v>0</v>
      </c>
      <c r="F7716" s="42">
        <v>1</v>
      </c>
      <c r="G7716" s="4">
        <v>14</v>
      </c>
      <c r="H7716" s="18">
        <f>0.01714158*(1000)</f>
        <v>17.141580000000001</v>
      </c>
    </row>
    <row r="7717" spans="1:8" s="15" customFormat="1" ht="16.5" hidden="1" customHeight="1" outlineLevel="1" x14ac:dyDescent="0.25">
      <c r="A7717" s="18">
        <v>3374</v>
      </c>
      <c r="B7717" s="4" t="s">
        <v>250</v>
      </c>
      <c r="C7717" s="38" t="s">
        <v>6436</v>
      </c>
      <c r="D7717" s="18">
        <v>2022</v>
      </c>
      <c r="E7717" s="18" t="s">
        <v>0</v>
      </c>
      <c r="F7717" s="42">
        <v>1</v>
      </c>
      <c r="G7717" s="4">
        <v>15</v>
      </c>
      <c r="H7717" s="18">
        <f>0.01714159*(1000)</f>
        <v>17.141590000000001</v>
      </c>
    </row>
    <row r="7718" spans="1:8" s="15" customFormat="1" ht="16.5" hidden="1" customHeight="1" outlineLevel="1" x14ac:dyDescent="0.25">
      <c r="A7718" s="18">
        <v>3375</v>
      </c>
      <c r="B7718" s="4" t="s">
        <v>250</v>
      </c>
      <c r="C7718" s="38" t="s">
        <v>6437</v>
      </c>
      <c r="D7718" s="18">
        <v>2022</v>
      </c>
      <c r="E7718" s="18" t="s">
        <v>0</v>
      </c>
      <c r="F7718" s="42">
        <v>1</v>
      </c>
      <c r="G7718" s="4">
        <v>100</v>
      </c>
      <c r="H7718" s="18">
        <f>0.01034837*(1000)</f>
        <v>10.348370000000001</v>
      </c>
    </row>
    <row r="7719" spans="1:8" s="15" customFormat="1" ht="16.5" hidden="1" customHeight="1" outlineLevel="1" x14ac:dyDescent="0.25">
      <c r="A7719" s="18">
        <v>3376</v>
      </c>
      <c r="B7719" s="4" t="s">
        <v>250</v>
      </c>
      <c r="C7719" s="38" t="s">
        <v>6438</v>
      </c>
      <c r="D7719" s="18">
        <v>2022</v>
      </c>
      <c r="E7719" s="18" t="s">
        <v>0</v>
      </c>
      <c r="F7719" s="42">
        <v>1</v>
      </c>
      <c r="G7719" s="4">
        <v>27</v>
      </c>
      <c r="H7719" s="18">
        <f>0.01895238*(1000)</f>
        <v>18.952380000000002</v>
      </c>
    </row>
    <row r="7720" spans="1:8" s="15" customFormat="1" ht="16.5" hidden="1" customHeight="1" outlineLevel="1" x14ac:dyDescent="0.25">
      <c r="A7720" s="18">
        <v>3377</v>
      </c>
      <c r="B7720" s="4" t="s">
        <v>250</v>
      </c>
      <c r="C7720" s="38" t="s">
        <v>6439</v>
      </c>
      <c r="D7720" s="18">
        <v>2022</v>
      </c>
      <c r="E7720" s="18" t="s">
        <v>0</v>
      </c>
      <c r="F7720" s="42">
        <v>2</v>
      </c>
      <c r="G7720" s="4">
        <v>25</v>
      </c>
      <c r="H7720" s="18">
        <f>0.05413041*(1000)</f>
        <v>54.130409999999998</v>
      </c>
    </row>
    <row r="7721" spans="1:8" s="15" customFormat="1" ht="16.5" hidden="1" customHeight="1" outlineLevel="1" x14ac:dyDescent="0.25">
      <c r="A7721" s="18">
        <v>3378</v>
      </c>
      <c r="B7721" s="4" t="s">
        <v>250</v>
      </c>
      <c r="C7721" s="38" t="s">
        <v>6440</v>
      </c>
      <c r="D7721" s="18">
        <v>2022</v>
      </c>
      <c r="E7721" s="18" t="s">
        <v>0</v>
      </c>
      <c r="F7721" s="42">
        <v>2</v>
      </c>
      <c r="G7721" s="4">
        <v>25</v>
      </c>
      <c r="H7721" s="18">
        <f>0.0539812*(1000)</f>
        <v>53.981200000000001</v>
      </c>
    </row>
    <row r="7722" spans="1:8" s="15" customFormat="1" ht="16.5" hidden="1" customHeight="1" outlineLevel="1" x14ac:dyDescent="0.25">
      <c r="A7722" s="18">
        <v>3379</v>
      </c>
      <c r="B7722" s="4" t="s">
        <v>250</v>
      </c>
      <c r="C7722" s="38" t="s">
        <v>6441</v>
      </c>
      <c r="D7722" s="18">
        <v>2022</v>
      </c>
      <c r="E7722" s="18" t="s">
        <v>0</v>
      </c>
      <c r="F7722" s="42">
        <v>1</v>
      </c>
      <c r="G7722" s="4">
        <v>60</v>
      </c>
      <c r="H7722" s="18">
        <f>0.0339507*(1000)</f>
        <v>33.950699999999998</v>
      </c>
    </row>
    <row r="7723" spans="1:8" s="15" customFormat="1" ht="16.5" hidden="1" customHeight="1" outlineLevel="1" x14ac:dyDescent="0.25">
      <c r="A7723" s="18">
        <v>3380</v>
      </c>
      <c r="B7723" s="4" t="s">
        <v>250</v>
      </c>
      <c r="C7723" s="38" t="s">
        <v>6442</v>
      </c>
      <c r="D7723" s="18">
        <v>2022</v>
      </c>
      <c r="E7723" s="18" t="s">
        <v>0</v>
      </c>
      <c r="F7723" s="42">
        <v>1</v>
      </c>
      <c r="G7723" s="4">
        <v>15</v>
      </c>
      <c r="H7723" s="18">
        <f>0.02771569*(1000)</f>
        <v>27.715690000000002</v>
      </c>
    </row>
    <row r="7724" spans="1:8" s="15" customFormat="1" ht="16.5" hidden="1" customHeight="1" outlineLevel="1" x14ac:dyDescent="0.25">
      <c r="A7724" s="18">
        <v>3381</v>
      </c>
      <c r="B7724" s="4" t="s">
        <v>250</v>
      </c>
      <c r="C7724" s="38" t="s">
        <v>6443</v>
      </c>
      <c r="D7724" s="18">
        <v>2022</v>
      </c>
      <c r="E7724" s="18" t="s">
        <v>0</v>
      </c>
      <c r="F7724" s="42">
        <v>1</v>
      </c>
      <c r="G7724" s="4">
        <v>15</v>
      </c>
      <c r="H7724" s="18">
        <f>0.01973265*(1000)</f>
        <v>19.73265</v>
      </c>
    </row>
    <row r="7725" spans="1:8" s="15" customFormat="1" ht="16.5" hidden="1" customHeight="1" outlineLevel="1" x14ac:dyDescent="0.25">
      <c r="A7725" s="18">
        <v>3382</v>
      </c>
      <c r="B7725" s="4" t="s">
        <v>250</v>
      </c>
      <c r="C7725" s="38" t="s">
        <v>6444</v>
      </c>
      <c r="D7725" s="18">
        <v>2022</v>
      </c>
      <c r="E7725" s="18" t="s">
        <v>0</v>
      </c>
      <c r="F7725" s="42">
        <v>1</v>
      </c>
      <c r="G7725" s="4">
        <v>15</v>
      </c>
      <c r="H7725" s="18">
        <f>0.01803802*(1000)</f>
        <v>18.038019999999999</v>
      </c>
    </row>
    <row r="7726" spans="1:8" s="15" customFormat="1" ht="16.5" hidden="1" customHeight="1" outlineLevel="1" x14ac:dyDescent="0.25">
      <c r="A7726" s="18">
        <v>3383</v>
      </c>
      <c r="B7726" s="4" t="s">
        <v>250</v>
      </c>
      <c r="C7726" s="38" t="s">
        <v>6445</v>
      </c>
      <c r="D7726" s="18">
        <v>2022</v>
      </c>
      <c r="E7726" s="18" t="s">
        <v>0</v>
      </c>
      <c r="F7726" s="42">
        <v>1</v>
      </c>
      <c r="G7726" s="4">
        <v>15</v>
      </c>
      <c r="H7726" s="18">
        <f>0.01871402*(1000)</f>
        <v>18.714020000000001</v>
      </c>
    </row>
    <row r="7727" spans="1:8" s="15" customFormat="1" ht="16.5" hidden="1" customHeight="1" outlineLevel="1" x14ac:dyDescent="0.25">
      <c r="A7727" s="18">
        <v>3384</v>
      </c>
      <c r="B7727" s="4" t="s">
        <v>250</v>
      </c>
      <c r="C7727" s="38" t="s">
        <v>6446</v>
      </c>
      <c r="D7727" s="18">
        <v>2022</v>
      </c>
      <c r="E7727" s="18" t="s">
        <v>0</v>
      </c>
      <c r="F7727" s="42">
        <v>1</v>
      </c>
      <c r="G7727" s="4">
        <v>15</v>
      </c>
      <c r="H7727" s="18">
        <f>0.01871402*(1000)</f>
        <v>18.714020000000001</v>
      </c>
    </row>
    <row r="7728" spans="1:8" s="15" customFormat="1" ht="16.5" hidden="1" customHeight="1" outlineLevel="1" x14ac:dyDescent="0.25">
      <c r="A7728" s="18">
        <v>3385</v>
      </c>
      <c r="B7728" s="4" t="s">
        <v>250</v>
      </c>
      <c r="C7728" s="38" t="s">
        <v>6447</v>
      </c>
      <c r="D7728" s="18">
        <v>2022</v>
      </c>
      <c r="E7728" s="18" t="s">
        <v>0</v>
      </c>
      <c r="F7728" s="42">
        <v>1</v>
      </c>
      <c r="G7728" s="4">
        <v>10</v>
      </c>
      <c r="H7728" s="18">
        <f>0.01841972*(1000)</f>
        <v>18.419720000000002</v>
      </c>
    </row>
    <row r="7729" spans="1:8" s="15" customFormat="1" ht="16.5" hidden="1" customHeight="1" outlineLevel="1" x14ac:dyDescent="0.25">
      <c r="A7729" s="18">
        <v>3386</v>
      </c>
      <c r="B7729" s="4" t="s">
        <v>250</v>
      </c>
      <c r="C7729" s="38" t="s">
        <v>6448</v>
      </c>
      <c r="D7729" s="18">
        <v>2022</v>
      </c>
      <c r="E7729" s="18" t="s">
        <v>0</v>
      </c>
      <c r="F7729" s="42">
        <v>1</v>
      </c>
      <c r="G7729" s="4">
        <v>1</v>
      </c>
      <c r="H7729" s="18">
        <f>0.01820515*(1000)</f>
        <v>18.20515</v>
      </c>
    </row>
    <row r="7730" spans="1:8" s="15" customFormat="1" ht="16.5" hidden="1" customHeight="1" outlineLevel="1" x14ac:dyDescent="0.25">
      <c r="A7730" s="18">
        <v>3387</v>
      </c>
      <c r="B7730" s="4" t="s">
        <v>250</v>
      </c>
      <c r="C7730" s="38" t="s">
        <v>6449</v>
      </c>
      <c r="D7730" s="18">
        <v>2022</v>
      </c>
      <c r="E7730" s="18" t="s">
        <v>0</v>
      </c>
      <c r="F7730" s="42">
        <v>1</v>
      </c>
      <c r="G7730" s="4">
        <v>15</v>
      </c>
      <c r="H7730" s="18">
        <f>0.01997231*(1000)</f>
        <v>19.97231</v>
      </c>
    </row>
    <row r="7731" spans="1:8" s="15" customFormat="1" ht="16.5" hidden="1" customHeight="1" outlineLevel="1" x14ac:dyDescent="0.25">
      <c r="A7731" s="18">
        <v>3388</v>
      </c>
      <c r="B7731" s="4" t="s">
        <v>250</v>
      </c>
      <c r="C7731" s="38" t="s">
        <v>6450</v>
      </c>
      <c r="D7731" s="18">
        <v>2022</v>
      </c>
      <c r="E7731" s="18" t="s">
        <v>0</v>
      </c>
      <c r="F7731" s="42">
        <v>1</v>
      </c>
      <c r="G7731" s="4">
        <v>10</v>
      </c>
      <c r="H7731" s="18">
        <f>0.02991739*(1000)</f>
        <v>29.917389999999997</v>
      </c>
    </row>
    <row r="7732" spans="1:8" s="15" customFormat="1" ht="16.5" hidden="1" customHeight="1" outlineLevel="1" x14ac:dyDescent="0.25">
      <c r="A7732" s="18">
        <v>3390</v>
      </c>
      <c r="B7732" s="4" t="s">
        <v>250</v>
      </c>
      <c r="C7732" s="38" t="s">
        <v>6451</v>
      </c>
      <c r="D7732" s="18">
        <v>2022</v>
      </c>
      <c r="E7732" s="18" t="s">
        <v>0</v>
      </c>
      <c r="F7732" s="42">
        <v>1</v>
      </c>
      <c r="G7732" s="4">
        <v>150</v>
      </c>
      <c r="H7732" s="18">
        <f>0.02787048*(1000)</f>
        <v>27.870480000000001</v>
      </c>
    </row>
    <row r="7733" spans="1:8" s="15" customFormat="1" ht="16.5" hidden="1" customHeight="1" outlineLevel="1" x14ac:dyDescent="0.25">
      <c r="A7733" s="18">
        <v>3391</v>
      </c>
      <c r="B7733" s="4" t="s">
        <v>250</v>
      </c>
      <c r="C7733" s="38" t="s">
        <v>6452</v>
      </c>
      <c r="D7733" s="18">
        <v>2022</v>
      </c>
      <c r="E7733" s="18" t="s">
        <v>0</v>
      </c>
      <c r="F7733" s="42">
        <v>1</v>
      </c>
      <c r="G7733" s="4">
        <v>10</v>
      </c>
      <c r="H7733" s="18">
        <f>0.02846424*(1000)</f>
        <v>28.464239999999997</v>
      </c>
    </row>
    <row r="7734" spans="1:8" s="15" customFormat="1" ht="16.5" hidden="1" customHeight="1" outlineLevel="1" x14ac:dyDescent="0.25">
      <c r="A7734" s="18">
        <v>3392</v>
      </c>
      <c r="B7734" s="4" t="s">
        <v>250</v>
      </c>
      <c r="C7734" s="38" t="s">
        <v>6453</v>
      </c>
      <c r="D7734" s="18">
        <v>2022</v>
      </c>
      <c r="E7734" s="18" t="s">
        <v>0</v>
      </c>
      <c r="F7734" s="42">
        <v>1</v>
      </c>
      <c r="G7734" s="4">
        <v>15</v>
      </c>
      <c r="H7734" s="18">
        <f>0.02846422*(1000)</f>
        <v>28.464219999999997</v>
      </c>
    </row>
    <row r="7735" spans="1:8" s="15" customFormat="1" ht="16.5" hidden="1" customHeight="1" outlineLevel="1" x14ac:dyDescent="0.25">
      <c r="A7735" s="18">
        <v>3394</v>
      </c>
      <c r="B7735" s="4" t="s">
        <v>250</v>
      </c>
      <c r="C7735" s="38" t="s">
        <v>6141</v>
      </c>
      <c r="D7735" s="18">
        <v>2022</v>
      </c>
      <c r="E7735" s="18" t="s">
        <v>0</v>
      </c>
      <c r="F7735" s="42">
        <v>1</v>
      </c>
      <c r="G7735" s="4">
        <v>15</v>
      </c>
      <c r="H7735" s="18">
        <f>0.02846423*(1000)</f>
        <v>28.464230000000001</v>
      </c>
    </row>
    <row r="7736" spans="1:8" s="15" customFormat="1" ht="16.5" hidden="1" customHeight="1" outlineLevel="1" x14ac:dyDescent="0.25">
      <c r="A7736" s="18">
        <v>3395</v>
      </c>
      <c r="B7736" s="4" t="s">
        <v>250</v>
      </c>
      <c r="C7736" s="38" t="s">
        <v>6454</v>
      </c>
      <c r="D7736" s="18">
        <v>2022</v>
      </c>
      <c r="E7736" s="18" t="s">
        <v>0</v>
      </c>
      <c r="F7736" s="42">
        <v>1</v>
      </c>
      <c r="G7736" s="4">
        <v>15</v>
      </c>
      <c r="H7736" s="18">
        <f>0.02865201*(1000)</f>
        <v>28.652009999999997</v>
      </c>
    </row>
    <row r="7737" spans="1:8" s="15" customFormat="1" ht="16.5" hidden="1" customHeight="1" outlineLevel="1" x14ac:dyDescent="0.25">
      <c r="A7737" s="18">
        <v>3396</v>
      </c>
      <c r="B7737" s="4" t="s">
        <v>250</v>
      </c>
      <c r="C7737" s="38" t="s">
        <v>6455</v>
      </c>
      <c r="D7737" s="18">
        <v>2022</v>
      </c>
      <c r="E7737" s="18" t="s">
        <v>0</v>
      </c>
      <c r="F7737" s="42">
        <v>1</v>
      </c>
      <c r="G7737" s="4">
        <v>15</v>
      </c>
      <c r="H7737" s="18">
        <f>0.02811456*(1000)</f>
        <v>28.114560000000001</v>
      </c>
    </row>
    <row r="7738" spans="1:8" s="15" customFormat="1" ht="16.5" hidden="1" customHeight="1" outlineLevel="1" x14ac:dyDescent="0.25">
      <c r="A7738" s="18">
        <v>3397</v>
      </c>
      <c r="B7738" s="4" t="s">
        <v>250</v>
      </c>
      <c r="C7738" s="38" t="s">
        <v>6456</v>
      </c>
      <c r="D7738" s="18">
        <v>2022</v>
      </c>
      <c r="E7738" s="18" t="s">
        <v>0</v>
      </c>
      <c r="F7738" s="42">
        <v>1</v>
      </c>
      <c r="G7738" s="4">
        <v>15</v>
      </c>
      <c r="H7738" s="18">
        <f>0.02714496*(1000)</f>
        <v>27.144959999999998</v>
      </c>
    </row>
    <row r="7739" spans="1:8" s="15" customFormat="1" ht="16.5" hidden="1" customHeight="1" outlineLevel="1" x14ac:dyDescent="0.25">
      <c r="A7739" s="18">
        <v>3398</v>
      </c>
      <c r="B7739" s="4" t="s">
        <v>250</v>
      </c>
      <c r="C7739" s="38" t="s">
        <v>6457</v>
      </c>
      <c r="D7739" s="18">
        <v>2022</v>
      </c>
      <c r="E7739" s="18" t="s">
        <v>0</v>
      </c>
      <c r="F7739" s="42">
        <v>1</v>
      </c>
      <c r="G7739" s="4">
        <v>10</v>
      </c>
      <c r="H7739" s="18">
        <f>0.02714497*(1000)</f>
        <v>27.144970000000001</v>
      </c>
    </row>
    <row r="7740" spans="1:8" s="15" customFormat="1" ht="16.5" hidden="1" customHeight="1" outlineLevel="1" x14ac:dyDescent="0.25">
      <c r="A7740" s="18">
        <v>3400</v>
      </c>
      <c r="B7740" s="4" t="s">
        <v>250</v>
      </c>
      <c r="C7740" s="38" t="s">
        <v>6458</v>
      </c>
      <c r="D7740" s="18">
        <v>2022</v>
      </c>
      <c r="E7740" s="18" t="s">
        <v>0</v>
      </c>
      <c r="F7740" s="42">
        <v>1</v>
      </c>
      <c r="G7740" s="4">
        <v>15</v>
      </c>
      <c r="H7740" s="18">
        <f>0.01746726*(1000)</f>
        <v>17.46726</v>
      </c>
    </row>
    <row r="7741" spans="1:8" s="15" customFormat="1" ht="16.5" hidden="1" customHeight="1" outlineLevel="1" x14ac:dyDescent="0.25">
      <c r="A7741" s="18">
        <v>3401</v>
      </c>
      <c r="B7741" s="4" t="s">
        <v>250</v>
      </c>
      <c r="C7741" s="38" t="s">
        <v>6459</v>
      </c>
      <c r="D7741" s="18">
        <v>2022</v>
      </c>
      <c r="E7741" s="18" t="s">
        <v>0</v>
      </c>
      <c r="F7741" s="42">
        <v>1</v>
      </c>
      <c r="G7741" s="4">
        <v>14</v>
      </c>
      <c r="H7741" s="18">
        <f>0.02714497*(1000)</f>
        <v>27.144970000000001</v>
      </c>
    </row>
    <row r="7742" spans="1:8" s="15" customFormat="1" ht="16.5" hidden="1" customHeight="1" outlineLevel="1" x14ac:dyDescent="0.25">
      <c r="A7742" s="18">
        <v>3402</v>
      </c>
      <c r="B7742" s="4" t="s">
        <v>250</v>
      </c>
      <c r="C7742" s="38" t="s">
        <v>6460</v>
      </c>
      <c r="D7742" s="18">
        <v>2022</v>
      </c>
      <c r="E7742" s="18" t="s">
        <v>0</v>
      </c>
      <c r="F7742" s="42">
        <v>1</v>
      </c>
      <c r="G7742" s="4">
        <v>15</v>
      </c>
      <c r="H7742" s="18">
        <f>0.02714496*(1000)</f>
        <v>27.144959999999998</v>
      </c>
    </row>
    <row r="7743" spans="1:8" s="15" customFormat="1" ht="16.5" hidden="1" customHeight="1" outlineLevel="1" x14ac:dyDescent="0.25">
      <c r="A7743" s="18">
        <v>3403</v>
      </c>
      <c r="B7743" s="4" t="s">
        <v>250</v>
      </c>
      <c r="C7743" s="38" t="s">
        <v>6461</v>
      </c>
      <c r="D7743" s="18">
        <v>2022</v>
      </c>
      <c r="E7743" s="18" t="s">
        <v>0</v>
      </c>
      <c r="F7743" s="42">
        <v>1</v>
      </c>
      <c r="G7743" s="4">
        <v>15</v>
      </c>
      <c r="H7743" s="18">
        <f>0.02714497*(1000)</f>
        <v>27.144970000000001</v>
      </c>
    </row>
    <row r="7744" spans="1:8" s="15" customFormat="1" ht="16.5" hidden="1" customHeight="1" outlineLevel="1" x14ac:dyDescent="0.25">
      <c r="A7744" s="18">
        <v>3404</v>
      </c>
      <c r="B7744" s="4" t="s">
        <v>250</v>
      </c>
      <c r="C7744" s="38" t="s">
        <v>6462</v>
      </c>
      <c r="D7744" s="18">
        <v>2022</v>
      </c>
      <c r="E7744" s="18" t="s">
        <v>0</v>
      </c>
      <c r="F7744" s="42">
        <v>1</v>
      </c>
      <c r="G7744" s="4">
        <v>15</v>
      </c>
      <c r="H7744" s="18">
        <f>0.02714496*(1000)</f>
        <v>27.144959999999998</v>
      </c>
    </row>
    <row r="7745" spans="1:8" s="15" customFormat="1" ht="16.5" hidden="1" customHeight="1" outlineLevel="1" x14ac:dyDescent="0.25">
      <c r="A7745" s="18">
        <v>3405</v>
      </c>
      <c r="B7745" s="4" t="s">
        <v>250</v>
      </c>
      <c r="C7745" s="38" t="s">
        <v>6463</v>
      </c>
      <c r="D7745" s="18">
        <v>2022</v>
      </c>
      <c r="E7745" s="18" t="s">
        <v>0</v>
      </c>
      <c r="F7745" s="42">
        <v>1</v>
      </c>
      <c r="G7745" s="4">
        <v>10</v>
      </c>
      <c r="H7745" s="18">
        <f>0.02714497*(1000)</f>
        <v>27.144970000000001</v>
      </c>
    </row>
    <row r="7746" spans="1:8" s="15" customFormat="1" ht="16.5" hidden="1" customHeight="1" outlineLevel="1" x14ac:dyDescent="0.25">
      <c r="A7746" s="18">
        <v>3406</v>
      </c>
      <c r="B7746" s="4" t="s">
        <v>250</v>
      </c>
      <c r="C7746" s="38" t="s">
        <v>6464</v>
      </c>
      <c r="D7746" s="18">
        <v>2022</v>
      </c>
      <c r="E7746" s="18" t="s">
        <v>0</v>
      </c>
      <c r="F7746" s="42">
        <v>1</v>
      </c>
      <c r="G7746" s="4">
        <v>10</v>
      </c>
      <c r="H7746" s="18">
        <f>0.02714496*(1000)</f>
        <v>27.144959999999998</v>
      </c>
    </row>
    <row r="7747" spans="1:8" s="15" customFormat="1" ht="16.5" hidden="1" customHeight="1" outlineLevel="1" x14ac:dyDescent="0.25">
      <c r="A7747" s="18">
        <v>3407</v>
      </c>
      <c r="B7747" s="4" t="s">
        <v>250</v>
      </c>
      <c r="C7747" s="38" t="s">
        <v>6465</v>
      </c>
      <c r="D7747" s="18">
        <v>2022</v>
      </c>
      <c r="E7747" s="18" t="s">
        <v>0</v>
      </c>
      <c r="F7747" s="42">
        <v>1</v>
      </c>
      <c r="G7747" s="4">
        <v>10</v>
      </c>
      <c r="H7747" s="18">
        <f>0.02714497*(1000)</f>
        <v>27.144970000000001</v>
      </c>
    </row>
    <row r="7748" spans="1:8" s="15" customFormat="1" ht="16.5" hidden="1" customHeight="1" outlineLevel="1" x14ac:dyDescent="0.25">
      <c r="A7748" s="18">
        <v>3408</v>
      </c>
      <c r="B7748" s="4" t="s">
        <v>250</v>
      </c>
      <c r="C7748" s="38" t="s">
        <v>6466</v>
      </c>
      <c r="D7748" s="18">
        <v>2022</v>
      </c>
      <c r="E7748" s="18" t="s">
        <v>0</v>
      </c>
      <c r="F7748" s="42">
        <v>1</v>
      </c>
      <c r="G7748" s="4">
        <v>11</v>
      </c>
      <c r="H7748" s="18">
        <f>0.02714496*(1000)</f>
        <v>27.144959999999998</v>
      </c>
    </row>
    <row r="7749" spans="1:8" s="15" customFormat="1" ht="16.5" hidden="1" customHeight="1" outlineLevel="1" x14ac:dyDescent="0.25">
      <c r="A7749" s="18">
        <v>3409</v>
      </c>
      <c r="B7749" s="4" t="s">
        <v>250</v>
      </c>
      <c r="C7749" s="38" t="s">
        <v>6467</v>
      </c>
      <c r="D7749" s="18">
        <v>2022</v>
      </c>
      <c r="E7749" s="18" t="s">
        <v>0</v>
      </c>
      <c r="F7749" s="42">
        <v>1</v>
      </c>
      <c r="G7749" s="4">
        <v>15</v>
      </c>
      <c r="H7749" s="18">
        <f>0.02714497*(1000)</f>
        <v>27.144970000000001</v>
      </c>
    </row>
    <row r="7750" spans="1:8" s="15" customFormat="1" ht="16.5" hidden="1" customHeight="1" outlineLevel="1" x14ac:dyDescent="0.25">
      <c r="A7750" s="18">
        <v>3411</v>
      </c>
      <c r="B7750" s="4" t="s">
        <v>250</v>
      </c>
      <c r="C7750" s="38" t="s">
        <v>6468</v>
      </c>
      <c r="D7750" s="18">
        <v>2022</v>
      </c>
      <c r="E7750" s="18" t="s">
        <v>0</v>
      </c>
      <c r="F7750" s="42">
        <v>1</v>
      </c>
      <c r="G7750" s="4">
        <v>130</v>
      </c>
      <c r="H7750" s="18">
        <f>0.03115119*(1000)</f>
        <v>31.15119</v>
      </c>
    </row>
    <row r="7751" spans="1:8" s="15" customFormat="1" ht="16.5" hidden="1" customHeight="1" outlineLevel="1" x14ac:dyDescent="0.25">
      <c r="A7751" s="18">
        <v>3412</v>
      </c>
      <c r="B7751" s="4" t="s">
        <v>250</v>
      </c>
      <c r="C7751" s="38" t="s">
        <v>6469</v>
      </c>
      <c r="D7751" s="18">
        <v>2022</v>
      </c>
      <c r="E7751" s="18" t="s">
        <v>0</v>
      </c>
      <c r="F7751" s="42">
        <v>1</v>
      </c>
      <c r="G7751" s="4">
        <v>15</v>
      </c>
      <c r="H7751" s="18">
        <f>0.02714497*(1000)</f>
        <v>27.144970000000001</v>
      </c>
    </row>
    <row r="7752" spans="1:8" s="15" customFormat="1" ht="16.5" hidden="1" customHeight="1" outlineLevel="1" x14ac:dyDescent="0.25">
      <c r="A7752" s="18">
        <v>3413</v>
      </c>
      <c r="B7752" s="4" t="s">
        <v>250</v>
      </c>
      <c r="C7752" s="38" t="s">
        <v>6470</v>
      </c>
      <c r="D7752" s="18">
        <v>2022</v>
      </c>
      <c r="E7752" s="18" t="s">
        <v>0</v>
      </c>
      <c r="F7752" s="42">
        <v>1</v>
      </c>
      <c r="G7752" s="4">
        <v>10</v>
      </c>
      <c r="H7752" s="18">
        <f>0.02714496*(1000)</f>
        <v>27.144959999999998</v>
      </c>
    </row>
    <row r="7753" spans="1:8" s="15" customFormat="1" ht="16.5" hidden="1" customHeight="1" outlineLevel="1" x14ac:dyDescent="0.25">
      <c r="A7753" s="18">
        <v>3414</v>
      </c>
      <c r="B7753" s="4" t="s">
        <v>250</v>
      </c>
      <c r="C7753" s="38" t="s">
        <v>6471</v>
      </c>
      <c r="D7753" s="18">
        <v>2022</v>
      </c>
      <c r="E7753" s="18" t="s">
        <v>0</v>
      </c>
      <c r="F7753" s="42">
        <v>1</v>
      </c>
      <c r="G7753" s="4">
        <v>15</v>
      </c>
      <c r="H7753" s="18">
        <f>0.02714496*(1000)</f>
        <v>27.144959999999998</v>
      </c>
    </row>
    <row r="7754" spans="1:8" s="15" customFormat="1" ht="16.5" hidden="1" customHeight="1" outlineLevel="1" x14ac:dyDescent="0.25">
      <c r="A7754" s="18">
        <v>3415</v>
      </c>
      <c r="B7754" s="4" t="s">
        <v>250</v>
      </c>
      <c r="C7754" s="38" t="s">
        <v>6472</v>
      </c>
      <c r="D7754" s="18">
        <v>2022</v>
      </c>
      <c r="E7754" s="18" t="s">
        <v>0</v>
      </c>
      <c r="F7754" s="42">
        <v>1</v>
      </c>
      <c r="G7754" s="4">
        <v>15</v>
      </c>
      <c r="H7754" s="18">
        <f>0.01746727*(1000)</f>
        <v>17.467269999999999</v>
      </c>
    </row>
    <row r="7755" spans="1:8" s="15" customFormat="1" ht="16.5" hidden="1" customHeight="1" outlineLevel="1" x14ac:dyDescent="0.25">
      <c r="A7755" s="18">
        <v>3416</v>
      </c>
      <c r="B7755" s="4" t="s">
        <v>250</v>
      </c>
      <c r="C7755" s="38" t="s">
        <v>6473</v>
      </c>
      <c r="D7755" s="18">
        <v>2022</v>
      </c>
      <c r="E7755" s="18" t="s">
        <v>0</v>
      </c>
      <c r="F7755" s="42">
        <v>1</v>
      </c>
      <c r="G7755" s="4">
        <v>15</v>
      </c>
      <c r="H7755" s="18">
        <f>0.01746727*(1000)</f>
        <v>17.467269999999999</v>
      </c>
    </row>
    <row r="7756" spans="1:8" s="15" customFormat="1" ht="16.5" hidden="1" customHeight="1" outlineLevel="1" x14ac:dyDescent="0.25">
      <c r="A7756" s="18">
        <v>3417</v>
      </c>
      <c r="B7756" s="4" t="s">
        <v>250</v>
      </c>
      <c r="C7756" s="38" t="s">
        <v>6474</v>
      </c>
      <c r="D7756" s="18">
        <v>2022</v>
      </c>
      <c r="E7756" s="18" t="s">
        <v>0</v>
      </c>
      <c r="F7756" s="42">
        <v>1</v>
      </c>
      <c r="G7756" s="4">
        <v>15</v>
      </c>
      <c r="H7756" s="18">
        <f>0.02714496*(1000)</f>
        <v>27.144959999999998</v>
      </c>
    </row>
    <row r="7757" spans="1:8" s="15" customFormat="1" ht="16.5" hidden="1" customHeight="1" outlineLevel="1" x14ac:dyDescent="0.25">
      <c r="A7757" s="18">
        <v>3418</v>
      </c>
      <c r="B7757" s="4" t="s">
        <v>250</v>
      </c>
      <c r="C7757" s="38" t="s">
        <v>6475</v>
      </c>
      <c r="D7757" s="18">
        <v>2022</v>
      </c>
      <c r="E7757" s="18" t="s">
        <v>0</v>
      </c>
      <c r="F7757" s="42">
        <v>1</v>
      </c>
      <c r="G7757" s="4">
        <v>15</v>
      </c>
      <c r="H7757" s="18">
        <f>0.02714497*(1000)</f>
        <v>27.144970000000001</v>
      </c>
    </row>
    <row r="7758" spans="1:8" s="15" customFormat="1" ht="16.5" hidden="1" customHeight="1" outlineLevel="1" x14ac:dyDescent="0.25">
      <c r="A7758" s="18">
        <v>3420</v>
      </c>
      <c r="B7758" s="4" t="s">
        <v>250</v>
      </c>
      <c r="C7758" s="38" t="s">
        <v>6476</v>
      </c>
      <c r="D7758" s="18">
        <v>2022</v>
      </c>
      <c r="E7758" s="18" t="s">
        <v>0</v>
      </c>
      <c r="F7758" s="42">
        <v>1</v>
      </c>
      <c r="G7758" s="4">
        <v>10</v>
      </c>
      <c r="H7758" s="18">
        <f>0.02714497*(1000)</f>
        <v>27.144970000000001</v>
      </c>
    </row>
    <row r="7759" spans="1:8" s="15" customFormat="1" ht="16.5" hidden="1" customHeight="1" outlineLevel="1" x14ac:dyDescent="0.25">
      <c r="A7759" s="18">
        <v>3422</v>
      </c>
      <c r="B7759" s="4" t="s">
        <v>250</v>
      </c>
      <c r="C7759" s="38" t="s">
        <v>6477</v>
      </c>
      <c r="D7759" s="18">
        <v>2022</v>
      </c>
      <c r="E7759" s="18" t="s">
        <v>0</v>
      </c>
      <c r="F7759" s="42">
        <v>1</v>
      </c>
      <c r="G7759" s="4">
        <v>11</v>
      </c>
      <c r="H7759" s="18">
        <f>0.02714497*(1000)</f>
        <v>27.144970000000001</v>
      </c>
    </row>
    <row r="7760" spans="1:8" s="15" customFormat="1" ht="16.5" hidden="1" customHeight="1" outlineLevel="1" x14ac:dyDescent="0.25">
      <c r="A7760" s="18">
        <v>3423</v>
      </c>
      <c r="B7760" s="4" t="s">
        <v>250</v>
      </c>
      <c r="C7760" s="38" t="s">
        <v>6478</v>
      </c>
      <c r="D7760" s="18">
        <v>2022</v>
      </c>
      <c r="E7760" s="18" t="s">
        <v>0</v>
      </c>
      <c r="F7760" s="42">
        <v>1</v>
      </c>
      <c r="G7760" s="4">
        <v>15</v>
      </c>
      <c r="H7760" s="18">
        <f>0.02714496*(1000)</f>
        <v>27.144959999999998</v>
      </c>
    </row>
    <row r="7761" spans="1:8" s="15" customFormat="1" ht="16.5" hidden="1" customHeight="1" outlineLevel="1" x14ac:dyDescent="0.25">
      <c r="A7761" s="18">
        <v>3425</v>
      </c>
      <c r="B7761" s="4" t="s">
        <v>250</v>
      </c>
      <c r="C7761" s="38" t="s">
        <v>6479</v>
      </c>
      <c r="D7761" s="18">
        <v>2022</v>
      </c>
      <c r="E7761" s="18" t="s">
        <v>0</v>
      </c>
      <c r="F7761" s="42">
        <v>1</v>
      </c>
      <c r="G7761" s="4">
        <v>15</v>
      </c>
      <c r="H7761" s="18">
        <f>0.02714496*(1000)</f>
        <v>27.144959999999998</v>
      </c>
    </row>
    <row r="7762" spans="1:8" s="15" customFormat="1" ht="16.5" hidden="1" customHeight="1" outlineLevel="1" x14ac:dyDescent="0.25">
      <c r="A7762" s="18">
        <v>3426</v>
      </c>
      <c r="B7762" s="4" t="s">
        <v>250</v>
      </c>
      <c r="C7762" s="38" t="s">
        <v>6480</v>
      </c>
      <c r="D7762" s="18">
        <v>2022</v>
      </c>
      <c r="E7762" s="18" t="s">
        <v>0</v>
      </c>
      <c r="F7762" s="42">
        <v>1</v>
      </c>
      <c r="G7762" s="4">
        <v>15</v>
      </c>
      <c r="H7762" s="18">
        <f>0.02714497*(1000)</f>
        <v>27.144970000000001</v>
      </c>
    </row>
    <row r="7763" spans="1:8" s="15" customFormat="1" ht="16.5" hidden="1" customHeight="1" outlineLevel="1" x14ac:dyDescent="0.25">
      <c r="A7763" s="18">
        <v>3431</v>
      </c>
      <c r="B7763" s="4" t="s">
        <v>250</v>
      </c>
      <c r="C7763" s="38" t="s">
        <v>6481</v>
      </c>
      <c r="D7763" s="18">
        <v>2022</v>
      </c>
      <c r="E7763" s="18" t="s">
        <v>0</v>
      </c>
      <c r="F7763" s="42">
        <v>1</v>
      </c>
      <c r="G7763" s="4">
        <v>15</v>
      </c>
      <c r="H7763" s="18">
        <f>0.01916191*(1000)</f>
        <v>19.161910000000002</v>
      </c>
    </row>
    <row r="7764" spans="1:8" s="15" customFormat="1" ht="16.5" hidden="1" customHeight="1" outlineLevel="1" x14ac:dyDescent="0.25">
      <c r="A7764" s="18">
        <v>3432</v>
      </c>
      <c r="B7764" s="4" t="s">
        <v>250</v>
      </c>
      <c r="C7764" s="38" t="s">
        <v>6482</v>
      </c>
      <c r="D7764" s="18">
        <v>2022</v>
      </c>
      <c r="E7764" s="18" t="s">
        <v>0</v>
      </c>
      <c r="F7764" s="42">
        <v>1</v>
      </c>
      <c r="G7764" s="4">
        <v>10</v>
      </c>
      <c r="H7764" s="18">
        <f>0.01746727*(1000)</f>
        <v>17.467269999999999</v>
      </c>
    </row>
    <row r="7765" spans="1:8" s="15" customFormat="1" ht="16.5" hidden="1" customHeight="1" outlineLevel="1" x14ac:dyDescent="0.25">
      <c r="A7765" s="18">
        <v>3433</v>
      </c>
      <c r="B7765" s="4" t="s">
        <v>250</v>
      </c>
      <c r="C7765" s="38" t="s">
        <v>6483</v>
      </c>
      <c r="D7765" s="18">
        <v>2022</v>
      </c>
      <c r="E7765" s="18" t="s">
        <v>0</v>
      </c>
      <c r="F7765" s="42">
        <v>1</v>
      </c>
      <c r="G7765" s="4">
        <v>15</v>
      </c>
      <c r="H7765" s="18">
        <f>0.01746726*(1000)</f>
        <v>17.46726</v>
      </c>
    </row>
    <row r="7766" spans="1:8" s="15" customFormat="1" ht="16.5" hidden="1" customHeight="1" outlineLevel="1" x14ac:dyDescent="0.25">
      <c r="A7766" s="18">
        <v>3434</v>
      </c>
      <c r="B7766" s="4" t="s">
        <v>250</v>
      </c>
      <c r="C7766" s="38" t="s">
        <v>6484</v>
      </c>
      <c r="D7766" s="18">
        <v>2022</v>
      </c>
      <c r="E7766" s="18" t="s">
        <v>0</v>
      </c>
      <c r="F7766" s="42">
        <v>1</v>
      </c>
      <c r="G7766" s="4">
        <v>12</v>
      </c>
      <c r="H7766" s="18">
        <f>0.01916192*(1000)</f>
        <v>19.161919999999999</v>
      </c>
    </row>
    <row r="7767" spans="1:8" s="15" customFormat="1" ht="16.5" hidden="1" customHeight="1" outlineLevel="1" x14ac:dyDescent="0.25">
      <c r="A7767" s="18">
        <v>3435</v>
      </c>
      <c r="B7767" s="4" t="s">
        <v>250</v>
      </c>
      <c r="C7767" s="38" t="s">
        <v>6485</v>
      </c>
      <c r="D7767" s="18">
        <v>2022</v>
      </c>
      <c r="E7767" s="18" t="s">
        <v>0</v>
      </c>
      <c r="F7767" s="42">
        <v>1</v>
      </c>
      <c r="G7767" s="4">
        <v>10</v>
      </c>
      <c r="H7767" s="18">
        <f>0.01746726*(1000)</f>
        <v>17.46726</v>
      </c>
    </row>
    <row r="7768" spans="1:8" s="15" customFormat="1" ht="16.5" hidden="1" customHeight="1" outlineLevel="1" x14ac:dyDescent="0.25">
      <c r="A7768" s="18">
        <v>3436</v>
      </c>
      <c r="B7768" s="4" t="s">
        <v>250</v>
      </c>
      <c r="C7768" s="38" t="s">
        <v>6486</v>
      </c>
      <c r="D7768" s="18">
        <v>2022</v>
      </c>
      <c r="E7768" s="18" t="s">
        <v>0</v>
      </c>
      <c r="F7768" s="42">
        <v>1</v>
      </c>
      <c r="G7768" s="4">
        <v>15</v>
      </c>
      <c r="H7768" s="18">
        <f>0.01746726*(1000)</f>
        <v>17.46726</v>
      </c>
    </row>
    <row r="7769" spans="1:8" s="15" customFormat="1" ht="16.5" hidden="1" customHeight="1" outlineLevel="1" x14ac:dyDescent="0.25">
      <c r="A7769" s="18">
        <v>3437</v>
      </c>
      <c r="B7769" s="4" t="s">
        <v>250</v>
      </c>
      <c r="C7769" s="38" t="s">
        <v>6487</v>
      </c>
      <c r="D7769" s="18">
        <v>2022</v>
      </c>
      <c r="E7769" s="18" t="s">
        <v>0</v>
      </c>
      <c r="F7769" s="42">
        <v>1</v>
      </c>
      <c r="G7769" s="4">
        <v>15</v>
      </c>
      <c r="H7769" s="18">
        <f>0.01746726*(1000)</f>
        <v>17.46726</v>
      </c>
    </row>
    <row r="7770" spans="1:8" s="15" customFormat="1" ht="16.5" hidden="1" customHeight="1" outlineLevel="1" x14ac:dyDescent="0.25">
      <c r="A7770" s="18">
        <v>3438</v>
      </c>
      <c r="B7770" s="4" t="s">
        <v>250</v>
      </c>
      <c r="C7770" s="38" t="s">
        <v>6487</v>
      </c>
      <c r="D7770" s="18">
        <v>2022</v>
      </c>
      <c r="E7770" s="18" t="s">
        <v>0</v>
      </c>
      <c r="F7770" s="42">
        <v>1</v>
      </c>
      <c r="G7770" s="4">
        <v>15</v>
      </c>
      <c r="H7770" s="18">
        <f>0.01746727*(1000)</f>
        <v>17.467269999999999</v>
      </c>
    </row>
    <row r="7771" spans="1:8" s="15" customFormat="1" ht="16.5" hidden="1" customHeight="1" outlineLevel="1" x14ac:dyDescent="0.25">
      <c r="A7771" s="18">
        <v>3440</v>
      </c>
      <c r="B7771" s="4" t="s">
        <v>250</v>
      </c>
      <c r="C7771" s="38" t="s">
        <v>6488</v>
      </c>
      <c r="D7771" s="18">
        <v>2022</v>
      </c>
      <c r="E7771" s="18" t="s">
        <v>0</v>
      </c>
      <c r="F7771" s="42">
        <v>1</v>
      </c>
      <c r="G7771" s="4">
        <v>10</v>
      </c>
      <c r="H7771" s="18">
        <f>0.01746727*(1000)</f>
        <v>17.467269999999999</v>
      </c>
    </row>
    <row r="7772" spans="1:8" s="15" customFormat="1" ht="16.5" hidden="1" customHeight="1" outlineLevel="1" x14ac:dyDescent="0.25">
      <c r="A7772" s="18">
        <v>3441</v>
      </c>
      <c r="B7772" s="4" t="s">
        <v>250</v>
      </c>
      <c r="C7772" s="38" t="s">
        <v>6489</v>
      </c>
      <c r="D7772" s="18">
        <v>2022</v>
      </c>
      <c r="E7772" s="18" t="s">
        <v>0</v>
      </c>
      <c r="F7772" s="42">
        <v>1</v>
      </c>
      <c r="G7772" s="4">
        <v>15</v>
      </c>
      <c r="H7772" s="18">
        <f>0.01746727*(1000)</f>
        <v>17.467269999999999</v>
      </c>
    </row>
    <row r="7773" spans="1:8" s="15" customFormat="1" ht="16.5" hidden="1" customHeight="1" outlineLevel="1" x14ac:dyDescent="0.25">
      <c r="A7773" s="18">
        <v>3442</v>
      </c>
      <c r="B7773" s="4" t="s">
        <v>250</v>
      </c>
      <c r="C7773" s="38" t="s">
        <v>6490</v>
      </c>
      <c r="D7773" s="18">
        <v>2022</v>
      </c>
      <c r="E7773" s="18" t="s">
        <v>0</v>
      </c>
      <c r="F7773" s="42">
        <v>1</v>
      </c>
      <c r="G7773" s="4">
        <v>2</v>
      </c>
      <c r="H7773" s="18">
        <f>0.01746727*(1000)</f>
        <v>17.467269999999999</v>
      </c>
    </row>
    <row r="7774" spans="1:8" s="15" customFormat="1" ht="16.5" hidden="1" customHeight="1" outlineLevel="1" x14ac:dyDescent="0.25">
      <c r="A7774" s="18">
        <v>3443</v>
      </c>
      <c r="B7774" s="4" t="s">
        <v>250</v>
      </c>
      <c r="C7774" s="38" t="s">
        <v>6491</v>
      </c>
      <c r="D7774" s="18">
        <v>2022</v>
      </c>
      <c r="E7774" s="18" t="s">
        <v>0</v>
      </c>
      <c r="F7774" s="42">
        <v>1</v>
      </c>
      <c r="G7774" s="4">
        <v>2</v>
      </c>
      <c r="H7774" s="18">
        <f>0.01746727*(1000)</f>
        <v>17.467269999999999</v>
      </c>
    </row>
    <row r="7775" spans="1:8" s="15" customFormat="1" ht="16.5" hidden="1" customHeight="1" outlineLevel="1" x14ac:dyDescent="0.25">
      <c r="A7775" s="18">
        <v>3444</v>
      </c>
      <c r="B7775" s="4" t="s">
        <v>250</v>
      </c>
      <c r="C7775" s="38" t="s">
        <v>6492</v>
      </c>
      <c r="D7775" s="18">
        <v>2022</v>
      </c>
      <c r="E7775" s="18" t="s">
        <v>0</v>
      </c>
      <c r="F7775" s="42">
        <v>1</v>
      </c>
      <c r="G7775" s="4">
        <v>2</v>
      </c>
      <c r="H7775" s="18">
        <f>0.01916192*(1000)</f>
        <v>19.161919999999999</v>
      </c>
    </row>
    <row r="7776" spans="1:8" s="15" customFormat="1" ht="16.5" hidden="1" customHeight="1" outlineLevel="1" x14ac:dyDescent="0.25">
      <c r="A7776" s="18">
        <v>3445</v>
      </c>
      <c r="B7776" s="4" t="s">
        <v>250</v>
      </c>
      <c r="C7776" s="38" t="s">
        <v>6493</v>
      </c>
      <c r="D7776" s="18">
        <v>2022</v>
      </c>
      <c r="E7776" s="18" t="s">
        <v>0</v>
      </c>
      <c r="F7776" s="42">
        <v>1</v>
      </c>
      <c r="G7776" s="4">
        <v>2</v>
      </c>
      <c r="H7776" s="18">
        <f>0.01746727*(1000)</f>
        <v>17.467269999999999</v>
      </c>
    </row>
    <row r="7777" spans="1:8" s="15" customFormat="1" ht="16.5" hidden="1" customHeight="1" outlineLevel="1" x14ac:dyDescent="0.25">
      <c r="A7777" s="18">
        <v>3446</v>
      </c>
      <c r="B7777" s="4" t="s">
        <v>250</v>
      </c>
      <c r="C7777" s="38" t="s">
        <v>6494</v>
      </c>
      <c r="D7777" s="18">
        <v>2022</v>
      </c>
      <c r="E7777" s="18" t="s">
        <v>0</v>
      </c>
      <c r="F7777" s="42">
        <v>1</v>
      </c>
      <c r="G7777" s="4">
        <v>2</v>
      </c>
      <c r="H7777" s="18">
        <f>0.01746727*(1000)</f>
        <v>17.467269999999999</v>
      </c>
    </row>
    <row r="7778" spans="1:8" s="15" customFormat="1" ht="16.5" hidden="1" customHeight="1" outlineLevel="1" x14ac:dyDescent="0.25">
      <c r="A7778" s="18">
        <v>3447</v>
      </c>
      <c r="B7778" s="4" t="s">
        <v>250</v>
      </c>
      <c r="C7778" s="38" t="s">
        <v>6495</v>
      </c>
      <c r="D7778" s="18">
        <v>2022</v>
      </c>
      <c r="E7778" s="18" t="s">
        <v>0</v>
      </c>
      <c r="F7778" s="42">
        <v>1</v>
      </c>
      <c r="G7778" s="4">
        <v>2</v>
      </c>
      <c r="H7778" s="18">
        <f>0.01746728*(1000)</f>
        <v>17.467280000000002</v>
      </c>
    </row>
    <row r="7779" spans="1:8" s="15" customFormat="1" ht="16.5" hidden="1" customHeight="1" outlineLevel="1" x14ac:dyDescent="0.25">
      <c r="A7779" s="18">
        <v>3448</v>
      </c>
      <c r="B7779" s="4" t="s">
        <v>250</v>
      </c>
      <c r="C7779" s="38" t="s">
        <v>6496</v>
      </c>
      <c r="D7779" s="18">
        <v>2022</v>
      </c>
      <c r="E7779" s="18" t="s">
        <v>0</v>
      </c>
      <c r="F7779" s="42">
        <v>1</v>
      </c>
      <c r="G7779" s="4">
        <v>2</v>
      </c>
      <c r="H7779" s="18">
        <f>0.01773461*(1000)</f>
        <v>17.73461</v>
      </c>
    </row>
    <row r="7780" spans="1:8" s="15" customFormat="1" ht="16.5" hidden="1" customHeight="1" outlineLevel="1" x14ac:dyDescent="0.25">
      <c r="A7780" s="18">
        <v>3449</v>
      </c>
      <c r="B7780" s="4" t="s">
        <v>250</v>
      </c>
      <c r="C7780" s="38" t="s">
        <v>6497</v>
      </c>
      <c r="D7780" s="18">
        <v>2022</v>
      </c>
      <c r="E7780" s="18" t="s">
        <v>0</v>
      </c>
      <c r="F7780" s="42">
        <v>1</v>
      </c>
      <c r="G7780" s="4">
        <v>15</v>
      </c>
      <c r="H7780" s="18">
        <f>0.01916192*(1000)</f>
        <v>19.161919999999999</v>
      </c>
    </row>
    <row r="7781" spans="1:8" s="15" customFormat="1" ht="16.5" hidden="1" customHeight="1" outlineLevel="1" x14ac:dyDescent="0.25">
      <c r="A7781" s="18">
        <v>3450</v>
      </c>
      <c r="B7781" s="4" t="s">
        <v>250</v>
      </c>
      <c r="C7781" s="38" t="s">
        <v>6498</v>
      </c>
      <c r="D7781" s="18">
        <v>2022</v>
      </c>
      <c r="E7781" s="18" t="s">
        <v>0</v>
      </c>
      <c r="F7781" s="42">
        <v>1</v>
      </c>
      <c r="G7781" s="4">
        <v>15</v>
      </c>
      <c r="H7781" s="18">
        <f>0.01916193*(1000)</f>
        <v>19.161930000000002</v>
      </c>
    </row>
    <row r="7782" spans="1:8" s="15" customFormat="1" ht="16.5" hidden="1" customHeight="1" outlineLevel="1" x14ac:dyDescent="0.25">
      <c r="A7782" s="18">
        <v>3452</v>
      </c>
      <c r="B7782" s="4" t="s">
        <v>250</v>
      </c>
      <c r="C7782" s="38" t="s">
        <v>6499</v>
      </c>
      <c r="D7782" s="18">
        <v>2022</v>
      </c>
      <c r="E7782" s="18" t="s">
        <v>0</v>
      </c>
      <c r="F7782" s="42">
        <v>1</v>
      </c>
      <c r="G7782" s="4">
        <v>15</v>
      </c>
      <c r="H7782" s="18">
        <f>0.01746728*(1000)</f>
        <v>17.467280000000002</v>
      </c>
    </row>
    <row r="7783" spans="1:8" s="15" customFormat="1" ht="16.5" hidden="1" customHeight="1" outlineLevel="1" x14ac:dyDescent="0.25">
      <c r="A7783" s="18">
        <v>3453</v>
      </c>
      <c r="B7783" s="4" t="s">
        <v>250</v>
      </c>
      <c r="C7783" s="38" t="s">
        <v>6500</v>
      </c>
      <c r="D7783" s="18">
        <v>2022</v>
      </c>
      <c r="E7783" s="18" t="s">
        <v>0</v>
      </c>
      <c r="F7783" s="42">
        <v>1</v>
      </c>
      <c r="G7783" s="4">
        <v>15</v>
      </c>
      <c r="H7783" s="18">
        <f>0.01746727*(1000)</f>
        <v>17.467269999999999</v>
      </c>
    </row>
    <row r="7784" spans="1:8" s="15" customFormat="1" ht="16.5" hidden="1" customHeight="1" outlineLevel="1" x14ac:dyDescent="0.25">
      <c r="A7784" s="18">
        <v>3454</v>
      </c>
      <c r="B7784" s="4" t="s">
        <v>250</v>
      </c>
      <c r="C7784" s="38" t="s">
        <v>6501</v>
      </c>
      <c r="D7784" s="18">
        <v>2022</v>
      </c>
      <c r="E7784" s="18" t="s">
        <v>0</v>
      </c>
      <c r="F7784" s="42">
        <v>1</v>
      </c>
      <c r="G7784" s="4">
        <v>12</v>
      </c>
      <c r="H7784" s="18">
        <f>0.01746728*(1000)</f>
        <v>17.467280000000002</v>
      </c>
    </row>
    <row r="7785" spans="1:8" s="15" customFormat="1" ht="16.5" hidden="1" customHeight="1" outlineLevel="1" x14ac:dyDescent="0.25">
      <c r="A7785" s="18">
        <v>3456</v>
      </c>
      <c r="B7785" s="4" t="s">
        <v>250</v>
      </c>
      <c r="C7785" s="38" t="s">
        <v>6502</v>
      </c>
      <c r="D7785" s="18">
        <v>2022</v>
      </c>
      <c r="E7785" s="18" t="s">
        <v>0</v>
      </c>
      <c r="F7785" s="42">
        <v>1</v>
      </c>
      <c r="G7785" s="4">
        <v>45</v>
      </c>
      <c r="H7785" s="18">
        <f>0.03668009*(1000)</f>
        <v>36.68009</v>
      </c>
    </row>
    <row r="7786" spans="1:8" s="15" customFormat="1" ht="16.5" hidden="1" customHeight="1" outlineLevel="1" x14ac:dyDescent="0.25">
      <c r="A7786" s="18">
        <v>3457</v>
      </c>
      <c r="B7786" s="4" t="s">
        <v>250</v>
      </c>
      <c r="C7786" s="38" t="s">
        <v>6503</v>
      </c>
      <c r="D7786" s="18">
        <v>2022</v>
      </c>
      <c r="E7786" s="18" t="s">
        <v>0</v>
      </c>
      <c r="F7786" s="42">
        <v>1</v>
      </c>
      <c r="G7786" s="4">
        <v>25</v>
      </c>
      <c r="H7786" s="18">
        <f>0.01746727*(1000)</f>
        <v>17.467269999999999</v>
      </c>
    </row>
    <row r="7787" spans="1:8" s="15" customFormat="1" ht="16.5" hidden="1" customHeight="1" outlineLevel="1" x14ac:dyDescent="0.25">
      <c r="A7787" s="18">
        <v>3458</v>
      </c>
      <c r="B7787" s="4" t="s">
        <v>250</v>
      </c>
      <c r="C7787" s="38" t="s">
        <v>6504</v>
      </c>
      <c r="D7787" s="18">
        <v>2022</v>
      </c>
      <c r="E7787" s="18" t="s">
        <v>0</v>
      </c>
      <c r="F7787" s="42">
        <v>1</v>
      </c>
      <c r="G7787" s="4">
        <v>10</v>
      </c>
      <c r="H7787" s="18">
        <f>0.01746728*(1000)</f>
        <v>17.467280000000002</v>
      </c>
    </row>
    <row r="7788" spans="1:8" s="15" customFormat="1" ht="16.5" hidden="1" customHeight="1" outlineLevel="1" x14ac:dyDescent="0.25">
      <c r="A7788" s="18">
        <v>3459</v>
      </c>
      <c r="B7788" s="4" t="s">
        <v>250</v>
      </c>
      <c r="C7788" s="38" t="s">
        <v>6505</v>
      </c>
      <c r="D7788" s="18">
        <v>2022</v>
      </c>
      <c r="E7788" s="18" t="s">
        <v>0</v>
      </c>
      <c r="F7788" s="42">
        <v>1</v>
      </c>
      <c r="G7788" s="4">
        <v>15</v>
      </c>
      <c r="H7788" s="18">
        <f>0.01746727*(1000)</f>
        <v>17.467269999999999</v>
      </c>
    </row>
    <row r="7789" spans="1:8" s="15" customFormat="1" ht="16.5" hidden="1" customHeight="1" outlineLevel="1" x14ac:dyDescent="0.25">
      <c r="A7789" s="18">
        <v>3460</v>
      </c>
      <c r="B7789" s="4" t="s">
        <v>250</v>
      </c>
      <c r="C7789" s="38" t="s">
        <v>6506</v>
      </c>
      <c r="D7789" s="18">
        <v>2022</v>
      </c>
      <c r="E7789" s="18" t="s">
        <v>0</v>
      </c>
      <c r="F7789" s="42">
        <v>1</v>
      </c>
      <c r="G7789" s="4">
        <v>13</v>
      </c>
      <c r="H7789" s="18">
        <f>0.01746728*(1000)</f>
        <v>17.467280000000002</v>
      </c>
    </row>
    <row r="7790" spans="1:8" s="15" customFormat="1" ht="16.5" hidden="1" customHeight="1" outlineLevel="1" x14ac:dyDescent="0.25">
      <c r="A7790" s="18">
        <v>3462</v>
      </c>
      <c r="B7790" s="4" t="s">
        <v>250</v>
      </c>
      <c r="C7790" s="38" t="s">
        <v>6507</v>
      </c>
      <c r="D7790" s="18">
        <v>2022</v>
      </c>
      <c r="E7790" s="18" t="s">
        <v>0</v>
      </c>
      <c r="F7790" s="42">
        <v>1</v>
      </c>
      <c r="G7790" s="4">
        <v>2</v>
      </c>
      <c r="H7790" s="18">
        <f>0.01860572*(1000)</f>
        <v>18.605719999999998</v>
      </c>
    </row>
    <row r="7791" spans="1:8" s="15" customFormat="1" ht="16.5" hidden="1" customHeight="1" outlineLevel="1" x14ac:dyDescent="0.25">
      <c r="A7791" s="18">
        <v>3463</v>
      </c>
      <c r="B7791" s="4" t="s">
        <v>250</v>
      </c>
      <c r="C7791" s="38" t="s">
        <v>6508</v>
      </c>
      <c r="D7791" s="18">
        <v>2022</v>
      </c>
      <c r="E7791" s="18" t="s">
        <v>0</v>
      </c>
      <c r="F7791" s="42">
        <v>1</v>
      </c>
      <c r="G7791" s="4">
        <v>2.4</v>
      </c>
      <c r="H7791" s="18">
        <f t="shared" ref="H7791:H7802" si="10">0.01746728*(1000)</f>
        <v>17.467280000000002</v>
      </c>
    </row>
    <row r="7792" spans="1:8" s="15" customFormat="1" ht="16.5" hidden="1" customHeight="1" outlineLevel="1" x14ac:dyDescent="0.25">
      <c r="A7792" s="18">
        <v>3464</v>
      </c>
      <c r="B7792" s="4" t="s">
        <v>250</v>
      </c>
      <c r="C7792" s="38" t="s">
        <v>6509</v>
      </c>
      <c r="D7792" s="18">
        <v>2022</v>
      </c>
      <c r="E7792" s="18" t="s">
        <v>0</v>
      </c>
      <c r="F7792" s="42">
        <v>1</v>
      </c>
      <c r="G7792" s="4">
        <v>2</v>
      </c>
      <c r="H7792" s="18">
        <f t="shared" si="10"/>
        <v>17.467280000000002</v>
      </c>
    </row>
    <row r="7793" spans="1:8" s="15" customFormat="1" ht="16.5" hidden="1" customHeight="1" outlineLevel="1" x14ac:dyDescent="0.25">
      <c r="A7793" s="18">
        <v>3465</v>
      </c>
      <c r="B7793" s="4" t="s">
        <v>250</v>
      </c>
      <c r="C7793" s="38" t="s">
        <v>6510</v>
      </c>
      <c r="D7793" s="18">
        <v>2022</v>
      </c>
      <c r="E7793" s="18" t="s">
        <v>0</v>
      </c>
      <c r="F7793" s="42">
        <v>1</v>
      </c>
      <c r="G7793" s="4">
        <v>2.7</v>
      </c>
      <c r="H7793" s="18">
        <f t="shared" si="10"/>
        <v>17.467280000000002</v>
      </c>
    </row>
    <row r="7794" spans="1:8" s="15" customFormat="1" ht="16.5" hidden="1" customHeight="1" outlineLevel="1" x14ac:dyDescent="0.25">
      <c r="A7794" s="18">
        <v>3466</v>
      </c>
      <c r="B7794" s="4" t="s">
        <v>250</v>
      </c>
      <c r="C7794" s="38" t="s">
        <v>6511</v>
      </c>
      <c r="D7794" s="18">
        <v>2022</v>
      </c>
      <c r="E7794" s="18" t="s">
        <v>0</v>
      </c>
      <c r="F7794" s="42">
        <v>1</v>
      </c>
      <c r="G7794" s="4">
        <v>2</v>
      </c>
      <c r="H7794" s="18">
        <f t="shared" si="10"/>
        <v>17.467280000000002</v>
      </c>
    </row>
    <row r="7795" spans="1:8" s="15" customFormat="1" ht="16.5" hidden="1" customHeight="1" outlineLevel="1" x14ac:dyDescent="0.25">
      <c r="A7795" s="18">
        <v>3467</v>
      </c>
      <c r="B7795" s="4" t="s">
        <v>250</v>
      </c>
      <c r="C7795" s="38" t="s">
        <v>6512</v>
      </c>
      <c r="D7795" s="18">
        <v>2022</v>
      </c>
      <c r="E7795" s="18" t="s">
        <v>0</v>
      </c>
      <c r="F7795" s="42">
        <v>1</v>
      </c>
      <c r="G7795" s="4">
        <v>2</v>
      </c>
      <c r="H7795" s="18">
        <f t="shared" si="10"/>
        <v>17.467280000000002</v>
      </c>
    </row>
    <row r="7796" spans="1:8" s="15" customFormat="1" ht="16.5" hidden="1" customHeight="1" outlineLevel="1" x14ac:dyDescent="0.25">
      <c r="A7796" s="18">
        <v>3468</v>
      </c>
      <c r="B7796" s="4" t="s">
        <v>250</v>
      </c>
      <c r="C7796" s="38" t="s">
        <v>6513</v>
      </c>
      <c r="D7796" s="18">
        <v>2022</v>
      </c>
      <c r="E7796" s="18" t="s">
        <v>0</v>
      </c>
      <c r="F7796" s="42">
        <v>1</v>
      </c>
      <c r="G7796" s="4">
        <v>2</v>
      </c>
      <c r="H7796" s="18">
        <f t="shared" si="10"/>
        <v>17.467280000000002</v>
      </c>
    </row>
    <row r="7797" spans="1:8" s="15" customFormat="1" ht="16.5" hidden="1" customHeight="1" outlineLevel="1" x14ac:dyDescent="0.25">
      <c r="A7797" s="18">
        <v>3469</v>
      </c>
      <c r="B7797" s="4" t="s">
        <v>250</v>
      </c>
      <c r="C7797" s="38" t="s">
        <v>6514</v>
      </c>
      <c r="D7797" s="18">
        <v>2022</v>
      </c>
      <c r="E7797" s="18" t="s">
        <v>0</v>
      </c>
      <c r="F7797" s="42">
        <v>1</v>
      </c>
      <c r="G7797" s="4">
        <v>2</v>
      </c>
      <c r="H7797" s="18">
        <f t="shared" si="10"/>
        <v>17.467280000000002</v>
      </c>
    </row>
    <row r="7798" spans="1:8" s="15" customFormat="1" ht="16.5" hidden="1" customHeight="1" outlineLevel="1" x14ac:dyDescent="0.25">
      <c r="A7798" s="18">
        <v>3470</v>
      </c>
      <c r="B7798" s="4" t="s">
        <v>250</v>
      </c>
      <c r="C7798" s="38" t="s">
        <v>6515</v>
      </c>
      <c r="D7798" s="18">
        <v>2022</v>
      </c>
      <c r="E7798" s="18" t="s">
        <v>0</v>
      </c>
      <c r="F7798" s="42">
        <v>1</v>
      </c>
      <c r="G7798" s="4">
        <v>2.8</v>
      </c>
      <c r="H7798" s="18">
        <f t="shared" si="10"/>
        <v>17.467280000000002</v>
      </c>
    </row>
    <row r="7799" spans="1:8" s="15" customFormat="1" ht="16.5" hidden="1" customHeight="1" outlineLevel="1" x14ac:dyDescent="0.25">
      <c r="A7799" s="18">
        <v>3471</v>
      </c>
      <c r="B7799" s="4" t="s">
        <v>250</v>
      </c>
      <c r="C7799" s="38" t="s">
        <v>6516</v>
      </c>
      <c r="D7799" s="18">
        <v>2022</v>
      </c>
      <c r="E7799" s="18" t="s">
        <v>0</v>
      </c>
      <c r="F7799" s="42">
        <v>1</v>
      </c>
      <c r="G7799" s="4">
        <v>2.7</v>
      </c>
      <c r="H7799" s="18">
        <f t="shared" si="10"/>
        <v>17.467280000000002</v>
      </c>
    </row>
    <row r="7800" spans="1:8" s="15" customFormat="1" ht="16.5" hidden="1" customHeight="1" outlineLevel="1" x14ac:dyDescent="0.25">
      <c r="A7800" s="18">
        <v>3472</v>
      </c>
      <c r="B7800" s="4" t="s">
        <v>250</v>
      </c>
      <c r="C7800" s="38" t="s">
        <v>6517</v>
      </c>
      <c r="D7800" s="18">
        <v>2022</v>
      </c>
      <c r="E7800" s="18" t="s">
        <v>0</v>
      </c>
      <c r="F7800" s="42">
        <v>1</v>
      </c>
      <c r="G7800" s="4">
        <v>15</v>
      </c>
      <c r="H7800" s="18">
        <f t="shared" si="10"/>
        <v>17.467280000000002</v>
      </c>
    </row>
    <row r="7801" spans="1:8" s="15" customFormat="1" ht="16.5" hidden="1" customHeight="1" outlineLevel="1" x14ac:dyDescent="0.25">
      <c r="A7801" s="18">
        <v>3473</v>
      </c>
      <c r="B7801" s="4" t="s">
        <v>250</v>
      </c>
      <c r="C7801" s="38" t="s">
        <v>6518</v>
      </c>
      <c r="D7801" s="18">
        <v>2022</v>
      </c>
      <c r="E7801" s="18" t="s">
        <v>0</v>
      </c>
      <c r="F7801" s="42">
        <v>1</v>
      </c>
      <c r="G7801" s="4">
        <v>15</v>
      </c>
      <c r="H7801" s="18">
        <f t="shared" si="10"/>
        <v>17.467280000000002</v>
      </c>
    </row>
    <row r="7802" spans="1:8" s="15" customFormat="1" ht="16.5" hidden="1" customHeight="1" outlineLevel="1" x14ac:dyDescent="0.25">
      <c r="A7802" s="18">
        <v>3476</v>
      </c>
      <c r="B7802" s="4" t="s">
        <v>250</v>
      </c>
      <c r="C7802" s="38" t="s">
        <v>6519</v>
      </c>
      <c r="D7802" s="18">
        <v>2022</v>
      </c>
      <c r="E7802" s="18" t="s">
        <v>0</v>
      </c>
      <c r="F7802" s="42">
        <v>1</v>
      </c>
      <c r="G7802" s="4">
        <v>15</v>
      </c>
      <c r="H7802" s="18">
        <f t="shared" si="10"/>
        <v>17.467280000000002</v>
      </c>
    </row>
    <row r="7803" spans="1:8" s="15" customFormat="1" ht="16.5" hidden="1" customHeight="1" outlineLevel="1" x14ac:dyDescent="0.25">
      <c r="A7803" s="18">
        <v>3477</v>
      </c>
      <c r="B7803" s="4" t="s">
        <v>250</v>
      </c>
      <c r="C7803" s="38" t="s">
        <v>6520</v>
      </c>
      <c r="D7803" s="18">
        <v>2022</v>
      </c>
      <c r="E7803" s="18" t="s">
        <v>0</v>
      </c>
      <c r="F7803" s="42">
        <v>1</v>
      </c>
      <c r="G7803" s="4">
        <v>15</v>
      </c>
      <c r="H7803" s="18">
        <f>0.01746729*(1000)</f>
        <v>17.467289999999998</v>
      </c>
    </row>
    <row r="7804" spans="1:8" s="15" customFormat="1" ht="16.5" hidden="1" customHeight="1" outlineLevel="1" x14ac:dyDescent="0.25">
      <c r="A7804" s="18">
        <v>3481</v>
      </c>
      <c r="B7804" s="4" t="s">
        <v>250</v>
      </c>
      <c r="C7804" s="38" t="s">
        <v>6521</v>
      </c>
      <c r="D7804" s="18">
        <v>2022</v>
      </c>
      <c r="E7804" s="18" t="s">
        <v>0</v>
      </c>
      <c r="F7804" s="42">
        <v>1</v>
      </c>
      <c r="G7804" s="4">
        <v>15</v>
      </c>
      <c r="H7804" s="18">
        <f>0.01747233*(1000)</f>
        <v>17.472329999999999</v>
      </c>
    </row>
    <row r="7805" spans="1:8" s="15" customFormat="1" ht="16.5" hidden="1" customHeight="1" outlineLevel="1" x14ac:dyDescent="0.25">
      <c r="A7805" s="18">
        <v>3483</v>
      </c>
      <c r="B7805" s="4" t="s">
        <v>250</v>
      </c>
      <c r="C7805" s="38" t="s">
        <v>6522</v>
      </c>
      <c r="D7805" s="18">
        <v>2022</v>
      </c>
      <c r="E7805" s="18" t="s">
        <v>0</v>
      </c>
      <c r="F7805" s="42">
        <v>1</v>
      </c>
      <c r="G7805" s="4">
        <v>15</v>
      </c>
      <c r="H7805" s="18">
        <f>0.01739478*(1000)</f>
        <v>17.394779999999997</v>
      </c>
    </row>
    <row r="7806" spans="1:8" s="15" customFormat="1" ht="16.5" hidden="1" customHeight="1" outlineLevel="1" x14ac:dyDescent="0.25">
      <c r="A7806" s="18">
        <v>3485</v>
      </c>
      <c r="B7806" s="4" t="s">
        <v>250</v>
      </c>
      <c r="C7806" s="38" t="s">
        <v>6523</v>
      </c>
      <c r="D7806" s="18">
        <v>2022</v>
      </c>
      <c r="E7806" s="18" t="s">
        <v>0</v>
      </c>
      <c r="F7806" s="42">
        <v>1</v>
      </c>
      <c r="G7806" s="4">
        <v>15</v>
      </c>
      <c r="H7806" s="18">
        <f>0.01747234*(1000)</f>
        <v>17.472339999999999</v>
      </c>
    </row>
    <row r="7807" spans="1:8" s="15" customFormat="1" ht="16.5" hidden="1" customHeight="1" outlineLevel="1" x14ac:dyDescent="0.25">
      <c r="A7807" s="18">
        <v>3488</v>
      </c>
      <c r="B7807" s="4" t="s">
        <v>250</v>
      </c>
      <c r="C7807" s="38" t="s">
        <v>6524</v>
      </c>
      <c r="D7807" s="18">
        <v>2022</v>
      </c>
      <c r="E7807" s="18" t="s">
        <v>0</v>
      </c>
      <c r="F7807" s="42">
        <v>1</v>
      </c>
      <c r="G7807" s="4">
        <v>15</v>
      </c>
      <c r="H7807" s="18">
        <f>0.01747233*(1000)</f>
        <v>17.472329999999999</v>
      </c>
    </row>
    <row r="7808" spans="1:8" s="15" customFormat="1" ht="16.5" hidden="1" customHeight="1" outlineLevel="1" x14ac:dyDescent="0.25">
      <c r="A7808" s="18">
        <v>3489</v>
      </c>
      <c r="B7808" s="4" t="s">
        <v>250</v>
      </c>
      <c r="C7808" s="38" t="s">
        <v>6525</v>
      </c>
      <c r="D7808" s="18">
        <v>2022</v>
      </c>
      <c r="E7808" s="18" t="s">
        <v>0</v>
      </c>
      <c r="F7808" s="42">
        <v>1</v>
      </c>
      <c r="G7808" s="4">
        <v>150</v>
      </c>
      <c r="H7808" s="18">
        <f>0.02621273*(1000)</f>
        <v>26.212730000000001</v>
      </c>
    </row>
    <row r="7809" spans="1:8" s="15" customFormat="1" ht="16.5" hidden="1" customHeight="1" outlineLevel="1" x14ac:dyDescent="0.25">
      <c r="A7809" s="18">
        <v>3490</v>
      </c>
      <c r="B7809" s="4" t="s">
        <v>250</v>
      </c>
      <c r="C7809" s="38" t="s">
        <v>6526</v>
      </c>
      <c r="D7809" s="18">
        <v>2022</v>
      </c>
      <c r="E7809" s="18" t="s">
        <v>0</v>
      </c>
      <c r="F7809" s="42">
        <v>1</v>
      </c>
      <c r="G7809" s="4">
        <v>15</v>
      </c>
      <c r="H7809" s="18">
        <f>0.01747233*(1000)</f>
        <v>17.472329999999999</v>
      </c>
    </row>
    <row r="7810" spans="1:8" s="15" customFormat="1" ht="16.5" hidden="1" customHeight="1" outlineLevel="1" x14ac:dyDescent="0.25">
      <c r="A7810" s="18">
        <v>3494</v>
      </c>
      <c r="B7810" s="4" t="s">
        <v>250</v>
      </c>
      <c r="C7810" s="38" t="s">
        <v>6527</v>
      </c>
      <c r="D7810" s="18">
        <v>2022</v>
      </c>
      <c r="E7810" s="18" t="s">
        <v>0</v>
      </c>
      <c r="F7810" s="42">
        <v>1</v>
      </c>
      <c r="G7810" s="4">
        <v>15</v>
      </c>
      <c r="H7810" s="18">
        <f>0.01747232*(1000)</f>
        <v>17.47232</v>
      </c>
    </row>
    <row r="7811" spans="1:8" s="15" customFormat="1" ht="16.5" hidden="1" customHeight="1" outlineLevel="1" x14ac:dyDescent="0.25">
      <c r="A7811" s="18">
        <v>3495</v>
      </c>
      <c r="B7811" s="4" t="s">
        <v>250</v>
      </c>
      <c r="C7811" s="38" t="s">
        <v>6528</v>
      </c>
      <c r="D7811" s="18">
        <v>2022</v>
      </c>
      <c r="E7811" s="18" t="s">
        <v>0</v>
      </c>
      <c r="F7811" s="42">
        <v>1</v>
      </c>
      <c r="G7811" s="4">
        <v>15</v>
      </c>
      <c r="H7811" s="18">
        <f>0.01747234*(1000)</f>
        <v>17.472339999999999</v>
      </c>
    </row>
    <row r="7812" spans="1:8" s="15" customFormat="1" ht="16.5" hidden="1" customHeight="1" outlineLevel="1" x14ac:dyDescent="0.25">
      <c r="A7812" s="18">
        <v>3496</v>
      </c>
      <c r="B7812" s="4" t="s">
        <v>250</v>
      </c>
      <c r="C7812" s="38" t="s">
        <v>6529</v>
      </c>
      <c r="D7812" s="18">
        <v>2022</v>
      </c>
      <c r="E7812" s="18" t="s">
        <v>0</v>
      </c>
      <c r="F7812" s="42">
        <v>1</v>
      </c>
      <c r="G7812" s="4">
        <v>15</v>
      </c>
      <c r="H7812" s="18">
        <f>0.01747232*(1000)</f>
        <v>17.47232</v>
      </c>
    </row>
    <row r="7813" spans="1:8" s="15" customFormat="1" ht="16.5" hidden="1" customHeight="1" outlineLevel="1" x14ac:dyDescent="0.25">
      <c r="A7813" s="18">
        <v>3497</v>
      </c>
      <c r="B7813" s="4" t="s">
        <v>250</v>
      </c>
      <c r="C7813" s="38" t="s">
        <v>6530</v>
      </c>
      <c r="D7813" s="18">
        <v>2022</v>
      </c>
      <c r="E7813" s="18" t="s">
        <v>0</v>
      </c>
      <c r="F7813" s="42">
        <v>1</v>
      </c>
      <c r="G7813" s="4">
        <v>15</v>
      </c>
      <c r="H7813" s="18">
        <f>0.01747234*(1000)</f>
        <v>17.472339999999999</v>
      </c>
    </row>
    <row r="7814" spans="1:8" s="15" customFormat="1" ht="16.5" hidden="1" customHeight="1" outlineLevel="1" x14ac:dyDescent="0.25">
      <c r="A7814" s="18">
        <v>3498</v>
      </c>
      <c r="B7814" s="4" t="s">
        <v>250</v>
      </c>
      <c r="C7814" s="38" t="s">
        <v>6531</v>
      </c>
      <c r="D7814" s="18">
        <v>2022</v>
      </c>
      <c r="E7814" s="18" t="s">
        <v>0</v>
      </c>
      <c r="F7814" s="42">
        <v>1</v>
      </c>
      <c r="G7814" s="4">
        <v>15</v>
      </c>
      <c r="H7814" s="18">
        <f>0.01747232*(1000)</f>
        <v>17.47232</v>
      </c>
    </row>
    <row r="7815" spans="1:8" s="15" customFormat="1" ht="16.5" hidden="1" customHeight="1" outlineLevel="1" x14ac:dyDescent="0.25">
      <c r="A7815" s="18">
        <v>3503</v>
      </c>
      <c r="B7815" s="4" t="s">
        <v>250</v>
      </c>
      <c r="C7815" s="38" t="s">
        <v>6532</v>
      </c>
      <c r="D7815" s="18">
        <v>2022</v>
      </c>
      <c r="E7815" s="18" t="s">
        <v>0</v>
      </c>
      <c r="F7815" s="42">
        <v>1</v>
      </c>
      <c r="G7815" s="4">
        <v>15</v>
      </c>
      <c r="H7815" s="18">
        <f>0.01747234*(1000)</f>
        <v>17.472339999999999</v>
      </c>
    </row>
    <row r="7816" spans="1:8" s="15" customFormat="1" ht="16.5" hidden="1" customHeight="1" outlineLevel="1" x14ac:dyDescent="0.25">
      <c r="A7816" s="18">
        <v>3504</v>
      </c>
      <c r="B7816" s="4" t="s">
        <v>250</v>
      </c>
      <c r="C7816" s="38" t="s">
        <v>6533</v>
      </c>
      <c r="D7816" s="18">
        <v>2022</v>
      </c>
      <c r="E7816" s="18" t="s">
        <v>0</v>
      </c>
      <c r="F7816" s="42">
        <v>1</v>
      </c>
      <c r="G7816" s="4">
        <v>15</v>
      </c>
      <c r="H7816" s="18">
        <f>0.01747233*(1000)</f>
        <v>17.472329999999999</v>
      </c>
    </row>
    <row r="7817" spans="1:8" s="15" customFormat="1" ht="16.5" hidden="1" customHeight="1" outlineLevel="1" x14ac:dyDescent="0.25">
      <c r="A7817" s="18">
        <v>3505</v>
      </c>
      <c r="B7817" s="4" t="s">
        <v>250</v>
      </c>
      <c r="C7817" s="38" t="s">
        <v>6534</v>
      </c>
      <c r="D7817" s="18">
        <v>2022</v>
      </c>
      <c r="E7817" s="18" t="s">
        <v>0</v>
      </c>
      <c r="F7817" s="42">
        <v>1</v>
      </c>
      <c r="G7817" s="4">
        <v>10</v>
      </c>
      <c r="H7817" s="18">
        <f>0.01747234*(1000)</f>
        <v>17.472339999999999</v>
      </c>
    </row>
    <row r="7818" spans="1:8" s="15" customFormat="1" ht="16.5" hidden="1" customHeight="1" outlineLevel="1" x14ac:dyDescent="0.25">
      <c r="A7818" s="18">
        <v>3506</v>
      </c>
      <c r="B7818" s="4" t="s">
        <v>250</v>
      </c>
      <c r="C7818" s="38" t="s">
        <v>6535</v>
      </c>
      <c r="D7818" s="18">
        <v>2022</v>
      </c>
      <c r="E7818" s="18" t="s">
        <v>0</v>
      </c>
      <c r="F7818" s="42">
        <v>1</v>
      </c>
      <c r="G7818" s="4">
        <v>15</v>
      </c>
      <c r="H7818" s="18">
        <f>0.01747232*(1000)</f>
        <v>17.47232</v>
      </c>
    </row>
    <row r="7819" spans="1:8" s="15" customFormat="1" ht="16.5" hidden="1" customHeight="1" outlineLevel="1" x14ac:dyDescent="0.25">
      <c r="A7819" s="18">
        <v>3508</v>
      </c>
      <c r="B7819" s="4" t="s">
        <v>250</v>
      </c>
      <c r="C7819" s="38" t="s">
        <v>6536</v>
      </c>
      <c r="D7819" s="18">
        <v>2022</v>
      </c>
      <c r="E7819" s="18" t="s">
        <v>0</v>
      </c>
      <c r="F7819" s="42">
        <v>1</v>
      </c>
      <c r="G7819" s="4">
        <v>15</v>
      </c>
      <c r="H7819" s="18">
        <f>0.01747232*(1000)</f>
        <v>17.47232</v>
      </c>
    </row>
    <row r="7820" spans="1:8" s="15" customFormat="1" ht="16.5" hidden="1" customHeight="1" outlineLevel="1" x14ac:dyDescent="0.25">
      <c r="A7820" s="18">
        <v>3510</v>
      </c>
      <c r="B7820" s="4" t="s">
        <v>250</v>
      </c>
      <c r="C7820" s="38" t="s">
        <v>6537</v>
      </c>
      <c r="D7820" s="18">
        <v>2022</v>
      </c>
      <c r="E7820" s="18" t="s">
        <v>0</v>
      </c>
      <c r="F7820" s="42">
        <v>1</v>
      </c>
      <c r="G7820" s="4">
        <v>15</v>
      </c>
      <c r="H7820" s="18">
        <f>0.01747232*(1000)</f>
        <v>17.47232</v>
      </c>
    </row>
    <row r="7821" spans="1:8" s="15" customFormat="1" ht="16.5" hidden="1" customHeight="1" outlineLevel="1" x14ac:dyDescent="0.25">
      <c r="A7821" s="18">
        <v>3512</v>
      </c>
      <c r="B7821" s="4" t="s">
        <v>250</v>
      </c>
      <c r="C7821" s="38" t="s">
        <v>6538</v>
      </c>
      <c r="D7821" s="18">
        <v>2022</v>
      </c>
      <c r="E7821" s="18" t="s">
        <v>0</v>
      </c>
      <c r="F7821" s="42">
        <v>1</v>
      </c>
      <c r="G7821" s="4">
        <v>15</v>
      </c>
      <c r="H7821" s="18">
        <f>0.01747233*(1000)</f>
        <v>17.472329999999999</v>
      </c>
    </row>
    <row r="7822" spans="1:8" s="15" customFormat="1" ht="16.5" hidden="1" customHeight="1" outlineLevel="1" x14ac:dyDescent="0.25">
      <c r="A7822" s="18">
        <v>3513</v>
      </c>
      <c r="B7822" s="4" t="s">
        <v>250</v>
      </c>
      <c r="C7822" s="38" t="s">
        <v>6539</v>
      </c>
      <c r="D7822" s="18">
        <v>2022</v>
      </c>
      <c r="E7822" s="18" t="s">
        <v>0</v>
      </c>
      <c r="F7822" s="42">
        <v>1</v>
      </c>
      <c r="G7822" s="4">
        <v>6.6</v>
      </c>
      <c r="H7822" s="18">
        <f>0.01190236*(1000)</f>
        <v>11.902360000000002</v>
      </c>
    </row>
    <row r="7823" spans="1:8" s="15" customFormat="1" ht="16.5" hidden="1" customHeight="1" outlineLevel="1" x14ac:dyDescent="0.25">
      <c r="A7823" s="18">
        <v>3514</v>
      </c>
      <c r="B7823" s="4" t="s">
        <v>250</v>
      </c>
      <c r="C7823" s="38" t="s">
        <v>6540</v>
      </c>
      <c r="D7823" s="18">
        <v>2022</v>
      </c>
      <c r="E7823" s="18" t="s">
        <v>0</v>
      </c>
      <c r="F7823" s="42">
        <v>1</v>
      </c>
      <c r="G7823" s="4">
        <v>3.5</v>
      </c>
      <c r="H7823" s="18">
        <f>0.01747231*(1000)</f>
        <v>17.47231</v>
      </c>
    </row>
    <row r="7824" spans="1:8" s="15" customFormat="1" ht="16.5" hidden="1" customHeight="1" outlineLevel="1" x14ac:dyDescent="0.25">
      <c r="A7824" s="18">
        <v>3517</v>
      </c>
      <c r="B7824" s="4" t="s">
        <v>250</v>
      </c>
      <c r="C7824" s="38" t="s">
        <v>6541</v>
      </c>
      <c r="D7824" s="18">
        <v>2022</v>
      </c>
      <c r="E7824" s="18" t="s">
        <v>0</v>
      </c>
      <c r="F7824" s="42">
        <v>1</v>
      </c>
      <c r="G7824" s="4">
        <v>10</v>
      </c>
      <c r="H7824" s="18">
        <f>0.01747235*(1000)</f>
        <v>17.472350000000002</v>
      </c>
    </row>
    <row r="7825" spans="1:8" s="15" customFormat="1" ht="16.5" hidden="1" customHeight="1" outlineLevel="1" x14ac:dyDescent="0.25">
      <c r="A7825" s="18">
        <v>3518</v>
      </c>
      <c r="B7825" s="4" t="s">
        <v>250</v>
      </c>
      <c r="C7825" s="38" t="s">
        <v>6542</v>
      </c>
      <c r="D7825" s="18">
        <v>2022</v>
      </c>
      <c r="E7825" s="18" t="s">
        <v>0</v>
      </c>
      <c r="F7825" s="42">
        <v>1</v>
      </c>
      <c r="G7825" s="4">
        <v>2</v>
      </c>
      <c r="H7825" s="18">
        <f>0.01747231*(1000)</f>
        <v>17.47231</v>
      </c>
    </row>
    <row r="7826" spans="1:8" s="15" customFormat="1" ht="16.5" hidden="1" customHeight="1" outlineLevel="1" x14ac:dyDescent="0.25">
      <c r="A7826" s="18">
        <v>3519</v>
      </c>
      <c r="B7826" s="4" t="s">
        <v>250</v>
      </c>
      <c r="C7826" s="38" t="s">
        <v>6543</v>
      </c>
      <c r="D7826" s="18">
        <v>2022</v>
      </c>
      <c r="E7826" s="18" t="s">
        <v>0</v>
      </c>
      <c r="F7826" s="42">
        <v>1</v>
      </c>
      <c r="G7826" s="4">
        <v>2</v>
      </c>
      <c r="H7826" s="18">
        <f>0.01747234*(1000)</f>
        <v>17.472339999999999</v>
      </c>
    </row>
    <row r="7827" spans="1:8" s="15" customFormat="1" ht="16.5" hidden="1" customHeight="1" outlineLevel="1" x14ac:dyDescent="0.25">
      <c r="A7827" s="18">
        <v>3523</v>
      </c>
      <c r="B7827" s="4" t="s">
        <v>250</v>
      </c>
      <c r="C7827" s="38" t="s">
        <v>6544</v>
      </c>
      <c r="D7827" s="18">
        <v>2022</v>
      </c>
      <c r="E7827" s="18" t="s">
        <v>0</v>
      </c>
      <c r="F7827" s="42">
        <v>1</v>
      </c>
      <c r="G7827" s="4">
        <v>15</v>
      </c>
      <c r="H7827" s="18">
        <f>0.01747235*(1000)</f>
        <v>17.472350000000002</v>
      </c>
    </row>
    <row r="7828" spans="1:8" s="15" customFormat="1" ht="16.5" hidden="1" customHeight="1" outlineLevel="1" x14ac:dyDescent="0.25">
      <c r="A7828" s="18">
        <v>3524</v>
      </c>
      <c r="B7828" s="4" t="s">
        <v>250</v>
      </c>
      <c r="C7828" s="38" t="s">
        <v>6545</v>
      </c>
      <c r="D7828" s="18">
        <v>2022</v>
      </c>
      <c r="E7828" s="18" t="s">
        <v>0</v>
      </c>
      <c r="F7828" s="42">
        <v>1</v>
      </c>
      <c r="G7828" s="4">
        <v>15</v>
      </c>
      <c r="H7828" s="18">
        <f>0.01743872*(1000)</f>
        <v>17.43872</v>
      </c>
    </row>
    <row r="7829" spans="1:8" s="15" customFormat="1" ht="16.5" hidden="1" customHeight="1" outlineLevel="1" x14ac:dyDescent="0.25">
      <c r="A7829" s="18">
        <v>3525</v>
      </c>
      <c r="B7829" s="4" t="s">
        <v>250</v>
      </c>
      <c r="C7829" s="38" t="s">
        <v>6546</v>
      </c>
      <c r="D7829" s="18">
        <v>2022</v>
      </c>
      <c r="E7829" s="18" t="s">
        <v>0</v>
      </c>
      <c r="F7829" s="42">
        <v>1</v>
      </c>
      <c r="G7829" s="4">
        <v>15</v>
      </c>
      <c r="H7829" s="18">
        <f>0.01740798*(1000)</f>
        <v>17.407979999999998</v>
      </c>
    </row>
    <row r="7830" spans="1:8" s="15" customFormat="1" ht="16.5" hidden="1" customHeight="1" outlineLevel="1" x14ac:dyDescent="0.25">
      <c r="A7830" s="18">
        <v>3527</v>
      </c>
      <c r="B7830" s="4" t="s">
        <v>250</v>
      </c>
      <c r="C7830" s="38" t="s">
        <v>6547</v>
      </c>
      <c r="D7830" s="18">
        <v>2022</v>
      </c>
      <c r="E7830" s="18" t="s">
        <v>0</v>
      </c>
      <c r="F7830" s="42">
        <v>1</v>
      </c>
      <c r="G7830" s="4">
        <v>15</v>
      </c>
      <c r="H7830" s="18">
        <f>0.01740797*(1000)</f>
        <v>17.407969999999999</v>
      </c>
    </row>
    <row r="7831" spans="1:8" s="15" customFormat="1" ht="16.5" hidden="1" customHeight="1" outlineLevel="1" x14ac:dyDescent="0.25">
      <c r="A7831" s="18">
        <v>3530</v>
      </c>
      <c r="B7831" s="4" t="s">
        <v>250</v>
      </c>
      <c r="C7831" s="38" t="s">
        <v>6548</v>
      </c>
      <c r="D7831" s="18">
        <v>2022</v>
      </c>
      <c r="E7831" s="18" t="s">
        <v>0</v>
      </c>
      <c r="F7831" s="42">
        <v>1</v>
      </c>
      <c r="G7831" s="4">
        <v>15</v>
      </c>
      <c r="H7831" s="18">
        <f>0.01740795*(1000)</f>
        <v>17.40795</v>
      </c>
    </row>
    <row r="7832" spans="1:8" s="15" customFormat="1" ht="16.5" hidden="1" customHeight="1" outlineLevel="1" x14ac:dyDescent="0.25">
      <c r="A7832" s="18">
        <v>3531</v>
      </c>
      <c r="B7832" s="4" t="s">
        <v>250</v>
      </c>
      <c r="C7832" s="38" t="s">
        <v>6549</v>
      </c>
      <c r="D7832" s="18">
        <v>2022</v>
      </c>
      <c r="E7832" s="18" t="s">
        <v>0</v>
      </c>
      <c r="F7832" s="42">
        <v>1</v>
      </c>
      <c r="G7832" s="4">
        <v>15</v>
      </c>
      <c r="H7832" s="18">
        <f>0.01183801*(1000)</f>
        <v>11.838009999999999</v>
      </c>
    </row>
    <row r="7833" spans="1:8" s="15" customFormat="1" ht="16.5" hidden="1" customHeight="1" outlineLevel="1" x14ac:dyDescent="0.25">
      <c r="A7833" s="18">
        <v>3534</v>
      </c>
      <c r="B7833" s="4" t="s">
        <v>250</v>
      </c>
      <c r="C7833" s="38" t="s">
        <v>6550</v>
      </c>
      <c r="D7833" s="18">
        <v>2022</v>
      </c>
      <c r="E7833" s="18" t="s">
        <v>0</v>
      </c>
      <c r="F7833" s="42">
        <v>1</v>
      </c>
      <c r="G7833" s="4">
        <v>15</v>
      </c>
      <c r="H7833" s="18">
        <f>0.01740795*(1000)</f>
        <v>17.40795</v>
      </c>
    </row>
    <row r="7834" spans="1:8" s="15" customFormat="1" ht="16.5" hidden="1" customHeight="1" outlineLevel="1" x14ac:dyDescent="0.25">
      <c r="A7834" s="18">
        <v>3535</v>
      </c>
      <c r="B7834" s="4" t="s">
        <v>250</v>
      </c>
      <c r="C7834" s="38" t="s">
        <v>6551</v>
      </c>
      <c r="D7834" s="18">
        <v>2022</v>
      </c>
      <c r="E7834" s="18" t="s">
        <v>0</v>
      </c>
      <c r="F7834" s="42">
        <v>1</v>
      </c>
      <c r="G7834" s="4">
        <v>15</v>
      </c>
      <c r="H7834" s="18">
        <f>0.01740797*(1000)</f>
        <v>17.407969999999999</v>
      </c>
    </row>
    <row r="7835" spans="1:8" s="15" customFormat="1" ht="16.5" hidden="1" customHeight="1" outlineLevel="1" x14ac:dyDescent="0.25">
      <c r="A7835" s="18">
        <v>3538</v>
      </c>
      <c r="B7835" s="4" t="s">
        <v>250</v>
      </c>
      <c r="C7835" s="38" t="s">
        <v>6552</v>
      </c>
      <c r="D7835" s="18">
        <v>2022</v>
      </c>
      <c r="E7835" s="18" t="s">
        <v>0</v>
      </c>
      <c r="F7835" s="42">
        <v>1</v>
      </c>
      <c r="G7835" s="4">
        <v>15</v>
      </c>
      <c r="H7835" s="18">
        <f>0.01740795*(1000)</f>
        <v>17.40795</v>
      </c>
    </row>
    <row r="7836" spans="1:8" s="15" customFormat="1" ht="16.5" hidden="1" customHeight="1" outlineLevel="1" x14ac:dyDescent="0.25">
      <c r="A7836" s="18">
        <v>3539</v>
      </c>
      <c r="B7836" s="4" t="s">
        <v>250</v>
      </c>
      <c r="C7836" s="38" t="s">
        <v>6553</v>
      </c>
      <c r="D7836" s="18">
        <v>2022</v>
      </c>
      <c r="E7836" s="18" t="s">
        <v>0</v>
      </c>
      <c r="F7836" s="42">
        <v>1</v>
      </c>
      <c r="G7836" s="4">
        <v>15</v>
      </c>
      <c r="H7836" s="18">
        <f>0.01740799*(1000)</f>
        <v>17.407990000000002</v>
      </c>
    </row>
    <row r="7837" spans="1:8" s="15" customFormat="1" ht="16.5" hidden="1" customHeight="1" outlineLevel="1" x14ac:dyDescent="0.25">
      <c r="A7837" s="18">
        <v>3540</v>
      </c>
      <c r="B7837" s="4" t="s">
        <v>250</v>
      </c>
      <c r="C7837" s="38" t="s">
        <v>6554</v>
      </c>
      <c r="D7837" s="18">
        <v>2022</v>
      </c>
      <c r="E7837" s="18" t="s">
        <v>0</v>
      </c>
      <c r="F7837" s="42">
        <v>1</v>
      </c>
      <c r="G7837" s="4">
        <v>15</v>
      </c>
      <c r="H7837" s="18">
        <f>0.01742173*(1000)</f>
        <v>17.42173</v>
      </c>
    </row>
    <row r="7838" spans="1:8" s="15" customFormat="1" ht="16.5" hidden="1" customHeight="1" outlineLevel="1" x14ac:dyDescent="0.25">
      <c r="A7838" s="18">
        <v>3541</v>
      </c>
      <c r="B7838" s="4" t="s">
        <v>250</v>
      </c>
      <c r="C7838" s="38" t="s">
        <v>6555</v>
      </c>
      <c r="D7838" s="18">
        <v>2022</v>
      </c>
      <c r="E7838" s="18" t="s">
        <v>0</v>
      </c>
      <c r="F7838" s="42">
        <v>1</v>
      </c>
      <c r="G7838" s="4">
        <v>15</v>
      </c>
      <c r="H7838" s="18">
        <f>0.02957974*(1000)</f>
        <v>29.579740000000001</v>
      </c>
    </row>
    <row r="7839" spans="1:8" s="15" customFormat="1" ht="16.5" hidden="1" customHeight="1" outlineLevel="1" x14ac:dyDescent="0.25">
      <c r="A7839" s="18">
        <v>3542</v>
      </c>
      <c r="B7839" s="4" t="s">
        <v>250</v>
      </c>
      <c r="C7839" s="38" t="s">
        <v>6556</v>
      </c>
      <c r="D7839" s="18">
        <v>2022</v>
      </c>
      <c r="E7839" s="18" t="s">
        <v>0</v>
      </c>
      <c r="F7839" s="42">
        <v>1</v>
      </c>
      <c r="G7839" s="4">
        <v>15</v>
      </c>
      <c r="H7839" s="18">
        <f>0.01744246*(1000)</f>
        <v>17.442460000000001</v>
      </c>
    </row>
    <row r="7840" spans="1:8" s="15" customFormat="1" ht="16.5" hidden="1" customHeight="1" outlineLevel="1" x14ac:dyDescent="0.25">
      <c r="A7840" s="18">
        <v>3547</v>
      </c>
      <c r="B7840" s="4" t="s">
        <v>250</v>
      </c>
      <c r="C7840" s="38" t="s">
        <v>6557</v>
      </c>
      <c r="D7840" s="18">
        <v>2022</v>
      </c>
      <c r="E7840" s="18" t="s">
        <v>0</v>
      </c>
      <c r="F7840" s="42">
        <v>1</v>
      </c>
      <c r="G7840" s="4">
        <v>15</v>
      </c>
      <c r="H7840" s="18">
        <f>0.01044191*(1000)</f>
        <v>10.44191</v>
      </c>
    </row>
    <row r="7841" spans="1:8" s="15" customFormat="1" ht="16.5" hidden="1" customHeight="1" outlineLevel="1" x14ac:dyDescent="0.25">
      <c r="A7841" s="18">
        <v>3548</v>
      </c>
      <c r="B7841" s="4" t="s">
        <v>250</v>
      </c>
      <c r="C7841" s="38" t="s">
        <v>6558</v>
      </c>
      <c r="D7841" s="18">
        <v>2022</v>
      </c>
      <c r="E7841" s="18" t="s">
        <v>0</v>
      </c>
      <c r="F7841" s="42">
        <v>1</v>
      </c>
      <c r="G7841" s="4">
        <v>10</v>
      </c>
      <c r="H7841" s="18">
        <f>0.01745139*(1000)</f>
        <v>17.45139</v>
      </c>
    </row>
    <row r="7842" spans="1:8" s="15" customFormat="1" ht="16.5" hidden="1" customHeight="1" outlineLevel="1" x14ac:dyDescent="0.25">
      <c r="A7842" s="18">
        <v>3549</v>
      </c>
      <c r="B7842" s="4" t="s">
        <v>250</v>
      </c>
      <c r="C7842" s="38" t="s">
        <v>6559</v>
      </c>
      <c r="D7842" s="18">
        <v>2022</v>
      </c>
      <c r="E7842" s="18" t="s">
        <v>0</v>
      </c>
      <c r="F7842" s="42">
        <v>1</v>
      </c>
      <c r="G7842" s="4">
        <v>15</v>
      </c>
      <c r="H7842" s="18">
        <f>0.01689689*(1000)</f>
        <v>16.896890000000003</v>
      </c>
    </row>
    <row r="7843" spans="1:8" s="15" customFormat="1" ht="16.5" hidden="1" customHeight="1" outlineLevel="1" x14ac:dyDescent="0.25">
      <c r="A7843" s="18">
        <v>3553</v>
      </c>
      <c r="B7843" s="4" t="s">
        <v>250</v>
      </c>
      <c r="C7843" s="38" t="s">
        <v>6560</v>
      </c>
      <c r="D7843" s="18">
        <v>2022</v>
      </c>
      <c r="E7843" s="18" t="s">
        <v>0</v>
      </c>
      <c r="F7843" s="42">
        <v>1</v>
      </c>
      <c r="G7843" s="4">
        <v>15</v>
      </c>
      <c r="H7843" s="18">
        <f>0.01689689*(1000)</f>
        <v>16.896890000000003</v>
      </c>
    </row>
    <row r="7844" spans="1:8" s="15" customFormat="1" ht="16.5" hidden="1" customHeight="1" outlineLevel="1" x14ac:dyDescent="0.25">
      <c r="A7844" s="18">
        <v>3557</v>
      </c>
      <c r="B7844" s="4" t="s">
        <v>250</v>
      </c>
      <c r="C7844" s="38" t="s">
        <v>6561</v>
      </c>
      <c r="D7844" s="18">
        <v>2022</v>
      </c>
      <c r="E7844" s="18" t="s">
        <v>0</v>
      </c>
      <c r="F7844" s="42">
        <v>1</v>
      </c>
      <c r="G7844" s="4">
        <v>15</v>
      </c>
      <c r="H7844" s="18">
        <f>0.01689689*(1000)</f>
        <v>16.896890000000003</v>
      </c>
    </row>
    <row r="7845" spans="1:8" s="15" customFormat="1" ht="16.5" hidden="1" customHeight="1" outlineLevel="1" x14ac:dyDescent="0.25">
      <c r="A7845" s="18">
        <v>3558</v>
      </c>
      <c r="B7845" s="4" t="s">
        <v>250</v>
      </c>
      <c r="C7845" s="38" t="s">
        <v>6562</v>
      </c>
      <c r="D7845" s="18">
        <v>2022</v>
      </c>
      <c r="E7845" s="18" t="s">
        <v>0</v>
      </c>
      <c r="F7845" s="42">
        <v>1</v>
      </c>
      <c r="G7845" s="4">
        <v>15</v>
      </c>
      <c r="H7845" s="18">
        <f>0.01689688*(1000)</f>
        <v>16.896879999999999</v>
      </c>
    </row>
    <row r="7846" spans="1:8" s="15" customFormat="1" ht="16.5" hidden="1" customHeight="1" outlineLevel="1" x14ac:dyDescent="0.25">
      <c r="A7846" s="18">
        <v>3559</v>
      </c>
      <c r="B7846" s="4" t="s">
        <v>250</v>
      </c>
      <c r="C7846" s="38" t="s">
        <v>6563</v>
      </c>
      <c r="D7846" s="18">
        <v>2022</v>
      </c>
      <c r="E7846" s="18" t="s">
        <v>0</v>
      </c>
      <c r="F7846" s="42">
        <v>1</v>
      </c>
      <c r="G7846" s="4">
        <v>150</v>
      </c>
      <c r="H7846" s="18">
        <f>0.01689689*(1000)</f>
        <v>16.896890000000003</v>
      </c>
    </row>
    <row r="7847" spans="1:8" s="15" customFormat="1" ht="16.5" hidden="1" customHeight="1" outlineLevel="1" x14ac:dyDescent="0.25">
      <c r="A7847" s="18">
        <v>3560</v>
      </c>
      <c r="B7847" s="4" t="s">
        <v>250</v>
      </c>
      <c r="C7847" s="38" t="s">
        <v>6564</v>
      </c>
      <c r="D7847" s="18">
        <v>2022</v>
      </c>
      <c r="E7847" s="18" t="s">
        <v>0</v>
      </c>
      <c r="F7847" s="42">
        <v>1</v>
      </c>
      <c r="G7847" s="4">
        <v>15</v>
      </c>
      <c r="H7847" s="18">
        <f>0.01689688*(1000)</f>
        <v>16.896879999999999</v>
      </c>
    </row>
    <row r="7848" spans="1:8" s="15" customFormat="1" ht="16.5" hidden="1" customHeight="1" outlineLevel="1" x14ac:dyDescent="0.25">
      <c r="A7848" s="18">
        <v>3561</v>
      </c>
      <c r="B7848" s="4" t="s">
        <v>250</v>
      </c>
      <c r="C7848" s="38" t="s">
        <v>6565</v>
      </c>
      <c r="D7848" s="18">
        <v>2022</v>
      </c>
      <c r="E7848" s="18" t="s">
        <v>0</v>
      </c>
      <c r="F7848" s="42">
        <v>1</v>
      </c>
      <c r="G7848" s="4">
        <v>15</v>
      </c>
      <c r="H7848" s="18">
        <f>0.01689689*(1000)</f>
        <v>16.896890000000003</v>
      </c>
    </row>
    <row r="7849" spans="1:8" s="15" customFormat="1" ht="16.5" hidden="1" customHeight="1" outlineLevel="1" x14ac:dyDescent="0.25">
      <c r="A7849" s="18">
        <v>3563</v>
      </c>
      <c r="B7849" s="4" t="s">
        <v>250</v>
      </c>
      <c r="C7849" s="38" t="s">
        <v>6566</v>
      </c>
      <c r="D7849" s="18">
        <v>2022</v>
      </c>
      <c r="E7849" s="18" t="s">
        <v>0</v>
      </c>
      <c r="F7849" s="42">
        <v>1</v>
      </c>
      <c r="G7849" s="4">
        <v>15</v>
      </c>
      <c r="H7849" s="18">
        <f>0.0174514*(1000)</f>
        <v>17.4514</v>
      </c>
    </row>
    <row r="7850" spans="1:8" s="15" customFormat="1" ht="16.5" hidden="1" customHeight="1" outlineLevel="1" x14ac:dyDescent="0.25">
      <c r="A7850" s="18">
        <v>3564</v>
      </c>
      <c r="B7850" s="4" t="s">
        <v>250</v>
      </c>
      <c r="C7850" s="38" t="s">
        <v>6567</v>
      </c>
      <c r="D7850" s="18">
        <v>2022</v>
      </c>
      <c r="E7850" s="18" t="s">
        <v>0</v>
      </c>
      <c r="F7850" s="42">
        <v>1</v>
      </c>
      <c r="G7850" s="4">
        <v>15</v>
      </c>
      <c r="H7850" s="18">
        <f>0.01689688*(1000)</f>
        <v>16.896879999999999</v>
      </c>
    </row>
    <row r="7851" spans="1:8" s="15" customFormat="1" ht="16.5" hidden="1" customHeight="1" outlineLevel="1" x14ac:dyDescent="0.25">
      <c r="A7851" s="18">
        <v>3565</v>
      </c>
      <c r="B7851" s="4" t="s">
        <v>250</v>
      </c>
      <c r="C7851" s="38" t="s">
        <v>6568</v>
      </c>
      <c r="D7851" s="18">
        <v>2022</v>
      </c>
      <c r="E7851" s="18" t="s">
        <v>0</v>
      </c>
      <c r="F7851" s="42">
        <v>1</v>
      </c>
      <c r="G7851" s="4">
        <v>15</v>
      </c>
      <c r="H7851" s="18">
        <f>0.01689689*(1000)</f>
        <v>16.896890000000003</v>
      </c>
    </row>
    <row r="7852" spans="1:8" s="15" customFormat="1" ht="16.5" hidden="1" customHeight="1" outlineLevel="1" x14ac:dyDescent="0.25">
      <c r="A7852" s="18">
        <v>3572</v>
      </c>
      <c r="B7852" s="4" t="s">
        <v>250</v>
      </c>
      <c r="C7852" s="38" t="s">
        <v>6569</v>
      </c>
      <c r="D7852" s="18">
        <v>2022</v>
      </c>
      <c r="E7852" s="18" t="s">
        <v>0</v>
      </c>
      <c r="F7852" s="42">
        <v>1</v>
      </c>
      <c r="G7852" s="4">
        <v>15</v>
      </c>
      <c r="H7852" s="18">
        <f>0.0174514*(1000)</f>
        <v>17.4514</v>
      </c>
    </row>
    <row r="7853" spans="1:8" s="15" customFormat="1" ht="16.5" hidden="1" customHeight="1" outlineLevel="1" x14ac:dyDescent="0.25">
      <c r="A7853" s="18">
        <v>3573</v>
      </c>
      <c r="B7853" s="4" t="s">
        <v>250</v>
      </c>
      <c r="C7853" s="38" t="s">
        <v>6570</v>
      </c>
      <c r="D7853" s="18">
        <v>2022</v>
      </c>
      <c r="E7853" s="18" t="s">
        <v>0</v>
      </c>
      <c r="F7853" s="42">
        <v>1</v>
      </c>
      <c r="G7853" s="4">
        <v>15</v>
      </c>
      <c r="H7853" s="18">
        <f>0.01745139*(1000)</f>
        <v>17.45139</v>
      </c>
    </row>
    <row r="7854" spans="1:8" s="15" customFormat="1" ht="16.5" hidden="1" customHeight="1" outlineLevel="1" x14ac:dyDescent="0.25">
      <c r="A7854" s="18">
        <v>3576</v>
      </c>
      <c r="B7854" s="4" t="s">
        <v>250</v>
      </c>
      <c r="C7854" s="38" t="s">
        <v>6571</v>
      </c>
      <c r="D7854" s="18">
        <v>2022</v>
      </c>
      <c r="E7854" s="18" t="s">
        <v>0</v>
      </c>
      <c r="F7854" s="42">
        <v>1</v>
      </c>
      <c r="G7854" s="4">
        <v>15</v>
      </c>
      <c r="H7854" s="18">
        <f>0.01742858*(1000)</f>
        <v>17.42858</v>
      </c>
    </row>
    <row r="7855" spans="1:8" s="15" customFormat="1" ht="16.5" hidden="1" customHeight="1" outlineLevel="1" x14ac:dyDescent="0.25">
      <c r="A7855" s="18">
        <v>3577</v>
      </c>
      <c r="B7855" s="4" t="s">
        <v>250</v>
      </c>
      <c r="C7855" s="38" t="s">
        <v>6572</v>
      </c>
      <c r="D7855" s="18">
        <v>2022</v>
      </c>
      <c r="E7855" s="18" t="s">
        <v>0</v>
      </c>
      <c r="F7855" s="42">
        <v>1</v>
      </c>
      <c r="G7855" s="4">
        <v>100</v>
      </c>
      <c r="H7855" s="18">
        <f>0.02229084*(1000)</f>
        <v>22.290839999999999</v>
      </c>
    </row>
    <row r="7856" spans="1:8" s="15" customFormat="1" ht="16.5" hidden="1" customHeight="1" outlineLevel="1" x14ac:dyDescent="0.25">
      <c r="A7856" s="18">
        <v>3578</v>
      </c>
      <c r="B7856" s="4" t="s">
        <v>250</v>
      </c>
      <c r="C7856" s="38" t="s">
        <v>6573</v>
      </c>
      <c r="D7856" s="18">
        <v>2022</v>
      </c>
      <c r="E7856" s="18" t="s">
        <v>0</v>
      </c>
      <c r="F7856" s="42">
        <v>1</v>
      </c>
      <c r="G7856" s="4">
        <v>55</v>
      </c>
      <c r="H7856" s="18">
        <f>0.01687409*(1000)</f>
        <v>16.874090000000002</v>
      </c>
    </row>
    <row r="7857" spans="1:8" s="15" customFormat="1" ht="16.5" hidden="1" customHeight="1" outlineLevel="1" x14ac:dyDescent="0.25">
      <c r="A7857" s="18">
        <v>3579</v>
      </c>
      <c r="B7857" s="4" t="s">
        <v>250</v>
      </c>
      <c r="C7857" s="38" t="s">
        <v>6574</v>
      </c>
      <c r="D7857" s="18">
        <v>2022</v>
      </c>
      <c r="E7857" s="18" t="s">
        <v>0</v>
      </c>
      <c r="F7857" s="42">
        <v>1</v>
      </c>
      <c r="G7857" s="4">
        <v>15</v>
      </c>
      <c r="H7857" s="18">
        <f>0.01742858*(1000)</f>
        <v>17.42858</v>
      </c>
    </row>
    <row r="7858" spans="1:8" s="15" customFormat="1" ht="16.5" hidden="1" customHeight="1" outlineLevel="1" x14ac:dyDescent="0.25">
      <c r="A7858" s="18">
        <v>3589</v>
      </c>
      <c r="B7858" s="4" t="s">
        <v>250</v>
      </c>
      <c r="C7858" s="38" t="s">
        <v>6575</v>
      </c>
      <c r="D7858" s="18">
        <v>2022</v>
      </c>
      <c r="E7858" s="18" t="s">
        <v>0</v>
      </c>
      <c r="F7858" s="42">
        <v>1</v>
      </c>
      <c r="G7858" s="4">
        <v>15</v>
      </c>
      <c r="H7858" s="18">
        <f>0.01742857*(1000)</f>
        <v>17.428570000000001</v>
      </c>
    </row>
    <row r="7859" spans="1:8" s="15" customFormat="1" ht="16.5" hidden="1" customHeight="1" outlineLevel="1" x14ac:dyDescent="0.25">
      <c r="A7859" s="18">
        <v>3591</v>
      </c>
      <c r="B7859" s="4" t="s">
        <v>250</v>
      </c>
      <c r="C7859" s="38" t="s">
        <v>6576</v>
      </c>
      <c r="D7859" s="18">
        <v>2022</v>
      </c>
      <c r="E7859" s="18" t="s">
        <v>0</v>
      </c>
      <c r="F7859" s="42">
        <v>1</v>
      </c>
      <c r="G7859" s="4">
        <v>15</v>
      </c>
      <c r="H7859" s="18">
        <f>0.01742857*(1000)</f>
        <v>17.428570000000001</v>
      </c>
    </row>
    <row r="7860" spans="1:8" s="15" customFormat="1" ht="16.5" hidden="1" customHeight="1" outlineLevel="1" x14ac:dyDescent="0.25">
      <c r="A7860" s="18">
        <v>3593</v>
      </c>
      <c r="B7860" s="4" t="s">
        <v>250</v>
      </c>
      <c r="C7860" s="38" t="s">
        <v>6577</v>
      </c>
      <c r="D7860" s="18">
        <v>2022</v>
      </c>
      <c r="E7860" s="18" t="s">
        <v>0</v>
      </c>
      <c r="F7860" s="42">
        <v>1</v>
      </c>
      <c r="G7860" s="4">
        <v>15</v>
      </c>
      <c r="H7860" s="18">
        <f>0.01742857*(1000)</f>
        <v>17.428570000000001</v>
      </c>
    </row>
    <row r="7861" spans="1:8" s="15" customFormat="1" ht="16.5" hidden="1" customHeight="1" outlineLevel="1" x14ac:dyDescent="0.25">
      <c r="A7861" s="18">
        <v>3594</v>
      </c>
      <c r="B7861" s="4" t="s">
        <v>250</v>
      </c>
      <c r="C7861" s="38" t="s">
        <v>6578</v>
      </c>
      <c r="D7861" s="18">
        <v>2022</v>
      </c>
      <c r="E7861" s="18" t="s">
        <v>0</v>
      </c>
      <c r="F7861" s="42">
        <v>1</v>
      </c>
      <c r="G7861" s="4">
        <v>15</v>
      </c>
      <c r="H7861" s="18">
        <f>0.01687409*(1000)</f>
        <v>16.874090000000002</v>
      </c>
    </row>
    <row r="7862" spans="1:8" s="15" customFormat="1" ht="16.5" hidden="1" customHeight="1" outlineLevel="1" x14ac:dyDescent="0.25">
      <c r="A7862" s="18">
        <v>3595</v>
      </c>
      <c r="B7862" s="4" t="s">
        <v>250</v>
      </c>
      <c r="C7862" s="38" t="s">
        <v>6579</v>
      </c>
      <c r="D7862" s="18">
        <v>2022</v>
      </c>
      <c r="E7862" s="18" t="s">
        <v>0</v>
      </c>
      <c r="F7862" s="42">
        <v>1</v>
      </c>
      <c r="G7862" s="4">
        <v>5</v>
      </c>
      <c r="H7862" s="18">
        <f>0.01687409*(1000)</f>
        <v>16.874090000000002</v>
      </c>
    </row>
    <row r="7863" spans="1:8" s="15" customFormat="1" ht="16.5" hidden="1" customHeight="1" outlineLevel="1" x14ac:dyDescent="0.25">
      <c r="A7863" s="18">
        <v>3598</v>
      </c>
      <c r="B7863" s="4" t="s">
        <v>250</v>
      </c>
      <c r="C7863" s="38" t="s">
        <v>6580</v>
      </c>
      <c r="D7863" s="18">
        <v>2022</v>
      </c>
      <c r="E7863" s="18" t="s">
        <v>0</v>
      </c>
      <c r="F7863" s="42">
        <v>1</v>
      </c>
      <c r="G7863" s="4">
        <v>15</v>
      </c>
      <c r="H7863" s="18">
        <f>0.01742858*(1000)</f>
        <v>17.42858</v>
      </c>
    </row>
    <row r="7864" spans="1:8" s="15" customFormat="1" ht="16.5" hidden="1" customHeight="1" outlineLevel="1" x14ac:dyDescent="0.25">
      <c r="A7864" s="18">
        <v>3600</v>
      </c>
      <c r="B7864" s="4" t="s">
        <v>250</v>
      </c>
      <c r="C7864" s="38" t="s">
        <v>6581</v>
      </c>
      <c r="D7864" s="18">
        <v>2022</v>
      </c>
      <c r="E7864" s="18" t="s">
        <v>0</v>
      </c>
      <c r="F7864" s="42">
        <v>1</v>
      </c>
      <c r="G7864" s="4">
        <v>15</v>
      </c>
      <c r="H7864" s="18">
        <f>0.01041908*(1000)</f>
        <v>10.419080000000001</v>
      </c>
    </row>
    <row r="7865" spans="1:8" s="15" customFormat="1" ht="16.5" hidden="1" customHeight="1" outlineLevel="1" x14ac:dyDescent="0.25">
      <c r="A7865" s="18">
        <v>3603</v>
      </c>
      <c r="B7865" s="4" t="s">
        <v>250</v>
      </c>
      <c r="C7865" s="38" t="s">
        <v>6582</v>
      </c>
      <c r="D7865" s="18">
        <v>2022</v>
      </c>
      <c r="E7865" s="18" t="s">
        <v>0</v>
      </c>
      <c r="F7865" s="42">
        <v>1</v>
      </c>
      <c r="G7865" s="4">
        <v>15</v>
      </c>
      <c r="H7865" s="18">
        <f>0.01745139*(1000)</f>
        <v>17.45139</v>
      </c>
    </row>
    <row r="7866" spans="1:8" s="15" customFormat="1" ht="16.5" hidden="1" customHeight="1" outlineLevel="1" x14ac:dyDescent="0.25">
      <c r="A7866" s="18">
        <v>3604</v>
      </c>
      <c r="B7866" s="4" t="s">
        <v>250</v>
      </c>
      <c r="C7866" s="38" t="s">
        <v>6583</v>
      </c>
      <c r="D7866" s="18">
        <v>2022</v>
      </c>
      <c r="E7866" s="18" t="s">
        <v>0</v>
      </c>
      <c r="F7866" s="42">
        <v>1</v>
      </c>
      <c r="G7866" s="4">
        <v>10</v>
      </c>
      <c r="H7866" s="18">
        <f>0.01742858*(1000)</f>
        <v>17.42858</v>
      </c>
    </row>
    <row r="7867" spans="1:8" s="15" customFormat="1" ht="16.5" hidden="1" customHeight="1" outlineLevel="1" x14ac:dyDescent="0.25">
      <c r="A7867" s="18">
        <v>3605</v>
      </c>
      <c r="B7867" s="4" t="s">
        <v>250</v>
      </c>
      <c r="C7867" s="38" t="s">
        <v>6584</v>
      </c>
      <c r="D7867" s="18">
        <v>2022</v>
      </c>
      <c r="E7867" s="18" t="s">
        <v>0</v>
      </c>
      <c r="F7867" s="42">
        <v>1</v>
      </c>
      <c r="G7867" s="4">
        <v>15</v>
      </c>
      <c r="H7867" s="18">
        <f>0.01742857*(1000)</f>
        <v>17.428570000000001</v>
      </c>
    </row>
    <row r="7868" spans="1:8" s="15" customFormat="1" ht="16.5" hidden="1" customHeight="1" outlineLevel="1" x14ac:dyDescent="0.25">
      <c r="A7868" s="18">
        <v>3607</v>
      </c>
      <c r="B7868" s="4" t="s">
        <v>250</v>
      </c>
      <c r="C7868" s="38" t="s">
        <v>6585</v>
      </c>
      <c r="D7868" s="18">
        <v>2022</v>
      </c>
      <c r="E7868" s="18" t="s">
        <v>0</v>
      </c>
      <c r="F7868" s="42">
        <v>1</v>
      </c>
      <c r="G7868" s="4">
        <v>35</v>
      </c>
      <c r="H7868" s="18">
        <f>0.01689688*(1000)</f>
        <v>16.896879999999999</v>
      </c>
    </row>
    <row r="7869" spans="1:8" s="15" customFormat="1" ht="16.5" hidden="1" customHeight="1" outlineLevel="1" x14ac:dyDescent="0.25">
      <c r="A7869" s="18">
        <v>3608</v>
      </c>
      <c r="B7869" s="4" t="s">
        <v>250</v>
      </c>
      <c r="C7869" s="38" t="s">
        <v>6586</v>
      </c>
      <c r="D7869" s="18">
        <v>2022</v>
      </c>
      <c r="E7869" s="18" t="s">
        <v>0</v>
      </c>
      <c r="F7869" s="42">
        <v>1</v>
      </c>
      <c r="G7869" s="4">
        <v>15</v>
      </c>
      <c r="H7869" s="18">
        <f>0.0174514*(1000)</f>
        <v>17.4514</v>
      </c>
    </row>
    <row r="7870" spans="1:8" s="15" customFormat="1" ht="16.5" hidden="1" customHeight="1" outlineLevel="1" x14ac:dyDescent="0.25">
      <c r="A7870" s="18">
        <v>3610</v>
      </c>
      <c r="B7870" s="4" t="s">
        <v>250</v>
      </c>
      <c r="C7870" s="38" t="s">
        <v>6587</v>
      </c>
      <c r="D7870" s="18">
        <v>2022</v>
      </c>
      <c r="E7870" s="18" t="s">
        <v>0</v>
      </c>
      <c r="F7870" s="42">
        <v>1</v>
      </c>
      <c r="G7870" s="4">
        <v>15</v>
      </c>
      <c r="H7870" s="18">
        <f>0.0168969*(1000)</f>
        <v>16.896899999999999</v>
      </c>
    </row>
    <row r="7871" spans="1:8" s="15" customFormat="1" ht="16.5" hidden="1" customHeight="1" outlineLevel="1" x14ac:dyDescent="0.25">
      <c r="A7871" s="18">
        <v>3614</v>
      </c>
      <c r="B7871" s="4" t="s">
        <v>250</v>
      </c>
      <c r="C7871" s="38" t="s">
        <v>6588</v>
      </c>
      <c r="D7871" s="18">
        <v>2022</v>
      </c>
      <c r="E7871" s="18" t="s">
        <v>0</v>
      </c>
      <c r="F7871" s="42">
        <v>1</v>
      </c>
      <c r="G7871" s="4">
        <v>15</v>
      </c>
      <c r="H7871" s="18">
        <f>0.0174514*(1000)</f>
        <v>17.4514</v>
      </c>
    </row>
    <row r="7872" spans="1:8" s="15" customFormat="1" ht="16.5" hidden="1" customHeight="1" outlineLevel="1" x14ac:dyDescent="0.25">
      <c r="A7872" s="18">
        <v>3615</v>
      </c>
      <c r="B7872" s="4" t="s">
        <v>250</v>
      </c>
      <c r="C7872" s="38" t="s">
        <v>6589</v>
      </c>
      <c r="D7872" s="18">
        <v>2022</v>
      </c>
      <c r="E7872" s="18" t="s">
        <v>0</v>
      </c>
      <c r="F7872" s="42">
        <v>1</v>
      </c>
      <c r="G7872" s="4">
        <v>2</v>
      </c>
      <c r="H7872" s="18">
        <f>0.01745139*(1000)</f>
        <v>17.45139</v>
      </c>
    </row>
    <row r="7873" spans="1:8" s="15" customFormat="1" ht="16.5" hidden="1" customHeight="1" outlineLevel="1" x14ac:dyDescent="0.25">
      <c r="A7873" s="18">
        <v>3617</v>
      </c>
      <c r="B7873" s="4" t="s">
        <v>250</v>
      </c>
      <c r="C7873" s="38" t="s">
        <v>6590</v>
      </c>
      <c r="D7873" s="18">
        <v>2022</v>
      </c>
      <c r="E7873" s="18" t="s">
        <v>0</v>
      </c>
      <c r="F7873" s="42">
        <v>1</v>
      </c>
      <c r="G7873" s="4">
        <v>15</v>
      </c>
      <c r="H7873" s="18">
        <f>0.01745139*(1000)</f>
        <v>17.45139</v>
      </c>
    </row>
    <row r="7874" spans="1:8" s="15" customFormat="1" ht="16.5" hidden="1" customHeight="1" outlineLevel="1" x14ac:dyDescent="0.25">
      <c r="A7874" s="18">
        <v>3619</v>
      </c>
      <c r="B7874" s="4" t="s">
        <v>250</v>
      </c>
      <c r="C7874" s="38" t="s">
        <v>6591</v>
      </c>
      <c r="D7874" s="18">
        <v>2022</v>
      </c>
      <c r="E7874" s="18" t="s">
        <v>0</v>
      </c>
      <c r="F7874" s="42">
        <v>1</v>
      </c>
      <c r="G7874" s="4">
        <v>15</v>
      </c>
      <c r="H7874" s="18">
        <f>0.0186234*(1000)</f>
        <v>18.623399999999997</v>
      </c>
    </row>
    <row r="7875" spans="1:8" s="15" customFormat="1" ht="16.5" hidden="1" customHeight="1" outlineLevel="1" x14ac:dyDescent="0.25">
      <c r="A7875" s="18">
        <v>3620</v>
      </c>
      <c r="B7875" s="4" t="s">
        <v>250</v>
      </c>
      <c r="C7875" s="38" t="s">
        <v>6592</v>
      </c>
      <c r="D7875" s="18">
        <v>2022</v>
      </c>
      <c r="E7875" s="18" t="s">
        <v>0</v>
      </c>
      <c r="F7875" s="42">
        <v>1</v>
      </c>
      <c r="G7875" s="4">
        <v>15</v>
      </c>
      <c r="H7875" s="18">
        <f>0.01689689*(1000)</f>
        <v>16.896890000000003</v>
      </c>
    </row>
    <row r="7876" spans="1:8" s="15" customFormat="1" ht="16.5" hidden="1" customHeight="1" outlineLevel="1" x14ac:dyDescent="0.25">
      <c r="A7876" s="18">
        <v>3621</v>
      </c>
      <c r="B7876" s="4" t="s">
        <v>250</v>
      </c>
      <c r="C7876" s="38" t="s">
        <v>6593</v>
      </c>
      <c r="D7876" s="18">
        <v>2022</v>
      </c>
      <c r="E7876" s="18" t="s">
        <v>0</v>
      </c>
      <c r="F7876" s="42">
        <v>1</v>
      </c>
      <c r="G7876" s="4">
        <v>15</v>
      </c>
      <c r="H7876" s="18">
        <f>0.01745139*(1000)</f>
        <v>17.45139</v>
      </c>
    </row>
    <row r="7877" spans="1:8" s="15" customFormat="1" ht="16.5" hidden="1" customHeight="1" outlineLevel="1" x14ac:dyDescent="0.25">
      <c r="A7877" s="18">
        <v>3622</v>
      </c>
      <c r="B7877" s="4" t="s">
        <v>250</v>
      </c>
      <c r="C7877" s="38" t="s">
        <v>6594</v>
      </c>
      <c r="D7877" s="18">
        <v>2022</v>
      </c>
      <c r="E7877" s="18" t="s">
        <v>0</v>
      </c>
      <c r="F7877" s="42">
        <v>1</v>
      </c>
      <c r="G7877" s="4">
        <v>15</v>
      </c>
      <c r="H7877" s="18">
        <f>0.0174514*(1000)</f>
        <v>17.4514</v>
      </c>
    </row>
    <row r="7878" spans="1:8" s="15" customFormat="1" ht="16.5" hidden="1" customHeight="1" outlineLevel="1" x14ac:dyDescent="0.25">
      <c r="A7878" s="18">
        <v>3623</v>
      </c>
      <c r="B7878" s="4" t="s">
        <v>250</v>
      </c>
      <c r="C7878" s="38" t="s">
        <v>6595</v>
      </c>
      <c r="D7878" s="18">
        <v>2022</v>
      </c>
      <c r="E7878" s="18" t="s">
        <v>0</v>
      </c>
      <c r="F7878" s="42">
        <v>1</v>
      </c>
      <c r="G7878" s="4">
        <v>15</v>
      </c>
      <c r="H7878" s="18">
        <f>0.0186234*(1000)</f>
        <v>18.623399999999997</v>
      </c>
    </row>
    <row r="7879" spans="1:8" s="15" customFormat="1" ht="16.5" hidden="1" customHeight="1" outlineLevel="1" x14ac:dyDescent="0.25">
      <c r="A7879" s="18">
        <v>3627</v>
      </c>
      <c r="B7879" s="4" t="s">
        <v>250</v>
      </c>
      <c r="C7879" s="38" t="s">
        <v>6596</v>
      </c>
      <c r="D7879" s="18">
        <v>2022</v>
      </c>
      <c r="E7879" s="18" t="s">
        <v>0</v>
      </c>
      <c r="F7879" s="42">
        <v>1</v>
      </c>
      <c r="G7879" s="4">
        <v>15</v>
      </c>
      <c r="H7879" s="18">
        <f>0.01745137*(1000)</f>
        <v>17.451370000000001</v>
      </c>
    </row>
    <row r="7880" spans="1:8" s="15" customFormat="1" ht="16.5" hidden="1" customHeight="1" outlineLevel="1" x14ac:dyDescent="0.25">
      <c r="A7880" s="18">
        <v>3628</v>
      </c>
      <c r="B7880" s="4" t="s">
        <v>250</v>
      </c>
      <c r="C7880" s="38" t="s">
        <v>6597</v>
      </c>
      <c r="D7880" s="18">
        <v>2022</v>
      </c>
      <c r="E7880" s="18" t="s">
        <v>0</v>
      </c>
      <c r="F7880" s="42">
        <v>1</v>
      </c>
      <c r="G7880" s="4">
        <v>15</v>
      </c>
      <c r="H7880" s="18">
        <f>0.01745137*(1000)</f>
        <v>17.451370000000001</v>
      </c>
    </row>
    <row r="7881" spans="1:8" s="15" customFormat="1" ht="16.5" hidden="1" customHeight="1" outlineLevel="1" x14ac:dyDescent="0.25">
      <c r="A7881" s="18">
        <v>3629</v>
      </c>
      <c r="B7881" s="4" t="s">
        <v>250</v>
      </c>
      <c r="C7881" s="38" t="s">
        <v>6598</v>
      </c>
      <c r="D7881" s="18">
        <v>2022</v>
      </c>
      <c r="E7881" s="18" t="s">
        <v>0</v>
      </c>
      <c r="F7881" s="42">
        <v>1</v>
      </c>
      <c r="G7881" s="4">
        <v>100</v>
      </c>
      <c r="H7881" s="18">
        <f>0.01813328*(1000)</f>
        <v>18.133280000000003</v>
      </c>
    </row>
    <row r="7882" spans="1:8" s="15" customFormat="1" ht="16.5" hidden="1" customHeight="1" outlineLevel="1" x14ac:dyDescent="0.25">
      <c r="A7882" s="18">
        <v>3630</v>
      </c>
      <c r="B7882" s="4" t="s">
        <v>250</v>
      </c>
      <c r="C7882" s="38" t="s">
        <v>6599</v>
      </c>
      <c r="D7882" s="18">
        <v>2022</v>
      </c>
      <c r="E7882" s="18" t="s">
        <v>0</v>
      </c>
      <c r="F7882" s="42">
        <v>1</v>
      </c>
      <c r="G7882" s="4">
        <v>15</v>
      </c>
      <c r="H7882" s="18">
        <f>0.0174514*(1000)</f>
        <v>17.4514</v>
      </c>
    </row>
    <row r="7883" spans="1:8" s="15" customFormat="1" ht="16.5" hidden="1" customHeight="1" outlineLevel="1" x14ac:dyDescent="0.25">
      <c r="A7883" s="18">
        <v>3634</v>
      </c>
      <c r="B7883" s="4" t="s">
        <v>250</v>
      </c>
      <c r="C7883" s="38" t="s">
        <v>6600</v>
      </c>
      <c r="D7883" s="18">
        <v>2022</v>
      </c>
      <c r="E7883" s="18" t="s">
        <v>0</v>
      </c>
      <c r="F7883" s="42">
        <v>1</v>
      </c>
      <c r="G7883" s="4">
        <v>15</v>
      </c>
      <c r="H7883" s="18">
        <f>0.01745139*(1000)</f>
        <v>17.45139</v>
      </c>
    </row>
    <row r="7884" spans="1:8" s="15" customFormat="1" ht="16.5" hidden="1" customHeight="1" outlineLevel="1" x14ac:dyDescent="0.25">
      <c r="A7884" s="18">
        <v>3636</v>
      </c>
      <c r="B7884" s="4" t="s">
        <v>250</v>
      </c>
      <c r="C7884" s="38" t="s">
        <v>6601</v>
      </c>
      <c r="D7884" s="18">
        <v>2022</v>
      </c>
      <c r="E7884" s="18" t="s">
        <v>0</v>
      </c>
      <c r="F7884" s="42">
        <v>1</v>
      </c>
      <c r="G7884" s="4">
        <v>15</v>
      </c>
      <c r="H7884" s="18">
        <f>0.0174514*(1000)</f>
        <v>17.4514</v>
      </c>
    </row>
    <row r="7885" spans="1:8" s="15" customFormat="1" ht="16.5" hidden="1" customHeight="1" outlineLevel="1" x14ac:dyDescent="0.25">
      <c r="A7885" s="18">
        <v>3639</v>
      </c>
      <c r="B7885" s="4" t="s">
        <v>250</v>
      </c>
      <c r="C7885" s="38" t="s">
        <v>6602</v>
      </c>
      <c r="D7885" s="18">
        <v>2022</v>
      </c>
      <c r="E7885" s="18" t="s">
        <v>0</v>
      </c>
      <c r="F7885" s="42">
        <v>1</v>
      </c>
      <c r="G7885" s="4">
        <v>15</v>
      </c>
      <c r="H7885" s="18">
        <f t="shared" ref="H7885:H7890" si="11">0.01743791*(1000)</f>
        <v>17.437910000000002</v>
      </c>
    </row>
    <row r="7886" spans="1:8" s="15" customFormat="1" ht="16.5" hidden="1" customHeight="1" outlineLevel="1" x14ac:dyDescent="0.25">
      <c r="A7886" s="18">
        <v>3642</v>
      </c>
      <c r="B7886" s="4" t="s">
        <v>250</v>
      </c>
      <c r="C7886" s="38" t="s">
        <v>6603</v>
      </c>
      <c r="D7886" s="18">
        <v>2022</v>
      </c>
      <c r="E7886" s="18" t="s">
        <v>0</v>
      </c>
      <c r="F7886" s="42">
        <v>1</v>
      </c>
      <c r="G7886" s="4">
        <v>15</v>
      </c>
      <c r="H7886" s="18">
        <f t="shared" si="11"/>
        <v>17.437910000000002</v>
      </c>
    </row>
    <row r="7887" spans="1:8" s="15" customFormat="1" ht="16.5" hidden="1" customHeight="1" outlineLevel="1" x14ac:dyDescent="0.25">
      <c r="A7887" s="18">
        <v>3644</v>
      </c>
      <c r="B7887" s="4" t="s">
        <v>250</v>
      </c>
      <c r="C7887" s="38" t="s">
        <v>6604</v>
      </c>
      <c r="D7887" s="18">
        <v>2022</v>
      </c>
      <c r="E7887" s="18" t="s">
        <v>0</v>
      </c>
      <c r="F7887" s="42">
        <v>1</v>
      </c>
      <c r="G7887" s="4">
        <v>15</v>
      </c>
      <c r="H7887" s="18">
        <f t="shared" si="11"/>
        <v>17.437910000000002</v>
      </c>
    </row>
    <row r="7888" spans="1:8" s="15" customFormat="1" ht="16.5" hidden="1" customHeight="1" outlineLevel="1" x14ac:dyDescent="0.25">
      <c r="A7888" s="18">
        <v>3647</v>
      </c>
      <c r="B7888" s="4" t="s">
        <v>250</v>
      </c>
      <c r="C7888" s="38" t="s">
        <v>6605</v>
      </c>
      <c r="D7888" s="18">
        <v>2022</v>
      </c>
      <c r="E7888" s="18" t="s">
        <v>0</v>
      </c>
      <c r="F7888" s="42">
        <v>1</v>
      </c>
      <c r="G7888" s="4">
        <v>15</v>
      </c>
      <c r="H7888" s="18">
        <f t="shared" si="11"/>
        <v>17.437910000000002</v>
      </c>
    </row>
    <row r="7889" spans="1:8" s="15" customFormat="1" ht="16.5" hidden="1" customHeight="1" outlineLevel="1" x14ac:dyDescent="0.25">
      <c r="A7889" s="18">
        <v>3649</v>
      </c>
      <c r="B7889" s="4" t="s">
        <v>250</v>
      </c>
      <c r="C7889" s="38" t="s">
        <v>6606</v>
      </c>
      <c r="D7889" s="18">
        <v>2022</v>
      </c>
      <c r="E7889" s="18" t="s">
        <v>0</v>
      </c>
      <c r="F7889" s="42">
        <v>1</v>
      </c>
      <c r="G7889" s="4">
        <v>15</v>
      </c>
      <c r="H7889" s="18">
        <f t="shared" si="11"/>
        <v>17.437910000000002</v>
      </c>
    </row>
    <row r="7890" spans="1:8" s="15" customFormat="1" ht="16.5" hidden="1" customHeight="1" outlineLevel="1" x14ac:dyDescent="0.25">
      <c r="A7890" s="18">
        <v>3650</v>
      </c>
      <c r="B7890" s="4" t="s">
        <v>250</v>
      </c>
      <c r="C7890" s="38" t="s">
        <v>6607</v>
      </c>
      <c r="D7890" s="18">
        <v>2022</v>
      </c>
      <c r="E7890" s="18" t="s">
        <v>0</v>
      </c>
      <c r="F7890" s="42">
        <v>1</v>
      </c>
      <c r="G7890" s="4">
        <v>15</v>
      </c>
      <c r="H7890" s="18">
        <f t="shared" si="11"/>
        <v>17.437910000000002</v>
      </c>
    </row>
    <row r="7891" spans="1:8" s="15" customFormat="1" ht="16.5" hidden="1" customHeight="1" outlineLevel="1" x14ac:dyDescent="0.25">
      <c r="A7891" s="18">
        <v>3651</v>
      </c>
      <c r="B7891" s="4" t="s">
        <v>250</v>
      </c>
      <c r="C7891" s="38" t="s">
        <v>6608</v>
      </c>
      <c r="D7891" s="18">
        <v>2022</v>
      </c>
      <c r="E7891" s="18" t="s">
        <v>0</v>
      </c>
      <c r="F7891" s="42">
        <v>1</v>
      </c>
      <c r="G7891" s="4">
        <v>150</v>
      </c>
      <c r="H7891" s="18">
        <f>0.02642324*(1000)</f>
        <v>26.42324</v>
      </c>
    </row>
    <row r="7892" spans="1:8" s="15" customFormat="1" ht="16.5" hidden="1" customHeight="1" outlineLevel="1" x14ac:dyDescent="0.25">
      <c r="A7892" s="18">
        <v>3652</v>
      </c>
      <c r="B7892" s="4" t="s">
        <v>250</v>
      </c>
      <c r="C7892" s="38" t="s">
        <v>6609</v>
      </c>
      <c r="D7892" s="18">
        <v>2022</v>
      </c>
      <c r="E7892" s="18" t="s">
        <v>0</v>
      </c>
      <c r="F7892" s="42">
        <v>1</v>
      </c>
      <c r="G7892" s="4">
        <v>15</v>
      </c>
      <c r="H7892" s="18">
        <f>0.01802068*(1000)</f>
        <v>18.020680000000002</v>
      </c>
    </row>
    <row r="7893" spans="1:8" s="15" customFormat="1" ht="16.5" hidden="1" customHeight="1" outlineLevel="1" x14ac:dyDescent="0.25">
      <c r="A7893" s="18">
        <v>3653</v>
      </c>
      <c r="B7893" s="4" t="s">
        <v>250</v>
      </c>
      <c r="C7893" s="38" t="s">
        <v>6610</v>
      </c>
      <c r="D7893" s="18">
        <v>2022</v>
      </c>
      <c r="E7893" s="18" t="s">
        <v>0</v>
      </c>
      <c r="F7893" s="42">
        <v>1</v>
      </c>
      <c r="G7893" s="4">
        <v>15</v>
      </c>
      <c r="H7893" s="18">
        <f>0.01743791*(1000)</f>
        <v>17.437910000000002</v>
      </c>
    </row>
    <row r="7894" spans="1:8" s="15" customFormat="1" ht="16.5" hidden="1" customHeight="1" outlineLevel="1" x14ac:dyDescent="0.25">
      <c r="A7894" s="18">
        <v>3654</v>
      </c>
      <c r="B7894" s="4" t="s">
        <v>250</v>
      </c>
      <c r="C7894" s="38" t="s">
        <v>6611</v>
      </c>
      <c r="D7894" s="18">
        <v>2022</v>
      </c>
      <c r="E7894" s="18" t="s">
        <v>0</v>
      </c>
      <c r="F7894" s="42">
        <v>1</v>
      </c>
      <c r="G7894" s="4">
        <v>15</v>
      </c>
      <c r="H7894" s="18">
        <f>0.01743791*(1000)</f>
        <v>17.437910000000002</v>
      </c>
    </row>
    <row r="7895" spans="1:8" s="15" customFormat="1" ht="16.5" hidden="1" customHeight="1" outlineLevel="1" x14ac:dyDescent="0.25">
      <c r="A7895" s="18">
        <v>3662</v>
      </c>
      <c r="B7895" s="4" t="s">
        <v>250</v>
      </c>
      <c r="C7895" s="38" t="s">
        <v>6612</v>
      </c>
      <c r="D7895" s="18">
        <v>2022</v>
      </c>
      <c r="E7895" s="18" t="s">
        <v>0</v>
      </c>
      <c r="F7895" s="42">
        <v>1</v>
      </c>
      <c r="G7895" s="4">
        <v>15</v>
      </c>
      <c r="H7895" s="18">
        <f>0.01802069*(1000)</f>
        <v>18.020689999999998</v>
      </c>
    </row>
    <row r="7896" spans="1:8" s="15" customFormat="1" ht="16.5" hidden="1" customHeight="1" outlineLevel="1" x14ac:dyDescent="0.25">
      <c r="A7896" s="18">
        <v>3663</v>
      </c>
      <c r="B7896" s="4" t="s">
        <v>250</v>
      </c>
      <c r="C7896" s="38" t="s">
        <v>6613</v>
      </c>
      <c r="D7896" s="18">
        <v>2022</v>
      </c>
      <c r="E7896" s="18" t="s">
        <v>0</v>
      </c>
      <c r="F7896" s="42">
        <v>1</v>
      </c>
      <c r="G7896" s="4">
        <v>15</v>
      </c>
      <c r="H7896" s="18">
        <f>0.01367266*(1000)</f>
        <v>13.67266</v>
      </c>
    </row>
    <row r="7897" spans="1:8" s="15" customFormat="1" ht="16.5" hidden="1" customHeight="1" outlineLevel="1" x14ac:dyDescent="0.25">
      <c r="A7897" s="18">
        <v>3668</v>
      </c>
      <c r="B7897" s="4" t="s">
        <v>250</v>
      </c>
      <c r="C7897" s="38" t="s">
        <v>6614</v>
      </c>
      <c r="D7897" s="18">
        <v>2022</v>
      </c>
      <c r="E7897" s="18" t="s">
        <v>0</v>
      </c>
      <c r="F7897" s="42">
        <v>1</v>
      </c>
      <c r="G7897" s="4">
        <v>15</v>
      </c>
      <c r="H7897" s="18">
        <f>0.01820723*(1000)</f>
        <v>18.207230000000003</v>
      </c>
    </row>
    <row r="7898" spans="1:8" s="15" customFormat="1" ht="16.5" hidden="1" customHeight="1" outlineLevel="1" x14ac:dyDescent="0.25">
      <c r="A7898" s="18">
        <v>3669</v>
      </c>
      <c r="B7898" s="4" t="s">
        <v>250</v>
      </c>
      <c r="C7898" s="38" t="s">
        <v>6615</v>
      </c>
      <c r="D7898" s="18">
        <v>2022</v>
      </c>
      <c r="E7898" s="18" t="s">
        <v>0</v>
      </c>
      <c r="F7898" s="42">
        <v>1</v>
      </c>
      <c r="G7898" s="4">
        <v>15</v>
      </c>
      <c r="H7898" s="18">
        <f>0.0182785*(1000)</f>
        <v>18.278500000000001</v>
      </c>
    </row>
    <row r="7899" spans="1:8" s="15" customFormat="1" ht="16.5" hidden="1" customHeight="1" outlineLevel="1" x14ac:dyDescent="0.25">
      <c r="A7899" s="18">
        <v>3670</v>
      </c>
      <c r="B7899" s="4" t="s">
        <v>250</v>
      </c>
      <c r="C7899" s="38" t="s">
        <v>6616</v>
      </c>
      <c r="D7899" s="18">
        <v>2022</v>
      </c>
      <c r="E7899" s="18" t="s">
        <v>0</v>
      </c>
      <c r="F7899" s="42">
        <v>1</v>
      </c>
      <c r="G7899" s="4">
        <v>14</v>
      </c>
      <c r="H7899" s="18">
        <f>0.01498302*(1000)</f>
        <v>14.98302</v>
      </c>
    </row>
    <row r="7900" spans="1:8" s="15" customFormat="1" ht="16.5" hidden="1" customHeight="1" outlineLevel="1" x14ac:dyDescent="0.25">
      <c r="A7900" s="18">
        <v>3671</v>
      </c>
      <c r="B7900" s="4" t="s">
        <v>250</v>
      </c>
      <c r="C7900" s="38" t="s">
        <v>6617</v>
      </c>
      <c r="D7900" s="18">
        <v>2022</v>
      </c>
      <c r="E7900" s="18" t="s">
        <v>0</v>
      </c>
      <c r="F7900" s="42">
        <v>1</v>
      </c>
      <c r="G7900" s="4">
        <v>15</v>
      </c>
      <c r="H7900" s="18">
        <f>0.01498302*(1000)</f>
        <v>14.98302</v>
      </c>
    </row>
    <row r="7901" spans="1:8" s="15" customFormat="1" ht="16.5" hidden="1" customHeight="1" outlineLevel="1" x14ac:dyDescent="0.25">
      <c r="A7901" s="18">
        <v>3672</v>
      </c>
      <c r="B7901" s="4" t="s">
        <v>250</v>
      </c>
      <c r="C7901" s="38" t="s">
        <v>6618</v>
      </c>
      <c r="D7901" s="18">
        <v>2022</v>
      </c>
      <c r="E7901" s="18" t="s">
        <v>0</v>
      </c>
      <c r="F7901" s="42">
        <v>1</v>
      </c>
      <c r="G7901" s="4">
        <v>15</v>
      </c>
      <c r="H7901" s="18">
        <f>0.01498302*(1000)</f>
        <v>14.98302</v>
      </c>
    </row>
    <row r="7902" spans="1:8" s="15" customFormat="1" ht="16.5" hidden="1" customHeight="1" outlineLevel="1" x14ac:dyDescent="0.25">
      <c r="A7902" s="18">
        <v>3676</v>
      </c>
      <c r="B7902" s="4" t="s">
        <v>250</v>
      </c>
      <c r="C7902" s="38" t="s">
        <v>6619</v>
      </c>
      <c r="D7902" s="18">
        <v>2022</v>
      </c>
      <c r="E7902" s="18" t="s">
        <v>0</v>
      </c>
      <c r="F7902" s="42">
        <v>6</v>
      </c>
      <c r="G7902" s="4">
        <v>58</v>
      </c>
      <c r="H7902" s="18">
        <f>0.06637521*(1000)</f>
        <v>66.37521000000001</v>
      </c>
    </row>
    <row r="7903" spans="1:8" s="15" customFormat="1" ht="16.5" hidden="1" customHeight="1" outlineLevel="1" x14ac:dyDescent="0.25">
      <c r="A7903" s="18">
        <v>3677</v>
      </c>
      <c r="B7903" s="4" t="s">
        <v>250</v>
      </c>
      <c r="C7903" s="38" t="s">
        <v>6620</v>
      </c>
      <c r="D7903" s="18">
        <v>2022</v>
      </c>
      <c r="E7903" s="18" t="s">
        <v>0</v>
      </c>
      <c r="F7903" s="42">
        <v>6</v>
      </c>
      <c r="G7903" s="4">
        <v>60</v>
      </c>
      <c r="H7903" s="18">
        <f>0.06637526*(1000)</f>
        <v>66.375260000000011</v>
      </c>
    </row>
    <row r="7904" spans="1:8" s="15" customFormat="1" ht="16.5" hidden="1" customHeight="1" outlineLevel="1" x14ac:dyDescent="0.25">
      <c r="A7904" s="18">
        <v>3678</v>
      </c>
      <c r="B7904" s="4" t="s">
        <v>250</v>
      </c>
      <c r="C7904" s="38" t="s">
        <v>6621</v>
      </c>
      <c r="D7904" s="18">
        <v>2022</v>
      </c>
      <c r="E7904" s="18" t="s">
        <v>0</v>
      </c>
      <c r="F7904" s="42">
        <v>1</v>
      </c>
      <c r="G7904" s="4">
        <v>20</v>
      </c>
      <c r="H7904" s="18">
        <f>0.01729418*(1000)</f>
        <v>17.294180000000001</v>
      </c>
    </row>
    <row r="7905" spans="1:8" s="15" customFormat="1" ht="16.5" hidden="1" customHeight="1" outlineLevel="1" x14ac:dyDescent="0.25">
      <c r="A7905" s="18">
        <v>3680</v>
      </c>
      <c r="B7905" s="4" t="s">
        <v>250</v>
      </c>
      <c r="C7905" s="38" t="s">
        <v>6622</v>
      </c>
      <c r="D7905" s="18">
        <v>2022</v>
      </c>
      <c r="E7905" s="18" t="s">
        <v>0</v>
      </c>
      <c r="F7905" s="42">
        <v>3</v>
      </c>
      <c r="G7905" s="4">
        <v>37</v>
      </c>
      <c r="H7905" s="18">
        <f>0.04364963*(1000)</f>
        <v>43.649630000000002</v>
      </c>
    </row>
    <row r="7906" spans="1:8" s="15" customFormat="1" ht="16.5" hidden="1" customHeight="1" outlineLevel="1" x14ac:dyDescent="0.25">
      <c r="A7906" s="18">
        <v>3682</v>
      </c>
      <c r="B7906" s="4" t="s">
        <v>250</v>
      </c>
      <c r="C7906" s="38" t="s">
        <v>6623</v>
      </c>
      <c r="D7906" s="18">
        <v>2022</v>
      </c>
      <c r="E7906" s="18" t="s">
        <v>0</v>
      </c>
      <c r="F7906" s="42">
        <v>6</v>
      </c>
      <c r="G7906" s="4">
        <v>74</v>
      </c>
      <c r="H7906" s="18">
        <f>0.07984387*(1000)</f>
        <v>79.843869999999995</v>
      </c>
    </row>
    <row r="7907" spans="1:8" s="15" customFormat="1" ht="16.5" hidden="1" customHeight="1" outlineLevel="1" x14ac:dyDescent="0.25">
      <c r="A7907" s="18">
        <v>3683</v>
      </c>
      <c r="B7907" s="4" t="s">
        <v>250</v>
      </c>
      <c r="C7907" s="38" t="s">
        <v>6624</v>
      </c>
      <c r="D7907" s="18">
        <v>2022</v>
      </c>
      <c r="E7907" s="18" t="s">
        <v>0</v>
      </c>
      <c r="F7907" s="42">
        <v>5</v>
      </c>
      <c r="G7907" s="4">
        <v>55</v>
      </c>
      <c r="H7907" s="18">
        <f>0.06332725*(1000)</f>
        <v>63.327249999999999</v>
      </c>
    </row>
    <row r="7908" spans="1:8" s="15" customFormat="1" ht="16.5" hidden="1" customHeight="1" outlineLevel="1" x14ac:dyDescent="0.25">
      <c r="A7908" s="18">
        <v>3684</v>
      </c>
      <c r="B7908" s="4" t="s">
        <v>250</v>
      </c>
      <c r="C7908" s="38" t="s">
        <v>6625</v>
      </c>
      <c r="D7908" s="18">
        <v>2022</v>
      </c>
      <c r="E7908" s="18" t="s">
        <v>0</v>
      </c>
      <c r="F7908" s="42">
        <v>3</v>
      </c>
      <c r="G7908" s="4">
        <v>35</v>
      </c>
      <c r="H7908" s="18">
        <f>0.04364963*(1000)</f>
        <v>43.649630000000002</v>
      </c>
    </row>
    <row r="7909" spans="1:8" s="15" customFormat="1" ht="16.5" hidden="1" customHeight="1" outlineLevel="1" x14ac:dyDescent="0.25">
      <c r="A7909" s="18">
        <v>3685</v>
      </c>
      <c r="B7909" s="4" t="s">
        <v>250</v>
      </c>
      <c r="C7909" s="38" t="s">
        <v>6626</v>
      </c>
      <c r="D7909" s="18">
        <v>2022</v>
      </c>
      <c r="E7909" s="18" t="s">
        <v>0</v>
      </c>
      <c r="F7909" s="42">
        <v>5</v>
      </c>
      <c r="G7909" s="4">
        <v>58</v>
      </c>
      <c r="H7909" s="18">
        <f>0.07015171*(1000)</f>
        <v>70.151710000000008</v>
      </c>
    </row>
    <row r="7910" spans="1:8" s="15" customFormat="1" ht="16.5" hidden="1" customHeight="1" outlineLevel="1" x14ac:dyDescent="0.25">
      <c r="A7910" s="18">
        <v>3686</v>
      </c>
      <c r="B7910" s="4" t="s">
        <v>250</v>
      </c>
      <c r="C7910" s="38" t="s">
        <v>6627</v>
      </c>
      <c r="D7910" s="18">
        <v>2022</v>
      </c>
      <c r="E7910" s="18" t="s">
        <v>0</v>
      </c>
      <c r="F7910" s="42">
        <v>4</v>
      </c>
      <c r="G7910" s="4">
        <v>47</v>
      </c>
      <c r="H7910" s="18">
        <f>0.05349765*(1000)</f>
        <v>53.49765</v>
      </c>
    </row>
    <row r="7911" spans="1:8" s="15" customFormat="1" ht="16.5" hidden="1" customHeight="1" outlineLevel="1" x14ac:dyDescent="0.25">
      <c r="A7911" s="18">
        <v>3687</v>
      </c>
      <c r="B7911" s="4" t="s">
        <v>250</v>
      </c>
      <c r="C7911" s="38" t="s">
        <v>6628</v>
      </c>
      <c r="D7911" s="18">
        <v>2022</v>
      </c>
      <c r="E7911" s="18" t="s">
        <v>0</v>
      </c>
      <c r="F7911" s="42">
        <v>7</v>
      </c>
      <c r="G7911" s="4">
        <v>87</v>
      </c>
      <c r="H7911" s="18">
        <f>0.09648351*(1000)</f>
        <v>96.483509999999995</v>
      </c>
    </row>
    <row r="7912" spans="1:8" s="15" customFormat="1" ht="16.5" hidden="1" customHeight="1" outlineLevel="1" x14ac:dyDescent="0.25">
      <c r="A7912" s="18">
        <v>3688</v>
      </c>
      <c r="B7912" s="4" t="s">
        <v>250</v>
      </c>
      <c r="C7912" s="38" t="s">
        <v>6629</v>
      </c>
      <c r="D7912" s="18">
        <v>2022</v>
      </c>
      <c r="E7912" s="18" t="s">
        <v>0</v>
      </c>
      <c r="F7912" s="42">
        <v>6</v>
      </c>
      <c r="G7912" s="4">
        <v>70</v>
      </c>
      <c r="H7912" s="18">
        <f>0.07999053*(1000)</f>
        <v>79.990530000000007</v>
      </c>
    </row>
    <row r="7913" spans="1:8" s="15" customFormat="1" ht="16.5" hidden="1" customHeight="1" outlineLevel="1" x14ac:dyDescent="0.25">
      <c r="A7913" s="18">
        <v>3689</v>
      </c>
      <c r="B7913" s="4" t="s">
        <v>250</v>
      </c>
      <c r="C7913" s="38" t="s">
        <v>6630</v>
      </c>
      <c r="D7913" s="18">
        <v>2022</v>
      </c>
      <c r="E7913" s="18" t="s">
        <v>0</v>
      </c>
      <c r="F7913" s="42">
        <v>6</v>
      </c>
      <c r="G7913" s="4">
        <v>76</v>
      </c>
      <c r="H7913" s="18">
        <f>0.08664467*(1000)</f>
        <v>86.644669999999991</v>
      </c>
    </row>
    <row r="7914" spans="1:8" s="15" customFormat="1" ht="16.5" hidden="1" customHeight="1" outlineLevel="1" x14ac:dyDescent="0.25">
      <c r="A7914" s="18">
        <v>3690</v>
      </c>
      <c r="B7914" s="4" t="s">
        <v>250</v>
      </c>
      <c r="C7914" s="38" t="s">
        <v>6631</v>
      </c>
      <c r="D7914" s="18">
        <v>2022</v>
      </c>
      <c r="E7914" s="18" t="s">
        <v>0</v>
      </c>
      <c r="F7914" s="42">
        <v>5</v>
      </c>
      <c r="G7914" s="4">
        <v>60</v>
      </c>
      <c r="H7914" s="18">
        <f>0.06347388*(1000)</f>
        <v>63.473879999999994</v>
      </c>
    </row>
    <row r="7915" spans="1:8" s="15" customFormat="1" ht="16.5" hidden="1" customHeight="1" outlineLevel="1" x14ac:dyDescent="0.25">
      <c r="A7915" s="18">
        <v>3691</v>
      </c>
      <c r="B7915" s="4" t="s">
        <v>250</v>
      </c>
      <c r="C7915" s="38" t="s">
        <v>6632</v>
      </c>
      <c r="D7915" s="18">
        <v>2022</v>
      </c>
      <c r="E7915" s="18" t="s">
        <v>0</v>
      </c>
      <c r="F7915" s="42">
        <v>6</v>
      </c>
      <c r="G7915" s="4">
        <v>68</v>
      </c>
      <c r="H7915" s="18">
        <f>0.07985428*(1000)</f>
        <v>79.854280000000003</v>
      </c>
    </row>
    <row r="7916" spans="1:8" s="15" customFormat="1" ht="16.5" hidden="1" customHeight="1" outlineLevel="1" x14ac:dyDescent="0.25">
      <c r="A7916" s="18">
        <v>3692</v>
      </c>
      <c r="B7916" s="4" t="s">
        <v>250</v>
      </c>
      <c r="C7916" s="38" t="s">
        <v>6633</v>
      </c>
      <c r="D7916" s="18">
        <v>2022</v>
      </c>
      <c r="E7916" s="18" t="s">
        <v>0</v>
      </c>
      <c r="F7916" s="42">
        <v>3</v>
      </c>
      <c r="G7916" s="4">
        <v>40</v>
      </c>
      <c r="H7916" s="18">
        <f>0.04379628*(1000)</f>
        <v>43.796280000000003</v>
      </c>
    </row>
    <row r="7917" spans="1:8" s="15" customFormat="1" ht="16.5" hidden="1" customHeight="1" outlineLevel="1" x14ac:dyDescent="0.25">
      <c r="A7917" s="18">
        <v>3693</v>
      </c>
      <c r="B7917" s="4" t="s">
        <v>250</v>
      </c>
      <c r="C7917" s="38" t="s">
        <v>6634</v>
      </c>
      <c r="D7917" s="18">
        <v>2022</v>
      </c>
      <c r="E7917" s="18" t="s">
        <v>0</v>
      </c>
      <c r="F7917" s="42">
        <v>5</v>
      </c>
      <c r="G7917" s="4">
        <v>62</v>
      </c>
      <c r="H7917" s="18">
        <f>0.07680591*(1000)</f>
        <v>76.805910000000011</v>
      </c>
    </row>
    <row r="7918" spans="1:8" s="15" customFormat="1" ht="16.5" hidden="1" customHeight="1" outlineLevel="1" x14ac:dyDescent="0.25">
      <c r="A7918" s="18">
        <v>3694</v>
      </c>
      <c r="B7918" s="4" t="s">
        <v>250</v>
      </c>
      <c r="C7918" s="38" t="s">
        <v>6635</v>
      </c>
      <c r="D7918" s="18">
        <v>2022</v>
      </c>
      <c r="E7918" s="18" t="s">
        <v>0</v>
      </c>
      <c r="F7918" s="42">
        <v>6</v>
      </c>
      <c r="G7918" s="4">
        <v>77</v>
      </c>
      <c r="H7918" s="18">
        <f>0.08663266*(1000)</f>
        <v>86.632660000000001</v>
      </c>
    </row>
    <row r="7919" spans="1:8" s="15" customFormat="1" ht="16.5" hidden="1" customHeight="1" outlineLevel="1" x14ac:dyDescent="0.25">
      <c r="A7919" s="18">
        <v>3695</v>
      </c>
      <c r="B7919" s="4" t="s">
        <v>250</v>
      </c>
      <c r="C7919" s="38" t="s">
        <v>6636</v>
      </c>
      <c r="D7919" s="18">
        <v>2022</v>
      </c>
      <c r="E7919" s="18" t="s">
        <v>0</v>
      </c>
      <c r="F7919" s="42">
        <v>6</v>
      </c>
      <c r="G7919" s="4">
        <v>66</v>
      </c>
      <c r="H7919" s="18">
        <f>0.07341255*(1000)</f>
        <v>73.412549999999996</v>
      </c>
    </row>
    <row r="7920" spans="1:8" s="15" customFormat="1" ht="16.5" hidden="1" customHeight="1" outlineLevel="1" x14ac:dyDescent="0.25">
      <c r="A7920" s="18">
        <v>3696</v>
      </c>
      <c r="B7920" s="4" t="s">
        <v>250</v>
      </c>
      <c r="C7920" s="38" t="s">
        <v>6637</v>
      </c>
      <c r="D7920" s="18">
        <v>2022</v>
      </c>
      <c r="E7920" s="18" t="s">
        <v>0</v>
      </c>
      <c r="F7920" s="42">
        <v>6</v>
      </c>
      <c r="G7920" s="4">
        <v>67</v>
      </c>
      <c r="H7920" s="18">
        <f>0.07341838*(1000)</f>
        <v>73.418379999999999</v>
      </c>
    </row>
    <row r="7921" spans="1:8" s="15" customFormat="1" ht="16.5" hidden="1" customHeight="1" outlineLevel="1" x14ac:dyDescent="0.25">
      <c r="A7921" s="18">
        <v>3697</v>
      </c>
      <c r="B7921" s="4" t="s">
        <v>250</v>
      </c>
      <c r="C7921" s="38" t="s">
        <v>6638</v>
      </c>
      <c r="D7921" s="18">
        <v>2022</v>
      </c>
      <c r="E7921" s="18" t="s">
        <v>0</v>
      </c>
      <c r="F7921" s="42">
        <v>1</v>
      </c>
      <c r="G7921" s="4">
        <v>15</v>
      </c>
      <c r="H7921" s="18">
        <f>0.01740576*(1000)</f>
        <v>17.405760000000001</v>
      </c>
    </row>
    <row r="7922" spans="1:8" s="15" customFormat="1" ht="16.5" hidden="1" customHeight="1" outlineLevel="1" x14ac:dyDescent="0.25">
      <c r="A7922" s="18">
        <v>3698</v>
      </c>
      <c r="B7922" s="4" t="s">
        <v>250</v>
      </c>
      <c r="C7922" s="38" t="s">
        <v>6639</v>
      </c>
      <c r="D7922" s="18">
        <v>2022</v>
      </c>
      <c r="E7922" s="18" t="s">
        <v>0</v>
      </c>
      <c r="F7922" s="42">
        <v>6</v>
      </c>
      <c r="G7922" s="4">
        <v>70</v>
      </c>
      <c r="H7922" s="18">
        <f>0.07342423*(1000)</f>
        <v>73.424229999999994</v>
      </c>
    </row>
    <row r="7923" spans="1:8" s="15" customFormat="1" ht="16.5" hidden="1" customHeight="1" outlineLevel="1" x14ac:dyDescent="0.25">
      <c r="A7923" s="18">
        <v>3699</v>
      </c>
      <c r="B7923" s="4" t="s">
        <v>250</v>
      </c>
      <c r="C7923" s="38" t="s">
        <v>6640</v>
      </c>
      <c r="D7923" s="18">
        <v>2022</v>
      </c>
      <c r="E7923" s="18" t="s">
        <v>0</v>
      </c>
      <c r="F7923" s="42">
        <v>7</v>
      </c>
      <c r="G7923" s="4">
        <v>85</v>
      </c>
      <c r="H7923" s="18">
        <f>0.1032966*(1000)</f>
        <v>103.2966</v>
      </c>
    </row>
    <row r="7924" spans="1:8" s="15" customFormat="1" ht="16.5" hidden="1" customHeight="1" outlineLevel="1" x14ac:dyDescent="0.25">
      <c r="A7924" s="18">
        <v>3700</v>
      </c>
      <c r="B7924" s="4" t="s">
        <v>250</v>
      </c>
      <c r="C7924" s="38" t="s">
        <v>6641</v>
      </c>
      <c r="D7924" s="18">
        <v>2022</v>
      </c>
      <c r="E7924" s="18" t="s">
        <v>0</v>
      </c>
      <c r="F7924" s="42">
        <v>2</v>
      </c>
      <c r="G7924" s="4">
        <v>30</v>
      </c>
      <c r="H7924" s="18">
        <f>0.03414566*(1000)</f>
        <v>34.145659999999999</v>
      </c>
    </row>
    <row r="7925" spans="1:8" s="15" customFormat="1" ht="16.5" hidden="1" customHeight="1" outlineLevel="1" x14ac:dyDescent="0.25">
      <c r="A7925" s="18">
        <v>3701</v>
      </c>
      <c r="B7925" s="4" t="s">
        <v>250</v>
      </c>
      <c r="C7925" s="38" t="s">
        <v>6642</v>
      </c>
      <c r="D7925" s="18">
        <v>2022</v>
      </c>
      <c r="E7925" s="18" t="s">
        <v>0</v>
      </c>
      <c r="F7925" s="42">
        <v>1</v>
      </c>
      <c r="G7925" s="4">
        <v>15</v>
      </c>
      <c r="H7925" s="18">
        <f>0.01750697*(1000)</f>
        <v>17.506969999999999</v>
      </c>
    </row>
    <row r="7926" spans="1:8" s="15" customFormat="1" ht="16.5" hidden="1" customHeight="1" outlineLevel="1" x14ac:dyDescent="0.25">
      <c r="A7926" s="18">
        <v>3702</v>
      </c>
      <c r="B7926" s="4" t="s">
        <v>250</v>
      </c>
      <c r="C7926" s="38" t="s">
        <v>6643</v>
      </c>
      <c r="D7926" s="18">
        <v>2022</v>
      </c>
      <c r="E7926" s="18" t="s">
        <v>0</v>
      </c>
      <c r="F7926" s="42">
        <v>8</v>
      </c>
      <c r="G7926" s="4">
        <v>83</v>
      </c>
      <c r="H7926" s="18">
        <f>0.08645634*(1000)</f>
        <v>86.456340000000012</v>
      </c>
    </row>
    <row r="7927" spans="1:8" s="15" customFormat="1" ht="16.5" hidden="1" customHeight="1" outlineLevel="1" x14ac:dyDescent="0.25">
      <c r="A7927" s="18">
        <v>3703</v>
      </c>
      <c r="B7927" s="4" t="s">
        <v>250</v>
      </c>
      <c r="C7927" s="38" t="s">
        <v>6644</v>
      </c>
      <c r="D7927" s="18">
        <v>2022</v>
      </c>
      <c r="E7927" s="18" t="s">
        <v>0</v>
      </c>
      <c r="F7927" s="42">
        <v>2</v>
      </c>
      <c r="G7927" s="4">
        <v>30</v>
      </c>
      <c r="H7927" s="18">
        <f>0.0340972*(1000)</f>
        <v>34.097200000000001</v>
      </c>
    </row>
    <row r="7928" spans="1:8" s="15" customFormat="1" ht="16.5" hidden="1" customHeight="1" outlineLevel="1" x14ac:dyDescent="0.25">
      <c r="A7928" s="18">
        <v>3704</v>
      </c>
      <c r="B7928" s="4" t="s">
        <v>250</v>
      </c>
      <c r="C7928" s="38" t="s">
        <v>6645</v>
      </c>
      <c r="D7928" s="18">
        <v>2022</v>
      </c>
      <c r="E7928" s="18" t="s">
        <v>0</v>
      </c>
      <c r="F7928" s="42">
        <v>10</v>
      </c>
      <c r="G7928" s="4">
        <v>117</v>
      </c>
      <c r="H7928" s="18">
        <f>0.13269903*(1000)</f>
        <v>132.69902999999999</v>
      </c>
    </row>
    <row r="7929" spans="1:8" s="15" customFormat="1" ht="16.5" hidden="1" customHeight="1" outlineLevel="1" x14ac:dyDescent="0.25">
      <c r="A7929" s="18">
        <v>3705</v>
      </c>
      <c r="B7929" s="4" t="s">
        <v>250</v>
      </c>
      <c r="C7929" s="38" t="s">
        <v>6646</v>
      </c>
      <c r="D7929" s="18">
        <v>2022</v>
      </c>
      <c r="E7929" s="18" t="s">
        <v>0</v>
      </c>
      <c r="F7929" s="42">
        <v>5</v>
      </c>
      <c r="G7929" s="4">
        <v>74</v>
      </c>
      <c r="H7929" s="18">
        <f>0.08320859*(1000)</f>
        <v>83.208590000000001</v>
      </c>
    </row>
    <row r="7930" spans="1:8" s="15" customFormat="1" ht="16.5" hidden="1" customHeight="1" outlineLevel="1" x14ac:dyDescent="0.25">
      <c r="A7930" s="18">
        <v>3707</v>
      </c>
      <c r="B7930" s="4" t="s">
        <v>250</v>
      </c>
      <c r="C7930" s="38" t="s">
        <v>6647</v>
      </c>
      <c r="D7930" s="18">
        <v>2022</v>
      </c>
      <c r="E7930" s="18" t="s">
        <v>0</v>
      </c>
      <c r="F7930" s="42">
        <v>2</v>
      </c>
      <c r="G7930" s="4">
        <v>25</v>
      </c>
      <c r="H7930" s="18">
        <f>0.03716761*(1000)</f>
        <v>37.167609999999996</v>
      </c>
    </row>
    <row r="7931" spans="1:8" s="15" customFormat="1" ht="16.5" hidden="1" customHeight="1" outlineLevel="1" x14ac:dyDescent="0.25">
      <c r="A7931" s="18">
        <v>3708</v>
      </c>
      <c r="B7931" s="4" t="s">
        <v>250</v>
      </c>
      <c r="C7931" s="38" t="s">
        <v>6648</v>
      </c>
      <c r="D7931" s="18">
        <v>2022</v>
      </c>
      <c r="E7931" s="18" t="s">
        <v>0</v>
      </c>
      <c r="F7931" s="42">
        <v>1</v>
      </c>
      <c r="G7931" s="4">
        <v>10</v>
      </c>
      <c r="H7931" s="18">
        <f>0.01744768*(1000)</f>
        <v>17.447680000000002</v>
      </c>
    </row>
    <row r="7932" spans="1:8" s="15" customFormat="1" ht="16.5" hidden="1" customHeight="1" outlineLevel="1" x14ac:dyDescent="0.25">
      <c r="A7932" s="18">
        <v>3712</v>
      </c>
      <c r="B7932" s="4" t="s">
        <v>250</v>
      </c>
      <c r="C7932" s="38" t="s">
        <v>6649</v>
      </c>
      <c r="D7932" s="18">
        <v>2022</v>
      </c>
      <c r="E7932" s="18" t="s">
        <v>0</v>
      </c>
      <c r="F7932" s="42">
        <v>1</v>
      </c>
      <c r="G7932" s="4">
        <v>15</v>
      </c>
      <c r="H7932" s="18">
        <f>0.01741015*(1000)</f>
        <v>17.410149999999998</v>
      </c>
    </row>
    <row r="7933" spans="1:8" s="15" customFormat="1" ht="16.5" hidden="1" customHeight="1" outlineLevel="1" x14ac:dyDescent="0.25">
      <c r="A7933" s="18">
        <v>3718</v>
      </c>
      <c r="B7933" s="4" t="s">
        <v>250</v>
      </c>
      <c r="C7933" s="38" t="s">
        <v>6650</v>
      </c>
      <c r="D7933" s="18">
        <v>2022</v>
      </c>
      <c r="E7933" s="18" t="s">
        <v>0</v>
      </c>
      <c r="F7933" s="42">
        <v>1</v>
      </c>
      <c r="G7933" s="4">
        <v>15</v>
      </c>
      <c r="H7933" s="18">
        <f>0.01728712*(1000)</f>
        <v>17.287119999999998</v>
      </c>
    </row>
    <row r="7934" spans="1:8" s="15" customFormat="1" ht="16.5" hidden="1" customHeight="1" outlineLevel="1" x14ac:dyDescent="0.25">
      <c r="A7934" s="18">
        <v>3719</v>
      </c>
      <c r="B7934" s="4" t="s">
        <v>250</v>
      </c>
      <c r="C7934" s="38" t="s">
        <v>6651</v>
      </c>
      <c r="D7934" s="18">
        <v>2022</v>
      </c>
      <c r="E7934" s="18" t="s">
        <v>0</v>
      </c>
      <c r="F7934" s="42">
        <v>1</v>
      </c>
      <c r="G7934" s="4">
        <v>15</v>
      </c>
      <c r="H7934" s="18">
        <f>0.01741015*(1000)</f>
        <v>17.410149999999998</v>
      </c>
    </row>
    <row r="7935" spans="1:8" s="15" customFormat="1" ht="16.5" hidden="1" customHeight="1" outlineLevel="1" x14ac:dyDescent="0.25">
      <c r="A7935" s="18">
        <v>3721</v>
      </c>
      <c r="B7935" s="4" t="s">
        <v>250</v>
      </c>
      <c r="C7935" s="38" t="s">
        <v>6652</v>
      </c>
      <c r="D7935" s="18">
        <v>2022</v>
      </c>
      <c r="E7935" s="18" t="s">
        <v>0</v>
      </c>
      <c r="F7935" s="42">
        <v>1</v>
      </c>
      <c r="G7935" s="4">
        <v>10</v>
      </c>
      <c r="H7935" s="18">
        <f>0.027201*(1000)</f>
        <v>27.201000000000001</v>
      </c>
    </row>
    <row r="7936" spans="1:8" s="15" customFormat="1" ht="16.5" hidden="1" customHeight="1" outlineLevel="1" x14ac:dyDescent="0.25">
      <c r="A7936" s="18">
        <v>3722</v>
      </c>
      <c r="B7936" s="4" t="s">
        <v>250</v>
      </c>
      <c r="C7936" s="38" t="s">
        <v>6653</v>
      </c>
      <c r="D7936" s="18">
        <v>2022</v>
      </c>
      <c r="E7936" s="18" t="s">
        <v>0</v>
      </c>
      <c r="F7936" s="42">
        <v>1</v>
      </c>
      <c r="G7936" s="4">
        <v>15</v>
      </c>
      <c r="H7936" s="18">
        <f>0.01741015*(1000)</f>
        <v>17.410149999999998</v>
      </c>
    </row>
    <row r="7937" spans="1:8" s="15" customFormat="1" ht="16.5" hidden="1" customHeight="1" outlineLevel="1" x14ac:dyDescent="0.25">
      <c r="A7937" s="18">
        <v>3724</v>
      </c>
      <c r="B7937" s="4" t="s">
        <v>250</v>
      </c>
      <c r="C7937" s="38" t="s">
        <v>6654</v>
      </c>
      <c r="D7937" s="18">
        <v>2022</v>
      </c>
      <c r="E7937" s="18" t="s">
        <v>0</v>
      </c>
      <c r="F7937" s="42">
        <v>1</v>
      </c>
      <c r="G7937" s="4">
        <v>15</v>
      </c>
      <c r="H7937" s="18">
        <f>0.01741015*(1000)</f>
        <v>17.410149999999998</v>
      </c>
    </row>
    <row r="7938" spans="1:8" s="15" customFormat="1" ht="16.5" hidden="1" customHeight="1" outlineLevel="1" x14ac:dyDescent="0.25">
      <c r="A7938" s="18">
        <v>3729</v>
      </c>
      <c r="B7938" s="4" t="s">
        <v>250</v>
      </c>
      <c r="C7938" s="38" t="s">
        <v>6655</v>
      </c>
      <c r="D7938" s="18">
        <v>2022</v>
      </c>
      <c r="E7938" s="18" t="s">
        <v>0</v>
      </c>
      <c r="F7938" s="42">
        <v>1</v>
      </c>
      <c r="G7938" s="4">
        <v>15</v>
      </c>
      <c r="H7938" s="18">
        <f>0.01741015*(1000)</f>
        <v>17.410149999999998</v>
      </c>
    </row>
    <row r="7939" spans="1:8" s="15" customFormat="1" ht="16.5" hidden="1" customHeight="1" outlineLevel="1" x14ac:dyDescent="0.25">
      <c r="A7939" s="18">
        <v>3730</v>
      </c>
      <c r="B7939" s="4" t="s">
        <v>250</v>
      </c>
      <c r="C7939" s="38" t="s">
        <v>6656</v>
      </c>
      <c r="D7939" s="18">
        <v>2022</v>
      </c>
      <c r="E7939" s="18" t="s">
        <v>0</v>
      </c>
      <c r="F7939" s="42">
        <v>1</v>
      </c>
      <c r="G7939" s="4">
        <v>15</v>
      </c>
      <c r="H7939" s="18">
        <f>0.027201*(1000)</f>
        <v>27.201000000000001</v>
      </c>
    </row>
    <row r="7940" spans="1:8" s="15" customFormat="1" ht="16.5" hidden="1" customHeight="1" outlineLevel="1" x14ac:dyDescent="0.25">
      <c r="A7940" s="18">
        <v>3732</v>
      </c>
      <c r="B7940" s="4" t="s">
        <v>250</v>
      </c>
      <c r="C7940" s="38" t="s">
        <v>6657</v>
      </c>
      <c r="D7940" s="18">
        <v>2022</v>
      </c>
      <c r="E7940" s="18" t="s">
        <v>0</v>
      </c>
      <c r="F7940" s="42">
        <v>1</v>
      </c>
      <c r="G7940" s="4">
        <v>15</v>
      </c>
      <c r="H7940" s="18">
        <f>0.02707797*(1000)</f>
        <v>27.077970000000001</v>
      </c>
    </row>
    <row r="7941" spans="1:8" s="15" customFormat="1" ht="16.5" hidden="1" customHeight="1" outlineLevel="1" x14ac:dyDescent="0.25">
      <c r="A7941" s="18">
        <v>3734</v>
      </c>
      <c r="B7941" s="4" t="s">
        <v>250</v>
      </c>
      <c r="C7941" s="38" t="s">
        <v>6658</v>
      </c>
      <c r="D7941" s="18">
        <v>2022</v>
      </c>
      <c r="E7941" s="18" t="s">
        <v>0</v>
      </c>
      <c r="F7941" s="42">
        <v>1</v>
      </c>
      <c r="G7941" s="4">
        <v>15</v>
      </c>
      <c r="H7941" s="18">
        <f>0.02707797*(1000)</f>
        <v>27.077970000000001</v>
      </c>
    </row>
    <row r="7942" spans="1:8" s="15" customFormat="1" ht="16.5" hidden="1" customHeight="1" outlineLevel="1" x14ac:dyDescent="0.25">
      <c r="A7942" s="18">
        <v>3739</v>
      </c>
      <c r="B7942" s="4" t="s">
        <v>250</v>
      </c>
      <c r="C7942" s="38" t="s">
        <v>6659</v>
      </c>
      <c r="D7942" s="18">
        <v>2022</v>
      </c>
      <c r="E7942" s="18" t="s">
        <v>0</v>
      </c>
      <c r="F7942" s="42">
        <v>1</v>
      </c>
      <c r="G7942" s="4">
        <v>60</v>
      </c>
      <c r="H7942" s="18">
        <f>0.01714049*(1000)</f>
        <v>17.14049</v>
      </c>
    </row>
    <row r="7943" spans="1:8" s="15" customFormat="1" ht="16.5" hidden="1" customHeight="1" outlineLevel="1" x14ac:dyDescent="0.25">
      <c r="A7943" s="18">
        <v>3741</v>
      </c>
      <c r="B7943" s="4" t="s">
        <v>250</v>
      </c>
      <c r="C7943" s="38" t="s">
        <v>6660</v>
      </c>
      <c r="D7943" s="18">
        <v>2022</v>
      </c>
      <c r="E7943" s="18" t="s">
        <v>0</v>
      </c>
      <c r="F7943" s="42">
        <v>1</v>
      </c>
      <c r="G7943" s="4">
        <v>15</v>
      </c>
      <c r="H7943" s="18">
        <f>0.01714049*(1000)</f>
        <v>17.14049</v>
      </c>
    </row>
    <row r="7944" spans="1:8" s="15" customFormat="1" ht="16.5" hidden="1" customHeight="1" outlineLevel="1" x14ac:dyDescent="0.25">
      <c r="A7944" s="18">
        <v>3742</v>
      </c>
      <c r="B7944" s="4" t="s">
        <v>250</v>
      </c>
      <c r="C7944" s="38" t="s">
        <v>6661</v>
      </c>
      <c r="D7944" s="18">
        <v>2022</v>
      </c>
      <c r="E7944" s="18" t="s">
        <v>0</v>
      </c>
      <c r="F7944" s="42">
        <v>1</v>
      </c>
      <c r="G7944" s="4">
        <v>15</v>
      </c>
      <c r="H7944" s="18">
        <f>0.02707797*(1000)</f>
        <v>27.077970000000001</v>
      </c>
    </row>
    <row r="7945" spans="1:8" s="15" customFormat="1" ht="16.5" hidden="1" customHeight="1" outlineLevel="1" x14ac:dyDescent="0.25">
      <c r="A7945" s="18">
        <v>3748</v>
      </c>
      <c r="B7945" s="4" t="s">
        <v>250</v>
      </c>
      <c r="C7945" s="38" t="s">
        <v>6662</v>
      </c>
      <c r="D7945" s="18">
        <v>2022</v>
      </c>
      <c r="E7945" s="18" t="s">
        <v>0</v>
      </c>
      <c r="F7945" s="42">
        <v>1</v>
      </c>
      <c r="G7945" s="4">
        <v>15</v>
      </c>
      <c r="H7945" s="18">
        <f>0.01726354*(1000)</f>
        <v>17.263540000000003</v>
      </c>
    </row>
    <row r="7946" spans="1:8" s="15" customFormat="1" ht="16.5" hidden="1" customHeight="1" outlineLevel="1" x14ac:dyDescent="0.25">
      <c r="A7946" s="18">
        <v>3749</v>
      </c>
      <c r="B7946" s="4" t="s">
        <v>250</v>
      </c>
      <c r="C7946" s="38" t="s">
        <v>6663</v>
      </c>
      <c r="D7946" s="18">
        <v>2022</v>
      </c>
      <c r="E7946" s="18" t="s">
        <v>0</v>
      </c>
      <c r="F7946" s="42">
        <v>1</v>
      </c>
      <c r="G7946" s="4">
        <v>15</v>
      </c>
      <c r="H7946" s="18">
        <f>0.01726354*(1000)</f>
        <v>17.263540000000003</v>
      </c>
    </row>
    <row r="7947" spans="1:8" s="15" customFormat="1" ht="16.5" hidden="1" customHeight="1" outlineLevel="1" x14ac:dyDescent="0.25">
      <c r="A7947" s="18">
        <v>3753</v>
      </c>
      <c r="B7947" s="4" t="s">
        <v>250</v>
      </c>
      <c r="C7947" s="38" t="s">
        <v>6664</v>
      </c>
      <c r="D7947" s="18">
        <v>2022</v>
      </c>
      <c r="E7947" s="18" t="s">
        <v>0</v>
      </c>
      <c r="F7947" s="42">
        <v>1</v>
      </c>
      <c r="G7947" s="4">
        <v>15</v>
      </c>
      <c r="H7947" s="18">
        <f>0.01726354*(1000)</f>
        <v>17.263540000000003</v>
      </c>
    </row>
    <row r="7948" spans="1:8" s="15" customFormat="1" ht="16.5" hidden="1" customHeight="1" outlineLevel="1" x14ac:dyDescent="0.25">
      <c r="A7948" s="18">
        <v>3754</v>
      </c>
      <c r="B7948" s="4" t="s">
        <v>250</v>
      </c>
      <c r="C7948" s="38" t="s">
        <v>6665</v>
      </c>
      <c r="D7948" s="18">
        <v>2022</v>
      </c>
      <c r="E7948" s="18" t="s">
        <v>0</v>
      </c>
      <c r="F7948" s="42">
        <v>1</v>
      </c>
      <c r="G7948" s="4">
        <v>15</v>
      </c>
      <c r="H7948" s="18">
        <f>0.027201*(1000)</f>
        <v>27.201000000000001</v>
      </c>
    </row>
    <row r="7949" spans="1:8" s="15" customFormat="1" ht="16.5" hidden="1" customHeight="1" outlineLevel="1" x14ac:dyDescent="0.25">
      <c r="A7949" s="18">
        <v>3755</v>
      </c>
      <c r="B7949" s="4" t="s">
        <v>250</v>
      </c>
      <c r="C7949" s="38" t="s">
        <v>6666</v>
      </c>
      <c r="D7949" s="18">
        <v>2022</v>
      </c>
      <c r="E7949" s="18" t="s">
        <v>0</v>
      </c>
      <c r="F7949" s="42">
        <v>1</v>
      </c>
      <c r="G7949" s="4">
        <v>15</v>
      </c>
      <c r="H7949" s="18">
        <f>0.02707797*(1000)</f>
        <v>27.077970000000001</v>
      </c>
    </row>
    <row r="7950" spans="1:8" s="15" customFormat="1" ht="16.5" hidden="1" customHeight="1" outlineLevel="1" x14ac:dyDescent="0.25">
      <c r="A7950" s="18">
        <v>3756</v>
      </c>
      <c r="B7950" s="4" t="s">
        <v>250</v>
      </c>
      <c r="C7950" s="38" t="s">
        <v>6667</v>
      </c>
      <c r="D7950" s="18">
        <v>2022</v>
      </c>
      <c r="E7950" s="18" t="s">
        <v>0</v>
      </c>
      <c r="F7950" s="42">
        <v>1</v>
      </c>
      <c r="G7950" s="4">
        <v>14</v>
      </c>
      <c r="H7950" s="18">
        <f>0.02707797*(1000)</f>
        <v>27.077970000000001</v>
      </c>
    </row>
    <row r="7951" spans="1:8" s="15" customFormat="1" ht="16.5" hidden="1" customHeight="1" outlineLevel="1" x14ac:dyDescent="0.25">
      <c r="A7951" s="18">
        <v>3764</v>
      </c>
      <c r="B7951" s="4" t="s">
        <v>250</v>
      </c>
      <c r="C7951" s="38" t="s">
        <v>6668</v>
      </c>
      <c r="D7951" s="18">
        <v>2022</v>
      </c>
      <c r="E7951" s="18" t="s">
        <v>0</v>
      </c>
      <c r="F7951" s="42">
        <v>1</v>
      </c>
      <c r="G7951" s="4">
        <v>15</v>
      </c>
      <c r="H7951" s="18">
        <f>0.01717797*(1000)</f>
        <v>17.177970000000002</v>
      </c>
    </row>
    <row r="7952" spans="1:8" s="15" customFormat="1" ht="16.5" hidden="1" customHeight="1" outlineLevel="1" x14ac:dyDescent="0.25">
      <c r="A7952" s="18">
        <v>3766</v>
      </c>
      <c r="B7952" s="4" t="s">
        <v>250</v>
      </c>
      <c r="C7952" s="38" t="s">
        <v>6669</v>
      </c>
      <c r="D7952" s="18">
        <v>2022</v>
      </c>
      <c r="E7952" s="18" t="s">
        <v>0</v>
      </c>
      <c r="F7952" s="42">
        <v>1</v>
      </c>
      <c r="G7952" s="4">
        <v>15</v>
      </c>
      <c r="H7952" s="18">
        <f>0.01717797*(1000)</f>
        <v>17.177970000000002</v>
      </c>
    </row>
    <row r="7953" spans="1:8" s="15" customFormat="1" ht="16.5" hidden="1" customHeight="1" outlineLevel="1" x14ac:dyDescent="0.25">
      <c r="A7953" s="18">
        <v>3767</v>
      </c>
      <c r="B7953" s="4" t="s">
        <v>250</v>
      </c>
      <c r="C7953" s="38" t="s">
        <v>6670</v>
      </c>
      <c r="D7953" s="18">
        <v>2022</v>
      </c>
      <c r="E7953" s="18" t="s">
        <v>0</v>
      </c>
      <c r="F7953" s="42">
        <v>7</v>
      </c>
      <c r="G7953" s="4">
        <v>95</v>
      </c>
      <c r="H7953" s="18">
        <f>0.10276313*(1000)</f>
        <v>102.76312999999999</v>
      </c>
    </row>
    <row r="7954" spans="1:8" s="15" customFormat="1" ht="16.5" hidden="1" customHeight="1" outlineLevel="1" x14ac:dyDescent="0.25">
      <c r="A7954" s="18">
        <v>3768</v>
      </c>
      <c r="B7954" s="4" t="s">
        <v>250</v>
      </c>
      <c r="C7954" s="38" t="s">
        <v>6671</v>
      </c>
      <c r="D7954" s="18">
        <v>2022</v>
      </c>
      <c r="E7954" s="18" t="s">
        <v>0</v>
      </c>
      <c r="F7954" s="42">
        <v>1</v>
      </c>
      <c r="G7954" s="4">
        <v>15</v>
      </c>
      <c r="H7954" s="18">
        <f>0.01717797*(1000)</f>
        <v>17.177970000000002</v>
      </c>
    </row>
    <row r="7955" spans="1:8" s="15" customFormat="1" ht="16.5" hidden="1" customHeight="1" outlineLevel="1" x14ac:dyDescent="0.25">
      <c r="A7955" s="18">
        <v>3770</v>
      </c>
      <c r="B7955" s="4" t="s">
        <v>250</v>
      </c>
      <c r="C7955" s="38" t="s">
        <v>6672</v>
      </c>
      <c r="D7955" s="18">
        <v>2022</v>
      </c>
      <c r="E7955" s="18" t="s">
        <v>0</v>
      </c>
      <c r="F7955" s="42">
        <v>1</v>
      </c>
      <c r="G7955" s="4">
        <v>15</v>
      </c>
      <c r="H7955" s="18">
        <f>0.02711548*(1000)</f>
        <v>27.115480000000002</v>
      </c>
    </row>
    <row r="7956" spans="1:8" s="15" customFormat="1" ht="16.5" hidden="1" customHeight="1" outlineLevel="1" x14ac:dyDescent="0.25">
      <c r="A7956" s="18">
        <v>3773</v>
      </c>
      <c r="B7956" s="4" t="s">
        <v>250</v>
      </c>
      <c r="C7956" s="38" t="s">
        <v>6673</v>
      </c>
      <c r="D7956" s="18">
        <v>2022</v>
      </c>
      <c r="E7956" s="18" t="s">
        <v>0</v>
      </c>
      <c r="F7956" s="42">
        <v>1</v>
      </c>
      <c r="G7956" s="4">
        <v>15</v>
      </c>
      <c r="H7956" s="18">
        <f>0.01717797*(1000)</f>
        <v>17.177970000000002</v>
      </c>
    </row>
    <row r="7957" spans="1:8" s="15" customFormat="1" ht="16.5" hidden="1" customHeight="1" outlineLevel="1" x14ac:dyDescent="0.25">
      <c r="A7957" s="18">
        <v>3776</v>
      </c>
      <c r="B7957" s="4" t="s">
        <v>250</v>
      </c>
      <c r="C7957" s="38" t="s">
        <v>6674</v>
      </c>
      <c r="D7957" s="18">
        <v>2022</v>
      </c>
      <c r="E7957" s="18" t="s">
        <v>0</v>
      </c>
      <c r="F7957" s="42">
        <v>1</v>
      </c>
      <c r="G7957" s="4">
        <v>15</v>
      </c>
      <c r="H7957" s="18">
        <f>0.02711548*(1000)</f>
        <v>27.115480000000002</v>
      </c>
    </row>
    <row r="7958" spans="1:8" s="15" customFormat="1" ht="16.5" hidden="1" customHeight="1" outlineLevel="1" x14ac:dyDescent="0.25">
      <c r="A7958" s="18">
        <v>3779</v>
      </c>
      <c r="B7958" s="4" t="s">
        <v>250</v>
      </c>
      <c r="C7958" s="38" t="s">
        <v>6675</v>
      </c>
      <c r="D7958" s="18">
        <v>2022</v>
      </c>
      <c r="E7958" s="18" t="s">
        <v>0</v>
      </c>
      <c r="F7958" s="42">
        <v>1</v>
      </c>
      <c r="G7958" s="4">
        <v>15</v>
      </c>
      <c r="H7958" s="18">
        <f>0.02711548*(1000)</f>
        <v>27.115480000000002</v>
      </c>
    </row>
    <row r="7959" spans="1:8" s="15" customFormat="1" ht="16.5" hidden="1" customHeight="1" outlineLevel="1" x14ac:dyDescent="0.25">
      <c r="A7959" s="18">
        <v>3780</v>
      </c>
      <c r="B7959" s="4" t="s">
        <v>250</v>
      </c>
      <c r="C7959" s="38" t="s">
        <v>6676</v>
      </c>
      <c r="D7959" s="18">
        <v>2022</v>
      </c>
      <c r="E7959" s="18" t="s">
        <v>0</v>
      </c>
      <c r="F7959" s="42">
        <v>1</v>
      </c>
      <c r="G7959" s="4">
        <v>15</v>
      </c>
      <c r="H7959" s="18">
        <f>0.02711548*(1000)</f>
        <v>27.115480000000002</v>
      </c>
    </row>
    <row r="7960" spans="1:8" s="15" customFormat="1" ht="16.5" hidden="1" customHeight="1" outlineLevel="1" x14ac:dyDescent="0.25">
      <c r="A7960" s="18">
        <v>3783</v>
      </c>
      <c r="B7960" s="4" t="s">
        <v>250</v>
      </c>
      <c r="C7960" s="38" t="s">
        <v>6677</v>
      </c>
      <c r="D7960" s="18">
        <v>2022</v>
      </c>
      <c r="E7960" s="18" t="s">
        <v>0</v>
      </c>
      <c r="F7960" s="42">
        <v>1</v>
      </c>
      <c r="G7960" s="4">
        <v>14</v>
      </c>
      <c r="H7960" s="18">
        <f>0.01717797*(1000)</f>
        <v>17.177970000000002</v>
      </c>
    </row>
    <row r="7961" spans="1:8" s="15" customFormat="1" ht="16.5" hidden="1" customHeight="1" outlineLevel="1" x14ac:dyDescent="0.25">
      <c r="A7961" s="18">
        <v>3784</v>
      </c>
      <c r="B7961" s="4" t="s">
        <v>250</v>
      </c>
      <c r="C7961" s="38" t="s">
        <v>6678</v>
      </c>
      <c r="D7961" s="18">
        <v>2022</v>
      </c>
      <c r="E7961" s="18" t="s">
        <v>0</v>
      </c>
      <c r="F7961" s="42">
        <v>1</v>
      </c>
      <c r="G7961" s="4">
        <v>15</v>
      </c>
      <c r="H7961" s="18">
        <f>0.01717797*(1000)</f>
        <v>17.177970000000002</v>
      </c>
    </row>
    <row r="7962" spans="1:8" s="15" customFormat="1" ht="16.5" hidden="1" customHeight="1" outlineLevel="1" x14ac:dyDescent="0.25">
      <c r="A7962" s="18">
        <v>3787</v>
      </c>
      <c r="B7962" s="4" t="s">
        <v>250</v>
      </c>
      <c r="C7962" s="38" t="s">
        <v>6679</v>
      </c>
      <c r="D7962" s="18">
        <v>2022</v>
      </c>
      <c r="E7962" s="18" t="s">
        <v>0</v>
      </c>
      <c r="F7962" s="42">
        <v>1</v>
      </c>
      <c r="G7962" s="4">
        <v>15</v>
      </c>
      <c r="H7962" s="18">
        <f>0.02711548*(1000)</f>
        <v>27.115480000000002</v>
      </c>
    </row>
    <row r="7963" spans="1:8" s="15" customFormat="1" ht="16.5" hidden="1" customHeight="1" outlineLevel="1" x14ac:dyDescent="0.25">
      <c r="A7963" s="18">
        <v>3789</v>
      </c>
      <c r="B7963" s="4" t="s">
        <v>250</v>
      </c>
      <c r="C7963" s="38" t="s">
        <v>6680</v>
      </c>
      <c r="D7963" s="18">
        <v>2022</v>
      </c>
      <c r="E7963" s="18" t="s">
        <v>0</v>
      </c>
      <c r="F7963" s="42">
        <v>1</v>
      </c>
      <c r="G7963" s="4">
        <v>15</v>
      </c>
      <c r="H7963" s="18">
        <f>0.01717797*(1000)</f>
        <v>17.177970000000002</v>
      </c>
    </row>
    <row r="7964" spans="1:8" s="15" customFormat="1" ht="16.5" hidden="1" customHeight="1" outlineLevel="1" x14ac:dyDescent="0.25">
      <c r="A7964" s="18">
        <v>3790</v>
      </c>
      <c r="B7964" s="4" t="s">
        <v>250</v>
      </c>
      <c r="C7964" s="38" t="s">
        <v>6681</v>
      </c>
      <c r="D7964" s="18">
        <v>2022</v>
      </c>
      <c r="E7964" s="18" t="s">
        <v>0</v>
      </c>
      <c r="F7964" s="42">
        <v>1</v>
      </c>
      <c r="G7964" s="4">
        <v>15</v>
      </c>
      <c r="H7964" s="18">
        <f>0.02725638*(1000)</f>
        <v>27.25638</v>
      </c>
    </row>
    <row r="7965" spans="1:8" s="15" customFormat="1" ht="16.5" hidden="1" customHeight="1" outlineLevel="1" x14ac:dyDescent="0.25">
      <c r="A7965" s="18">
        <v>3793</v>
      </c>
      <c r="B7965" s="4" t="s">
        <v>250</v>
      </c>
      <c r="C7965" s="38" t="s">
        <v>6682</v>
      </c>
      <c r="D7965" s="18">
        <v>2022</v>
      </c>
      <c r="E7965" s="18" t="s">
        <v>0</v>
      </c>
      <c r="F7965" s="42">
        <v>1</v>
      </c>
      <c r="G7965" s="4">
        <v>15</v>
      </c>
      <c r="H7965" s="18">
        <f>0.01718689*(1000)</f>
        <v>17.186889999999998</v>
      </c>
    </row>
    <row r="7966" spans="1:8" s="15" customFormat="1" ht="16.5" hidden="1" customHeight="1" outlineLevel="1" x14ac:dyDescent="0.25">
      <c r="A7966" s="18">
        <v>3800</v>
      </c>
      <c r="B7966" s="4" t="s">
        <v>250</v>
      </c>
      <c r="C7966" s="38" t="s">
        <v>6683</v>
      </c>
      <c r="D7966" s="18">
        <v>2022</v>
      </c>
      <c r="E7966" s="18" t="s">
        <v>0</v>
      </c>
      <c r="F7966" s="42">
        <v>1</v>
      </c>
      <c r="G7966" s="4">
        <v>15</v>
      </c>
      <c r="H7966" s="18">
        <f>0.01714993*(1000)</f>
        <v>17.149930000000001</v>
      </c>
    </row>
    <row r="7967" spans="1:8" s="15" customFormat="1" ht="16.5" hidden="1" customHeight="1" outlineLevel="1" x14ac:dyDescent="0.25">
      <c r="A7967" s="18">
        <v>3806</v>
      </c>
      <c r="B7967" s="4" t="s">
        <v>250</v>
      </c>
      <c r="C7967" s="38" t="s">
        <v>6684</v>
      </c>
      <c r="D7967" s="18">
        <v>2022</v>
      </c>
      <c r="E7967" s="18" t="s">
        <v>0</v>
      </c>
      <c r="F7967" s="42">
        <v>1</v>
      </c>
      <c r="G7967" s="4">
        <v>7</v>
      </c>
      <c r="H7967" s="18">
        <f>0.01650691*(1000)</f>
        <v>16.506910000000001</v>
      </c>
    </row>
    <row r="7968" spans="1:8" s="15" customFormat="1" ht="16.5" hidden="1" customHeight="1" outlineLevel="1" x14ac:dyDescent="0.25">
      <c r="A7968" s="18">
        <v>3807</v>
      </c>
      <c r="B7968" s="4" t="s">
        <v>250</v>
      </c>
      <c r="C7968" s="38" t="s">
        <v>6685</v>
      </c>
      <c r="D7968" s="18">
        <v>2022</v>
      </c>
      <c r="E7968" s="18" t="s">
        <v>0</v>
      </c>
      <c r="F7968" s="42">
        <v>1</v>
      </c>
      <c r="G7968" s="4">
        <v>15</v>
      </c>
      <c r="H7968" s="18">
        <f>0.01650691*(1000)</f>
        <v>16.506910000000001</v>
      </c>
    </row>
    <row r="7969" spans="1:8" s="15" customFormat="1" ht="16.5" hidden="1" customHeight="1" outlineLevel="1" x14ac:dyDescent="0.25">
      <c r="A7969" s="18">
        <v>3811</v>
      </c>
      <c r="B7969" s="4" t="s">
        <v>250</v>
      </c>
      <c r="C7969" s="38" t="s">
        <v>6686</v>
      </c>
      <c r="D7969" s="18">
        <v>2022</v>
      </c>
      <c r="E7969" s="18" t="s">
        <v>0</v>
      </c>
      <c r="F7969" s="42">
        <v>1</v>
      </c>
      <c r="G7969" s="4">
        <v>15</v>
      </c>
      <c r="H7969" s="18">
        <f>0.02708743*(1000)</f>
        <v>27.087429999999998</v>
      </c>
    </row>
    <row r="7970" spans="1:8" s="15" customFormat="1" ht="16.5" hidden="1" customHeight="1" outlineLevel="1" x14ac:dyDescent="0.25">
      <c r="A7970" s="18">
        <v>3814</v>
      </c>
      <c r="B7970" s="4" t="s">
        <v>250</v>
      </c>
      <c r="C7970" s="38" t="s">
        <v>6687</v>
      </c>
      <c r="D7970" s="18">
        <v>2022</v>
      </c>
      <c r="E7970" s="18" t="s">
        <v>0</v>
      </c>
      <c r="F7970" s="42">
        <v>1</v>
      </c>
      <c r="G7970" s="4">
        <v>15</v>
      </c>
      <c r="H7970" s="18">
        <f>0.02708743*(1000)</f>
        <v>27.087429999999998</v>
      </c>
    </row>
    <row r="7971" spans="1:8" s="15" customFormat="1" ht="16.5" hidden="1" customHeight="1" outlineLevel="1" x14ac:dyDescent="0.25">
      <c r="A7971" s="18">
        <v>3815</v>
      </c>
      <c r="B7971" s="4" t="s">
        <v>250</v>
      </c>
      <c r="C7971" s="38" t="s">
        <v>6688</v>
      </c>
      <c r="D7971" s="18">
        <v>2022</v>
      </c>
      <c r="E7971" s="18" t="s">
        <v>0</v>
      </c>
      <c r="F7971" s="42">
        <v>1</v>
      </c>
      <c r="G7971" s="4">
        <v>15</v>
      </c>
      <c r="H7971" s="18">
        <f>0.01729657*(1000)</f>
        <v>17.296569999999999</v>
      </c>
    </row>
    <row r="7972" spans="1:8" s="15" customFormat="1" ht="16.5" hidden="1" customHeight="1" outlineLevel="1" x14ac:dyDescent="0.25">
      <c r="A7972" s="18">
        <v>3817</v>
      </c>
      <c r="B7972" s="4" t="s">
        <v>250</v>
      </c>
      <c r="C7972" s="38" t="s">
        <v>6689</v>
      </c>
      <c r="D7972" s="18">
        <v>2022</v>
      </c>
      <c r="E7972" s="18" t="s">
        <v>0</v>
      </c>
      <c r="F7972" s="42">
        <v>1</v>
      </c>
      <c r="G7972" s="4">
        <v>14</v>
      </c>
      <c r="H7972" s="18">
        <f>0.01729657*(1000)</f>
        <v>17.296569999999999</v>
      </c>
    </row>
    <row r="7973" spans="1:8" s="15" customFormat="1" ht="16.5" hidden="1" customHeight="1" outlineLevel="1" x14ac:dyDescent="0.25">
      <c r="A7973" s="18">
        <v>3818</v>
      </c>
      <c r="B7973" s="4" t="s">
        <v>250</v>
      </c>
      <c r="C7973" s="38" t="s">
        <v>6690</v>
      </c>
      <c r="D7973" s="18">
        <v>2022</v>
      </c>
      <c r="E7973" s="18" t="s">
        <v>0</v>
      </c>
      <c r="F7973" s="42">
        <v>1</v>
      </c>
      <c r="G7973" s="4">
        <v>4.46</v>
      </c>
      <c r="H7973" s="18">
        <f>0.01729657*(1000)</f>
        <v>17.296569999999999</v>
      </c>
    </row>
    <row r="7974" spans="1:8" s="15" customFormat="1" ht="16.5" hidden="1" customHeight="1" outlineLevel="1" x14ac:dyDescent="0.25">
      <c r="A7974" s="18">
        <v>3819</v>
      </c>
      <c r="B7974" s="4" t="s">
        <v>250</v>
      </c>
      <c r="C7974" s="38" t="s">
        <v>6691</v>
      </c>
      <c r="D7974" s="18">
        <v>2022</v>
      </c>
      <c r="E7974" s="18" t="s">
        <v>0</v>
      </c>
      <c r="F7974" s="42">
        <v>1</v>
      </c>
      <c r="G7974" s="4">
        <v>15</v>
      </c>
      <c r="H7974" s="18">
        <f>0.01729657*(1000)</f>
        <v>17.296569999999999</v>
      </c>
    </row>
    <row r="7975" spans="1:8" s="15" customFormat="1" ht="16.5" hidden="1" customHeight="1" outlineLevel="1" x14ac:dyDescent="0.25">
      <c r="A7975" s="18">
        <v>3821</v>
      </c>
      <c r="B7975" s="4" t="s">
        <v>250</v>
      </c>
      <c r="C7975" s="38" t="s">
        <v>6692</v>
      </c>
      <c r="D7975" s="18">
        <v>2022</v>
      </c>
      <c r="E7975" s="18" t="s">
        <v>0</v>
      </c>
      <c r="F7975" s="42">
        <v>1</v>
      </c>
      <c r="G7975" s="4">
        <v>14</v>
      </c>
      <c r="H7975" s="18">
        <f>0.01729656*(1000)</f>
        <v>17.296559999999999</v>
      </c>
    </row>
    <row r="7976" spans="1:8" s="15" customFormat="1" ht="16.5" hidden="1" customHeight="1" outlineLevel="1" x14ac:dyDescent="0.25">
      <c r="A7976" s="18">
        <v>3822</v>
      </c>
      <c r="B7976" s="4" t="s">
        <v>250</v>
      </c>
      <c r="C7976" s="38" t="s">
        <v>6693</v>
      </c>
      <c r="D7976" s="18">
        <v>2022</v>
      </c>
      <c r="E7976" s="18" t="s">
        <v>0</v>
      </c>
      <c r="F7976" s="42">
        <v>1</v>
      </c>
      <c r="G7976" s="4">
        <v>15</v>
      </c>
      <c r="H7976" s="18">
        <f>0.01729657*(1000)</f>
        <v>17.296569999999999</v>
      </c>
    </row>
    <row r="7977" spans="1:8" s="15" customFormat="1" ht="16.5" hidden="1" customHeight="1" outlineLevel="1" x14ac:dyDescent="0.25">
      <c r="A7977" s="18">
        <v>3823</v>
      </c>
      <c r="B7977" s="4" t="s">
        <v>250</v>
      </c>
      <c r="C7977" s="38" t="s">
        <v>6694</v>
      </c>
      <c r="D7977" s="18">
        <v>2022</v>
      </c>
      <c r="E7977" s="18" t="s">
        <v>0</v>
      </c>
      <c r="F7977" s="42">
        <v>1</v>
      </c>
      <c r="G7977" s="4">
        <v>15</v>
      </c>
      <c r="H7977" s="18">
        <f>0.01729656*(1000)</f>
        <v>17.296559999999999</v>
      </c>
    </row>
    <row r="7978" spans="1:8" s="15" customFormat="1" ht="16.5" hidden="1" customHeight="1" outlineLevel="1" x14ac:dyDescent="0.25">
      <c r="A7978" s="18">
        <v>3833</v>
      </c>
      <c r="B7978" s="4" t="s">
        <v>250</v>
      </c>
      <c r="C7978" s="38" t="s">
        <v>6695</v>
      </c>
      <c r="D7978" s="18">
        <v>2022</v>
      </c>
      <c r="E7978" s="18" t="s">
        <v>0</v>
      </c>
      <c r="F7978" s="42">
        <v>1</v>
      </c>
      <c r="G7978" s="4">
        <v>15</v>
      </c>
      <c r="H7978" s="18">
        <f>0.02708742*(1000)</f>
        <v>27.087420000000002</v>
      </c>
    </row>
    <row r="7979" spans="1:8" s="15" customFormat="1" ht="16.5" hidden="1" customHeight="1" outlineLevel="1" x14ac:dyDescent="0.25">
      <c r="A7979" s="18">
        <v>3834</v>
      </c>
      <c r="B7979" s="4" t="s">
        <v>250</v>
      </c>
      <c r="C7979" s="38" t="s">
        <v>6696</v>
      </c>
      <c r="D7979" s="18">
        <v>2022</v>
      </c>
      <c r="E7979" s="18" t="s">
        <v>0</v>
      </c>
      <c r="F7979" s="42">
        <v>1</v>
      </c>
      <c r="G7979" s="4">
        <v>15</v>
      </c>
      <c r="H7979" s="18">
        <f>0.01729656*(1000)</f>
        <v>17.296559999999999</v>
      </c>
    </row>
    <row r="7980" spans="1:8" s="15" customFormat="1" ht="16.5" hidden="1" customHeight="1" outlineLevel="1" x14ac:dyDescent="0.25">
      <c r="A7980" s="18">
        <v>3839</v>
      </c>
      <c r="B7980" s="4" t="s">
        <v>250</v>
      </c>
      <c r="C7980" s="38" t="s">
        <v>6697</v>
      </c>
      <c r="D7980" s="18">
        <v>2022</v>
      </c>
      <c r="E7980" s="18" t="s">
        <v>0</v>
      </c>
      <c r="F7980" s="42">
        <v>1</v>
      </c>
      <c r="G7980" s="4">
        <v>15</v>
      </c>
      <c r="H7980" s="18">
        <f>0.01729656*(1000)</f>
        <v>17.296559999999999</v>
      </c>
    </row>
    <row r="7981" spans="1:8" s="15" customFormat="1" ht="16.5" hidden="1" customHeight="1" outlineLevel="1" x14ac:dyDescent="0.25">
      <c r="A7981" s="18">
        <v>3847</v>
      </c>
      <c r="B7981" s="4" t="s">
        <v>250</v>
      </c>
      <c r="C7981" s="38" t="s">
        <v>6698</v>
      </c>
      <c r="D7981" s="18">
        <v>2022</v>
      </c>
      <c r="E7981" s="18" t="s">
        <v>0</v>
      </c>
      <c r="F7981" s="42">
        <v>1</v>
      </c>
      <c r="G7981" s="4">
        <v>15</v>
      </c>
      <c r="H7981" s="18">
        <f>0.01730821*(1000)</f>
        <v>17.308210000000003</v>
      </c>
    </row>
    <row r="7982" spans="1:8" s="15" customFormat="1" ht="16.5" hidden="1" customHeight="1" outlineLevel="1" x14ac:dyDescent="0.25">
      <c r="A7982" s="18">
        <v>3851</v>
      </c>
      <c r="B7982" s="4" t="s">
        <v>250</v>
      </c>
      <c r="C7982" s="38" t="s">
        <v>6699</v>
      </c>
      <c r="D7982" s="18">
        <v>2022</v>
      </c>
      <c r="E7982" s="18" t="s">
        <v>0</v>
      </c>
      <c r="F7982" s="42">
        <v>1</v>
      </c>
      <c r="G7982" s="4">
        <v>15</v>
      </c>
      <c r="H7982" s="18">
        <f>0.01730821*(1000)</f>
        <v>17.308210000000003</v>
      </c>
    </row>
    <row r="7983" spans="1:8" s="15" customFormat="1" ht="16.5" hidden="1" customHeight="1" outlineLevel="1" x14ac:dyDescent="0.25">
      <c r="A7983" s="18">
        <v>3852</v>
      </c>
      <c r="B7983" s="4" t="s">
        <v>250</v>
      </c>
      <c r="C7983" s="38" t="s">
        <v>6700</v>
      </c>
      <c r="D7983" s="18">
        <v>2022</v>
      </c>
      <c r="E7983" s="18" t="s">
        <v>0</v>
      </c>
      <c r="F7983" s="42">
        <v>1</v>
      </c>
      <c r="G7983" s="4">
        <v>15</v>
      </c>
      <c r="H7983" s="18">
        <f>0.02709905*(1000)</f>
        <v>27.099049999999998</v>
      </c>
    </row>
    <row r="7984" spans="1:8" s="15" customFormat="1" ht="16.5" hidden="1" customHeight="1" outlineLevel="1" x14ac:dyDescent="0.25">
      <c r="A7984" s="18">
        <v>3853</v>
      </c>
      <c r="B7984" s="4" t="s">
        <v>250</v>
      </c>
      <c r="C7984" s="38" t="s">
        <v>6701</v>
      </c>
      <c r="D7984" s="18">
        <v>2022</v>
      </c>
      <c r="E7984" s="18" t="s">
        <v>0</v>
      </c>
      <c r="F7984" s="42">
        <v>1</v>
      </c>
      <c r="G7984" s="4">
        <v>15</v>
      </c>
      <c r="H7984" s="18">
        <f t="shared" ref="H7984:H7989" si="12">0.01730821*(1000)</f>
        <v>17.308210000000003</v>
      </c>
    </row>
    <row r="7985" spans="1:8" s="15" customFormat="1" ht="16.5" hidden="1" customHeight="1" outlineLevel="1" x14ac:dyDescent="0.25">
      <c r="A7985" s="18">
        <v>3860</v>
      </c>
      <c r="B7985" s="4" t="s">
        <v>250</v>
      </c>
      <c r="C7985" s="38" t="s">
        <v>6702</v>
      </c>
      <c r="D7985" s="18">
        <v>2022</v>
      </c>
      <c r="E7985" s="18" t="s">
        <v>0</v>
      </c>
      <c r="F7985" s="42">
        <v>1</v>
      </c>
      <c r="G7985" s="4">
        <v>15</v>
      </c>
      <c r="H7985" s="18">
        <f t="shared" si="12"/>
        <v>17.308210000000003</v>
      </c>
    </row>
    <row r="7986" spans="1:8" s="15" customFormat="1" ht="16.5" hidden="1" customHeight="1" outlineLevel="1" x14ac:dyDescent="0.25">
      <c r="A7986" s="18">
        <v>3862</v>
      </c>
      <c r="B7986" s="4" t="s">
        <v>250</v>
      </c>
      <c r="C7986" s="38" t="s">
        <v>6703</v>
      </c>
      <c r="D7986" s="18">
        <v>2022</v>
      </c>
      <c r="E7986" s="18" t="s">
        <v>0</v>
      </c>
      <c r="F7986" s="42">
        <v>1</v>
      </c>
      <c r="G7986" s="4">
        <v>15</v>
      </c>
      <c r="H7986" s="18">
        <f t="shared" si="12"/>
        <v>17.308210000000003</v>
      </c>
    </row>
    <row r="7987" spans="1:8" s="15" customFormat="1" ht="16.5" hidden="1" customHeight="1" outlineLevel="1" x14ac:dyDescent="0.25">
      <c r="A7987" s="18">
        <v>3864</v>
      </c>
      <c r="B7987" s="4" t="s">
        <v>250</v>
      </c>
      <c r="C7987" s="38" t="s">
        <v>6704</v>
      </c>
      <c r="D7987" s="18">
        <v>2022</v>
      </c>
      <c r="E7987" s="18" t="s">
        <v>0</v>
      </c>
      <c r="F7987" s="42">
        <v>1</v>
      </c>
      <c r="G7987" s="4">
        <v>15</v>
      </c>
      <c r="H7987" s="18">
        <f t="shared" si="12"/>
        <v>17.308210000000003</v>
      </c>
    </row>
    <row r="7988" spans="1:8" s="15" customFormat="1" ht="16.5" hidden="1" customHeight="1" outlineLevel="1" x14ac:dyDescent="0.25">
      <c r="A7988" s="18">
        <v>3869</v>
      </c>
      <c r="B7988" s="4" t="s">
        <v>250</v>
      </c>
      <c r="C7988" s="38" t="s">
        <v>6705</v>
      </c>
      <c r="D7988" s="18">
        <v>2022</v>
      </c>
      <c r="E7988" s="18" t="s">
        <v>0</v>
      </c>
      <c r="F7988" s="42">
        <v>1</v>
      </c>
      <c r="G7988" s="4">
        <v>15</v>
      </c>
      <c r="H7988" s="18">
        <f t="shared" si="12"/>
        <v>17.308210000000003</v>
      </c>
    </row>
    <row r="7989" spans="1:8" s="15" customFormat="1" ht="16.5" hidden="1" customHeight="1" outlineLevel="1" x14ac:dyDescent="0.25">
      <c r="A7989" s="18">
        <v>3874</v>
      </c>
      <c r="B7989" s="4" t="s">
        <v>250</v>
      </c>
      <c r="C7989" s="38" t="s">
        <v>6706</v>
      </c>
      <c r="D7989" s="18">
        <v>2022</v>
      </c>
      <c r="E7989" s="18" t="s">
        <v>0</v>
      </c>
      <c r="F7989" s="42">
        <v>1</v>
      </c>
      <c r="G7989" s="4">
        <v>15</v>
      </c>
      <c r="H7989" s="18">
        <f t="shared" si="12"/>
        <v>17.308210000000003</v>
      </c>
    </row>
    <row r="7990" spans="1:8" s="15" customFormat="1" ht="16.5" hidden="1" customHeight="1" outlineLevel="1" x14ac:dyDescent="0.25">
      <c r="A7990" s="18">
        <v>3877</v>
      </c>
      <c r="B7990" s="4" t="s">
        <v>250</v>
      </c>
      <c r="C7990" s="38" t="s">
        <v>6707</v>
      </c>
      <c r="D7990" s="18">
        <v>2022</v>
      </c>
      <c r="E7990" s="18" t="s">
        <v>0</v>
      </c>
      <c r="F7990" s="42">
        <v>1</v>
      </c>
      <c r="G7990" s="4">
        <v>15</v>
      </c>
      <c r="H7990" s="18">
        <f>0.02709905*(1000)</f>
        <v>27.099049999999998</v>
      </c>
    </row>
    <row r="7991" spans="1:8" s="15" customFormat="1" ht="16.5" hidden="1" customHeight="1" outlineLevel="1" x14ac:dyDescent="0.25">
      <c r="A7991" s="18">
        <v>3882</v>
      </c>
      <c r="B7991" s="4" t="s">
        <v>250</v>
      </c>
      <c r="C7991" s="38" t="s">
        <v>6708</v>
      </c>
      <c r="D7991" s="18">
        <v>2022</v>
      </c>
      <c r="E7991" s="18" t="s">
        <v>0</v>
      </c>
      <c r="F7991" s="42">
        <v>1</v>
      </c>
      <c r="G7991" s="4">
        <v>12</v>
      </c>
      <c r="H7991" s="18">
        <f>0.01730821*(1000)</f>
        <v>17.308210000000003</v>
      </c>
    </row>
    <row r="7992" spans="1:8" s="15" customFormat="1" ht="16.5" hidden="1" customHeight="1" outlineLevel="1" x14ac:dyDescent="0.25">
      <c r="A7992" s="18">
        <v>3883</v>
      </c>
      <c r="B7992" s="4" t="s">
        <v>250</v>
      </c>
      <c r="C7992" s="38" t="s">
        <v>6709</v>
      </c>
      <c r="D7992" s="18">
        <v>2022</v>
      </c>
      <c r="E7992" s="18" t="s">
        <v>0</v>
      </c>
      <c r="F7992" s="42">
        <v>1</v>
      </c>
      <c r="G7992" s="4">
        <v>15</v>
      </c>
      <c r="H7992" s="18">
        <f>0.02709905*(1000)</f>
        <v>27.099049999999998</v>
      </c>
    </row>
    <row r="7993" spans="1:8" s="15" customFormat="1" ht="16.5" hidden="1" customHeight="1" outlineLevel="1" x14ac:dyDescent="0.25">
      <c r="A7993" s="18">
        <v>3885</v>
      </c>
      <c r="B7993" s="4" t="s">
        <v>250</v>
      </c>
      <c r="C7993" s="38" t="s">
        <v>6710</v>
      </c>
      <c r="D7993" s="18">
        <v>2022</v>
      </c>
      <c r="E7993" s="18" t="s">
        <v>0</v>
      </c>
      <c r="F7993" s="42">
        <v>1</v>
      </c>
      <c r="G7993" s="4">
        <v>15</v>
      </c>
      <c r="H7993" s="18">
        <f>0.01730821*(1000)</f>
        <v>17.308210000000003</v>
      </c>
    </row>
    <row r="7994" spans="1:8" s="15" customFormat="1" ht="16.5" hidden="1" customHeight="1" outlineLevel="1" x14ac:dyDescent="0.25">
      <c r="A7994" s="18">
        <v>3888</v>
      </c>
      <c r="B7994" s="4" t="s">
        <v>250</v>
      </c>
      <c r="C7994" s="38" t="s">
        <v>6711</v>
      </c>
      <c r="D7994" s="18">
        <v>2022</v>
      </c>
      <c r="E7994" s="18" t="s">
        <v>0</v>
      </c>
      <c r="F7994" s="42">
        <v>1</v>
      </c>
      <c r="G7994" s="4">
        <v>15</v>
      </c>
      <c r="H7994" s="18">
        <f>0.01730821*(1000)</f>
        <v>17.308210000000003</v>
      </c>
    </row>
    <row r="7995" spans="1:8" s="15" customFormat="1" ht="16.5" hidden="1" customHeight="1" outlineLevel="1" x14ac:dyDescent="0.25">
      <c r="A7995" s="18">
        <v>3889</v>
      </c>
      <c r="B7995" s="4" t="s">
        <v>250</v>
      </c>
      <c r="C7995" s="38" t="s">
        <v>6712</v>
      </c>
      <c r="D7995" s="18">
        <v>2022</v>
      </c>
      <c r="E7995" s="18" t="s">
        <v>0</v>
      </c>
      <c r="F7995" s="42">
        <v>1</v>
      </c>
      <c r="G7995" s="4">
        <v>15</v>
      </c>
      <c r="H7995" s="18">
        <f>0.01730821*(1000)</f>
        <v>17.308210000000003</v>
      </c>
    </row>
    <row r="7996" spans="1:8" s="15" customFormat="1" ht="16.5" hidden="1" customHeight="1" outlineLevel="1" x14ac:dyDescent="0.25">
      <c r="A7996" s="18">
        <v>3890</v>
      </c>
      <c r="B7996" s="4" t="s">
        <v>250</v>
      </c>
      <c r="C7996" s="38" t="s">
        <v>6713</v>
      </c>
      <c r="D7996" s="18">
        <v>2022</v>
      </c>
      <c r="E7996" s="18" t="s">
        <v>0</v>
      </c>
      <c r="F7996" s="42">
        <v>1</v>
      </c>
      <c r="G7996" s="4">
        <v>15</v>
      </c>
      <c r="H7996" s="18">
        <f>0.01730821*(1000)</f>
        <v>17.308210000000003</v>
      </c>
    </row>
    <row r="7997" spans="1:8" s="15" customFormat="1" ht="16.5" hidden="1" customHeight="1" outlineLevel="1" x14ac:dyDescent="0.25">
      <c r="A7997" s="18">
        <v>3891</v>
      </c>
      <c r="B7997" s="4" t="s">
        <v>250</v>
      </c>
      <c r="C7997" s="38" t="s">
        <v>6714</v>
      </c>
      <c r="D7997" s="18">
        <v>2022</v>
      </c>
      <c r="E7997" s="18" t="s">
        <v>0</v>
      </c>
      <c r="F7997" s="42">
        <v>1</v>
      </c>
      <c r="G7997" s="4">
        <v>15</v>
      </c>
      <c r="H7997" s="18">
        <f>0.01730821*(1000)</f>
        <v>17.308210000000003</v>
      </c>
    </row>
    <row r="7998" spans="1:8" s="15" customFormat="1" ht="16.5" hidden="1" customHeight="1" outlineLevel="1" x14ac:dyDescent="0.25">
      <c r="A7998" s="18">
        <v>3892</v>
      </c>
      <c r="B7998" s="4" t="s">
        <v>250</v>
      </c>
      <c r="C7998" s="38" t="s">
        <v>6715</v>
      </c>
      <c r="D7998" s="18">
        <v>2022</v>
      </c>
      <c r="E7998" s="18" t="s">
        <v>0</v>
      </c>
      <c r="F7998" s="42">
        <v>1</v>
      </c>
      <c r="G7998" s="4">
        <v>15</v>
      </c>
      <c r="H7998" s="18">
        <f>0.02709905*(1000)</f>
        <v>27.099049999999998</v>
      </c>
    </row>
    <row r="7999" spans="1:8" s="15" customFormat="1" ht="16.5" hidden="1" customHeight="1" outlineLevel="1" x14ac:dyDescent="0.25">
      <c r="A7999" s="18">
        <v>3895</v>
      </c>
      <c r="B7999" s="4" t="s">
        <v>250</v>
      </c>
      <c r="C7999" s="38" t="s">
        <v>6716</v>
      </c>
      <c r="D7999" s="18">
        <v>2022</v>
      </c>
      <c r="E7999" s="18" t="s">
        <v>0</v>
      </c>
      <c r="F7999" s="42">
        <v>1</v>
      </c>
      <c r="G7999" s="4">
        <v>15</v>
      </c>
      <c r="H7999" s="18">
        <f>0.02709905*(1000)</f>
        <v>27.099049999999998</v>
      </c>
    </row>
    <row r="8000" spans="1:8" s="15" customFormat="1" ht="16.5" hidden="1" customHeight="1" outlineLevel="1" x14ac:dyDescent="0.25">
      <c r="A8000" s="18">
        <v>3900</v>
      </c>
      <c r="B8000" s="4" t="s">
        <v>250</v>
      </c>
      <c r="C8000" s="38" t="s">
        <v>6717</v>
      </c>
      <c r="D8000" s="18">
        <v>2022</v>
      </c>
      <c r="E8000" s="18" t="s">
        <v>0</v>
      </c>
      <c r="F8000" s="42">
        <v>1</v>
      </c>
      <c r="G8000" s="4">
        <v>15</v>
      </c>
      <c r="H8000" s="18">
        <f>0.02710156*(1000)</f>
        <v>27.101559999999999</v>
      </c>
    </row>
    <row r="8001" spans="1:8" s="15" customFormat="1" ht="16.5" hidden="1" customHeight="1" outlineLevel="1" x14ac:dyDescent="0.25">
      <c r="A8001" s="18">
        <v>3903</v>
      </c>
      <c r="B8001" s="4" t="s">
        <v>250</v>
      </c>
      <c r="C8001" s="38" t="s">
        <v>6718</v>
      </c>
      <c r="D8001" s="18">
        <v>2022</v>
      </c>
      <c r="E8001" s="18" t="s">
        <v>0</v>
      </c>
      <c r="F8001" s="42">
        <v>1</v>
      </c>
      <c r="G8001" s="4">
        <v>15</v>
      </c>
      <c r="H8001" s="18">
        <f>0.01729417*(1000)</f>
        <v>17.294170000000001</v>
      </c>
    </row>
    <row r="8002" spans="1:8" s="15" customFormat="1" ht="16.5" hidden="1" customHeight="1" outlineLevel="1" x14ac:dyDescent="0.25">
      <c r="A8002" s="18">
        <v>3905</v>
      </c>
      <c r="B8002" s="4" t="s">
        <v>250</v>
      </c>
      <c r="C8002" s="38" t="s">
        <v>6719</v>
      </c>
      <c r="D8002" s="18">
        <v>2022</v>
      </c>
      <c r="E8002" s="18" t="s">
        <v>0</v>
      </c>
      <c r="F8002" s="42">
        <v>1</v>
      </c>
      <c r="G8002" s="4">
        <v>15</v>
      </c>
      <c r="H8002" s="18">
        <f>0.01729417*(1000)</f>
        <v>17.294170000000001</v>
      </c>
    </row>
    <row r="8003" spans="1:8" s="15" customFormat="1" ht="16.5" hidden="1" customHeight="1" outlineLevel="1" x14ac:dyDescent="0.25">
      <c r="A8003" s="18">
        <v>3906</v>
      </c>
      <c r="B8003" s="4" t="s">
        <v>250</v>
      </c>
      <c r="C8003" s="38" t="s">
        <v>6720</v>
      </c>
      <c r="D8003" s="18">
        <v>2022</v>
      </c>
      <c r="E8003" s="18" t="s">
        <v>0</v>
      </c>
      <c r="F8003" s="42">
        <v>1</v>
      </c>
      <c r="G8003" s="4">
        <v>15</v>
      </c>
      <c r="H8003" s="18">
        <f>0.01729417*(1000)</f>
        <v>17.294170000000001</v>
      </c>
    </row>
    <row r="8004" spans="1:8" s="15" customFormat="1" ht="16.5" hidden="1" customHeight="1" outlineLevel="1" x14ac:dyDescent="0.25">
      <c r="A8004" s="18">
        <v>3908</v>
      </c>
      <c r="B8004" s="4" t="s">
        <v>250</v>
      </c>
      <c r="C8004" s="38" t="s">
        <v>6721</v>
      </c>
      <c r="D8004" s="18">
        <v>2022</v>
      </c>
      <c r="E8004" s="18" t="s">
        <v>0</v>
      </c>
      <c r="F8004" s="42">
        <v>1</v>
      </c>
      <c r="G8004" s="4">
        <v>15</v>
      </c>
      <c r="H8004" s="18">
        <f>0.01729417*(1000)</f>
        <v>17.294170000000001</v>
      </c>
    </row>
    <row r="8005" spans="1:8" s="15" customFormat="1" ht="16.5" hidden="1" customHeight="1" outlineLevel="1" x14ac:dyDescent="0.25">
      <c r="A8005" s="18">
        <v>3911</v>
      </c>
      <c r="B8005" s="4" t="s">
        <v>250</v>
      </c>
      <c r="C8005" s="38" t="s">
        <v>6722</v>
      </c>
      <c r="D8005" s="18">
        <v>2022</v>
      </c>
      <c r="E8005" s="18" t="s">
        <v>0</v>
      </c>
      <c r="F8005" s="42">
        <v>1</v>
      </c>
      <c r="G8005" s="4">
        <v>15</v>
      </c>
      <c r="H8005" s="18">
        <f>0.01729417*(1000)</f>
        <v>17.294170000000001</v>
      </c>
    </row>
    <row r="8006" spans="1:8" s="15" customFormat="1" ht="16.5" hidden="1" customHeight="1" outlineLevel="1" x14ac:dyDescent="0.25">
      <c r="A8006" s="18">
        <v>3915</v>
      </c>
      <c r="B8006" s="4" t="s">
        <v>250</v>
      </c>
      <c r="C8006" s="38" t="s">
        <v>6723</v>
      </c>
      <c r="D8006" s="18">
        <v>2022</v>
      </c>
      <c r="E8006" s="18" t="s">
        <v>0</v>
      </c>
      <c r="F8006" s="42">
        <v>1</v>
      </c>
      <c r="G8006" s="4">
        <v>15</v>
      </c>
      <c r="H8006" s="18">
        <f>0.02708502*(1000)</f>
        <v>27.08502</v>
      </c>
    </row>
    <row r="8007" spans="1:8" s="15" customFormat="1" ht="16.5" hidden="1" customHeight="1" outlineLevel="1" x14ac:dyDescent="0.25">
      <c r="A8007" s="18">
        <v>3921</v>
      </c>
      <c r="B8007" s="4" t="s">
        <v>250</v>
      </c>
      <c r="C8007" s="38" t="s">
        <v>6724</v>
      </c>
      <c r="D8007" s="18">
        <v>2022</v>
      </c>
      <c r="E8007" s="18" t="s">
        <v>0</v>
      </c>
      <c r="F8007" s="42">
        <v>1</v>
      </c>
      <c r="G8007" s="4">
        <v>15</v>
      </c>
      <c r="H8007" s="18">
        <f>0.01729417*(1000)</f>
        <v>17.294170000000001</v>
      </c>
    </row>
    <row r="8008" spans="1:8" s="15" customFormat="1" ht="16.5" hidden="1" customHeight="1" outlineLevel="1" x14ac:dyDescent="0.25">
      <c r="A8008" s="18">
        <v>3922</v>
      </c>
      <c r="B8008" s="4" t="s">
        <v>250</v>
      </c>
      <c r="C8008" s="38" t="s">
        <v>6725</v>
      </c>
      <c r="D8008" s="18">
        <v>2022</v>
      </c>
      <c r="E8008" s="18" t="s">
        <v>0</v>
      </c>
      <c r="F8008" s="42">
        <v>1</v>
      </c>
      <c r="G8008" s="4">
        <v>15</v>
      </c>
      <c r="H8008" s="18">
        <f>0.01742616*(1000)</f>
        <v>17.426159999999999</v>
      </c>
    </row>
    <row r="8009" spans="1:8" s="15" customFormat="1" ht="16.5" hidden="1" customHeight="1" outlineLevel="1" x14ac:dyDescent="0.25">
      <c r="A8009" s="18">
        <v>3923</v>
      </c>
      <c r="B8009" s="4" t="s">
        <v>250</v>
      </c>
      <c r="C8009" s="38" t="s">
        <v>6726</v>
      </c>
      <c r="D8009" s="18">
        <v>2022</v>
      </c>
      <c r="E8009" s="18" t="s">
        <v>0</v>
      </c>
      <c r="F8009" s="42">
        <v>1</v>
      </c>
      <c r="G8009" s="4">
        <v>15</v>
      </c>
      <c r="H8009" s="18">
        <f t="shared" ref="H8009:H8014" si="13">0.01729417*(1000)</f>
        <v>17.294170000000001</v>
      </c>
    </row>
    <row r="8010" spans="1:8" s="15" customFormat="1" ht="16.5" hidden="1" customHeight="1" outlineLevel="1" x14ac:dyDescent="0.25">
      <c r="A8010" s="18">
        <v>3930</v>
      </c>
      <c r="B8010" s="4" t="s">
        <v>250</v>
      </c>
      <c r="C8010" s="38" t="s">
        <v>6727</v>
      </c>
      <c r="D8010" s="18">
        <v>2022</v>
      </c>
      <c r="E8010" s="18" t="s">
        <v>0</v>
      </c>
      <c r="F8010" s="42">
        <v>1</v>
      </c>
      <c r="G8010" s="4">
        <v>8</v>
      </c>
      <c r="H8010" s="18">
        <f t="shared" si="13"/>
        <v>17.294170000000001</v>
      </c>
    </row>
    <row r="8011" spans="1:8" s="15" customFormat="1" ht="16.5" hidden="1" customHeight="1" outlineLevel="1" x14ac:dyDescent="0.25">
      <c r="A8011" s="18">
        <v>3931</v>
      </c>
      <c r="B8011" s="4" t="s">
        <v>250</v>
      </c>
      <c r="C8011" s="38" t="s">
        <v>6728</v>
      </c>
      <c r="D8011" s="18">
        <v>2022</v>
      </c>
      <c r="E8011" s="18" t="s">
        <v>0</v>
      </c>
      <c r="F8011" s="42">
        <v>1</v>
      </c>
      <c r="G8011" s="4">
        <v>8</v>
      </c>
      <c r="H8011" s="18">
        <f t="shared" si="13"/>
        <v>17.294170000000001</v>
      </c>
    </row>
    <row r="8012" spans="1:8" s="15" customFormat="1" ht="16.5" hidden="1" customHeight="1" outlineLevel="1" x14ac:dyDescent="0.25">
      <c r="A8012" s="18">
        <v>3933</v>
      </c>
      <c r="B8012" s="4" t="s">
        <v>250</v>
      </c>
      <c r="C8012" s="38" t="s">
        <v>6729</v>
      </c>
      <c r="D8012" s="18">
        <v>2022</v>
      </c>
      <c r="E8012" s="18" t="s">
        <v>0</v>
      </c>
      <c r="F8012" s="42">
        <v>1</v>
      </c>
      <c r="G8012" s="4">
        <v>15</v>
      </c>
      <c r="H8012" s="18">
        <f t="shared" si="13"/>
        <v>17.294170000000001</v>
      </c>
    </row>
    <row r="8013" spans="1:8" s="15" customFormat="1" ht="16.5" hidden="1" customHeight="1" outlineLevel="1" x14ac:dyDescent="0.25">
      <c r="A8013" s="18">
        <v>3936</v>
      </c>
      <c r="B8013" s="4" t="s">
        <v>250</v>
      </c>
      <c r="C8013" s="38" t="s">
        <v>6730</v>
      </c>
      <c r="D8013" s="18">
        <v>2022</v>
      </c>
      <c r="E8013" s="18" t="s">
        <v>0</v>
      </c>
      <c r="F8013" s="42">
        <v>1</v>
      </c>
      <c r="G8013" s="4">
        <v>15</v>
      </c>
      <c r="H8013" s="18">
        <f t="shared" si="13"/>
        <v>17.294170000000001</v>
      </c>
    </row>
    <row r="8014" spans="1:8" s="15" customFormat="1" ht="16.5" hidden="1" customHeight="1" outlineLevel="1" x14ac:dyDescent="0.25">
      <c r="A8014" s="18">
        <v>3938</v>
      </c>
      <c r="B8014" s="4" t="s">
        <v>250</v>
      </c>
      <c r="C8014" s="38" t="s">
        <v>6731</v>
      </c>
      <c r="D8014" s="18">
        <v>2022</v>
      </c>
      <c r="E8014" s="18" t="s">
        <v>0</v>
      </c>
      <c r="F8014" s="42">
        <v>1</v>
      </c>
      <c r="G8014" s="4">
        <v>15</v>
      </c>
      <c r="H8014" s="18">
        <f t="shared" si="13"/>
        <v>17.294170000000001</v>
      </c>
    </row>
    <row r="8015" spans="1:8" s="15" customFormat="1" ht="16.5" hidden="1" customHeight="1" outlineLevel="1" x14ac:dyDescent="0.25">
      <c r="A8015" s="18">
        <v>3963</v>
      </c>
      <c r="B8015" s="4" t="s">
        <v>250</v>
      </c>
      <c r="C8015" s="38" t="s">
        <v>6732</v>
      </c>
      <c r="D8015" s="18">
        <v>2022</v>
      </c>
      <c r="E8015" s="18" t="s">
        <v>0</v>
      </c>
      <c r="F8015" s="42">
        <v>1</v>
      </c>
      <c r="G8015" s="4">
        <v>15</v>
      </c>
      <c r="H8015" s="18">
        <f>0.01731693*(1000)</f>
        <v>17.316930000000003</v>
      </c>
    </row>
    <row r="8016" spans="1:8" s="15" customFormat="1" ht="16.5" hidden="1" customHeight="1" outlineLevel="1" x14ac:dyDescent="0.25">
      <c r="A8016" s="18">
        <v>3966</v>
      </c>
      <c r="B8016" s="4" t="s">
        <v>250</v>
      </c>
      <c r="C8016" s="38" t="s">
        <v>6733</v>
      </c>
      <c r="D8016" s="18">
        <v>2022</v>
      </c>
      <c r="E8016" s="18" t="s">
        <v>0</v>
      </c>
      <c r="F8016" s="42">
        <v>1</v>
      </c>
      <c r="G8016" s="4">
        <v>15</v>
      </c>
      <c r="H8016" s="18">
        <f>0.017317*(1000)</f>
        <v>17.317</v>
      </c>
    </row>
    <row r="8017" spans="1:8" s="15" customFormat="1" ht="16.5" hidden="1" customHeight="1" outlineLevel="1" x14ac:dyDescent="0.25">
      <c r="A8017" s="18">
        <v>3971</v>
      </c>
      <c r="B8017" s="4" t="s">
        <v>250</v>
      </c>
      <c r="C8017" s="38" t="s">
        <v>6734</v>
      </c>
      <c r="D8017" s="18">
        <v>2022</v>
      </c>
      <c r="E8017" s="18" t="s">
        <v>0</v>
      </c>
      <c r="F8017" s="42">
        <v>1</v>
      </c>
      <c r="G8017" s="4">
        <v>14</v>
      </c>
      <c r="H8017" s="18">
        <f>0.017317*(1000)</f>
        <v>17.317</v>
      </c>
    </row>
    <row r="8018" spans="1:8" s="15" customFormat="1" ht="16.5" hidden="1" customHeight="1" outlineLevel="1" x14ac:dyDescent="0.25">
      <c r="A8018" s="18">
        <v>3974</v>
      </c>
      <c r="B8018" s="4" t="s">
        <v>250</v>
      </c>
      <c r="C8018" s="38" t="s">
        <v>6735</v>
      </c>
      <c r="D8018" s="18">
        <v>2022</v>
      </c>
      <c r="E8018" s="18" t="s">
        <v>0</v>
      </c>
      <c r="F8018" s="42">
        <v>1</v>
      </c>
      <c r="G8018" s="4">
        <v>15</v>
      </c>
      <c r="H8018" s="18">
        <f>0.01731701*(1000)</f>
        <v>17.31701</v>
      </c>
    </row>
    <row r="8019" spans="1:8" s="15" customFormat="1" ht="16.5" hidden="1" customHeight="1" outlineLevel="1" x14ac:dyDescent="0.25">
      <c r="A8019" s="18">
        <v>3975</v>
      </c>
      <c r="B8019" s="4" t="s">
        <v>250</v>
      </c>
      <c r="C8019" s="38" t="s">
        <v>6736</v>
      </c>
      <c r="D8019" s="18">
        <v>2022</v>
      </c>
      <c r="E8019" s="18" t="s">
        <v>0</v>
      </c>
      <c r="F8019" s="42">
        <v>1</v>
      </c>
      <c r="G8019" s="4">
        <v>15</v>
      </c>
      <c r="H8019" s="18">
        <f>0.01731703*(1000)</f>
        <v>17.317029999999999</v>
      </c>
    </row>
    <row r="8020" spans="1:8" s="15" customFormat="1" ht="16.5" hidden="1" customHeight="1" outlineLevel="1" x14ac:dyDescent="0.25">
      <c r="A8020" s="18">
        <v>3977</v>
      </c>
      <c r="B8020" s="4" t="s">
        <v>250</v>
      </c>
      <c r="C8020" s="38" t="s">
        <v>6737</v>
      </c>
      <c r="D8020" s="18">
        <v>2022</v>
      </c>
      <c r="E8020" s="18" t="s">
        <v>0</v>
      </c>
      <c r="F8020" s="42">
        <v>1</v>
      </c>
      <c r="G8020" s="4">
        <v>15</v>
      </c>
      <c r="H8020" s="18">
        <f>0.01731697*(1000)</f>
        <v>17.316970000000001</v>
      </c>
    </row>
    <row r="8021" spans="1:8" s="15" customFormat="1" ht="16.5" hidden="1" customHeight="1" outlineLevel="1" x14ac:dyDescent="0.25">
      <c r="A8021" s="18">
        <v>3978</v>
      </c>
      <c r="B8021" s="4" t="s">
        <v>250</v>
      </c>
      <c r="C8021" s="38" t="s">
        <v>6738</v>
      </c>
      <c r="D8021" s="18">
        <v>2022</v>
      </c>
      <c r="E8021" s="18" t="s">
        <v>0</v>
      </c>
      <c r="F8021" s="42">
        <v>1</v>
      </c>
      <c r="G8021" s="4">
        <v>15</v>
      </c>
      <c r="H8021" s="18">
        <f>0.017317*(1000)</f>
        <v>17.317</v>
      </c>
    </row>
    <row r="8022" spans="1:8" s="15" customFormat="1" ht="16.5" hidden="1" customHeight="1" outlineLevel="1" x14ac:dyDescent="0.25">
      <c r="A8022" s="18">
        <v>3979</v>
      </c>
      <c r="B8022" s="4" t="s">
        <v>250</v>
      </c>
      <c r="C8022" s="38" t="s">
        <v>6739</v>
      </c>
      <c r="D8022" s="18">
        <v>2022</v>
      </c>
      <c r="E8022" s="18" t="s">
        <v>0</v>
      </c>
      <c r="F8022" s="42">
        <v>1</v>
      </c>
      <c r="G8022" s="4">
        <v>15</v>
      </c>
      <c r="H8022" s="18">
        <f>0.017317*(1000)</f>
        <v>17.317</v>
      </c>
    </row>
    <row r="8023" spans="1:8" s="15" customFormat="1" ht="16.5" hidden="1" customHeight="1" outlineLevel="1" x14ac:dyDescent="0.25">
      <c r="A8023" s="18">
        <v>3981</v>
      </c>
      <c r="B8023" s="4" t="s">
        <v>250</v>
      </c>
      <c r="C8023" s="38" t="s">
        <v>6740</v>
      </c>
      <c r="D8023" s="18">
        <v>2022</v>
      </c>
      <c r="E8023" s="18" t="s">
        <v>0</v>
      </c>
      <c r="F8023" s="42">
        <v>1</v>
      </c>
      <c r="G8023" s="4">
        <v>14</v>
      </c>
      <c r="H8023" s="18">
        <f>0.017317*(1000)</f>
        <v>17.317</v>
      </c>
    </row>
    <row r="8024" spans="1:8" s="15" customFormat="1" ht="16.5" hidden="1" customHeight="1" outlineLevel="1" x14ac:dyDescent="0.25">
      <c r="A8024" s="18">
        <v>3995</v>
      </c>
      <c r="B8024" s="4" t="s">
        <v>250</v>
      </c>
      <c r="C8024" s="38" t="s">
        <v>6741</v>
      </c>
      <c r="D8024" s="18">
        <v>2022</v>
      </c>
      <c r="E8024" s="18" t="s">
        <v>0</v>
      </c>
      <c r="F8024" s="42">
        <v>1</v>
      </c>
      <c r="G8024" s="4">
        <v>15</v>
      </c>
      <c r="H8024" s="18">
        <f>0.017317*(1000)</f>
        <v>17.317</v>
      </c>
    </row>
    <row r="8025" spans="1:8" s="15" customFormat="1" ht="16.5" hidden="1" customHeight="1" outlineLevel="1" x14ac:dyDescent="0.25">
      <c r="A8025" s="18">
        <v>4001</v>
      </c>
      <c r="B8025" s="4" t="s">
        <v>250</v>
      </c>
      <c r="C8025" s="38" t="s">
        <v>6742</v>
      </c>
      <c r="D8025" s="18">
        <v>2022</v>
      </c>
      <c r="E8025" s="18" t="s">
        <v>0</v>
      </c>
      <c r="F8025" s="42">
        <v>1</v>
      </c>
      <c r="G8025" s="4">
        <v>15</v>
      </c>
      <c r="H8025" s="18">
        <f>0.017317*(1000)</f>
        <v>17.317</v>
      </c>
    </row>
    <row r="8026" spans="1:8" s="15" customFormat="1" ht="16.5" hidden="1" customHeight="1" outlineLevel="1" x14ac:dyDescent="0.25">
      <c r="A8026" s="18">
        <v>4002</v>
      </c>
      <c r="B8026" s="4" t="s">
        <v>250</v>
      </c>
      <c r="C8026" s="38" t="s">
        <v>6743</v>
      </c>
      <c r="D8026" s="18">
        <v>2022</v>
      </c>
      <c r="E8026" s="18" t="s">
        <v>0</v>
      </c>
      <c r="F8026" s="42">
        <v>1</v>
      </c>
      <c r="G8026" s="4">
        <v>15</v>
      </c>
      <c r="H8026" s="18">
        <f>0.01731702*(1000)</f>
        <v>17.317019999999999</v>
      </c>
    </row>
    <row r="8027" spans="1:8" s="15" customFormat="1" ht="16.5" hidden="1" customHeight="1" outlineLevel="1" x14ac:dyDescent="0.25">
      <c r="A8027" s="18">
        <v>4005</v>
      </c>
      <c r="B8027" s="4" t="s">
        <v>250</v>
      </c>
      <c r="C8027" s="38" t="s">
        <v>6744</v>
      </c>
      <c r="D8027" s="18">
        <v>2022</v>
      </c>
      <c r="E8027" s="18" t="s">
        <v>0</v>
      </c>
      <c r="F8027" s="42">
        <v>1</v>
      </c>
      <c r="G8027" s="4">
        <v>15</v>
      </c>
      <c r="H8027" s="18">
        <f>0.017317*(1000)</f>
        <v>17.317</v>
      </c>
    </row>
    <row r="8028" spans="1:8" s="15" customFormat="1" ht="16.5" hidden="1" customHeight="1" outlineLevel="1" x14ac:dyDescent="0.25">
      <c r="A8028" s="18">
        <v>4006</v>
      </c>
      <c r="B8028" s="4" t="s">
        <v>250</v>
      </c>
      <c r="C8028" s="38" t="s">
        <v>6745</v>
      </c>
      <c r="D8028" s="18">
        <v>2022</v>
      </c>
      <c r="E8028" s="18" t="s">
        <v>0</v>
      </c>
      <c r="F8028" s="42">
        <v>1</v>
      </c>
      <c r="G8028" s="4">
        <v>15</v>
      </c>
      <c r="H8028" s="18">
        <f>0.017317*(1000)</f>
        <v>17.317</v>
      </c>
    </row>
    <row r="8029" spans="1:8" s="15" customFormat="1" ht="16.5" hidden="1" customHeight="1" outlineLevel="1" x14ac:dyDescent="0.25">
      <c r="A8029" s="18">
        <v>4014</v>
      </c>
      <c r="B8029" s="4" t="s">
        <v>250</v>
      </c>
      <c r="C8029" s="38" t="s">
        <v>6746</v>
      </c>
      <c r="D8029" s="18">
        <v>2022</v>
      </c>
      <c r="E8029" s="18" t="s">
        <v>0</v>
      </c>
      <c r="F8029" s="42">
        <v>1</v>
      </c>
      <c r="G8029" s="4">
        <v>14</v>
      </c>
      <c r="H8029" s="18">
        <f>0.017317*(1000)</f>
        <v>17.317</v>
      </c>
    </row>
    <row r="8030" spans="1:8" s="15" customFormat="1" ht="16.5" hidden="1" customHeight="1" outlineLevel="1" x14ac:dyDescent="0.25">
      <c r="A8030" s="18">
        <v>4017</v>
      </c>
      <c r="B8030" s="4" t="s">
        <v>250</v>
      </c>
      <c r="C8030" s="38" t="s">
        <v>6747</v>
      </c>
      <c r="D8030" s="18">
        <v>2022</v>
      </c>
      <c r="E8030" s="18" t="s">
        <v>0</v>
      </c>
      <c r="F8030" s="42">
        <v>1</v>
      </c>
      <c r="G8030" s="4">
        <v>15</v>
      </c>
      <c r="H8030" s="18">
        <f>0.01652735*(1000)</f>
        <v>16.527349999999998</v>
      </c>
    </row>
    <row r="8031" spans="1:8" s="15" customFormat="1" ht="16.5" hidden="1" customHeight="1" outlineLevel="1" x14ac:dyDescent="0.25">
      <c r="A8031" s="18">
        <v>4027</v>
      </c>
      <c r="B8031" s="4" t="s">
        <v>250</v>
      </c>
      <c r="C8031" s="38" t="s">
        <v>6748</v>
      </c>
      <c r="D8031" s="18">
        <v>2022</v>
      </c>
      <c r="E8031" s="18" t="s">
        <v>0</v>
      </c>
      <c r="F8031" s="42">
        <v>1</v>
      </c>
      <c r="G8031" s="4">
        <v>15</v>
      </c>
      <c r="H8031" s="18">
        <f>0.02710785*(1000)</f>
        <v>27.107849999999999</v>
      </c>
    </row>
    <row r="8032" spans="1:8" s="15" customFormat="1" ht="16.5" hidden="1" customHeight="1" outlineLevel="1" x14ac:dyDescent="0.25">
      <c r="A8032" s="18">
        <v>4028</v>
      </c>
      <c r="B8032" s="4" t="s">
        <v>250</v>
      </c>
      <c r="C8032" s="38" t="s">
        <v>6749</v>
      </c>
      <c r="D8032" s="18">
        <v>2022</v>
      </c>
      <c r="E8032" s="18" t="s">
        <v>0</v>
      </c>
      <c r="F8032" s="42">
        <v>25</v>
      </c>
      <c r="G8032" s="4">
        <v>261</v>
      </c>
      <c r="H8032" s="18">
        <f>0.27894723*(1000)</f>
        <v>278.94722999999999</v>
      </c>
    </row>
    <row r="8033" spans="1:8" s="15" customFormat="1" ht="16.5" hidden="1" customHeight="1" outlineLevel="1" x14ac:dyDescent="0.25">
      <c r="A8033" s="18">
        <v>4029</v>
      </c>
      <c r="B8033" s="4" t="s">
        <v>250</v>
      </c>
      <c r="C8033" s="38" t="s">
        <v>6750</v>
      </c>
      <c r="D8033" s="18">
        <v>2022</v>
      </c>
      <c r="E8033" s="18" t="s">
        <v>0</v>
      </c>
      <c r="F8033" s="42">
        <v>14</v>
      </c>
      <c r="G8033" s="4">
        <v>158</v>
      </c>
      <c r="H8033" s="18">
        <f>0.17812172*(1000)</f>
        <v>178.12172000000001</v>
      </c>
    </row>
    <row r="8034" spans="1:8" s="15" customFormat="1" ht="16.5" hidden="1" customHeight="1" outlineLevel="1" x14ac:dyDescent="0.25">
      <c r="A8034" s="18">
        <v>4030</v>
      </c>
      <c r="B8034" s="4" t="s">
        <v>250</v>
      </c>
      <c r="C8034" s="38" t="s">
        <v>6751</v>
      </c>
      <c r="D8034" s="18">
        <v>2022</v>
      </c>
      <c r="E8034" s="18" t="s">
        <v>0</v>
      </c>
      <c r="F8034" s="42">
        <v>1</v>
      </c>
      <c r="G8034" s="4">
        <v>10</v>
      </c>
      <c r="H8034" s="18">
        <f>0.01805344*(1000)</f>
        <v>18.053440000000002</v>
      </c>
    </row>
    <row r="8035" spans="1:8" s="15" customFormat="1" ht="16.5" hidden="1" customHeight="1" outlineLevel="1" x14ac:dyDescent="0.25">
      <c r="A8035" s="18">
        <v>4031</v>
      </c>
      <c r="B8035" s="4" t="s">
        <v>250</v>
      </c>
      <c r="C8035" s="38" t="s">
        <v>6752</v>
      </c>
      <c r="D8035" s="18">
        <v>2022</v>
      </c>
      <c r="E8035" s="18" t="s">
        <v>0</v>
      </c>
      <c r="F8035" s="42">
        <v>1</v>
      </c>
      <c r="G8035" s="4">
        <v>15</v>
      </c>
      <c r="H8035" s="18">
        <f>0.01805344*(1000)</f>
        <v>18.053440000000002</v>
      </c>
    </row>
    <row r="8036" spans="1:8" s="15" customFormat="1" ht="16.5" hidden="1" customHeight="1" outlineLevel="1" x14ac:dyDescent="0.25">
      <c r="A8036" s="18">
        <v>4033</v>
      </c>
      <c r="B8036" s="4" t="s">
        <v>250</v>
      </c>
      <c r="C8036" s="38" t="s">
        <v>6753</v>
      </c>
      <c r="D8036" s="18">
        <v>2022</v>
      </c>
      <c r="E8036" s="18" t="s">
        <v>0</v>
      </c>
      <c r="F8036" s="42">
        <v>6</v>
      </c>
      <c r="G8036" s="4">
        <v>70</v>
      </c>
      <c r="H8036" s="18">
        <f>0.07497677*(1000)</f>
        <v>74.976770000000002</v>
      </c>
    </row>
    <row r="8037" spans="1:8" s="15" customFormat="1" ht="16.5" hidden="1" customHeight="1" outlineLevel="1" x14ac:dyDescent="0.25">
      <c r="A8037" s="18">
        <v>4034</v>
      </c>
      <c r="B8037" s="4" t="s">
        <v>250</v>
      </c>
      <c r="C8037" s="38" t="s">
        <v>6754</v>
      </c>
      <c r="D8037" s="18">
        <v>2022</v>
      </c>
      <c r="E8037" s="18" t="s">
        <v>0</v>
      </c>
      <c r="F8037" s="42">
        <v>3</v>
      </c>
      <c r="G8037" s="4">
        <v>45</v>
      </c>
      <c r="H8037" s="18">
        <f>0.05218231*(1000)</f>
        <v>52.182310000000001</v>
      </c>
    </row>
    <row r="8038" spans="1:8" s="15" customFormat="1" ht="16.5" hidden="1" customHeight="1" outlineLevel="1" x14ac:dyDescent="0.25">
      <c r="A8038" s="18">
        <v>4035</v>
      </c>
      <c r="B8038" s="4" t="s">
        <v>250</v>
      </c>
      <c r="C8038" s="38" t="s">
        <v>6755</v>
      </c>
      <c r="D8038" s="18">
        <v>2022</v>
      </c>
      <c r="E8038" s="18" t="s">
        <v>0</v>
      </c>
      <c r="F8038" s="42">
        <v>6</v>
      </c>
      <c r="G8038" s="4">
        <v>82</v>
      </c>
      <c r="H8038" s="18">
        <f>0.0965122*(1000)</f>
        <v>96.512200000000007</v>
      </c>
    </row>
    <row r="8039" spans="1:8" s="15" customFormat="1" ht="16.5" hidden="1" customHeight="1" outlineLevel="1" x14ac:dyDescent="0.25">
      <c r="A8039" s="18">
        <v>4036</v>
      </c>
      <c r="B8039" s="4" t="s">
        <v>250</v>
      </c>
      <c r="C8039" s="38" t="s">
        <v>6756</v>
      </c>
      <c r="D8039" s="18">
        <v>2022</v>
      </c>
      <c r="E8039" s="18" t="s">
        <v>0</v>
      </c>
      <c r="F8039" s="42">
        <v>5</v>
      </c>
      <c r="G8039" s="4">
        <v>65</v>
      </c>
      <c r="H8039" s="18">
        <f>0.06055113*(1000)</f>
        <v>60.551130000000001</v>
      </c>
    </row>
    <row r="8040" spans="1:8" s="15" customFormat="1" ht="16.5" hidden="1" customHeight="1" outlineLevel="1" x14ac:dyDescent="0.25">
      <c r="A8040" s="18">
        <v>4037</v>
      </c>
      <c r="B8040" s="4" t="s">
        <v>250</v>
      </c>
      <c r="C8040" s="38" t="s">
        <v>6757</v>
      </c>
      <c r="D8040" s="18">
        <v>2022</v>
      </c>
      <c r="E8040" s="18" t="s">
        <v>0</v>
      </c>
      <c r="F8040" s="42">
        <v>10</v>
      </c>
      <c r="G8040" s="4">
        <v>109</v>
      </c>
      <c r="H8040" s="18">
        <f>0.12105323*(1000)</f>
        <v>121.05323</v>
      </c>
    </row>
    <row r="8041" spans="1:8" s="15" customFormat="1" ht="16.5" hidden="1" customHeight="1" outlineLevel="1" x14ac:dyDescent="0.25">
      <c r="A8041" s="18">
        <v>4038</v>
      </c>
      <c r="B8041" s="4" t="s">
        <v>250</v>
      </c>
      <c r="C8041" s="38" t="s">
        <v>6758</v>
      </c>
      <c r="D8041" s="18">
        <v>2022</v>
      </c>
      <c r="E8041" s="18" t="s">
        <v>0</v>
      </c>
      <c r="F8041" s="42">
        <v>4</v>
      </c>
      <c r="G8041" s="4">
        <v>45</v>
      </c>
      <c r="H8041" s="18">
        <f>0.04720718*(1000)</f>
        <v>47.207180000000001</v>
      </c>
    </row>
    <row r="8042" spans="1:8" s="15" customFormat="1" ht="16.5" hidden="1" customHeight="1" outlineLevel="1" x14ac:dyDescent="0.25">
      <c r="A8042" s="18">
        <v>4039</v>
      </c>
      <c r="B8042" s="4" t="s">
        <v>250</v>
      </c>
      <c r="C8042" s="38" t="s">
        <v>6759</v>
      </c>
      <c r="D8042" s="18">
        <v>2022</v>
      </c>
      <c r="E8042" s="18" t="s">
        <v>0</v>
      </c>
      <c r="F8042" s="42">
        <v>2</v>
      </c>
      <c r="G8042" s="4">
        <v>25</v>
      </c>
      <c r="H8042" s="18">
        <f>0.02746508*(1000)</f>
        <v>27.46508</v>
      </c>
    </row>
    <row r="8043" spans="1:8" s="15" customFormat="1" ht="16.5" hidden="1" customHeight="1" outlineLevel="1" x14ac:dyDescent="0.25">
      <c r="A8043" s="18">
        <v>4041</v>
      </c>
      <c r="B8043" s="4" t="s">
        <v>250</v>
      </c>
      <c r="C8043" s="38" t="s">
        <v>6760</v>
      </c>
      <c r="D8043" s="18">
        <v>2022</v>
      </c>
      <c r="E8043" s="18" t="s">
        <v>0</v>
      </c>
      <c r="F8043" s="42">
        <v>4</v>
      </c>
      <c r="G8043" s="4">
        <v>45</v>
      </c>
      <c r="H8043" s="18">
        <f>0.04707777*(1000)</f>
        <v>47.077770000000001</v>
      </c>
    </row>
    <row r="8044" spans="1:8" s="15" customFormat="1" ht="16.5" hidden="1" customHeight="1" outlineLevel="1" x14ac:dyDescent="0.25">
      <c r="A8044" s="18">
        <v>4042</v>
      </c>
      <c r="B8044" s="4" t="s">
        <v>250</v>
      </c>
      <c r="C8044" s="38" t="s">
        <v>6761</v>
      </c>
      <c r="D8044" s="18">
        <v>2022</v>
      </c>
      <c r="E8044" s="18" t="s">
        <v>0</v>
      </c>
      <c r="F8044" s="42">
        <v>3</v>
      </c>
      <c r="G8044" s="4">
        <v>35</v>
      </c>
      <c r="H8044" s="18">
        <f>0.03727143*(1000)</f>
        <v>37.271430000000002</v>
      </c>
    </row>
    <row r="8045" spans="1:8" s="15" customFormat="1" ht="16.5" hidden="1" customHeight="1" outlineLevel="1" x14ac:dyDescent="0.25">
      <c r="A8045" s="18">
        <v>4043</v>
      </c>
      <c r="B8045" s="4" t="s">
        <v>250</v>
      </c>
      <c r="C8045" s="38" t="s">
        <v>6762</v>
      </c>
      <c r="D8045" s="18">
        <v>2022</v>
      </c>
      <c r="E8045" s="18" t="s">
        <v>0</v>
      </c>
      <c r="F8045" s="42">
        <v>3</v>
      </c>
      <c r="G8045" s="4">
        <v>39</v>
      </c>
      <c r="H8045" s="18">
        <f>0.03777068*(1000)</f>
        <v>37.770679999999999</v>
      </c>
    </row>
    <row r="8046" spans="1:8" s="15" customFormat="1" ht="16.5" hidden="1" customHeight="1" outlineLevel="1" x14ac:dyDescent="0.25">
      <c r="A8046" s="18">
        <v>4044</v>
      </c>
      <c r="B8046" s="4" t="s">
        <v>250</v>
      </c>
      <c r="C8046" s="38" t="s">
        <v>6763</v>
      </c>
      <c r="D8046" s="18">
        <v>2022</v>
      </c>
      <c r="E8046" s="18" t="s">
        <v>0</v>
      </c>
      <c r="F8046" s="42">
        <v>1</v>
      </c>
      <c r="G8046" s="4">
        <v>15</v>
      </c>
      <c r="H8046" s="18">
        <f>0.01851228*(1000)</f>
        <v>18.512280000000001</v>
      </c>
    </row>
    <row r="8047" spans="1:8" s="15" customFormat="1" ht="16.5" hidden="1" customHeight="1" outlineLevel="1" x14ac:dyDescent="0.25">
      <c r="A8047" s="18">
        <v>4045</v>
      </c>
      <c r="B8047" s="4" t="s">
        <v>250</v>
      </c>
      <c r="C8047" s="38" t="s">
        <v>6764</v>
      </c>
      <c r="D8047" s="18">
        <v>2022</v>
      </c>
      <c r="E8047" s="18" t="s">
        <v>0</v>
      </c>
      <c r="F8047" s="42">
        <v>9</v>
      </c>
      <c r="G8047" s="4">
        <v>100</v>
      </c>
      <c r="H8047" s="18">
        <f>0.10320204*(1000)</f>
        <v>103.20204</v>
      </c>
    </row>
    <row r="8048" spans="1:8" s="15" customFormat="1" ht="16.5" hidden="1" customHeight="1" outlineLevel="1" x14ac:dyDescent="0.25">
      <c r="A8048" s="18">
        <v>4046</v>
      </c>
      <c r="B8048" s="4" t="s">
        <v>250</v>
      </c>
      <c r="C8048" s="38" t="s">
        <v>6765</v>
      </c>
      <c r="D8048" s="18">
        <v>2022</v>
      </c>
      <c r="E8048" s="18" t="s">
        <v>0</v>
      </c>
      <c r="F8048" s="42">
        <v>2</v>
      </c>
      <c r="G8048" s="4">
        <v>25</v>
      </c>
      <c r="H8048" s="18">
        <f>0.02739341*(1000)</f>
        <v>27.393409999999999</v>
      </c>
    </row>
    <row r="8049" spans="1:8" s="15" customFormat="1" ht="16.5" hidden="1" customHeight="1" outlineLevel="1" x14ac:dyDescent="0.25">
      <c r="A8049" s="18">
        <v>4047</v>
      </c>
      <c r="B8049" s="4" t="s">
        <v>250</v>
      </c>
      <c r="C8049" s="38" t="s">
        <v>6766</v>
      </c>
      <c r="D8049" s="18">
        <v>2022</v>
      </c>
      <c r="E8049" s="18" t="s">
        <v>0</v>
      </c>
      <c r="F8049" s="42">
        <v>2</v>
      </c>
      <c r="G8049" s="4">
        <v>25</v>
      </c>
      <c r="H8049" s="18">
        <f>0.02739341*(1000)</f>
        <v>27.393409999999999</v>
      </c>
    </row>
    <row r="8050" spans="1:8" s="15" customFormat="1" ht="16.5" hidden="1" customHeight="1" outlineLevel="1" x14ac:dyDescent="0.25">
      <c r="A8050" s="18">
        <v>4049</v>
      </c>
      <c r="B8050" s="4" t="s">
        <v>250</v>
      </c>
      <c r="C8050" s="38" t="s">
        <v>6767</v>
      </c>
      <c r="D8050" s="18">
        <v>2022</v>
      </c>
      <c r="E8050" s="18" t="s">
        <v>0</v>
      </c>
      <c r="F8050" s="42">
        <v>3</v>
      </c>
      <c r="G8050" s="4">
        <v>45</v>
      </c>
      <c r="H8050" s="18">
        <f>0.05197274*(1000)</f>
        <v>51.972740000000002</v>
      </c>
    </row>
    <row r="8051" spans="1:8" s="15" customFormat="1" ht="16.5" hidden="1" customHeight="1" outlineLevel="1" x14ac:dyDescent="0.25">
      <c r="A8051" s="18">
        <v>4050</v>
      </c>
      <c r="B8051" s="4" t="s">
        <v>250</v>
      </c>
      <c r="C8051" s="38" t="s">
        <v>6768</v>
      </c>
      <c r="D8051" s="18">
        <v>2022</v>
      </c>
      <c r="E8051" s="18" t="s">
        <v>0</v>
      </c>
      <c r="F8051" s="42">
        <v>3</v>
      </c>
      <c r="G8051" s="4">
        <v>45</v>
      </c>
      <c r="H8051" s="18">
        <f>0.05197274*(1000)</f>
        <v>51.972740000000002</v>
      </c>
    </row>
    <row r="8052" spans="1:8" s="15" customFormat="1" ht="16.5" hidden="1" customHeight="1" outlineLevel="1" x14ac:dyDescent="0.25">
      <c r="A8052" s="18">
        <v>4053</v>
      </c>
      <c r="B8052" s="4" t="s">
        <v>250</v>
      </c>
      <c r="C8052" s="38" t="s">
        <v>6769</v>
      </c>
      <c r="D8052" s="18">
        <v>2022</v>
      </c>
      <c r="E8052" s="18" t="s">
        <v>0</v>
      </c>
      <c r="F8052" s="42">
        <v>4</v>
      </c>
      <c r="G8052" s="4">
        <v>45</v>
      </c>
      <c r="H8052" s="18">
        <f>0.04707777*(1000)</f>
        <v>47.077770000000001</v>
      </c>
    </row>
    <row r="8053" spans="1:8" s="15" customFormat="1" ht="16.5" hidden="1" customHeight="1" outlineLevel="1" x14ac:dyDescent="0.25">
      <c r="A8053" s="18">
        <v>4054</v>
      </c>
      <c r="B8053" s="4" t="s">
        <v>250</v>
      </c>
      <c r="C8053" s="38" t="s">
        <v>6770</v>
      </c>
      <c r="D8053" s="18">
        <v>2022</v>
      </c>
      <c r="E8053" s="18" t="s">
        <v>0</v>
      </c>
      <c r="F8053" s="42">
        <v>3</v>
      </c>
      <c r="G8053" s="4">
        <v>39.5</v>
      </c>
      <c r="H8053" s="18">
        <f>0.04467834*(1000)</f>
        <v>44.678339999999999</v>
      </c>
    </row>
    <row r="8054" spans="1:8" s="15" customFormat="1" ht="16.5" hidden="1" customHeight="1" outlineLevel="1" x14ac:dyDescent="0.25">
      <c r="A8054" s="18">
        <v>4056</v>
      </c>
      <c r="B8054" s="4" t="s">
        <v>250</v>
      </c>
      <c r="C8054" s="38" t="s">
        <v>6771</v>
      </c>
      <c r="D8054" s="18">
        <v>2022</v>
      </c>
      <c r="E8054" s="18" t="s">
        <v>0</v>
      </c>
      <c r="F8054" s="42">
        <v>3</v>
      </c>
      <c r="G8054" s="4">
        <v>45</v>
      </c>
      <c r="H8054" s="18">
        <f>0.05208527*(1000)</f>
        <v>52.085270000000001</v>
      </c>
    </row>
    <row r="8055" spans="1:8" s="15" customFormat="1" ht="16.5" hidden="1" customHeight="1" outlineLevel="1" x14ac:dyDescent="0.25">
      <c r="A8055" s="18">
        <v>4057</v>
      </c>
      <c r="B8055" s="4" t="s">
        <v>250</v>
      </c>
      <c r="C8055" s="38" t="s">
        <v>6772</v>
      </c>
      <c r="D8055" s="18">
        <v>2022</v>
      </c>
      <c r="E8055" s="18" t="s">
        <v>0</v>
      </c>
      <c r="F8055" s="42">
        <v>7</v>
      </c>
      <c r="G8055" s="4">
        <v>80</v>
      </c>
      <c r="H8055" s="18">
        <f>0.07738786*(1000)</f>
        <v>77.387860000000003</v>
      </c>
    </row>
    <row r="8056" spans="1:8" s="15" customFormat="1" ht="16.5" hidden="1" customHeight="1" outlineLevel="1" x14ac:dyDescent="0.25">
      <c r="A8056" s="18">
        <v>4058</v>
      </c>
      <c r="B8056" s="4" t="s">
        <v>250</v>
      </c>
      <c r="C8056" s="38" t="s">
        <v>6773</v>
      </c>
      <c r="D8056" s="18">
        <v>2022</v>
      </c>
      <c r="E8056" s="18" t="s">
        <v>0</v>
      </c>
      <c r="F8056" s="42">
        <v>3</v>
      </c>
      <c r="G8056" s="4">
        <v>31</v>
      </c>
      <c r="H8056" s="18">
        <f>0.03816248*(1000)</f>
        <v>38.162480000000002</v>
      </c>
    </row>
    <row r="8057" spans="1:8" s="15" customFormat="1" ht="16.5" hidden="1" customHeight="1" outlineLevel="1" x14ac:dyDescent="0.25">
      <c r="A8057" s="18">
        <v>4059</v>
      </c>
      <c r="B8057" s="4" t="s">
        <v>250</v>
      </c>
      <c r="C8057" s="38" t="s">
        <v>6774</v>
      </c>
      <c r="D8057" s="18">
        <v>2022</v>
      </c>
      <c r="E8057" s="18" t="s">
        <v>0</v>
      </c>
      <c r="F8057" s="42">
        <v>3</v>
      </c>
      <c r="G8057" s="4">
        <v>40</v>
      </c>
      <c r="H8057" s="18">
        <f>0.0455694*(1000)</f>
        <v>45.569400000000002</v>
      </c>
    </row>
    <row r="8058" spans="1:8" s="15" customFormat="1" ht="16.5" hidden="1" customHeight="1" outlineLevel="1" x14ac:dyDescent="0.25">
      <c r="A8058" s="18">
        <v>4060</v>
      </c>
      <c r="B8058" s="4" t="s">
        <v>250</v>
      </c>
      <c r="C8058" s="38" t="s">
        <v>6775</v>
      </c>
      <c r="D8058" s="18">
        <v>2022</v>
      </c>
      <c r="E8058" s="18" t="s">
        <v>0</v>
      </c>
      <c r="F8058" s="42">
        <v>1</v>
      </c>
      <c r="G8058" s="4">
        <v>15</v>
      </c>
      <c r="H8058" s="18">
        <f>0.01854975*(1000)</f>
        <v>18.54975</v>
      </c>
    </row>
    <row r="8059" spans="1:8" s="15" customFormat="1" ht="16.5" hidden="1" customHeight="1" outlineLevel="1" x14ac:dyDescent="0.25">
      <c r="A8059" s="18">
        <v>4061</v>
      </c>
      <c r="B8059" s="4" t="s">
        <v>250</v>
      </c>
      <c r="C8059" s="38" t="s">
        <v>6776</v>
      </c>
      <c r="D8059" s="18">
        <v>2022</v>
      </c>
      <c r="E8059" s="18" t="s">
        <v>0</v>
      </c>
      <c r="F8059" s="42">
        <v>5</v>
      </c>
      <c r="G8059" s="4">
        <v>65</v>
      </c>
      <c r="H8059" s="18">
        <f>0.07258899*(1000)</f>
        <v>72.58899000000001</v>
      </c>
    </row>
    <row r="8060" spans="1:8" s="15" customFormat="1" ht="16.5" hidden="1" customHeight="1" outlineLevel="1" x14ac:dyDescent="0.25">
      <c r="A8060" s="18">
        <v>4062</v>
      </c>
      <c r="B8060" s="4" t="s">
        <v>250</v>
      </c>
      <c r="C8060" s="38" t="s">
        <v>6777</v>
      </c>
      <c r="D8060" s="18">
        <v>2022</v>
      </c>
      <c r="E8060" s="18" t="s">
        <v>0</v>
      </c>
      <c r="F8060" s="42">
        <v>1</v>
      </c>
      <c r="G8060" s="4">
        <v>15</v>
      </c>
      <c r="H8060" s="18">
        <f>0.01854975*(1000)</f>
        <v>18.54975</v>
      </c>
    </row>
    <row r="8061" spans="1:8" s="15" customFormat="1" ht="16.5" hidden="1" customHeight="1" outlineLevel="1" x14ac:dyDescent="0.25">
      <c r="A8061" s="18">
        <v>4063</v>
      </c>
      <c r="B8061" s="4" t="s">
        <v>250</v>
      </c>
      <c r="C8061" s="38" t="s">
        <v>6778</v>
      </c>
      <c r="D8061" s="18">
        <v>2022</v>
      </c>
      <c r="E8061" s="18" t="s">
        <v>0</v>
      </c>
      <c r="F8061" s="42">
        <v>2</v>
      </c>
      <c r="G8061" s="4">
        <v>25</v>
      </c>
      <c r="H8061" s="18">
        <f>0.02888401*(1000)</f>
        <v>28.88401</v>
      </c>
    </row>
    <row r="8062" spans="1:8" s="15" customFormat="1" ht="16.5" hidden="1" customHeight="1" outlineLevel="1" x14ac:dyDescent="0.25">
      <c r="A8062" s="18">
        <v>4064</v>
      </c>
      <c r="B8062" s="4" t="s">
        <v>250</v>
      </c>
      <c r="C8062" s="38" t="s">
        <v>6779</v>
      </c>
      <c r="D8062" s="18">
        <v>2022</v>
      </c>
      <c r="E8062" s="18" t="s">
        <v>0</v>
      </c>
      <c r="F8062" s="42">
        <v>5</v>
      </c>
      <c r="G8062" s="4">
        <v>65</v>
      </c>
      <c r="H8062" s="18">
        <f>0.07311695*(1000)</f>
        <v>73.116950000000003</v>
      </c>
    </row>
    <row r="8063" spans="1:8" s="15" customFormat="1" ht="16.5" hidden="1" customHeight="1" outlineLevel="1" x14ac:dyDescent="0.25">
      <c r="A8063" s="18">
        <v>4066</v>
      </c>
      <c r="B8063" s="4" t="s">
        <v>250</v>
      </c>
      <c r="C8063" s="38" t="s">
        <v>6780</v>
      </c>
      <c r="D8063" s="18">
        <v>2022</v>
      </c>
      <c r="E8063" s="18" t="s">
        <v>0</v>
      </c>
      <c r="F8063" s="42">
        <v>7</v>
      </c>
      <c r="G8063" s="4">
        <v>90</v>
      </c>
      <c r="H8063" s="18">
        <f>0.09862931*(1000)</f>
        <v>98.629310000000004</v>
      </c>
    </row>
    <row r="8064" spans="1:8" s="15" customFormat="1" ht="16.5" hidden="1" customHeight="1" outlineLevel="1" x14ac:dyDescent="0.25">
      <c r="A8064" s="18">
        <v>4068</v>
      </c>
      <c r="B8064" s="4" t="s">
        <v>250</v>
      </c>
      <c r="C8064" s="38" t="s">
        <v>6781</v>
      </c>
      <c r="D8064" s="18">
        <v>2022</v>
      </c>
      <c r="E8064" s="18" t="s">
        <v>0</v>
      </c>
      <c r="F8064" s="42">
        <v>3</v>
      </c>
      <c r="G8064" s="4">
        <v>26</v>
      </c>
      <c r="H8064" s="18">
        <f>0.04487763*(1000)</f>
        <v>44.877630000000003</v>
      </c>
    </row>
    <row r="8065" spans="1:8" s="15" customFormat="1" ht="16.5" hidden="1" customHeight="1" outlineLevel="1" x14ac:dyDescent="0.25">
      <c r="A8065" s="18">
        <v>4069</v>
      </c>
      <c r="B8065" s="4" t="s">
        <v>250</v>
      </c>
      <c r="C8065" s="38" t="s">
        <v>6782</v>
      </c>
      <c r="D8065" s="18">
        <v>2022</v>
      </c>
      <c r="E8065" s="18" t="s">
        <v>0</v>
      </c>
      <c r="F8065" s="42">
        <v>2</v>
      </c>
      <c r="G8065" s="4">
        <v>30</v>
      </c>
      <c r="H8065" s="18">
        <f>0.0350713*(1000)</f>
        <v>35.071300000000001</v>
      </c>
    </row>
    <row r="8066" spans="1:8" s="15" customFormat="1" ht="16.5" hidden="1" customHeight="1" outlineLevel="1" x14ac:dyDescent="0.25">
      <c r="A8066" s="18">
        <v>4070</v>
      </c>
      <c r="B8066" s="4" t="s">
        <v>250</v>
      </c>
      <c r="C8066" s="38" t="s">
        <v>6783</v>
      </c>
      <c r="D8066" s="18">
        <v>2022</v>
      </c>
      <c r="E8066" s="18" t="s">
        <v>0</v>
      </c>
      <c r="F8066" s="42">
        <v>9</v>
      </c>
      <c r="G8066" s="4">
        <v>84</v>
      </c>
      <c r="H8066" s="18">
        <f>0.10345176*(1000)</f>
        <v>103.45176000000001</v>
      </c>
    </row>
    <row r="8067" spans="1:8" s="15" customFormat="1" ht="16.5" hidden="1" customHeight="1" outlineLevel="1" x14ac:dyDescent="0.25">
      <c r="A8067" s="18">
        <v>4071</v>
      </c>
      <c r="B8067" s="4" t="s">
        <v>250</v>
      </c>
      <c r="C8067" s="38" t="s">
        <v>6784</v>
      </c>
      <c r="D8067" s="18">
        <v>2022</v>
      </c>
      <c r="E8067" s="18" t="s">
        <v>0</v>
      </c>
      <c r="F8067" s="42">
        <v>3</v>
      </c>
      <c r="G8067" s="4">
        <v>35</v>
      </c>
      <c r="H8067" s="18">
        <f>0.03714834*(1000)</f>
        <v>37.148340000000005</v>
      </c>
    </row>
    <row r="8068" spans="1:8" s="15" customFormat="1" ht="16.5" hidden="1" customHeight="1" outlineLevel="1" x14ac:dyDescent="0.25">
      <c r="A8068" s="18">
        <v>4072</v>
      </c>
      <c r="B8068" s="4" t="s">
        <v>250</v>
      </c>
      <c r="C8068" s="38" t="s">
        <v>6785</v>
      </c>
      <c r="D8068" s="18">
        <v>2022</v>
      </c>
      <c r="E8068" s="18" t="s">
        <v>0</v>
      </c>
      <c r="F8068" s="42">
        <v>3</v>
      </c>
      <c r="G8068" s="4">
        <v>40</v>
      </c>
      <c r="H8068" s="18">
        <f>0.04487763*(1000)</f>
        <v>44.877630000000003</v>
      </c>
    </row>
    <row r="8069" spans="1:8" s="15" customFormat="1" ht="16.5" hidden="1" customHeight="1" outlineLevel="1" x14ac:dyDescent="0.25">
      <c r="A8069" s="18">
        <v>4073</v>
      </c>
      <c r="B8069" s="4" t="s">
        <v>250</v>
      </c>
      <c r="C8069" s="38" t="s">
        <v>6786</v>
      </c>
      <c r="D8069" s="18">
        <v>2022</v>
      </c>
      <c r="E8069" s="18" t="s">
        <v>0</v>
      </c>
      <c r="F8069" s="42">
        <v>3</v>
      </c>
      <c r="G8069" s="4">
        <v>35</v>
      </c>
      <c r="H8069" s="18">
        <f>0.033647*(1000)</f>
        <v>33.647000000000006</v>
      </c>
    </row>
    <row r="8070" spans="1:8" s="15" customFormat="1" ht="16.5" hidden="1" customHeight="1" outlineLevel="1" x14ac:dyDescent="0.25">
      <c r="A8070" s="18">
        <v>4074</v>
      </c>
      <c r="B8070" s="4" t="s">
        <v>250</v>
      </c>
      <c r="C8070" s="38" t="s">
        <v>6787</v>
      </c>
      <c r="D8070" s="18">
        <v>2022</v>
      </c>
      <c r="E8070" s="18" t="s">
        <v>0</v>
      </c>
      <c r="F8070" s="42">
        <v>5</v>
      </c>
      <c r="G8070" s="4">
        <v>65</v>
      </c>
      <c r="H8070" s="18">
        <f>0.06065989*(1000)</f>
        <v>60.659890000000004</v>
      </c>
    </row>
    <row r="8071" spans="1:8" s="15" customFormat="1" ht="16.5" hidden="1" customHeight="1" outlineLevel="1" x14ac:dyDescent="0.25">
      <c r="A8071" s="18">
        <v>4075</v>
      </c>
      <c r="B8071" s="4" t="s">
        <v>250</v>
      </c>
      <c r="C8071" s="38" t="s">
        <v>6788</v>
      </c>
      <c r="D8071" s="18">
        <v>2022</v>
      </c>
      <c r="E8071" s="18" t="s">
        <v>0</v>
      </c>
      <c r="F8071" s="42">
        <v>3</v>
      </c>
      <c r="G8071" s="4">
        <v>35</v>
      </c>
      <c r="H8071" s="18">
        <f>0.033647*(1000)</f>
        <v>33.647000000000006</v>
      </c>
    </row>
    <row r="8072" spans="1:8" s="15" customFormat="1" ht="16.5" hidden="1" customHeight="1" outlineLevel="1" x14ac:dyDescent="0.25">
      <c r="A8072" s="18">
        <v>4076</v>
      </c>
      <c r="B8072" s="4" t="s">
        <v>250</v>
      </c>
      <c r="C8072" s="38" t="s">
        <v>6789</v>
      </c>
      <c r="D8072" s="18">
        <v>2022</v>
      </c>
      <c r="E8072" s="18" t="s">
        <v>0</v>
      </c>
      <c r="F8072" s="42">
        <v>2</v>
      </c>
      <c r="G8072" s="4">
        <v>25</v>
      </c>
      <c r="H8072" s="18">
        <f>0.02384067*(1000)</f>
        <v>23.840670000000003</v>
      </c>
    </row>
    <row r="8073" spans="1:8" s="15" customFormat="1" ht="16.5" hidden="1" customHeight="1" outlineLevel="1" x14ac:dyDescent="0.25">
      <c r="A8073" s="18">
        <v>4078</v>
      </c>
      <c r="B8073" s="4" t="s">
        <v>250</v>
      </c>
      <c r="C8073" s="38" t="s">
        <v>6790</v>
      </c>
      <c r="D8073" s="18">
        <v>2022</v>
      </c>
      <c r="E8073" s="18" t="s">
        <v>0</v>
      </c>
      <c r="F8073" s="42">
        <v>1</v>
      </c>
      <c r="G8073" s="4">
        <v>15</v>
      </c>
      <c r="H8073" s="18">
        <f>0.01377039*(1000)</f>
        <v>13.770390000000001</v>
      </c>
    </row>
    <row r="8074" spans="1:8" s="15" customFormat="1" ht="16.5" hidden="1" customHeight="1" outlineLevel="1" x14ac:dyDescent="0.25">
      <c r="A8074" s="18">
        <v>4079</v>
      </c>
      <c r="B8074" s="4" t="s">
        <v>250</v>
      </c>
      <c r="C8074" s="38" t="s">
        <v>6791</v>
      </c>
      <c r="D8074" s="18">
        <v>2022</v>
      </c>
      <c r="E8074" s="18" t="s">
        <v>0</v>
      </c>
      <c r="F8074" s="42">
        <v>5</v>
      </c>
      <c r="G8074" s="4">
        <v>64</v>
      </c>
      <c r="H8074" s="18">
        <f>0.06039597*(1000)</f>
        <v>60.395969999999998</v>
      </c>
    </row>
    <row r="8075" spans="1:8" s="15" customFormat="1" ht="16.5" hidden="1" customHeight="1" outlineLevel="1" x14ac:dyDescent="0.25">
      <c r="A8075" s="18">
        <v>4080</v>
      </c>
      <c r="B8075" s="4" t="s">
        <v>250</v>
      </c>
      <c r="C8075" s="38" t="s">
        <v>6792</v>
      </c>
      <c r="D8075" s="18">
        <v>2022</v>
      </c>
      <c r="E8075" s="18" t="s">
        <v>0</v>
      </c>
      <c r="F8075" s="42">
        <v>1</v>
      </c>
      <c r="G8075" s="4">
        <v>20</v>
      </c>
      <c r="H8075" s="18">
        <f>0.01377039*(1000)</f>
        <v>13.770390000000001</v>
      </c>
    </row>
    <row r="8076" spans="1:8" s="15" customFormat="1" ht="16.5" hidden="1" customHeight="1" outlineLevel="1" x14ac:dyDescent="0.25">
      <c r="A8076" s="18">
        <v>4082</v>
      </c>
      <c r="B8076" s="4" t="s">
        <v>250</v>
      </c>
      <c r="C8076" s="38" t="s">
        <v>6793</v>
      </c>
      <c r="D8076" s="18">
        <v>2022</v>
      </c>
      <c r="E8076" s="18" t="s">
        <v>0</v>
      </c>
      <c r="F8076" s="42">
        <v>1</v>
      </c>
      <c r="G8076" s="4">
        <v>15</v>
      </c>
      <c r="H8076" s="18">
        <f>0.01403432*(1000)</f>
        <v>14.034319999999999</v>
      </c>
    </row>
    <row r="8077" spans="1:8" s="15" customFormat="1" ht="16.5" hidden="1" customHeight="1" outlineLevel="1" x14ac:dyDescent="0.25">
      <c r="A8077" s="18">
        <v>4083</v>
      </c>
      <c r="B8077" s="4" t="s">
        <v>250</v>
      </c>
      <c r="C8077" s="38" t="s">
        <v>6794</v>
      </c>
      <c r="D8077" s="18">
        <v>2022</v>
      </c>
      <c r="E8077" s="18" t="s">
        <v>0</v>
      </c>
      <c r="F8077" s="42">
        <v>1</v>
      </c>
      <c r="G8077" s="4">
        <v>15</v>
      </c>
      <c r="H8077" s="18">
        <f>0.01403432*(1000)</f>
        <v>14.034319999999999</v>
      </c>
    </row>
    <row r="8078" spans="1:8" s="15" customFormat="1" ht="16.5" hidden="1" customHeight="1" outlineLevel="1" x14ac:dyDescent="0.25">
      <c r="A8078" s="18">
        <v>4085</v>
      </c>
      <c r="B8078" s="4" t="s">
        <v>250</v>
      </c>
      <c r="C8078" s="38" t="s">
        <v>6795</v>
      </c>
      <c r="D8078" s="18">
        <v>2022</v>
      </c>
      <c r="E8078" s="18" t="s">
        <v>0</v>
      </c>
      <c r="F8078" s="42">
        <v>1</v>
      </c>
      <c r="G8078" s="4">
        <v>15</v>
      </c>
      <c r="H8078" s="18">
        <f>0.01403432*(1000)</f>
        <v>14.034319999999999</v>
      </c>
    </row>
    <row r="8079" spans="1:8" s="15" customFormat="1" ht="16.5" hidden="1" customHeight="1" outlineLevel="1" x14ac:dyDescent="0.25">
      <c r="A8079" s="18">
        <v>4086</v>
      </c>
      <c r="B8079" s="4" t="s">
        <v>250</v>
      </c>
      <c r="C8079" s="38" t="s">
        <v>6796</v>
      </c>
      <c r="D8079" s="18">
        <v>2022</v>
      </c>
      <c r="E8079" s="18" t="s">
        <v>0</v>
      </c>
      <c r="F8079" s="42">
        <v>1</v>
      </c>
      <c r="G8079" s="4">
        <v>3.08</v>
      </c>
      <c r="H8079" s="18">
        <f>0.0137704*(1000)</f>
        <v>13.7704</v>
      </c>
    </row>
    <row r="8080" spans="1:8" s="15" customFormat="1" ht="16.5" hidden="1" customHeight="1" outlineLevel="1" x14ac:dyDescent="0.25">
      <c r="A8080" s="18">
        <v>4090</v>
      </c>
      <c r="B8080" s="4" t="s">
        <v>250</v>
      </c>
      <c r="C8080" s="38" t="s">
        <v>6797</v>
      </c>
      <c r="D8080" s="18">
        <v>2022</v>
      </c>
      <c r="E8080" s="18" t="s">
        <v>0</v>
      </c>
      <c r="F8080" s="42">
        <v>1</v>
      </c>
      <c r="G8080" s="4">
        <v>15</v>
      </c>
      <c r="H8080" s="18">
        <f>0.01403436*(1000)</f>
        <v>14.03436</v>
      </c>
    </row>
    <row r="8081" spans="1:8" s="15" customFormat="1" ht="16.5" hidden="1" customHeight="1" outlineLevel="1" x14ac:dyDescent="0.25">
      <c r="A8081" s="18">
        <v>4091</v>
      </c>
      <c r="B8081" s="4" t="s">
        <v>250</v>
      </c>
      <c r="C8081" s="38" t="s">
        <v>6798</v>
      </c>
      <c r="D8081" s="18">
        <v>2022</v>
      </c>
      <c r="E8081" s="18" t="s">
        <v>0</v>
      </c>
      <c r="F8081" s="42">
        <v>1</v>
      </c>
      <c r="G8081" s="4">
        <v>139</v>
      </c>
      <c r="H8081" s="18">
        <f>0.01403434*(1000)</f>
        <v>14.034339999999998</v>
      </c>
    </row>
    <row r="8082" spans="1:8" s="15" customFormat="1" ht="16.5" hidden="1" customHeight="1" outlineLevel="1" x14ac:dyDescent="0.25">
      <c r="A8082" s="18">
        <v>4092</v>
      </c>
      <c r="B8082" s="4" t="s">
        <v>250</v>
      </c>
      <c r="C8082" s="38" t="s">
        <v>6799</v>
      </c>
      <c r="D8082" s="18">
        <v>2022</v>
      </c>
      <c r="E8082" s="18" t="s">
        <v>0</v>
      </c>
      <c r="F8082" s="42">
        <v>1</v>
      </c>
      <c r="G8082" s="4">
        <v>15</v>
      </c>
      <c r="H8082" s="18">
        <f>0.01403432*(1000)</f>
        <v>14.034319999999999</v>
      </c>
    </row>
    <row r="8083" spans="1:8" s="15" customFormat="1" ht="16.5" hidden="1" customHeight="1" outlineLevel="1" x14ac:dyDescent="0.25">
      <c r="A8083" s="18">
        <v>4093</v>
      </c>
      <c r="B8083" s="4" t="s">
        <v>250</v>
      </c>
      <c r="C8083" s="38" t="s">
        <v>6800</v>
      </c>
      <c r="D8083" s="18">
        <v>2022</v>
      </c>
      <c r="E8083" s="18" t="s">
        <v>0</v>
      </c>
      <c r="F8083" s="42">
        <v>1</v>
      </c>
      <c r="G8083" s="4">
        <v>15</v>
      </c>
      <c r="H8083" s="18">
        <f>0.01403434*(1000)</f>
        <v>14.034339999999998</v>
      </c>
    </row>
    <row r="8084" spans="1:8" s="15" customFormat="1" ht="16.5" hidden="1" customHeight="1" outlineLevel="1" x14ac:dyDescent="0.25">
      <c r="A8084" s="18">
        <v>4094</v>
      </c>
      <c r="B8084" s="4" t="s">
        <v>250</v>
      </c>
      <c r="C8084" s="38" t="s">
        <v>6801</v>
      </c>
      <c r="D8084" s="18">
        <v>2022</v>
      </c>
      <c r="E8084" s="18" t="s">
        <v>0</v>
      </c>
      <c r="F8084" s="42">
        <v>1</v>
      </c>
      <c r="G8084" s="4">
        <v>14</v>
      </c>
      <c r="H8084" s="18">
        <f>0.01377039*(1000)</f>
        <v>13.770390000000001</v>
      </c>
    </row>
    <row r="8085" spans="1:8" s="15" customFormat="1" ht="16.5" hidden="1" customHeight="1" outlineLevel="1" x14ac:dyDescent="0.25">
      <c r="A8085" s="18">
        <v>4095</v>
      </c>
      <c r="B8085" s="4" t="s">
        <v>250</v>
      </c>
      <c r="C8085" s="38" t="s">
        <v>6802</v>
      </c>
      <c r="D8085" s="18">
        <v>2022</v>
      </c>
      <c r="E8085" s="18" t="s">
        <v>0</v>
      </c>
      <c r="F8085" s="42">
        <v>1</v>
      </c>
      <c r="G8085" s="4">
        <v>14</v>
      </c>
      <c r="H8085" s="18">
        <f>0.01403434*(1000)</f>
        <v>14.034339999999998</v>
      </c>
    </row>
    <row r="8086" spans="1:8" s="15" customFormat="1" ht="16.5" hidden="1" customHeight="1" outlineLevel="1" x14ac:dyDescent="0.25">
      <c r="A8086" s="18">
        <v>4096</v>
      </c>
      <c r="B8086" s="4" t="s">
        <v>250</v>
      </c>
      <c r="C8086" s="38" t="s">
        <v>6803</v>
      </c>
      <c r="D8086" s="18">
        <v>2022</v>
      </c>
      <c r="E8086" s="18" t="s">
        <v>0</v>
      </c>
      <c r="F8086" s="42">
        <v>1</v>
      </c>
      <c r="G8086" s="4">
        <v>14</v>
      </c>
      <c r="H8086" s="18">
        <f>0.01377039*(1000)</f>
        <v>13.770390000000001</v>
      </c>
    </row>
    <row r="8087" spans="1:8" s="15" customFormat="1" ht="16.5" hidden="1" customHeight="1" outlineLevel="1" x14ac:dyDescent="0.25">
      <c r="A8087" s="18">
        <v>4097</v>
      </c>
      <c r="B8087" s="4" t="s">
        <v>250</v>
      </c>
      <c r="C8087" s="38" t="s">
        <v>6804</v>
      </c>
      <c r="D8087" s="18">
        <v>2022</v>
      </c>
      <c r="E8087" s="18" t="s">
        <v>0</v>
      </c>
      <c r="F8087" s="42">
        <v>1</v>
      </c>
      <c r="G8087" s="4">
        <v>80</v>
      </c>
      <c r="H8087" s="18">
        <f>0.01399669*(1000)</f>
        <v>13.996690000000001</v>
      </c>
    </row>
    <row r="8088" spans="1:8" s="15" customFormat="1" ht="16.5" hidden="1" customHeight="1" outlineLevel="1" x14ac:dyDescent="0.25">
      <c r="A8088" s="18">
        <v>4098</v>
      </c>
      <c r="B8088" s="4" t="s">
        <v>250</v>
      </c>
      <c r="C8088" s="38" t="s">
        <v>6805</v>
      </c>
      <c r="D8088" s="18">
        <v>2022</v>
      </c>
      <c r="E8088" s="18" t="s">
        <v>0</v>
      </c>
      <c r="F8088" s="42">
        <v>1</v>
      </c>
      <c r="G8088" s="4">
        <v>15</v>
      </c>
      <c r="H8088" s="18">
        <f>0.01399668*(1000)</f>
        <v>13.99668</v>
      </c>
    </row>
    <row r="8089" spans="1:8" s="15" customFormat="1" ht="16.5" hidden="1" customHeight="1" outlineLevel="1" x14ac:dyDescent="0.25">
      <c r="A8089" s="18">
        <v>4102</v>
      </c>
      <c r="B8089" s="4" t="s">
        <v>250</v>
      </c>
      <c r="C8089" s="38" t="s">
        <v>6806</v>
      </c>
      <c r="D8089" s="18">
        <v>2022</v>
      </c>
      <c r="E8089" s="18" t="s">
        <v>0</v>
      </c>
      <c r="F8089" s="42">
        <v>1</v>
      </c>
      <c r="G8089" s="4">
        <v>14.9</v>
      </c>
      <c r="H8089" s="18">
        <f>0.01373273*(1000)</f>
        <v>13.73273</v>
      </c>
    </row>
    <row r="8090" spans="1:8" s="15" customFormat="1" ht="16.5" hidden="1" customHeight="1" outlineLevel="1" x14ac:dyDescent="0.25">
      <c r="A8090" s="18">
        <v>4104</v>
      </c>
      <c r="B8090" s="4" t="s">
        <v>250</v>
      </c>
      <c r="C8090" s="38" t="s">
        <v>6807</v>
      </c>
      <c r="D8090" s="18">
        <v>2022</v>
      </c>
      <c r="E8090" s="18" t="s">
        <v>0</v>
      </c>
      <c r="F8090" s="42">
        <v>1</v>
      </c>
      <c r="G8090" s="4">
        <v>15</v>
      </c>
      <c r="H8090" s="18">
        <f>0.01373272*(1000)</f>
        <v>13.73272</v>
      </c>
    </row>
    <row r="8091" spans="1:8" s="15" customFormat="1" ht="16.5" hidden="1" customHeight="1" outlineLevel="1" x14ac:dyDescent="0.25">
      <c r="A8091" s="18">
        <v>4105</v>
      </c>
      <c r="B8091" s="4" t="s">
        <v>250</v>
      </c>
      <c r="C8091" s="38" t="s">
        <v>6808</v>
      </c>
      <c r="D8091" s="18">
        <v>2022</v>
      </c>
      <c r="E8091" s="18" t="s">
        <v>0</v>
      </c>
      <c r="F8091" s="42">
        <v>1</v>
      </c>
      <c r="G8091" s="4">
        <v>15</v>
      </c>
      <c r="H8091" s="18">
        <f>0.01399669*(1000)</f>
        <v>13.996690000000001</v>
      </c>
    </row>
    <row r="8092" spans="1:8" s="15" customFormat="1" ht="16.5" hidden="1" customHeight="1" outlineLevel="1" x14ac:dyDescent="0.25">
      <c r="A8092" s="18">
        <v>4106</v>
      </c>
      <c r="B8092" s="4" t="s">
        <v>250</v>
      </c>
      <c r="C8092" s="38" t="s">
        <v>6809</v>
      </c>
      <c r="D8092" s="18">
        <v>2022</v>
      </c>
      <c r="E8092" s="18" t="s">
        <v>0</v>
      </c>
      <c r="F8092" s="42">
        <v>1</v>
      </c>
      <c r="G8092" s="4">
        <v>15</v>
      </c>
      <c r="H8092" s="18">
        <f>0.01399668*(1000)</f>
        <v>13.99668</v>
      </c>
    </row>
    <row r="8093" spans="1:8" s="15" customFormat="1" ht="16.5" hidden="1" customHeight="1" outlineLevel="1" x14ac:dyDescent="0.25">
      <c r="A8093" s="18">
        <v>4107</v>
      </c>
      <c r="B8093" s="4" t="s">
        <v>250</v>
      </c>
      <c r="C8093" s="38" t="s">
        <v>6810</v>
      </c>
      <c r="D8093" s="18">
        <v>2022</v>
      </c>
      <c r="E8093" s="18" t="s">
        <v>0</v>
      </c>
      <c r="F8093" s="42">
        <v>1</v>
      </c>
      <c r="G8093" s="4">
        <v>15</v>
      </c>
      <c r="H8093" s="18">
        <f>0.0139967*(1000)</f>
        <v>13.996700000000001</v>
      </c>
    </row>
    <row r="8094" spans="1:8" s="15" customFormat="1" ht="16.5" hidden="1" customHeight="1" outlineLevel="1" x14ac:dyDescent="0.25">
      <c r="A8094" s="18">
        <v>4108</v>
      </c>
      <c r="B8094" s="4" t="s">
        <v>250</v>
      </c>
      <c r="C8094" s="38" t="s">
        <v>6811</v>
      </c>
      <c r="D8094" s="18">
        <v>2022</v>
      </c>
      <c r="E8094" s="18" t="s">
        <v>0</v>
      </c>
      <c r="F8094" s="42">
        <v>1</v>
      </c>
      <c r="G8094" s="4">
        <v>15</v>
      </c>
      <c r="H8094" s="18">
        <f>0.01373272*(1000)</f>
        <v>13.73272</v>
      </c>
    </row>
    <row r="8095" spans="1:8" s="15" customFormat="1" ht="16.5" hidden="1" customHeight="1" outlineLevel="1" x14ac:dyDescent="0.25">
      <c r="A8095" s="18">
        <v>4109</v>
      </c>
      <c r="B8095" s="4" t="s">
        <v>250</v>
      </c>
      <c r="C8095" s="38" t="s">
        <v>6812</v>
      </c>
      <c r="D8095" s="18">
        <v>2022</v>
      </c>
      <c r="E8095" s="18" t="s">
        <v>0</v>
      </c>
      <c r="F8095" s="42">
        <v>1</v>
      </c>
      <c r="G8095" s="4">
        <v>15</v>
      </c>
      <c r="H8095" s="18">
        <f>0.0139967*(1000)</f>
        <v>13.996700000000001</v>
      </c>
    </row>
    <row r="8096" spans="1:8" s="15" customFormat="1" ht="16.5" hidden="1" customHeight="1" outlineLevel="1" x14ac:dyDescent="0.25">
      <c r="A8096" s="18">
        <v>4110</v>
      </c>
      <c r="B8096" s="4" t="s">
        <v>250</v>
      </c>
      <c r="C8096" s="38" t="s">
        <v>6813</v>
      </c>
      <c r="D8096" s="18">
        <v>2022</v>
      </c>
      <c r="E8096" s="18" t="s">
        <v>0</v>
      </c>
      <c r="F8096" s="42">
        <v>1</v>
      </c>
      <c r="G8096" s="4">
        <v>15</v>
      </c>
      <c r="H8096" s="18">
        <f>0.01399668*(1000)</f>
        <v>13.99668</v>
      </c>
    </row>
    <row r="8097" spans="1:8" s="15" customFormat="1" ht="16.5" hidden="1" customHeight="1" outlineLevel="1" x14ac:dyDescent="0.25">
      <c r="A8097" s="18">
        <v>4111</v>
      </c>
      <c r="B8097" s="4" t="s">
        <v>250</v>
      </c>
      <c r="C8097" s="38" t="s">
        <v>6814</v>
      </c>
      <c r="D8097" s="18">
        <v>2022</v>
      </c>
      <c r="E8097" s="18" t="s">
        <v>0</v>
      </c>
      <c r="F8097" s="42">
        <v>1</v>
      </c>
      <c r="G8097" s="4">
        <v>15</v>
      </c>
      <c r="H8097" s="18">
        <f>0.0146211*(1000)</f>
        <v>14.6211</v>
      </c>
    </row>
    <row r="8098" spans="1:8" s="15" customFormat="1" ht="16.5" hidden="1" customHeight="1" outlineLevel="1" x14ac:dyDescent="0.25">
      <c r="A8098" s="18">
        <v>2868</v>
      </c>
      <c r="B8098" s="4" t="s">
        <v>250</v>
      </c>
      <c r="C8098" s="38" t="s">
        <v>3358</v>
      </c>
      <c r="D8098" s="18">
        <v>2022</v>
      </c>
      <c r="E8098" s="18" t="s">
        <v>0</v>
      </c>
      <c r="F8098" s="42">
        <v>1</v>
      </c>
      <c r="G8098" s="4">
        <v>150</v>
      </c>
      <c r="H8098" s="18">
        <f>0.101706*(1000)</f>
        <v>101.706</v>
      </c>
    </row>
    <row r="8099" spans="1:8" s="15" customFormat="1" ht="16.5" hidden="1" customHeight="1" outlineLevel="1" x14ac:dyDescent="0.25">
      <c r="A8099" s="18">
        <v>3015</v>
      </c>
      <c r="B8099" s="4" t="s">
        <v>250</v>
      </c>
      <c r="C8099" s="38" t="s">
        <v>3359</v>
      </c>
      <c r="D8099" s="18">
        <v>2022</v>
      </c>
      <c r="E8099" s="18" t="s">
        <v>0</v>
      </c>
      <c r="F8099" s="42">
        <v>1</v>
      </c>
      <c r="G8099" s="4">
        <v>27</v>
      </c>
      <c r="H8099" s="18">
        <f>0.14060254*(1000)</f>
        <v>140.60254</v>
      </c>
    </row>
    <row r="8100" spans="1:8" s="15" customFormat="1" ht="16.5" hidden="1" customHeight="1" outlineLevel="1" x14ac:dyDescent="0.25">
      <c r="A8100" s="18">
        <v>3016</v>
      </c>
      <c r="B8100" s="4" t="s">
        <v>250</v>
      </c>
      <c r="C8100" s="38" t="s">
        <v>3360</v>
      </c>
      <c r="D8100" s="18">
        <v>2022</v>
      </c>
      <c r="E8100" s="18" t="s">
        <v>0</v>
      </c>
      <c r="F8100" s="42">
        <v>1</v>
      </c>
      <c r="G8100" s="4">
        <v>27</v>
      </c>
      <c r="H8100" s="18">
        <f>0.162732*(1000)</f>
        <v>162.732</v>
      </c>
    </row>
    <row r="8101" spans="1:8" s="15" customFormat="1" ht="16.5" hidden="1" customHeight="1" outlineLevel="1" x14ac:dyDescent="0.25">
      <c r="A8101" s="18">
        <v>1044</v>
      </c>
      <c r="B8101" s="4" t="s">
        <v>250</v>
      </c>
      <c r="C8101" s="38" t="s">
        <v>6815</v>
      </c>
      <c r="D8101" s="18">
        <v>2022</v>
      </c>
      <c r="E8101" s="18" t="s">
        <v>0</v>
      </c>
      <c r="F8101" s="42">
        <v>2</v>
      </c>
      <c r="G8101" s="4">
        <v>30</v>
      </c>
      <c r="H8101" s="18">
        <v>86.535219999999995</v>
      </c>
    </row>
    <row r="8102" spans="1:8" s="15" customFormat="1" ht="16.5" hidden="1" customHeight="1" outlineLevel="1" x14ac:dyDescent="0.25">
      <c r="A8102" s="18">
        <v>1055</v>
      </c>
      <c r="B8102" s="4" t="s">
        <v>250</v>
      </c>
      <c r="C8102" s="38" t="s">
        <v>6816</v>
      </c>
      <c r="D8102" s="18">
        <v>2022</v>
      </c>
      <c r="E8102" s="18" t="s">
        <v>0</v>
      </c>
      <c r="F8102" s="42">
        <v>1</v>
      </c>
      <c r="G8102" s="4">
        <v>15</v>
      </c>
      <c r="H8102" s="18">
        <v>53.388809999999999</v>
      </c>
    </row>
    <row r="8103" spans="1:8" s="15" customFormat="1" ht="16.5" hidden="1" customHeight="1" outlineLevel="1" x14ac:dyDescent="0.25">
      <c r="A8103" s="18">
        <v>1061</v>
      </c>
      <c r="B8103" s="4" t="s">
        <v>250</v>
      </c>
      <c r="C8103" s="38" t="s">
        <v>6817</v>
      </c>
      <c r="D8103" s="18">
        <v>2022</v>
      </c>
      <c r="E8103" s="18" t="s">
        <v>0</v>
      </c>
      <c r="F8103" s="42">
        <v>1</v>
      </c>
      <c r="G8103" s="4">
        <v>60</v>
      </c>
      <c r="H8103" s="18">
        <v>47.115630000000003</v>
      </c>
    </row>
    <row r="8104" spans="1:8" s="15" customFormat="1" ht="16.5" hidden="1" customHeight="1" outlineLevel="1" x14ac:dyDescent="0.25">
      <c r="A8104" s="18">
        <v>1121</v>
      </c>
      <c r="B8104" s="4" t="s">
        <v>250</v>
      </c>
      <c r="C8104" s="38" t="s">
        <v>6818</v>
      </c>
      <c r="D8104" s="18">
        <v>2022</v>
      </c>
      <c r="E8104" s="18" t="s">
        <v>0</v>
      </c>
      <c r="F8104" s="42">
        <v>1</v>
      </c>
      <c r="G8104" s="4">
        <v>50</v>
      </c>
      <c r="H8104" s="18">
        <v>53.265700000000002</v>
      </c>
    </row>
    <row r="8105" spans="1:8" s="15" customFormat="1" ht="16.5" hidden="1" customHeight="1" outlineLevel="1" x14ac:dyDescent="0.25">
      <c r="A8105" s="18">
        <v>1122</v>
      </c>
      <c r="B8105" s="4" t="s">
        <v>250</v>
      </c>
      <c r="C8105" s="38" t="s">
        <v>6819</v>
      </c>
      <c r="D8105" s="18">
        <v>2022</v>
      </c>
      <c r="E8105" s="18" t="s">
        <v>0</v>
      </c>
      <c r="F8105" s="42">
        <v>1</v>
      </c>
      <c r="G8105" s="4">
        <v>15</v>
      </c>
      <c r="H8105" s="18">
        <v>42.335760000000001</v>
      </c>
    </row>
    <row r="8106" spans="1:8" s="15" customFormat="1" ht="16.5" hidden="1" customHeight="1" outlineLevel="1" x14ac:dyDescent="0.25">
      <c r="A8106" s="18">
        <v>1123</v>
      </c>
      <c r="B8106" s="4" t="s">
        <v>250</v>
      </c>
      <c r="C8106" s="38" t="s">
        <v>6820</v>
      </c>
      <c r="D8106" s="18">
        <v>2022</v>
      </c>
      <c r="E8106" s="18" t="s">
        <v>0</v>
      </c>
      <c r="F8106" s="42">
        <v>1</v>
      </c>
      <c r="G8106" s="4">
        <v>15</v>
      </c>
      <c r="H8106" s="18">
        <v>47.260330000000003</v>
      </c>
    </row>
    <row r="8107" spans="1:8" s="15" customFormat="1" ht="16.5" hidden="1" customHeight="1" outlineLevel="1" x14ac:dyDescent="0.25">
      <c r="A8107" s="18">
        <v>1160</v>
      </c>
      <c r="B8107" s="4" t="s">
        <v>250</v>
      </c>
      <c r="C8107" s="38" t="s">
        <v>6821</v>
      </c>
      <c r="D8107" s="18">
        <v>2022</v>
      </c>
      <c r="E8107" s="18" t="s">
        <v>0</v>
      </c>
      <c r="F8107" s="42">
        <v>1</v>
      </c>
      <c r="G8107" s="4">
        <v>15</v>
      </c>
      <c r="H8107" s="18">
        <v>43.98583</v>
      </c>
    </row>
    <row r="8108" spans="1:8" s="15" customFormat="1" ht="16.5" hidden="1" customHeight="1" outlineLevel="1" x14ac:dyDescent="0.25">
      <c r="A8108" s="18">
        <v>1161</v>
      </c>
      <c r="B8108" s="4" t="s">
        <v>250</v>
      </c>
      <c r="C8108" s="38" t="s">
        <v>6822</v>
      </c>
      <c r="D8108" s="18">
        <v>2022</v>
      </c>
      <c r="E8108" s="18" t="s">
        <v>0</v>
      </c>
      <c r="F8108" s="42">
        <v>1</v>
      </c>
      <c r="G8108" s="4">
        <v>15</v>
      </c>
      <c r="H8108" s="18">
        <v>40.71555</v>
      </c>
    </row>
    <row r="8109" spans="1:8" s="15" customFormat="1" ht="16.5" hidden="1" customHeight="1" outlineLevel="1" x14ac:dyDescent="0.25">
      <c r="A8109" s="18">
        <v>1178</v>
      </c>
      <c r="B8109" s="4" t="s">
        <v>250</v>
      </c>
      <c r="C8109" s="38" t="s">
        <v>6823</v>
      </c>
      <c r="D8109" s="18">
        <v>2022</v>
      </c>
      <c r="E8109" s="18" t="s">
        <v>0</v>
      </c>
      <c r="F8109" s="42">
        <v>1</v>
      </c>
      <c r="G8109" s="4">
        <v>15</v>
      </c>
      <c r="H8109" s="18">
        <v>42.137129999999999</v>
      </c>
    </row>
    <row r="8110" spans="1:8" s="15" customFormat="1" ht="16.5" hidden="1" customHeight="1" outlineLevel="1" x14ac:dyDescent="0.25">
      <c r="A8110" s="18">
        <v>1223</v>
      </c>
      <c r="B8110" s="4" t="s">
        <v>250</v>
      </c>
      <c r="C8110" s="38" t="s">
        <v>6824</v>
      </c>
      <c r="D8110" s="18">
        <v>2022</v>
      </c>
      <c r="E8110" s="18" t="s">
        <v>0</v>
      </c>
      <c r="F8110" s="42">
        <v>1</v>
      </c>
      <c r="G8110" s="4">
        <v>15</v>
      </c>
      <c r="H8110" s="18">
        <v>33.591650000000001</v>
      </c>
    </row>
    <row r="8111" spans="1:8" s="15" customFormat="1" ht="16.5" hidden="1" customHeight="1" outlineLevel="1" x14ac:dyDescent="0.25">
      <c r="A8111" s="18">
        <v>1252</v>
      </c>
      <c r="B8111" s="4" t="s">
        <v>250</v>
      </c>
      <c r="C8111" s="38" t="s">
        <v>6825</v>
      </c>
      <c r="D8111" s="18">
        <v>2022</v>
      </c>
      <c r="E8111" s="18" t="s">
        <v>0</v>
      </c>
      <c r="F8111" s="42">
        <v>1</v>
      </c>
      <c r="G8111" s="4">
        <v>15</v>
      </c>
      <c r="H8111" s="18">
        <v>42.78342</v>
      </c>
    </row>
    <row r="8112" spans="1:8" s="15" customFormat="1" ht="16.5" hidden="1" customHeight="1" outlineLevel="1" x14ac:dyDescent="0.25">
      <c r="A8112" s="18">
        <v>1270</v>
      </c>
      <c r="B8112" s="4" t="s">
        <v>250</v>
      </c>
      <c r="C8112" s="38" t="s">
        <v>6826</v>
      </c>
      <c r="D8112" s="18">
        <v>2022</v>
      </c>
      <c r="E8112" s="18" t="s">
        <v>0</v>
      </c>
      <c r="F8112" s="42">
        <v>1</v>
      </c>
      <c r="G8112" s="4">
        <v>15</v>
      </c>
      <c r="H8112" s="18">
        <v>34.623370000000001</v>
      </c>
    </row>
    <row r="8113" spans="1:8" s="15" customFormat="1" ht="16.5" hidden="1" customHeight="1" outlineLevel="1" x14ac:dyDescent="0.25">
      <c r="A8113" s="18">
        <v>1284</v>
      </c>
      <c r="B8113" s="4" t="s">
        <v>250</v>
      </c>
      <c r="C8113" s="38" t="s">
        <v>6827</v>
      </c>
      <c r="D8113" s="18">
        <v>2022</v>
      </c>
      <c r="E8113" s="18" t="s">
        <v>0</v>
      </c>
      <c r="F8113" s="42">
        <v>1</v>
      </c>
      <c r="G8113" s="4">
        <v>15</v>
      </c>
      <c r="H8113" s="18">
        <v>47.775500000000001</v>
      </c>
    </row>
    <row r="8114" spans="1:8" s="15" customFormat="1" ht="16.5" hidden="1" customHeight="1" outlineLevel="1" x14ac:dyDescent="0.25">
      <c r="A8114" s="18">
        <v>1418</v>
      </c>
      <c r="B8114" s="4" t="s">
        <v>250</v>
      </c>
      <c r="C8114" s="38" t="s">
        <v>6828</v>
      </c>
      <c r="D8114" s="18">
        <v>2022</v>
      </c>
      <c r="E8114" s="18" t="s">
        <v>0</v>
      </c>
      <c r="F8114" s="42">
        <v>1</v>
      </c>
      <c r="G8114" s="4">
        <v>15</v>
      </c>
      <c r="H8114" s="18">
        <v>36.114310000000003</v>
      </c>
    </row>
    <row r="8115" spans="1:8" s="15" customFormat="1" ht="16.5" hidden="1" customHeight="1" outlineLevel="1" x14ac:dyDescent="0.25">
      <c r="A8115" s="18">
        <v>1307</v>
      </c>
      <c r="B8115" s="4" t="s">
        <v>250</v>
      </c>
      <c r="C8115" s="38" t="s">
        <v>6829</v>
      </c>
      <c r="D8115" s="18">
        <v>2022</v>
      </c>
      <c r="E8115" s="18" t="s">
        <v>0</v>
      </c>
      <c r="F8115" s="42">
        <v>1</v>
      </c>
      <c r="G8115" s="4">
        <v>15</v>
      </c>
      <c r="H8115" s="18">
        <v>62.32367</v>
      </c>
    </row>
    <row r="8116" spans="1:8" s="15" customFormat="1" ht="16.5" hidden="1" customHeight="1" outlineLevel="1" x14ac:dyDescent="0.25">
      <c r="A8116" s="18">
        <v>1210</v>
      </c>
      <c r="B8116" s="4" t="s">
        <v>250</v>
      </c>
      <c r="C8116" s="38" t="s">
        <v>6830</v>
      </c>
      <c r="D8116" s="18">
        <v>2022</v>
      </c>
      <c r="E8116" s="18" t="s">
        <v>0</v>
      </c>
      <c r="F8116" s="42">
        <v>1</v>
      </c>
      <c r="G8116" s="4">
        <v>15</v>
      </c>
      <c r="H8116" s="18">
        <v>38.413550000000001</v>
      </c>
    </row>
    <row r="8117" spans="1:8" s="15" customFormat="1" ht="16.5" hidden="1" customHeight="1" outlineLevel="1" x14ac:dyDescent="0.25">
      <c r="A8117" s="18">
        <v>1089</v>
      </c>
      <c r="B8117" s="4" t="s">
        <v>250</v>
      </c>
      <c r="C8117" s="38" t="s">
        <v>6831</v>
      </c>
      <c r="D8117" s="18">
        <v>2022</v>
      </c>
      <c r="E8117" s="18" t="s">
        <v>0</v>
      </c>
      <c r="F8117" s="42">
        <v>1</v>
      </c>
      <c r="G8117" s="4">
        <v>7.5</v>
      </c>
      <c r="H8117" s="18">
        <v>54.667949999999998</v>
      </c>
    </row>
    <row r="8118" spans="1:8" s="15" customFormat="1" ht="16.5" hidden="1" customHeight="1" outlineLevel="1" x14ac:dyDescent="0.25">
      <c r="A8118" s="18">
        <v>1096</v>
      </c>
      <c r="B8118" s="4" t="s">
        <v>250</v>
      </c>
      <c r="C8118" s="38" t="s">
        <v>6832</v>
      </c>
      <c r="D8118" s="18">
        <v>2022</v>
      </c>
      <c r="E8118" s="18" t="s">
        <v>0</v>
      </c>
      <c r="F8118" s="42">
        <v>1</v>
      </c>
      <c r="G8118" s="4">
        <v>15</v>
      </c>
      <c r="H8118" s="18">
        <v>56.56474</v>
      </c>
    </row>
    <row r="8119" spans="1:8" s="15" customFormat="1" ht="16.5" hidden="1" customHeight="1" outlineLevel="1" x14ac:dyDescent="0.25">
      <c r="A8119" s="18">
        <v>1097</v>
      </c>
      <c r="B8119" s="4" t="s">
        <v>250</v>
      </c>
      <c r="C8119" s="38" t="s">
        <v>6833</v>
      </c>
      <c r="D8119" s="18">
        <v>2022</v>
      </c>
      <c r="E8119" s="18" t="s">
        <v>0</v>
      </c>
      <c r="F8119" s="42">
        <v>1</v>
      </c>
      <c r="G8119" s="4">
        <v>15</v>
      </c>
      <c r="H8119" s="18">
        <v>57.350670000000001</v>
      </c>
    </row>
    <row r="8120" spans="1:8" s="15" customFormat="1" ht="16.5" hidden="1" customHeight="1" outlineLevel="1" x14ac:dyDescent="0.25">
      <c r="A8120" s="18">
        <v>1098</v>
      </c>
      <c r="B8120" s="4" t="s">
        <v>250</v>
      </c>
      <c r="C8120" s="38" t="s">
        <v>6834</v>
      </c>
      <c r="D8120" s="18">
        <v>2022</v>
      </c>
      <c r="E8120" s="18" t="s">
        <v>0</v>
      </c>
      <c r="F8120" s="42">
        <v>1</v>
      </c>
      <c r="G8120" s="4">
        <v>15</v>
      </c>
      <c r="H8120" s="18">
        <v>55.497529999999998</v>
      </c>
    </row>
    <row r="8121" spans="1:8" s="15" customFormat="1" ht="16.5" hidden="1" customHeight="1" outlineLevel="1" x14ac:dyDescent="0.25">
      <c r="A8121" s="18">
        <v>1151</v>
      </c>
      <c r="B8121" s="4" t="s">
        <v>250</v>
      </c>
      <c r="C8121" s="38" t="s">
        <v>6835</v>
      </c>
      <c r="D8121" s="18">
        <v>2022</v>
      </c>
      <c r="E8121" s="18" t="s">
        <v>0</v>
      </c>
      <c r="F8121" s="42">
        <v>1</v>
      </c>
      <c r="G8121" s="4">
        <v>15</v>
      </c>
      <c r="H8121" s="18">
        <v>38.853920000000002</v>
      </c>
    </row>
    <row r="8122" spans="1:8" s="15" customFormat="1" ht="16.5" hidden="1" customHeight="1" outlineLevel="1" x14ac:dyDescent="0.25">
      <c r="A8122" s="18">
        <v>1220</v>
      </c>
      <c r="B8122" s="4" t="s">
        <v>250</v>
      </c>
      <c r="C8122" s="38" t="s">
        <v>6836</v>
      </c>
      <c r="D8122" s="18">
        <v>2022</v>
      </c>
      <c r="E8122" s="18" t="s">
        <v>0</v>
      </c>
      <c r="F8122" s="42">
        <v>1</v>
      </c>
      <c r="G8122" s="4">
        <v>15</v>
      </c>
      <c r="H8122" s="18">
        <v>41.550669999999997</v>
      </c>
    </row>
    <row r="8123" spans="1:8" s="15" customFormat="1" ht="16.5" hidden="1" customHeight="1" outlineLevel="1" x14ac:dyDescent="0.25">
      <c r="A8123" s="18">
        <v>1233</v>
      </c>
      <c r="B8123" s="4" t="s">
        <v>250</v>
      </c>
      <c r="C8123" s="38" t="s">
        <v>6837</v>
      </c>
      <c r="D8123" s="18">
        <v>2022</v>
      </c>
      <c r="E8123" s="18" t="s">
        <v>0</v>
      </c>
      <c r="F8123" s="42">
        <v>1</v>
      </c>
      <c r="G8123" s="4">
        <v>15</v>
      </c>
      <c r="H8123" s="18">
        <v>43.655679999999997</v>
      </c>
    </row>
    <row r="8124" spans="1:8" s="15" customFormat="1" ht="16.5" hidden="1" customHeight="1" outlineLevel="1" x14ac:dyDescent="0.25">
      <c r="A8124" s="18">
        <v>1234</v>
      </c>
      <c r="B8124" s="4" t="s">
        <v>250</v>
      </c>
      <c r="C8124" s="38" t="s">
        <v>6838</v>
      </c>
      <c r="D8124" s="18">
        <v>2022</v>
      </c>
      <c r="E8124" s="18" t="s">
        <v>0</v>
      </c>
      <c r="F8124" s="42">
        <v>1</v>
      </c>
      <c r="G8124" s="4">
        <v>15</v>
      </c>
      <c r="H8124" s="18">
        <v>39.847290000000001</v>
      </c>
    </row>
    <row r="8125" spans="1:8" s="15" customFormat="1" ht="16.5" hidden="1" customHeight="1" outlineLevel="1" x14ac:dyDescent="0.25">
      <c r="A8125" s="18">
        <v>1235</v>
      </c>
      <c r="B8125" s="4" t="s">
        <v>250</v>
      </c>
      <c r="C8125" s="38" t="s">
        <v>6839</v>
      </c>
      <c r="D8125" s="18">
        <v>2022</v>
      </c>
      <c r="E8125" s="18" t="s">
        <v>0</v>
      </c>
      <c r="F8125" s="42">
        <v>1</v>
      </c>
      <c r="G8125" s="4">
        <v>15</v>
      </c>
      <c r="H8125" s="18">
        <v>40.894889999999997</v>
      </c>
    </row>
    <row r="8126" spans="1:8" s="15" customFormat="1" ht="16.5" hidden="1" customHeight="1" outlineLevel="1" x14ac:dyDescent="0.25">
      <c r="A8126" s="18">
        <v>1239</v>
      </c>
      <c r="B8126" s="4" t="s">
        <v>250</v>
      </c>
      <c r="C8126" s="38" t="s">
        <v>6840</v>
      </c>
      <c r="D8126" s="18">
        <v>2022</v>
      </c>
      <c r="E8126" s="18" t="s">
        <v>0</v>
      </c>
      <c r="F8126" s="42">
        <v>1</v>
      </c>
      <c r="G8126" s="4">
        <v>15</v>
      </c>
      <c r="H8126" s="18">
        <v>47.152790000000003</v>
      </c>
    </row>
    <row r="8127" spans="1:8" s="15" customFormat="1" ht="16.5" hidden="1" customHeight="1" outlineLevel="1" x14ac:dyDescent="0.25">
      <c r="A8127" s="18">
        <v>1318</v>
      </c>
      <c r="B8127" s="4" t="s">
        <v>250</v>
      </c>
      <c r="C8127" s="38" t="s">
        <v>6841</v>
      </c>
      <c r="D8127" s="18">
        <v>2022</v>
      </c>
      <c r="E8127" s="18" t="s">
        <v>0</v>
      </c>
      <c r="F8127" s="42">
        <v>1</v>
      </c>
      <c r="G8127" s="4">
        <v>10</v>
      </c>
      <c r="H8127" s="18">
        <v>60.427759999999999</v>
      </c>
    </row>
    <row r="8128" spans="1:8" s="15" customFormat="1" ht="16.5" hidden="1" customHeight="1" outlineLevel="1" x14ac:dyDescent="0.25">
      <c r="A8128" s="18">
        <v>1405</v>
      </c>
      <c r="B8128" s="4" t="s">
        <v>250</v>
      </c>
      <c r="C8128" s="38" t="s">
        <v>6842</v>
      </c>
      <c r="D8128" s="18">
        <v>2022</v>
      </c>
      <c r="E8128" s="18" t="s">
        <v>0</v>
      </c>
      <c r="F8128" s="42">
        <v>1</v>
      </c>
      <c r="G8128" s="4">
        <v>15</v>
      </c>
      <c r="H8128" s="18">
        <v>37.648600000000002</v>
      </c>
    </row>
    <row r="8129" spans="1:8" s="15" customFormat="1" ht="16.5" hidden="1" customHeight="1" outlineLevel="1" x14ac:dyDescent="0.25">
      <c r="A8129" s="18">
        <v>1304</v>
      </c>
      <c r="B8129" s="4" t="s">
        <v>250</v>
      </c>
      <c r="C8129" s="38" t="s">
        <v>6843</v>
      </c>
      <c r="D8129" s="18">
        <v>2022</v>
      </c>
      <c r="E8129" s="18" t="s">
        <v>0</v>
      </c>
      <c r="F8129" s="42">
        <v>1</v>
      </c>
      <c r="G8129" s="4">
        <v>15</v>
      </c>
      <c r="H8129" s="18">
        <v>61.438830000000003</v>
      </c>
    </row>
    <row r="8130" spans="1:8" s="15" customFormat="1" ht="16.5" hidden="1" customHeight="1" outlineLevel="1" x14ac:dyDescent="0.25">
      <c r="A8130" s="18">
        <v>1305</v>
      </c>
      <c r="B8130" s="4" t="s">
        <v>250</v>
      </c>
      <c r="C8130" s="38" t="s">
        <v>6844</v>
      </c>
      <c r="D8130" s="18">
        <v>2022</v>
      </c>
      <c r="E8130" s="18" t="s">
        <v>0</v>
      </c>
      <c r="F8130" s="42">
        <v>1</v>
      </c>
      <c r="G8130" s="4">
        <v>15</v>
      </c>
      <c r="H8130" s="18">
        <v>63.389650000000003</v>
      </c>
    </row>
    <row r="8131" spans="1:8" s="15" customFormat="1" ht="16.5" hidden="1" customHeight="1" outlineLevel="1" x14ac:dyDescent="0.25">
      <c r="A8131" s="18">
        <v>1306</v>
      </c>
      <c r="B8131" s="4" t="s">
        <v>250</v>
      </c>
      <c r="C8131" s="38" t="s">
        <v>6845</v>
      </c>
      <c r="D8131" s="18">
        <v>2022</v>
      </c>
      <c r="E8131" s="18" t="s">
        <v>0</v>
      </c>
      <c r="F8131" s="42">
        <v>1</v>
      </c>
      <c r="G8131" s="4">
        <v>15</v>
      </c>
      <c r="H8131" s="18">
        <v>62.820740000000001</v>
      </c>
    </row>
    <row r="8132" spans="1:8" s="15" customFormat="1" ht="16.5" hidden="1" customHeight="1" outlineLevel="1" x14ac:dyDescent="0.25">
      <c r="A8132" s="18">
        <v>1372</v>
      </c>
      <c r="B8132" s="4" t="s">
        <v>250</v>
      </c>
      <c r="C8132" s="38" t="s">
        <v>6846</v>
      </c>
      <c r="D8132" s="18">
        <v>2022</v>
      </c>
      <c r="E8132" s="18" t="s">
        <v>0</v>
      </c>
      <c r="F8132" s="42">
        <v>1</v>
      </c>
      <c r="G8132" s="4">
        <v>15</v>
      </c>
      <c r="H8132" s="18">
        <v>36.178669999999997</v>
      </c>
    </row>
    <row r="8133" spans="1:8" s="15" customFormat="1" ht="16.5" hidden="1" customHeight="1" outlineLevel="1" x14ac:dyDescent="0.25">
      <c r="A8133" s="18">
        <v>1448</v>
      </c>
      <c r="B8133" s="4" t="s">
        <v>250</v>
      </c>
      <c r="C8133" s="38" t="s">
        <v>6847</v>
      </c>
      <c r="D8133" s="18">
        <v>2022</v>
      </c>
      <c r="E8133" s="18" t="s">
        <v>0</v>
      </c>
      <c r="F8133" s="42">
        <v>1</v>
      </c>
      <c r="G8133" s="4">
        <v>15</v>
      </c>
      <c r="H8133" s="18">
        <v>42.914639999999999</v>
      </c>
    </row>
    <row r="8134" spans="1:8" s="15" customFormat="1" ht="16.5" hidden="1" customHeight="1" outlineLevel="1" x14ac:dyDescent="0.25">
      <c r="A8134" s="18">
        <v>1407</v>
      </c>
      <c r="B8134" s="4" t="s">
        <v>250</v>
      </c>
      <c r="C8134" s="38" t="s">
        <v>6848</v>
      </c>
      <c r="D8134" s="18">
        <v>2022</v>
      </c>
      <c r="E8134" s="18" t="s">
        <v>0</v>
      </c>
      <c r="F8134" s="42">
        <v>1</v>
      </c>
      <c r="G8134" s="4">
        <v>15</v>
      </c>
      <c r="H8134" s="18">
        <v>36.584400000000002</v>
      </c>
    </row>
    <row r="8135" spans="1:8" s="15" customFormat="1" ht="16.5" hidden="1" customHeight="1" outlineLevel="1" x14ac:dyDescent="0.25">
      <c r="A8135" s="18">
        <v>1413</v>
      </c>
      <c r="B8135" s="4" t="s">
        <v>250</v>
      </c>
      <c r="C8135" s="38" t="s">
        <v>6849</v>
      </c>
      <c r="D8135" s="18">
        <v>2022</v>
      </c>
      <c r="E8135" s="18" t="s">
        <v>0</v>
      </c>
      <c r="F8135" s="42">
        <v>1</v>
      </c>
      <c r="G8135" s="4">
        <v>15</v>
      </c>
      <c r="H8135" s="18">
        <v>36.64584</v>
      </c>
    </row>
    <row r="8136" spans="1:8" s="15" customFormat="1" ht="16.5" hidden="1" customHeight="1" outlineLevel="1" x14ac:dyDescent="0.25">
      <c r="A8136" s="18">
        <v>1443</v>
      </c>
      <c r="B8136" s="4" t="s">
        <v>250</v>
      </c>
      <c r="C8136" s="38" t="s">
        <v>6850</v>
      </c>
      <c r="D8136" s="18">
        <v>2022</v>
      </c>
      <c r="E8136" s="18" t="s">
        <v>0</v>
      </c>
      <c r="F8136" s="42">
        <v>1</v>
      </c>
      <c r="G8136" s="4">
        <v>15</v>
      </c>
      <c r="H8136" s="18">
        <v>40.352539999999998</v>
      </c>
    </row>
    <row r="8137" spans="1:8" s="15" customFormat="1" ht="16.5" hidden="1" customHeight="1" outlineLevel="1" x14ac:dyDescent="0.25">
      <c r="A8137" s="18">
        <v>1082</v>
      </c>
      <c r="B8137" s="4" t="s">
        <v>250</v>
      </c>
      <c r="C8137" s="38" t="s">
        <v>6851</v>
      </c>
      <c r="D8137" s="18">
        <v>2022</v>
      </c>
      <c r="E8137" s="18" t="s">
        <v>0</v>
      </c>
      <c r="F8137" s="42">
        <v>1</v>
      </c>
      <c r="G8137" s="4">
        <v>15</v>
      </c>
      <c r="H8137" s="18">
        <v>68.708150000000003</v>
      </c>
    </row>
    <row r="8138" spans="1:8" s="15" customFormat="1" ht="16.5" hidden="1" customHeight="1" outlineLevel="1" x14ac:dyDescent="0.25">
      <c r="A8138" s="18">
        <v>1083</v>
      </c>
      <c r="B8138" s="4" t="s">
        <v>250</v>
      </c>
      <c r="C8138" s="38" t="s">
        <v>6852</v>
      </c>
      <c r="D8138" s="18">
        <v>2022</v>
      </c>
      <c r="E8138" s="18" t="s">
        <v>0</v>
      </c>
      <c r="F8138" s="42">
        <v>1</v>
      </c>
      <c r="G8138" s="4">
        <v>15</v>
      </c>
      <c r="H8138" s="18">
        <v>46.08522</v>
      </c>
    </row>
    <row r="8139" spans="1:8" s="15" customFormat="1" ht="16.5" hidden="1" customHeight="1" outlineLevel="1" x14ac:dyDescent="0.25">
      <c r="A8139" s="18">
        <v>1108</v>
      </c>
      <c r="B8139" s="4" t="s">
        <v>250</v>
      </c>
      <c r="C8139" s="38" t="s">
        <v>6853</v>
      </c>
      <c r="D8139" s="18">
        <v>2022</v>
      </c>
      <c r="E8139" s="18" t="s">
        <v>0</v>
      </c>
      <c r="F8139" s="42">
        <v>1</v>
      </c>
      <c r="G8139" s="4">
        <v>15</v>
      </c>
      <c r="H8139" s="18">
        <v>43.129370000000002</v>
      </c>
    </row>
    <row r="8140" spans="1:8" s="15" customFormat="1" ht="16.5" hidden="1" customHeight="1" outlineLevel="1" x14ac:dyDescent="0.25">
      <c r="A8140" s="18">
        <v>1148</v>
      </c>
      <c r="B8140" s="4" t="s">
        <v>250</v>
      </c>
      <c r="C8140" s="38" t="s">
        <v>6854</v>
      </c>
      <c r="D8140" s="18">
        <v>2022</v>
      </c>
      <c r="E8140" s="18" t="s">
        <v>0</v>
      </c>
      <c r="F8140" s="42">
        <v>1</v>
      </c>
      <c r="G8140" s="4">
        <v>4</v>
      </c>
      <c r="H8140" s="18">
        <v>33.656930000000003</v>
      </c>
    </row>
    <row r="8141" spans="1:8" s="15" customFormat="1" ht="16.5" hidden="1" customHeight="1" outlineLevel="1" x14ac:dyDescent="0.25">
      <c r="A8141" s="18">
        <v>1141</v>
      </c>
      <c r="B8141" s="4" t="s">
        <v>250</v>
      </c>
      <c r="C8141" s="38" t="s">
        <v>6855</v>
      </c>
      <c r="D8141" s="18">
        <v>2022</v>
      </c>
      <c r="E8141" s="18" t="s">
        <v>0</v>
      </c>
      <c r="F8141" s="42">
        <v>1</v>
      </c>
      <c r="G8141" s="4">
        <v>15</v>
      </c>
      <c r="H8141" s="18">
        <v>39.422069999999998</v>
      </c>
    </row>
    <row r="8142" spans="1:8" s="15" customFormat="1" ht="16.5" hidden="1" customHeight="1" outlineLevel="1" x14ac:dyDescent="0.25">
      <c r="A8142" s="18">
        <v>1156</v>
      </c>
      <c r="B8142" s="4" t="s">
        <v>250</v>
      </c>
      <c r="C8142" s="38" t="s">
        <v>6856</v>
      </c>
      <c r="D8142" s="18">
        <v>2022</v>
      </c>
      <c r="E8142" s="18" t="s">
        <v>0</v>
      </c>
      <c r="F8142" s="42">
        <v>1</v>
      </c>
      <c r="G8142" s="4">
        <v>15</v>
      </c>
      <c r="H8142" s="18">
        <v>43.10463</v>
      </c>
    </row>
    <row r="8143" spans="1:8" s="15" customFormat="1" ht="16.5" hidden="1" customHeight="1" outlineLevel="1" x14ac:dyDescent="0.25">
      <c r="A8143" s="18">
        <v>1208</v>
      </c>
      <c r="B8143" s="4" t="s">
        <v>250</v>
      </c>
      <c r="C8143" s="38" t="s">
        <v>6857</v>
      </c>
      <c r="D8143" s="18">
        <v>2022</v>
      </c>
      <c r="E8143" s="18" t="s">
        <v>0</v>
      </c>
      <c r="F8143" s="42">
        <v>1</v>
      </c>
      <c r="G8143" s="4">
        <v>15</v>
      </c>
      <c r="H8143" s="18">
        <v>42.972769999999997</v>
      </c>
    </row>
    <row r="8144" spans="1:8" s="15" customFormat="1" ht="16.5" hidden="1" customHeight="1" outlineLevel="1" x14ac:dyDescent="0.25">
      <c r="A8144" s="18">
        <v>1209</v>
      </c>
      <c r="B8144" s="4" t="s">
        <v>250</v>
      </c>
      <c r="C8144" s="38" t="s">
        <v>6858</v>
      </c>
      <c r="D8144" s="18">
        <v>2022</v>
      </c>
      <c r="E8144" s="18" t="s">
        <v>0</v>
      </c>
      <c r="F8144" s="42">
        <v>1</v>
      </c>
      <c r="G8144" s="4">
        <v>15</v>
      </c>
      <c r="H8144" s="18">
        <v>45.254869999999997</v>
      </c>
    </row>
    <row r="8145" spans="1:8" s="15" customFormat="1" ht="16.5" hidden="1" customHeight="1" outlineLevel="1" x14ac:dyDescent="0.25">
      <c r="A8145" s="18">
        <v>1184</v>
      </c>
      <c r="B8145" s="4" t="s">
        <v>250</v>
      </c>
      <c r="C8145" s="38" t="s">
        <v>6859</v>
      </c>
      <c r="D8145" s="18">
        <v>2022</v>
      </c>
      <c r="E8145" s="18" t="s">
        <v>0</v>
      </c>
      <c r="F8145" s="42">
        <v>1</v>
      </c>
      <c r="G8145" s="4">
        <v>15</v>
      </c>
      <c r="H8145" s="18">
        <v>36.296529999999997</v>
      </c>
    </row>
    <row r="8146" spans="1:8" s="15" customFormat="1" ht="16.5" hidden="1" customHeight="1" outlineLevel="1" x14ac:dyDescent="0.25">
      <c r="A8146" s="18">
        <v>1194</v>
      </c>
      <c r="B8146" s="4" t="s">
        <v>250</v>
      </c>
      <c r="C8146" s="38" t="s">
        <v>6860</v>
      </c>
      <c r="D8146" s="18">
        <v>2022</v>
      </c>
      <c r="E8146" s="18" t="s">
        <v>0</v>
      </c>
      <c r="F8146" s="42">
        <v>1</v>
      </c>
      <c r="G8146" s="4">
        <v>15</v>
      </c>
      <c r="H8146" s="18">
        <v>34.787280000000003</v>
      </c>
    </row>
    <row r="8147" spans="1:8" s="15" customFormat="1" ht="16.5" hidden="1" customHeight="1" outlineLevel="1" x14ac:dyDescent="0.25">
      <c r="A8147" s="18">
        <v>1193</v>
      </c>
      <c r="B8147" s="4" t="s">
        <v>250</v>
      </c>
      <c r="C8147" s="38" t="s">
        <v>6861</v>
      </c>
      <c r="D8147" s="18">
        <v>2022</v>
      </c>
      <c r="E8147" s="18" t="s">
        <v>0</v>
      </c>
      <c r="F8147" s="42">
        <v>1</v>
      </c>
      <c r="G8147" s="4">
        <v>15</v>
      </c>
      <c r="H8147" s="18">
        <v>34.74465</v>
      </c>
    </row>
    <row r="8148" spans="1:8" s="15" customFormat="1" ht="16.5" hidden="1" customHeight="1" outlineLevel="1" x14ac:dyDescent="0.25">
      <c r="A8148" s="18">
        <v>1216</v>
      </c>
      <c r="B8148" s="4" t="s">
        <v>250</v>
      </c>
      <c r="C8148" s="38" t="s">
        <v>6862</v>
      </c>
      <c r="D8148" s="18">
        <v>2022</v>
      </c>
      <c r="E8148" s="18" t="s">
        <v>0</v>
      </c>
      <c r="F8148" s="42">
        <v>1</v>
      </c>
      <c r="G8148" s="4">
        <v>15</v>
      </c>
      <c r="H8148" s="18">
        <v>40.400860000000002</v>
      </c>
    </row>
    <row r="8149" spans="1:8" s="15" customFormat="1" ht="16.5" hidden="1" customHeight="1" outlineLevel="1" x14ac:dyDescent="0.25">
      <c r="A8149" s="18">
        <v>1276</v>
      </c>
      <c r="B8149" s="4" t="s">
        <v>250</v>
      </c>
      <c r="C8149" s="38" t="s">
        <v>6863</v>
      </c>
      <c r="D8149" s="18">
        <v>2022</v>
      </c>
      <c r="E8149" s="18" t="s">
        <v>0</v>
      </c>
      <c r="F8149" s="42">
        <v>1</v>
      </c>
      <c r="G8149" s="4">
        <v>15</v>
      </c>
      <c r="H8149" s="18">
        <v>33.428179999999998</v>
      </c>
    </row>
    <row r="8150" spans="1:8" s="15" customFormat="1" ht="16.5" hidden="1" customHeight="1" outlineLevel="1" x14ac:dyDescent="0.25">
      <c r="A8150" s="18">
        <v>1286</v>
      </c>
      <c r="B8150" s="4" t="s">
        <v>250</v>
      </c>
      <c r="C8150" s="38" t="s">
        <v>6864</v>
      </c>
      <c r="D8150" s="18">
        <v>2022</v>
      </c>
      <c r="E8150" s="18" t="s">
        <v>0</v>
      </c>
      <c r="F8150" s="42">
        <v>1</v>
      </c>
      <c r="G8150" s="4">
        <v>15</v>
      </c>
      <c r="H8150" s="18">
        <v>41.658909999999999</v>
      </c>
    </row>
    <row r="8151" spans="1:8" s="15" customFormat="1" ht="16.5" hidden="1" customHeight="1" outlineLevel="1" x14ac:dyDescent="0.25">
      <c r="A8151" s="18">
        <v>1396</v>
      </c>
      <c r="B8151" s="4" t="s">
        <v>250</v>
      </c>
      <c r="C8151" s="38" t="s">
        <v>6865</v>
      </c>
      <c r="D8151" s="18">
        <v>2022</v>
      </c>
      <c r="E8151" s="18" t="s">
        <v>0</v>
      </c>
      <c r="F8151" s="42">
        <v>1</v>
      </c>
      <c r="G8151" s="4">
        <v>15</v>
      </c>
      <c r="H8151" s="18">
        <v>65.21378</v>
      </c>
    </row>
    <row r="8152" spans="1:8" s="15" customFormat="1" ht="16.5" hidden="1" customHeight="1" outlineLevel="1" x14ac:dyDescent="0.25">
      <c r="A8152" s="18">
        <v>1330</v>
      </c>
      <c r="B8152" s="4" t="s">
        <v>250</v>
      </c>
      <c r="C8152" s="38" t="s">
        <v>6866</v>
      </c>
      <c r="D8152" s="18">
        <v>2022</v>
      </c>
      <c r="E8152" s="18" t="s">
        <v>0</v>
      </c>
      <c r="F8152" s="42">
        <v>1</v>
      </c>
      <c r="G8152" s="4">
        <v>15</v>
      </c>
      <c r="H8152" s="18">
        <v>68.216179999999994</v>
      </c>
    </row>
    <row r="8153" spans="1:8" s="15" customFormat="1" ht="16.5" hidden="1" customHeight="1" outlineLevel="1" x14ac:dyDescent="0.25">
      <c r="A8153" s="18">
        <v>1341</v>
      </c>
      <c r="B8153" s="4" t="s">
        <v>250</v>
      </c>
      <c r="C8153" s="38" t="s">
        <v>6867</v>
      </c>
      <c r="D8153" s="18">
        <v>2022</v>
      </c>
      <c r="E8153" s="18" t="s">
        <v>0</v>
      </c>
      <c r="F8153" s="42">
        <v>1</v>
      </c>
      <c r="G8153" s="4">
        <v>15</v>
      </c>
      <c r="H8153" s="18">
        <v>38.476990000000001</v>
      </c>
    </row>
    <row r="8154" spans="1:8" s="15" customFormat="1" ht="16.5" hidden="1" customHeight="1" outlineLevel="1" x14ac:dyDescent="0.25">
      <c r="A8154" s="18">
        <v>1389</v>
      </c>
      <c r="B8154" s="4" t="s">
        <v>250</v>
      </c>
      <c r="C8154" s="38" t="s">
        <v>6868</v>
      </c>
      <c r="D8154" s="18">
        <v>2022</v>
      </c>
      <c r="E8154" s="18" t="s">
        <v>0</v>
      </c>
      <c r="F8154" s="42">
        <v>1</v>
      </c>
      <c r="G8154" s="4">
        <v>15</v>
      </c>
      <c r="H8154" s="18">
        <v>57.830880000000001</v>
      </c>
    </row>
    <row r="8155" spans="1:8" s="15" customFormat="1" ht="16.5" hidden="1" customHeight="1" outlineLevel="1" x14ac:dyDescent="0.25">
      <c r="A8155" s="18">
        <v>1390</v>
      </c>
      <c r="B8155" s="4" t="s">
        <v>250</v>
      </c>
      <c r="C8155" s="38" t="s">
        <v>6869</v>
      </c>
      <c r="D8155" s="18">
        <v>2022</v>
      </c>
      <c r="E8155" s="18" t="s">
        <v>0</v>
      </c>
      <c r="F8155" s="42">
        <v>1</v>
      </c>
      <c r="G8155" s="4">
        <v>15</v>
      </c>
      <c r="H8155" s="18">
        <v>61.299909999999997</v>
      </c>
    </row>
    <row r="8156" spans="1:8" s="15" customFormat="1" ht="16.5" hidden="1" customHeight="1" outlineLevel="1" x14ac:dyDescent="0.25">
      <c r="A8156" s="18">
        <v>1073</v>
      </c>
      <c r="B8156" s="4" t="s">
        <v>250</v>
      </c>
      <c r="C8156" s="38" t="s">
        <v>6870</v>
      </c>
      <c r="D8156" s="18">
        <v>2022</v>
      </c>
      <c r="E8156" s="18" t="s">
        <v>0</v>
      </c>
      <c r="F8156" s="42">
        <v>1</v>
      </c>
      <c r="G8156" s="4">
        <v>30</v>
      </c>
      <c r="H8156" s="18">
        <v>44.950040000000001</v>
      </c>
    </row>
    <row r="8157" spans="1:8" s="15" customFormat="1" ht="16.5" hidden="1" customHeight="1" outlineLevel="1" x14ac:dyDescent="0.25">
      <c r="A8157" s="18">
        <v>1164</v>
      </c>
      <c r="B8157" s="4" t="s">
        <v>250</v>
      </c>
      <c r="C8157" s="38" t="s">
        <v>6871</v>
      </c>
      <c r="D8157" s="18">
        <v>2022</v>
      </c>
      <c r="E8157" s="18" t="s">
        <v>0</v>
      </c>
      <c r="F8157" s="42">
        <v>1</v>
      </c>
      <c r="G8157" s="4">
        <v>15</v>
      </c>
      <c r="H8157" s="18">
        <v>53.912640000000003</v>
      </c>
    </row>
    <row r="8158" spans="1:8" s="15" customFormat="1" ht="16.5" hidden="1" customHeight="1" outlineLevel="1" x14ac:dyDescent="0.25">
      <c r="A8158" s="18">
        <v>1205</v>
      </c>
      <c r="B8158" s="4" t="s">
        <v>250</v>
      </c>
      <c r="C8158" s="38" t="s">
        <v>6872</v>
      </c>
      <c r="D8158" s="18">
        <v>2022</v>
      </c>
      <c r="E8158" s="18" t="s">
        <v>0</v>
      </c>
      <c r="F8158" s="42">
        <v>1</v>
      </c>
      <c r="G8158" s="4">
        <v>15</v>
      </c>
      <c r="H8158" s="18">
        <v>39.213679999999997</v>
      </c>
    </row>
    <row r="8159" spans="1:8" s="15" customFormat="1" ht="16.5" hidden="1" customHeight="1" outlineLevel="1" x14ac:dyDescent="0.25">
      <c r="A8159" s="18">
        <v>1244</v>
      </c>
      <c r="B8159" s="4" t="s">
        <v>250</v>
      </c>
      <c r="C8159" s="38" t="s">
        <v>6873</v>
      </c>
      <c r="D8159" s="18">
        <v>2022</v>
      </c>
      <c r="E8159" s="18" t="s">
        <v>0</v>
      </c>
      <c r="F8159" s="42">
        <v>1</v>
      </c>
      <c r="G8159" s="4">
        <v>15</v>
      </c>
      <c r="H8159" s="18">
        <v>43.24915</v>
      </c>
    </row>
    <row r="8160" spans="1:8" s="15" customFormat="1" ht="16.5" hidden="1" customHeight="1" outlineLevel="1" x14ac:dyDescent="0.25">
      <c r="A8160" s="18">
        <v>1246</v>
      </c>
      <c r="B8160" s="4" t="s">
        <v>250</v>
      </c>
      <c r="C8160" s="38" t="s">
        <v>6874</v>
      </c>
      <c r="D8160" s="18">
        <v>2022</v>
      </c>
      <c r="E8160" s="18" t="s">
        <v>0</v>
      </c>
      <c r="F8160" s="42">
        <v>1</v>
      </c>
      <c r="G8160" s="4">
        <v>15</v>
      </c>
      <c r="H8160" s="18">
        <v>53.918219999999998</v>
      </c>
    </row>
    <row r="8161" spans="1:8" s="15" customFormat="1" ht="16.5" hidden="1" customHeight="1" outlineLevel="1" x14ac:dyDescent="0.25">
      <c r="A8161" s="18">
        <v>1248</v>
      </c>
      <c r="B8161" s="4" t="s">
        <v>250</v>
      </c>
      <c r="C8161" s="38" t="s">
        <v>6875</v>
      </c>
      <c r="D8161" s="18">
        <v>2022</v>
      </c>
      <c r="E8161" s="18" t="s">
        <v>0</v>
      </c>
      <c r="F8161" s="42">
        <v>1</v>
      </c>
      <c r="G8161" s="4">
        <v>15</v>
      </c>
      <c r="H8161" s="18">
        <v>46.094259999999998</v>
      </c>
    </row>
    <row r="8162" spans="1:8" s="15" customFormat="1" ht="16.5" hidden="1" customHeight="1" outlineLevel="1" x14ac:dyDescent="0.25">
      <c r="A8162" s="18">
        <v>1290</v>
      </c>
      <c r="B8162" s="4" t="s">
        <v>250</v>
      </c>
      <c r="C8162" s="38" t="s">
        <v>6876</v>
      </c>
      <c r="D8162" s="18">
        <v>2022</v>
      </c>
      <c r="E8162" s="18" t="s">
        <v>0</v>
      </c>
      <c r="F8162" s="42">
        <v>1</v>
      </c>
      <c r="G8162" s="4">
        <v>15</v>
      </c>
      <c r="H8162" s="18">
        <v>44.476759999999999</v>
      </c>
    </row>
    <row r="8163" spans="1:8" s="15" customFormat="1" ht="16.5" hidden="1" customHeight="1" outlineLevel="1" x14ac:dyDescent="0.25">
      <c r="A8163" s="18">
        <v>1297</v>
      </c>
      <c r="B8163" s="4" t="s">
        <v>250</v>
      </c>
      <c r="C8163" s="38" t="s">
        <v>6877</v>
      </c>
      <c r="D8163" s="18">
        <v>2022</v>
      </c>
      <c r="E8163" s="18" t="s">
        <v>0</v>
      </c>
      <c r="F8163" s="42">
        <v>1</v>
      </c>
      <c r="G8163" s="4">
        <v>15</v>
      </c>
      <c r="H8163" s="18">
        <v>51.792439999999999</v>
      </c>
    </row>
    <row r="8164" spans="1:8" s="15" customFormat="1" ht="16.5" hidden="1" customHeight="1" outlineLevel="1" x14ac:dyDescent="0.25">
      <c r="A8164" s="18">
        <v>1310</v>
      </c>
      <c r="B8164" s="4" t="s">
        <v>250</v>
      </c>
      <c r="C8164" s="38" t="s">
        <v>6878</v>
      </c>
      <c r="D8164" s="18">
        <v>2022</v>
      </c>
      <c r="E8164" s="18" t="s">
        <v>0</v>
      </c>
      <c r="F8164" s="42">
        <v>1</v>
      </c>
      <c r="G8164" s="4">
        <v>15</v>
      </c>
      <c r="H8164" s="18">
        <v>50.672580000000004</v>
      </c>
    </row>
    <row r="8165" spans="1:8" s="15" customFormat="1" ht="16.5" hidden="1" customHeight="1" outlineLevel="1" x14ac:dyDescent="0.25">
      <c r="A8165" s="18">
        <v>1402</v>
      </c>
      <c r="B8165" s="4" t="s">
        <v>250</v>
      </c>
      <c r="C8165" s="38" t="s">
        <v>6879</v>
      </c>
      <c r="D8165" s="18">
        <v>2022</v>
      </c>
      <c r="E8165" s="18" t="s">
        <v>0</v>
      </c>
      <c r="F8165" s="42">
        <v>1</v>
      </c>
      <c r="G8165" s="4">
        <v>15</v>
      </c>
      <c r="H8165" s="18">
        <v>42.638539999999999</v>
      </c>
    </row>
    <row r="8166" spans="1:8" s="15" customFormat="1" ht="16.5" hidden="1" customHeight="1" outlineLevel="1" x14ac:dyDescent="0.25">
      <c r="A8166" s="18">
        <v>1403</v>
      </c>
      <c r="B8166" s="4" t="s">
        <v>250</v>
      </c>
      <c r="C8166" s="38" t="s">
        <v>6880</v>
      </c>
      <c r="D8166" s="18">
        <v>2022</v>
      </c>
      <c r="E8166" s="18" t="s">
        <v>0</v>
      </c>
      <c r="F8166" s="42">
        <v>1</v>
      </c>
      <c r="G8166" s="4">
        <v>15</v>
      </c>
      <c r="H8166" s="18">
        <v>46.796889999999998</v>
      </c>
    </row>
    <row r="8167" spans="1:8" s="15" customFormat="1" ht="16.5" hidden="1" customHeight="1" outlineLevel="1" x14ac:dyDescent="0.25">
      <c r="A8167" s="18">
        <v>1200</v>
      </c>
      <c r="B8167" s="4" t="s">
        <v>250</v>
      </c>
      <c r="C8167" s="38" t="s">
        <v>6881</v>
      </c>
      <c r="D8167" s="18">
        <v>2022</v>
      </c>
      <c r="E8167" s="18" t="s">
        <v>0</v>
      </c>
      <c r="F8167" s="42">
        <v>1</v>
      </c>
      <c r="G8167" s="4">
        <v>15</v>
      </c>
      <c r="H8167" s="18">
        <v>40.640360000000001</v>
      </c>
    </row>
    <row r="8168" spans="1:8" s="15" customFormat="1" ht="16.5" hidden="1" customHeight="1" outlineLevel="1" x14ac:dyDescent="0.25">
      <c r="A8168" s="18">
        <v>1359</v>
      </c>
      <c r="B8168" s="4" t="s">
        <v>250</v>
      </c>
      <c r="C8168" s="38" t="s">
        <v>6882</v>
      </c>
      <c r="D8168" s="18">
        <v>2022</v>
      </c>
      <c r="E8168" s="18" t="s">
        <v>0</v>
      </c>
      <c r="F8168" s="42">
        <v>1</v>
      </c>
      <c r="G8168" s="4">
        <v>15</v>
      </c>
      <c r="H8168" s="18">
        <v>40.79589</v>
      </c>
    </row>
    <row r="8169" spans="1:8" s="15" customFormat="1" ht="16.5" hidden="1" customHeight="1" outlineLevel="1" x14ac:dyDescent="0.25">
      <c r="A8169" s="18">
        <v>1360</v>
      </c>
      <c r="B8169" s="4" t="s">
        <v>250</v>
      </c>
      <c r="C8169" s="38" t="s">
        <v>6883</v>
      </c>
      <c r="D8169" s="18">
        <v>2022</v>
      </c>
      <c r="E8169" s="18" t="s">
        <v>0</v>
      </c>
      <c r="F8169" s="42">
        <v>1</v>
      </c>
      <c r="G8169" s="4">
        <v>15</v>
      </c>
      <c r="H8169" s="18">
        <v>53.976849999999999</v>
      </c>
    </row>
    <row r="8170" spans="1:8" s="15" customFormat="1" ht="16.5" hidden="1" customHeight="1" outlineLevel="1" x14ac:dyDescent="0.25">
      <c r="A8170" s="18">
        <v>1167</v>
      </c>
      <c r="B8170" s="4" t="s">
        <v>250</v>
      </c>
      <c r="C8170" s="38" t="s">
        <v>6884</v>
      </c>
      <c r="D8170" s="18">
        <v>2022</v>
      </c>
      <c r="E8170" s="18" t="s">
        <v>0</v>
      </c>
      <c r="F8170" s="42">
        <v>1</v>
      </c>
      <c r="G8170" s="4">
        <v>15</v>
      </c>
      <c r="H8170" s="18">
        <v>40.422899999999998</v>
      </c>
    </row>
    <row r="8171" spans="1:8" s="15" customFormat="1" ht="16.5" hidden="1" customHeight="1" outlineLevel="1" x14ac:dyDescent="0.25">
      <c r="A8171" s="18">
        <v>1314</v>
      </c>
      <c r="B8171" s="4" t="s">
        <v>250</v>
      </c>
      <c r="C8171" s="38" t="s">
        <v>6885</v>
      </c>
      <c r="D8171" s="18">
        <v>2022</v>
      </c>
      <c r="E8171" s="18" t="s">
        <v>0</v>
      </c>
      <c r="F8171" s="42">
        <v>1</v>
      </c>
      <c r="G8171" s="4">
        <v>15</v>
      </c>
      <c r="H8171" s="18">
        <v>43.15466</v>
      </c>
    </row>
    <row r="8172" spans="1:8" s="15" customFormat="1" ht="16.5" hidden="1" customHeight="1" outlineLevel="1" x14ac:dyDescent="0.25">
      <c r="A8172" s="18">
        <v>1362</v>
      </c>
      <c r="B8172" s="4" t="s">
        <v>250</v>
      </c>
      <c r="C8172" s="38" t="s">
        <v>6886</v>
      </c>
      <c r="D8172" s="18">
        <v>2022</v>
      </c>
      <c r="E8172" s="18" t="s">
        <v>0</v>
      </c>
      <c r="F8172" s="42">
        <v>1</v>
      </c>
      <c r="G8172" s="4">
        <v>15</v>
      </c>
      <c r="H8172" s="18">
        <v>41.020989999999998</v>
      </c>
    </row>
    <row r="8173" spans="1:8" s="15" customFormat="1" ht="16.5" hidden="1" customHeight="1" outlineLevel="1" x14ac:dyDescent="0.25">
      <c r="A8173" s="18">
        <v>1363</v>
      </c>
      <c r="B8173" s="4" t="s">
        <v>250</v>
      </c>
      <c r="C8173" s="38" t="s">
        <v>6887</v>
      </c>
      <c r="D8173" s="18">
        <v>2022</v>
      </c>
      <c r="E8173" s="18" t="s">
        <v>0</v>
      </c>
      <c r="F8173" s="42">
        <v>1</v>
      </c>
      <c r="G8173" s="4">
        <v>15</v>
      </c>
      <c r="H8173" s="18">
        <v>39.98019</v>
      </c>
    </row>
    <row r="8174" spans="1:8" s="15" customFormat="1" ht="16.5" hidden="1" customHeight="1" outlineLevel="1" x14ac:dyDescent="0.25">
      <c r="A8174" s="18">
        <v>1144</v>
      </c>
      <c r="B8174" s="4" t="s">
        <v>250</v>
      </c>
      <c r="C8174" s="38" t="s">
        <v>6888</v>
      </c>
      <c r="D8174" s="18">
        <v>2022</v>
      </c>
      <c r="E8174" s="18" t="s">
        <v>0</v>
      </c>
      <c r="F8174" s="42">
        <v>1</v>
      </c>
      <c r="G8174" s="4">
        <v>15</v>
      </c>
      <c r="H8174" s="18">
        <v>50.807389999999998</v>
      </c>
    </row>
    <row r="8175" spans="1:8" s="15" customFormat="1" ht="16.5" hidden="1" customHeight="1" outlineLevel="1" x14ac:dyDescent="0.25">
      <c r="A8175" s="18">
        <v>1171</v>
      </c>
      <c r="B8175" s="4" t="s">
        <v>250</v>
      </c>
      <c r="C8175" s="38" t="s">
        <v>6889</v>
      </c>
      <c r="D8175" s="18">
        <v>2022</v>
      </c>
      <c r="E8175" s="18" t="s">
        <v>0</v>
      </c>
      <c r="F8175" s="42">
        <v>1</v>
      </c>
      <c r="G8175" s="4">
        <v>15</v>
      </c>
      <c r="H8175" s="18">
        <v>46.302549999999997</v>
      </c>
    </row>
    <row r="8176" spans="1:8" s="15" customFormat="1" ht="16.5" hidden="1" customHeight="1" outlineLevel="1" x14ac:dyDescent="0.25">
      <c r="A8176" s="18">
        <v>1173</v>
      </c>
      <c r="B8176" s="4" t="s">
        <v>250</v>
      </c>
      <c r="C8176" s="38" t="s">
        <v>6890</v>
      </c>
      <c r="D8176" s="18">
        <v>2022</v>
      </c>
      <c r="E8176" s="18" t="s">
        <v>0</v>
      </c>
      <c r="F8176" s="42">
        <v>1</v>
      </c>
      <c r="G8176" s="4">
        <v>15</v>
      </c>
      <c r="H8176" s="18">
        <v>41.212389999999999</v>
      </c>
    </row>
    <row r="8177" spans="1:8" s="15" customFormat="1" ht="16.5" hidden="1" customHeight="1" outlineLevel="1" x14ac:dyDescent="0.25">
      <c r="A8177" s="18">
        <v>1188</v>
      </c>
      <c r="B8177" s="4" t="s">
        <v>250</v>
      </c>
      <c r="C8177" s="38" t="s">
        <v>6891</v>
      </c>
      <c r="D8177" s="18">
        <v>2022</v>
      </c>
      <c r="E8177" s="18" t="s">
        <v>0</v>
      </c>
      <c r="F8177" s="42">
        <v>1</v>
      </c>
      <c r="G8177" s="4">
        <v>15</v>
      </c>
      <c r="H8177" s="18">
        <v>40.819969999999998</v>
      </c>
    </row>
    <row r="8178" spans="1:8" s="15" customFormat="1" ht="16.5" hidden="1" customHeight="1" outlineLevel="1" x14ac:dyDescent="0.25">
      <c r="A8178" s="18">
        <v>1113</v>
      </c>
      <c r="B8178" s="4" t="s">
        <v>250</v>
      </c>
      <c r="C8178" s="38" t="s">
        <v>6892</v>
      </c>
      <c r="D8178" s="18">
        <v>2022</v>
      </c>
      <c r="E8178" s="18" t="s">
        <v>0</v>
      </c>
      <c r="F8178" s="42">
        <v>1</v>
      </c>
      <c r="G8178" s="4">
        <v>15</v>
      </c>
      <c r="H8178" s="18">
        <v>43.487720000000003</v>
      </c>
    </row>
    <row r="8179" spans="1:8" s="15" customFormat="1" ht="16.5" hidden="1" customHeight="1" outlineLevel="1" x14ac:dyDescent="0.25">
      <c r="A8179" s="18">
        <v>1219</v>
      </c>
      <c r="B8179" s="4" t="s">
        <v>250</v>
      </c>
      <c r="C8179" s="38" t="s">
        <v>6893</v>
      </c>
      <c r="D8179" s="18">
        <v>2022</v>
      </c>
      <c r="E8179" s="18" t="s">
        <v>0</v>
      </c>
      <c r="F8179" s="42">
        <v>1</v>
      </c>
      <c r="G8179" s="4">
        <v>15</v>
      </c>
      <c r="H8179" s="18">
        <v>39.026890000000002</v>
      </c>
    </row>
    <row r="8180" spans="1:8" s="15" customFormat="1" ht="16.5" hidden="1" customHeight="1" outlineLevel="1" x14ac:dyDescent="0.25">
      <c r="A8180" s="18">
        <v>1281</v>
      </c>
      <c r="B8180" s="4" t="s">
        <v>250</v>
      </c>
      <c r="C8180" s="38" t="s">
        <v>6894</v>
      </c>
      <c r="D8180" s="18">
        <v>2022</v>
      </c>
      <c r="E8180" s="18" t="s">
        <v>0</v>
      </c>
      <c r="F8180" s="42">
        <v>1</v>
      </c>
      <c r="G8180" s="4">
        <v>15</v>
      </c>
      <c r="H8180" s="18">
        <v>50.454700000000003</v>
      </c>
    </row>
    <row r="8181" spans="1:8" s="15" customFormat="1" ht="16.5" hidden="1" customHeight="1" outlineLevel="1" x14ac:dyDescent="0.25">
      <c r="A8181" s="18">
        <v>1428</v>
      </c>
      <c r="B8181" s="4" t="s">
        <v>250</v>
      </c>
      <c r="C8181" s="38" t="s">
        <v>6895</v>
      </c>
      <c r="D8181" s="18">
        <v>2022</v>
      </c>
      <c r="E8181" s="18" t="s">
        <v>0</v>
      </c>
      <c r="F8181" s="42">
        <v>1</v>
      </c>
      <c r="G8181" s="4">
        <v>15</v>
      </c>
      <c r="H8181" s="18">
        <v>57.468910000000001</v>
      </c>
    </row>
    <row r="8182" spans="1:8" s="15" customFormat="1" ht="16.5" hidden="1" customHeight="1" outlineLevel="1" x14ac:dyDescent="0.25">
      <c r="A8182" s="18">
        <v>1429</v>
      </c>
      <c r="B8182" s="4" t="s">
        <v>250</v>
      </c>
      <c r="C8182" s="38" t="s">
        <v>6896</v>
      </c>
      <c r="D8182" s="18">
        <v>2022</v>
      </c>
      <c r="E8182" s="18" t="s">
        <v>0</v>
      </c>
      <c r="F8182" s="42">
        <v>1</v>
      </c>
      <c r="G8182" s="4">
        <v>15</v>
      </c>
      <c r="H8182" s="18">
        <v>53.955840000000002</v>
      </c>
    </row>
    <row r="8183" spans="1:8" s="15" customFormat="1" ht="16.5" hidden="1" customHeight="1" outlineLevel="1" x14ac:dyDescent="0.25">
      <c r="A8183" s="18">
        <v>1424</v>
      </c>
      <c r="B8183" s="4" t="s">
        <v>250</v>
      </c>
      <c r="C8183" s="38" t="s">
        <v>6897</v>
      </c>
      <c r="D8183" s="18">
        <v>2022</v>
      </c>
      <c r="E8183" s="18" t="s">
        <v>0</v>
      </c>
      <c r="F8183" s="42">
        <v>1</v>
      </c>
      <c r="G8183" s="4">
        <v>15</v>
      </c>
      <c r="H8183" s="18">
        <v>54.964480000000002</v>
      </c>
    </row>
    <row r="8184" spans="1:8" s="15" customFormat="1" ht="16.5" hidden="1" customHeight="1" outlineLevel="1" x14ac:dyDescent="0.25">
      <c r="A8184" s="18">
        <v>1423</v>
      </c>
      <c r="B8184" s="4" t="s">
        <v>250</v>
      </c>
      <c r="C8184" s="38" t="s">
        <v>6898</v>
      </c>
      <c r="D8184" s="18">
        <v>2022</v>
      </c>
      <c r="E8184" s="18" t="s">
        <v>0</v>
      </c>
      <c r="F8184" s="42">
        <v>1</v>
      </c>
      <c r="G8184" s="4">
        <v>15</v>
      </c>
      <c r="H8184" s="18">
        <v>59.050780000000003</v>
      </c>
    </row>
    <row r="8185" spans="1:8" s="15" customFormat="1" ht="16.5" hidden="1" customHeight="1" outlineLevel="1" x14ac:dyDescent="0.25">
      <c r="A8185" s="18">
        <v>1422</v>
      </c>
      <c r="B8185" s="4" t="s">
        <v>250</v>
      </c>
      <c r="C8185" s="38" t="s">
        <v>6899</v>
      </c>
      <c r="D8185" s="18">
        <v>2022</v>
      </c>
      <c r="E8185" s="18" t="s">
        <v>0</v>
      </c>
      <c r="F8185" s="42">
        <v>1</v>
      </c>
      <c r="G8185" s="4">
        <v>15</v>
      </c>
      <c r="H8185" s="18">
        <v>58.687519999999999</v>
      </c>
    </row>
    <row r="8186" spans="1:8" s="15" customFormat="1" ht="16.5" hidden="1" customHeight="1" outlineLevel="1" x14ac:dyDescent="0.25">
      <c r="A8186" s="18">
        <v>1321</v>
      </c>
      <c r="B8186" s="4" t="s">
        <v>250</v>
      </c>
      <c r="C8186" s="38" t="s">
        <v>6900</v>
      </c>
      <c r="D8186" s="18">
        <v>2022</v>
      </c>
      <c r="E8186" s="18" t="s">
        <v>0</v>
      </c>
      <c r="F8186" s="42">
        <v>1</v>
      </c>
      <c r="G8186" s="4">
        <v>15</v>
      </c>
      <c r="H8186" s="18">
        <v>64.873170000000002</v>
      </c>
    </row>
    <row r="8187" spans="1:8" s="15" customFormat="1" ht="16.5" hidden="1" customHeight="1" outlineLevel="1" x14ac:dyDescent="0.25">
      <c r="A8187" s="18">
        <v>1116</v>
      </c>
      <c r="B8187" s="4" t="s">
        <v>250</v>
      </c>
      <c r="C8187" s="38" t="s">
        <v>6901</v>
      </c>
      <c r="D8187" s="18">
        <v>2022</v>
      </c>
      <c r="E8187" s="18" t="s">
        <v>0</v>
      </c>
      <c r="F8187" s="42">
        <v>1</v>
      </c>
      <c r="G8187" s="4">
        <v>15</v>
      </c>
      <c r="H8187" s="18">
        <v>52.422229999999999</v>
      </c>
    </row>
    <row r="8188" spans="1:8" s="15" customFormat="1" ht="16.5" hidden="1" customHeight="1" outlineLevel="1" x14ac:dyDescent="0.25">
      <c r="A8188" s="18">
        <v>1112</v>
      </c>
      <c r="B8188" s="4" t="s">
        <v>250</v>
      </c>
      <c r="C8188" s="38" t="s">
        <v>6902</v>
      </c>
      <c r="D8188" s="18">
        <v>2022</v>
      </c>
      <c r="E8188" s="18" t="s">
        <v>0</v>
      </c>
      <c r="F8188" s="42">
        <v>1</v>
      </c>
      <c r="G8188" s="4">
        <v>15</v>
      </c>
      <c r="H8188" s="18">
        <v>68.662059999999997</v>
      </c>
    </row>
    <row r="8189" spans="1:8" s="15" customFormat="1" ht="16.5" hidden="1" customHeight="1" outlineLevel="1" x14ac:dyDescent="0.25">
      <c r="A8189" s="18">
        <v>1129</v>
      </c>
      <c r="B8189" s="4" t="s">
        <v>250</v>
      </c>
      <c r="C8189" s="38" t="s">
        <v>6903</v>
      </c>
      <c r="D8189" s="18">
        <v>2022</v>
      </c>
      <c r="E8189" s="18" t="s">
        <v>0</v>
      </c>
      <c r="F8189" s="42">
        <v>1</v>
      </c>
      <c r="G8189" s="4">
        <v>15</v>
      </c>
      <c r="H8189" s="18">
        <v>34.621499999999997</v>
      </c>
    </row>
    <row r="8190" spans="1:8" s="15" customFormat="1" ht="16.5" hidden="1" customHeight="1" outlineLevel="1" x14ac:dyDescent="0.25">
      <c r="A8190" s="18">
        <v>1140</v>
      </c>
      <c r="B8190" s="4" t="s">
        <v>250</v>
      </c>
      <c r="C8190" s="38" t="s">
        <v>6904</v>
      </c>
      <c r="D8190" s="18">
        <v>2022</v>
      </c>
      <c r="E8190" s="18" t="s">
        <v>0</v>
      </c>
      <c r="F8190" s="42">
        <v>1</v>
      </c>
      <c r="G8190" s="4">
        <v>15</v>
      </c>
      <c r="H8190" s="18">
        <v>43.646900000000002</v>
      </c>
    </row>
    <row r="8191" spans="1:8" s="15" customFormat="1" ht="16.5" hidden="1" customHeight="1" outlineLevel="1" x14ac:dyDescent="0.25">
      <c r="A8191" s="18">
        <v>1145</v>
      </c>
      <c r="B8191" s="4" t="s">
        <v>250</v>
      </c>
      <c r="C8191" s="38" t="s">
        <v>6905</v>
      </c>
      <c r="D8191" s="18">
        <v>2022</v>
      </c>
      <c r="E8191" s="18" t="s">
        <v>0</v>
      </c>
      <c r="F8191" s="42">
        <v>1</v>
      </c>
      <c r="G8191" s="4">
        <v>15</v>
      </c>
      <c r="H8191" s="18">
        <v>52.007460000000002</v>
      </c>
    </row>
    <row r="8192" spans="1:8" s="15" customFormat="1" ht="16.5" hidden="1" customHeight="1" outlineLevel="1" x14ac:dyDescent="0.25">
      <c r="A8192" s="18">
        <v>1157</v>
      </c>
      <c r="B8192" s="4" t="s">
        <v>250</v>
      </c>
      <c r="C8192" s="38" t="s">
        <v>6906</v>
      </c>
      <c r="D8192" s="18">
        <v>2022</v>
      </c>
      <c r="E8192" s="18" t="s">
        <v>0</v>
      </c>
      <c r="F8192" s="42">
        <v>1</v>
      </c>
      <c r="G8192" s="4">
        <v>15</v>
      </c>
      <c r="H8192" s="18">
        <v>51.891289999999998</v>
      </c>
    </row>
    <row r="8193" spans="1:8" s="15" customFormat="1" ht="16.5" hidden="1" customHeight="1" outlineLevel="1" x14ac:dyDescent="0.25">
      <c r="A8193" s="18">
        <v>1191</v>
      </c>
      <c r="B8193" s="4" t="s">
        <v>250</v>
      </c>
      <c r="C8193" s="38" t="s">
        <v>6907</v>
      </c>
      <c r="D8193" s="18">
        <v>2022</v>
      </c>
      <c r="E8193" s="18" t="s">
        <v>0</v>
      </c>
      <c r="F8193" s="42">
        <v>1</v>
      </c>
      <c r="G8193" s="4">
        <v>15</v>
      </c>
      <c r="H8193" s="18">
        <v>33.916029999999999</v>
      </c>
    </row>
    <row r="8194" spans="1:8" s="15" customFormat="1" ht="16.5" hidden="1" customHeight="1" outlineLevel="1" x14ac:dyDescent="0.25">
      <c r="A8194" s="18">
        <v>1237</v>
      </c>
      <c r="B8194" s="4" t="s">
        <v>250</v>
      </c>
      <c r="C8194" s="38" t="s">
        <v>6908</v>
      </c>
      <c r="D8194" s="18">
        <v>2022</v>
      </c>
      <c r="E8194" s="18" t="s">
        <v>0</v>
      </c>
      <c r="F8194" s="42">
        <v>1</v>
      </c>
      <c r="G8194" s="4">
        <v>15</v>
      </c>
      <c r="H8194" s="18">
        <v>53.987810000000003</v>
      </c>
    </row>
    <row r="8195" spans="1:8" s="15" customFormat="1" ht="16.5" hidden="1" customHeight="1" outlineLevel="1" x14ac:dyDescent="0.25">
      <c r="A8195" s="18">
        <v>1408</v>
      </c>
      <c r="B8195" s="4" t="s">
        <v>250</v>
      </c>
      <c r="C8195" s="38" t="s">
        <v>6909</v>
      </c>
      <c r="D8195" s="18">
        <v>2022</v>
      </c>
      <c r="E8195" s="18" t="s">
        <v>0</v>
      </c>
      <c r="F8195" s="42">
        <v>1</v>
      </c>
      <c r="G8195" s="4">
        <v>15</v>
      </c>
      <c r="H8195" s="18">
        <v>56.748849999999997</v>
      </c>
    </row>
    <row r="8196" spans="1:8" s="15" customFormat="1" ht="16.5" hidden="1" customHeight="1" outlineLevel="1" x14ac:dyDescent="0.25">
      <c r="A8196" s="18">
        <v>1393</v>
      </c>
      <c r="B8196" s="4" t="s">
        <v>250</v>
      </c>
      <c r="C8196" s="38" t="s">
        <v>6910</v>
      </c>
      <c r="D8196" s="18">
        <v>2022</v>
      </c>
      <c r="E8196" s="18" t="s">
        <v>0</v>
      </c>
      <c r="F8196" s="42">
        <v>1</v>
      </c>
      <c r="G8196" s="4">
        <v>15</v>
      </c>
      <c r="H8196" s="18">
        <v>64.794449999999998</v>
      </c>
    </row>
    <row r="8197" spans="1:8" s="15" customFormat="1" ht="16.5" hidden="1" customHeight="1" outlineLevel="1" x14ac:dyDescent="0.25">
      <c r="A8197" s="18">
        <v>1392</v>
      </c>
      <c r="B8197" s="4" t="s">
        <v>250</v>
      </c>
      <c r="C8197" s="38" t="s">
        <v>6911</v>
      </c>
      <c r="D8197" s="18">
        <v>2022</v>
      </c>
      <c r="E8197" s="18" t="s">
        <v>0</v>
      </c>
      <c r="F8197" s="42">
        <v>1</v>
      </c>
      <c r="G8197" s="4">
        <v>15</v>
      </c>
      <c r="H8197" s="18">
        <v>52.73686</v>
      </c>
    </row>
    <row r="8198" spans="1:8" s="15" customFormat="1" ht="16.5" hidden="1" customHeight="1" outlineLevel="1" x14ac:dyDescent="0.25">
      <c r="A8198" s="18">
        <v>1322</v>
      </c>
      <c r="B8198" s="4" t="s">
        <v>250</v>
      </c>
      <c r="C8198" s="38" t="s">
        <v>6912</v>
      </c>
      <c r="D8198" s="18">
        <v>2022</v>
      </c>
      <c r="E8198" s="18" t="s">
        <v>0</v>
      </c>
      <c r="F8198" s="42">
        <v>1</v>
      </c>
      <c r="G8198" s="4">
        <v>15</v>
      </c>
      <c r="H8198" s="18">
        <v>53.144950000000001</v>
      </c>
    </row>
    <row r="8199" spans="1:8" s="15" customFormat="1" ht="16.5" hidden="1" customHeight="1" outlineLevel="1" x14ac:dyDescent="0.25">
      <c r="A8199" s="18">
        <v>1368</v>
      </c>
      <c r="B8199" s="4" t="s">
        <v>250</v>
      </c>
      <c r="C8199" s="38" t="s">
        <v>6913</v>
      </c>
      <c r="D8199" s="18">
        <v>2022</v>
      </c>
      <c r="E8199" s="18" t="s">
        <v>0</v>
      </c>
      <c r="F8199" s="42">
        <v>1</v>
      </c>
      <c r="G8199" s="4">
        <v>15</v>
      </c>
      <c r="H8199" s="18">
        <v>49.251280000000001</v>
      </c>
    </row>
    <row r="8200" spans="1:8" s="15" customFormat="1" ht="16.5" hidden="1" customHeight="1" outlineLevel="1" x14ac:dyDescent="0.25">
      <c r="A8200" s="18">
        <v>1370</v>
      </c>
      <c r="B8200" s="4" t="s">
        <v>250</v>
      </c>
      <c r="C8200" s="38" t="s">
        <v>6914</v>
      </c>
      <c r="D8200" s="18">
        <v>2022</v>
      </c>
      <c r="E8200" s="18" t="s">
        <v>0</v>
      </c>
      <c r="F8200" s="42">
        <v>1</v>
      </c>
      <c r="G8200" s="4">
        <v>15</v>
      </c>
      <c r="H8200" s="18">
        <v>41.831789999999998</v>
      </c>
    </row>
    <row r="8201" spans="1:8" s="15" customFormat="1" ht="16.5" hidden="1" customHeight="1" outlineLevel="1" x14ac:dyDescent="0.25">
      <c r="A8201" s="18">
        <v>1274</v>
      </c>
      <c r="B8201" s="4" t="s">
        <v>250</v>
      </c>
      <c r="C8201" s="38" t="s">
        <v>6915</v>
      </c>
      <c r="D8201" s="18">
        <v>2022</v>
      </c>
      <c r="E8201" s="18" t="s">
        <v>0</v>
      </c>
      <c r="F8201" s="42">
        <v>1</v>
      </c>
      <c r="G8201" s="4">
        <v>15</v>
      </c>
      <c r="H8201" s="18">
        <v>45.338180000000001</v>
      </c>
    </row>
    <row r="8202" spans="1:8" s="15" customFormat="1" ht="16.5" hidden="1" customHeight="1" outlineLevel="1" x14ac:dyDescent="0.25">
      <c r="A8202" s="18">
        <v>1285</v>
      </c>
      <c r="B8202" s="4" t="s">
        <v>250</v>
      </c>
      <c r="C8202" s="38" t="s">
        <v>6916</v>
      </c>
      <c r="D8202" s="18">
        <v>2022</v>
      </c>
      <c r="E8202" s="18" t="s">
        <v>0</v>
      </c>
      <c r="F8202" s="42">
        <v>1</v>
      </c>
      <c r="G8202" s="4">
        <v>15</v>
      </c>
      <c r="H8202" s="18">
        <v>48.91621</v>
      </c>
    </row>
    <row r="8203" spans="1:8" s="15" customFormat="1" ht="16.5" hidden="1" customHeight="1" outlineLevel="1" x14ac:dyDescent="0.25">
      <c r="A8203" s="18">
        <v>1334</v>
      </c>
      <c r="B8203" s="4" t="s">
        <v>250</v>
      </c>
      <c r="C8203" s="38" t="s">
        <v>6917</v>
      </c>
      <c r="D8203" s="18">
        <v>2022</v>
      </c>
      <c r="E8203" s="18" t="s">
        <v>0</v>
      </c>
      <c r="F8203" s="42">
        <v>1</v>
      </c>
      <c r="G8203" s="4">
        <v>15</v>
      </c>
      <c r="H8203" s="18">
        <v>45.769159999999999</v>
      </c>
    </row>
    <row r="8204" spans="1:8" s="15" customFormat="1" ht="16.5" hidden="1" customHeight="1" outlineLevel="1" x14ac:dyDescent="0.25">
      <c r="A8204" s="18">
        <v>1395</v>
      </c>
      <c r="B8204" s="4" t="s">
        <v>250</v>
      </c>
      <c r="C8204" s="38" t="s">
        <v>6918</v>
      </c>
      <c r="D8204" s="18">
        <v>2022</v>
      </c>
      <c r="E8204" s="18" t="s">
        <v>0</v>
      </c>
      <c r="F8204" s="42">
        <v>1</v>
      </c>
      <c r="G8204" s="4">
        <v>15</v>
      </c>
      <c r="H8204" s="18">
        <v>37.439340000000001</v>
      </c>
    </row>
    <row r="8205" spans="1:8" s="15" customFormat="1" ht="16.5" hidden="1" customHeight="1" outlineLevel="1" x14ac:dyDescent="0.25">
      <c r="A8205" s="18">
        <v>1440</v>
      </c>
      <c r="B8205" s="4" t="s">
        <v>250</v>
      </c>
      <c r="C8205" s="38" t="s">
        <v>6919</v>
      </c>
      <c r="D8205" s="18">
        <v>2022</v>
      </c>
      <c r="E8205" s="18" t="s">
        <v>0</v>
      </c>
      <c r="F8205" s="42">
        <v>1</v>
      </c>
      <c r="G8205" s="4">
        <v>15</v>
      </c>
      <c r="H8205" s="18">
        <v>40.855060000000002</v>
      </c>
    </row>
    <row r="8206" spans="1:8" s="15" customFormat="1" ht="16.5" hidden="1" customHeight="1" outlineLevel="1" x14ac:dyDescent="0.25">
      <c r="A8206" s="18">
        <v>1051</v>
      </c>
      <c r="B8206" s="4" t="s">
        <v>250</v>
      </c>
      <c r="C8206" s="38" t="s">
        <v>6920</v>
      </c>
      <c r="D8206" s="18">
        <v>2022</v>
      </c>
      <c r="E8206" s="18" t="s">
        <v>0</v>
      </c>
      <c r="F8206" s="42">
        <v>1</v>
      </c>
      <c r="G8206" s="4">
        <v>15</v>
      </c>
      <c r="H8206" s="18">
        <v>38.90428</v>
      </c>
    </row>
    <row r="8207" spans="1:8" s="15" customFormat="1" ht="16.5" hidden="1" customHeight="1" outlineLevel="1" x14ac:dyDescent="0.25">
      <c r="A8207" s="18">
        <v>1068</v>
      </c>
      <c r="B8207" s="4" t="s">
        <v>250</v>
      </c>
      <c r="C8207" s="38" t="s">
        <v>6921</v>
      </c>
      <c r="D8207" s="18">
        <v>2022</v>
      </c>
      <c r="E8207" s="18" t="s">
        <v>0</v>
      </c>
      <c r="F8207" s="42">
        <v>1</v>
      </c>
      <c r="G8207" s="4">
        <v>5</v>
      </c>
      <c r="H8207" s="18">
        <v>38.930019999999999</v>
      </c>
    </row>
    <row r="8208" spans="1:8" s="15" customFormat="1" ht="16.5" hidden="1" customHeight="1" outlineLevel="1" x14ac:dyDescent="0.25">
      <c r="A8208" s="18">
        <v>1154</v>
      </c>
      <c r="B8208" s="4" t="s">
        <v>250</v>
      </c>
      <c r="C8208" s="38" t="s">
        <v>6922</v>
      </c>
      <c r="D8208" s="18">
        <v>2022</v>
      </c>
      <c r="E8208" s="18" t="s">
        <v>0</v>
      </c>
      <c r="F8208" s="42">
        <v>1</v>
      </c>
      <c r="G8208" s="4">
        <v>15</v>
      </c>
      <c r="H8208" s="18">
        <v>43.780540000000002</v>
      </c>
    </row>
    <row r="8209" spans="1:8" s="15" customFormat="1" ht="16.5" hidden="1" customHeight="1" outlineLevel="1" x14ac:dyDescent="0.25">
      <c r="A8209" s="18">
        <v>1227</v>
      </c>
      <c r="B8209" s="4" t="s">
        <v>250</v>
      </c>
      <c r="C8209" s="38" t="s">
        <v>6923</v>
      </c>
      <c r="D8209" s="18">
        <v>2022</v>
      </c>
      <c r="E8209" s="18" t="s">
        <v>0</v>
      </c>
      <c r="F8209" s="42">
        <v>1</v>
      </c>
      <c r="G8209" s="4">
        <v>15</v>
      </c>
      <c r="H8209" s="18">
        <v>33.102460000000001</v>
      </c>
    </row>
    <row r="8210" spans="1:8" s="15" customFormat="1" ht="16.5" hidden="1" customHeight="1" outlineLevel="1" x14ac:dyDescent="0.25">
      <c r="A8210" s="18">
        <v>1420</v>
      </c>
      <c r="B8210" s="4" t="s">
        <v>250</v>
      </c>
      <c r="C8210" s="38" t="s">
        <v>6924</v>
      </c>
      <c r="D8210" s="18">
        <v>2022</v>
      </c>
      <c r="E8210" s="18" t="s">
        <v>0</v>
      </c>
      <c r="F8210" s="42">
        <v>1</v>
      </c>
      <c r="G8210" s="4">
        <v>15</v>
      </c>
      <c r="H8210" s="18">
        <v>33.99465</v>
      </c>
    </row>
    <row r="8211" spans="1:8" s="15" customFormat="1" ht="16.5" hidden="1" customHeight="1" outlineLevel="1" x14ac:dyDescent="0.25">
      <c r="A8211" s="18">
        <v>1338</v>
      </c>
      <c r="B8211" s="4" t="s">
        <v>250</v>
      </c>
      <c r="C8211" s="38" t="s">
        <v>6925</v>
      </c>
      <c r="D8211" s="18">
        <v>2022</v>
      </c>
      <c r="E8211" s="18" t="s">
        <v>0</v>
      </c>
      <c r="F8211" s="42">
        <v>1</v>
      </c>
      <c r="G8211" s="4">
        <v>15</v>
      </c>
      <c r="H8211" s="18">
        <v>34.47972</v>
      </c>
    </row>
    <row r="8212" spans="1:8" s="15" customFormat="1" ht="16.5" hidden="1" customHeight="1" outlineLevel="1" x14ac:dyDescent="0.25">
      <c r="A8212" s="18">
        <v>1373</v>
      </c>
      <c r="B8212" s="4" t="s">
        <v>250</v>
      </c>
      <c r="C8212" s="38" t="s">
        <v>6926</v>
      </c>
      <c r="D8212" s="18">
        <v>2022</v>
      </c>
      <c r="E8212" s="18" t="s">
        <v>0</v>
      </c>
      <c r="F8212" s="42">
        <v>1</v>
      </c>
      <c r="G8212" s="4">
        <v>15</v>
      </c>
      <c r="H8212" s="18">
        <v>41.608049999999999</v>
      </c>
    </row>
    <row r="8213" spans="1:8" s="15" customFormat="1" ht="16.5" hidden="1" customHeight="1" outlineLevel="1" x14ac:dyDescent="0.25">
      <c r="A8213" s="18">
        <v>1348</v>
      </c>
      <c r="B8213" s="4" t="s">
        <v>250</v>
      </c>
      <c r="C8213" s="38" t="s">
        <v>6927</v>
      </c>
      <c r="D8213" s="18">
        <v>2022</v>
      </c>
      <c r="E8213" s="18" t="s">
        <v>0</v>
      </c>
      <c r="F8213" s="42">
        <v>1</v>
      </c>
      <c r="G8213" s="4">
        <v>7.5</v>
      </c>
      <c r="H8213" s="18">
        <v>94.058890000000005</v>
      </c>
    </row>
    <row r="8214" spans="1:8" s="15" customFormat="1" ht="16.5" hidden="1" customHeight="1" outlineLevel="1" x14ac:dyDescent="0.25">
      <c r="A8214" s="18">
        <v>1070</v>
      </c>
      <c r="B8214" s="4" t="s">
        <v>250</v>
      </c>
      <c r="C8214" s="38" t="s">
        <v>6928</v>
      </c>
      <c r="D8214" s="18">
        <v>2022</v>
      </c>
      <c r="E8214" s="18" t="s">
        <v>0</v>
      </c>
      <c r="F8214" s="42">
        <v>1</v>
      </c>
      <c r="G8214" s="4">
        <v>15</v>
      </c>
      <c r="H8214" s="18">
        <v>130.49606</v>
      </c>
    </row>
    <row r="8215" spans="1:8" s="15" customFormat="1" ht="16.5" hidden="1" customHeight="1" outlineLevel="1" x14ac:dyDescent="0.25">
      <c r="A8215" s="18">
        <v>1412</v>
      </c>
      <c r="B8215" s="4" t="s">
        <v>250</v>
      </c>
      <c r="C8215" s="38" t="s">
        <v>6929</v>
      </c>
      <c r="D8215" s="18">
        <v>2022</v>
      </c>
      <c r="E8215" s="18" t="s">
        <v>0</v>
      </c>
      <c r="F8215" s="42">
        <v>1</v>
      </c>
      <c r="G8215" s="4">
        <v>15</v>
      </c>
      <c r="H8215" s="18">
        <v>33.466160000000002</v>
      </c>
    </row>
    <row r="8216" spans="1:8" s="15" customFormat="1" ht="16.5" hidden="1" customHeight="1" outlineLevel="1" x14ac:dyDescent="0.25">
      <c r="A8216" s="18">
        <v>1324</v>
      </c>
      <c r="B8216" s="4" t="s">
        <v>250</v>
      </c>
      <c r="C8216" s="38" t="s">
        <v>6930</v>
      </c>
      <c r="D8216" s="18">
        <v>2022</v>
      </c>
      <c r="E8216" s="18" t="s">
        <v>0</v>
      </c>
      <c r="F8216" s="42">
        <v>1</v>
      </c>
      <c r="G8216" s="4">
        <v>15</v>
      </c>
      <c r="H8216" s="18">
        <v>36.723219999999998</v>
      </c>
    </row>
    <row r="8217" spans="1:8" s="15" customFormat="1" ht="16.5" hidden="1" customHeight="1" outlineLevel="1" x14ac:dyDescent="0.25">
      <c r="A8217" s="18">
        <v>1406</v>
      </c>
      <c r="B8217" s="4" t="s">
        <v>250</v>
      </c>
      <c r="C8217" s="38" t="s">
        <v>6931</v>
      </c>
      <c r="D8217" s="18">
        <v>2022</v>
      </c>
      <c r="E8217" s="18" t="s">
        <v>0</v>
      </c>
      <c r="F8217" s="42">
        <v>1</v>
      </c>
      <c r="G8217" s="4">
        <v>15</v>
      </c>
      <c r="H8217" s="18">
        <v>35.893079999999998</v>
      </c>
    </row>
    <row r="8218" spans="1:8" s="15" customFormat="1" ht="16.5" hidden="1" customHeight="1" outlineLevel="1" x14ac:dyDescent="0.25">
      <c r="A8218" s="18">
        <v>1444</v>
      </c>
      <c r="B8218" s="4" t="s">
        <v>250</v>
      </c>
      <c r="C8218" s="38" t="s">
        <v>6932</v>
      </c>
      <c r="D8218" s="18">
        <v>2022</v>
      </c>
      <c r="E8218" s="18" t="s">
        <v>0</v>
      </c>
      <c r="F8218" s="42">
        <v>1</v>
      </c>
      <c r="G8218" s="4">
        <v>15</v>
      </c>
      <c r="H8218" s="18">
        <v>39.840040000000002</v>
      </c>
    </row>
    <row r="8219" spans="1:8" s="15" customFormat="1" ht="16.5" hidden="1" customHeight="1" outlineLevel="1" x14ac:dyDescent="0.25">
      <c r="A8219" s="18">
        <v>1347</v>
      </c>
      <c r="B8219" s="4" t="s">
        <v>250</v>
      </c>
      <c r="C8219" s="38" t="s">
        <v>6933</v>
      </c>
      <c r="D8219" s="18">
        <v>2022</v>
      </c>
      <c r="E8219" s="18" t="s">
        <v>0</v>
      </c>
      <c r="F8219" s="42">
        <v>1</v>
      </c>
      <c r="G8219" s="4">
        <v>15</v>
      </c>
      <c r="H8219" s="18">
        <v>37.63364</v>
      </c>
    </row>
    <row r="8220" spans="1:8" s="15" customFormat="1" ht="16.5" hidden="1" customHeight="1" outlineLevel="1" x14ac:dyDescent="0.25">
      <c r="A8220" s="18">
        <v>1238</v>
      </c>
      <c r="B8220" s="4" t="s">
        <v>250</v>
      </c>
      <c r="C8220" s="38" t="s">
        <v>6934</v>
      </c>
      <c r="D8220" s="18">
        <v>2022</v>
      </c>
      <c r="E8220" s="18" t="s">
        <v>0</v>
      </c>
      <c r="F8220" s="42">
        <v>1</v>
      </c>
      <c r="G8220" s="4">
        <v>15</v>
      </c>
      <c r="H8220" s="18">
        <v>34.252290000000002</v>
      </c>
    </row>
    <row r="8221" spans="1:8" s="15" customFormat="1" ht="16.5" hidden="1" customHeight="1" outlineLevel="1" x14ac:dyDescent="0.25">
      <c r="A8221" s="18">
        <v>1226</v>
      </c>
      <c r="B8221" s="4" t="s">
        <v>250</v>
      </c>
      <c r="C8221" s="38" t="s">
        <v>6935</v>
      </c>
      <c r="D8221" s="18">
        <v>2022</v>
      </c>
      <c r="E8221" s="18" t="s">
        <v>0</v>
      </c>
      <c r="F8221" s="42">
        <v>1</v>
      </c>
      <c r="G8221" s="4">
        <v>10</v>
      </c>
      <c r="H8221" s="18">
        <v>35.23536</v>
      </c>
    </row>
    <row r="8222" spans="1:8" s="15" customFormat="1" ht="16.5" hidden="1" customHeight="1" outlineLevel="1" x14ac:dyDescent="0.25">
      <c r="A8222" s="18">
        <v>1222</v>
      </c>
      <c r="B8222" s="4" t="s">
        <v>250</v>
      </c>
      <c r="C8222" s="38" t="s">
        <v>6936</v>
      </c>
      <c r="D8222" s="18">
        <v>2022</v>
      </c>
      <c r="E8222" s="18" t="s">
        <v>0</v>
      </c>
      <c r="F8222" s="42">
        <v>1</v>
      </c>
      <c r="G8222" s="4">
        <v>15</v>
      </c>
      <c r="H8222" s="18">
        <v>39.6006</v>
      </c>
    </row>
    <row r="8223" spans="1:8" s="15" customFormat="1" ht="16.5" hidden="1" customHeight="1" outlineLevel="1" x14ac:dyDescent="0.25">
      <c r="A8223" s="18">
        <v>1483</v>
      </c>
      <c r="B8223" s="4" t="s">
        <v>250</v>
      </c>
      <c r="C8223" s="38" t="s">
        <v>6937</v>
      </c>
      <c r="D8223" s="18">
        <v>2022</v>
      </c>
      <c r="E8223" s="18" t="s">
        <v>0</v>
      </c>
      <c r="F8223" s="42">
        <v>1</v>
      </c>
      <c r="G8223" s="4">
        <v>15</v>
      </c>
      <c r="H8223" s="18">
        <v>40.364910000000002</v>
      </c>
    </row>
    <row r="8224" spans="1:8" s="15" customFormat="1" ht="16.5" hidden="1" customHeight="1" outlineLevel="1" x14ac:dyDescent="0.25">
      <c r="A8224" s="18">
        <v>1452</v>
      </c>
      <c r="B8224" s="4" t="s">
        <v>250</v>
      </c>
      <c r="C8224" s="38" t="s">
        <v>6938</v>
      </c>
      <c r="D8224" s="18">
        <v>2022</v>
      </c>
      <c r="E8224" s="18" t="s">
        <v>0</v>
      </c>
      <c r="F8224" s="42">
        <v>1</v>
      </c>
      <c r="G8224" s="4">
        <v>15</v>
      </c>
      <c r="H8224" s="18">
        <v>45.90719</v>
      </c>
    </row>
    <row r="8225" spans="1:8" s="15" customFormat="1" ht="16.5" hidden="1" customHeight="1" outlineLevel="1" x14ac:dyDescent="0.25">
      <c r="A8225" s="18">
        <v>1296</v>
      </c>
      <c r="B8225" s="4" t="s">
        <v>250</v>
      </c>
      <c r="C8225" s="38" t="s">
        <v>6939</v>
      </c>
      <c r="D8225" s="18">
        <v>2022</v>
      </c>
      <c r="E8225" s="18" t="s">
        <v>0</v>
      </c>
      <c r="F8225" s="42">
        <v>1</v>
      </c>
      <c r="G8225" s="4">
        <v>15</v>
      </c>
      <c r="H8225" s="18">
        <v>42.89987</v>
      </c>
    </row>
    <row r="8226" spans="1:8" s="15" customFormat="1" ht="16.5" hidden="1" customHeight="1" outlineLevel="1" x14ac:dyDescent="0.25">
      <c r="A8226" s="18">
        <v>1166</v>
      </c>
      <c r="B8226" s="4" t="s">
        <v>250</v>
      </c>
      <c r="C8226" s="38" t="s">
        <v>6940</v>
      </c>
      <c r="D8226" s="18">
        <v>2022</v>
      </c>
      <c r="E8226" s="18" t="s">
        <v>0</v>
      </c>
      <c r="F8226" s="42">
        <v>1</v>
      </c>
      <c r="G8226" s="4">
        <v>15</v>
      </c>
      <c r="H8226" s="18">
        <v>45.900530000000003</v>
      </c>
    </row>
    <row r="8227" spans="1:8" s="15" customFormat="1" ht="16.5" hidden="1" customHeight="1" outlineLevel="1" x14ac:dyDescent="0.25">
      <c r="A8227" s="18">
        <v>1165</v>
      </c>
      <c r="B8227" s="4" t="s">
        <v>250</v>
      </c>
      <c r="C8227" s="38" t="s">
        <v>6941</v>
      </c>
      <c r="D8227" s="18">
        <v>2022</v>
      </c>
      <c r="E8227" s="18" t="s">
        <v>0</v>
      </c>
      <c r="F8227" s="42">
        <v>1</v>
      </c>
      <c r="G8227" s="4">
        <v>15</v>
      </c>
      <c r="H8227" s="18">
        <v>39.112009999999998</v>
      </c>
    </row>
    <row r="8228" spans="1:8" s="15" customFormat="1" ht="16.5" hidden="1" customHeight="1" outlineLevel="1" x14ac:dyDescent="0.25">
      <c r="A8228" s="18">
        <v>1399</v>
      </c>
      <c r="B8228" s="4" t="s">
        <v>250</v>
      </c>
      <c r="C8228" s="38" t="s">
        <v>6942</v>
      </c>
      <c r="D8228" s="18">
        <v>2022</v>
      </c>
      <c r="E8228" s="18" t="s">
        <v>0</v>
      </c>
      <c r="F8228" s="42">
        <v>1</v>
      </c>
      <c r="G8228" s="4">
        <v>15</v>
      </c>
      <c r="H8228" s="18">
        <v>48.382739999999998</v>
      </c>
    </row>
    <row r="8229" spans="1:8" s="15" customFormat="1" ht="16.5" hidden="1" customHeight="1" outlineLevel="1" x14ac:dyDescent="0.25">
      <c r="A8229" s="18">
        <v>1451</v>
      </c>
      <c r="B8229" s="4" t="s">
        <v>250</v>
      </c>
      <c r="C8229" s="38" t="s">
        <v>6943</v>
      </c>
      <c r="D8229" s="18">
        <v>2022</v>
      </c>
      <c r="E8229" s="18" t="s">
        <v>0</v>
      </c>
      <c r="F8229" s="42">
        <v>1</v>
      </c>
      <c r="G8229" s="4">
        <v>15</v>
      </c>
      <c r="H8229" s="18">
        <v>43.459679999999999</v>
      </c>
    </row>
    <row r="8230" spans="1:8" s="15" customFormat="1" ht="16.5" hidden="1" customHeight="1" outlineLevel="1" x14ac:dyDescent="0.25">
      <c r="A8230" s="18">
        <v>1311</v>
      </c>
      <c r="B8230" s="4" t="s">
        <v>250</v>
      </c>
      <c r="C8230" s="38" t="s">
        <v>6944</v>
      </c>
      <c r="D8230" s="18">
        <v>2022</v>
      </c>
      <c r="E8230" s="18" t="s">
        <v>0</v>
      </c>
      <c r="F8230" s="42">
        <v>1</v>
      </c>
      <c r="G8230" s="4">
        <v>15</v>
      </c>
      <c r="H8230" s="18">
        <v>46.3949</v>
      </c>
    </row>
    <row r="8231" spans="1:8" s="15" customFormat="1" ht="16.5" hidden="1" customHeight="1" outlineLevel="1" x14ac:dyDescent="0.25">
      <c r="A8231" s="18">
        <v>1409</v>
      </c>
      <c r="B8231" s="4" t="s">
        <v>250</v>
      </c>
      <c r="C8231" s="38" t="s">
        <v>6945</v>
      </c>
      <c r="D8231" s="18">
        <v>2022</v>
      </c>
      <c r="E8231" s="18" t="s">
        <v>0</v>
      </c>
      <c r="F8231" s="42">
        <v>1</v>
      </c>
      <c r="G8231" s="4">
        <v>15</v>
      </c>
      <c r="H8231" s="18">
        <v>89.700040000000001</v>
      </c>
    </row>
    <row r="8232" spans="1:8" s="15" customFormat="1" ht="16.5" hidden="1" customHeight="1" outlineLevel="1" x14ac:dyDescent="0.25">
      <c r="A8232" s="18">
        <v>1328</v>
      </c>
      <c r="B8232" s="4" t="s">
        <v>250</v>
      </c>
      <c r="C8232" s="38" t="s">
        <v>6946</v>
      </c>
      <c r="D8232" s="18">
        <v>2022</v>
      </c>
      <c r="E8232" s="18" t="s">
        <v>0</v>
      </c>
      <c r="F8232" s="42">
        <v>1</v>
      </c>
      <c r="G8232" s="4">
        <v>15</v>
      </c>
      <c r="H8232" s="18">
        <v>38.271180000000001</v>
      </c>
    </row>
    <row r="8233" spans="1:8" s="15" customFormat="1" ht="16.5" hidden="1" customHeight="1" outlineLevel="1" x14ac:dyDescent="0.25">
      <c r="A8233" s="18">
        <v>1187</v>
      </c>
      <c r="B8233" s="4" t="s">
        <v>250</v>
      </c>
      <c r="C8233" s="38" t="s">
        <v>6947</v>
      </c>
      <c r="D8233" s="18">
        <v>2022</v>
      </c>
      <c r="E8233" s="18" t="s">
        <v>0</v>
      </c>
      <c r="F8233" s="42">
        <v>1</v>
      </c>
      <c r="G8233" s="4">
        <v>15</v>
      </c>
      <c r="H8233" s="18">
        <v>31.806660000000001</v>
      </c>
    </row>
    <row r="8234" spans="1:8" s="15" customFormat="1" ht="16.5" hidden="1" customHeight="1" outlineLevel="1" x14ac:dyDescent="0.25">
      <c r="A8234" s="18">
        <v>1291</v>
      </c>
      <c r="B8234" s="4" t="s">
        <v>250</v>
      </c>
      <c r="C8234" s="38" t="s">
        <v>3363</v>
      </c>
      <c r="D8234" s="18">
        <v>2022</v>
      </c>
      <c r="E8234" s="18" t="s">
        <v>0</v>
      </c>
      <c r="F8234" s="42">
        <v>1</v>
      </c>
      <c r="G8234" s="4">
        <v>15</v>
      </c>
      <c r="H8234" s="18">
        <v>73.42313</v>
      </c>
    </row>
    <row r="8235" spans="1:8" s="15" customFormat="1" ht="16.5" hidden="1" customHeight="1" outlineLevel="1" x14ac:dyDescent="0.25">
      <c r="A8235" s="18">
        <v>1079</v>
      </c>
      <c r="B8235" s="4" t="s">
        <v>250</v>
      </c>
      <c r="C8235" s="38" t="s">
        <v>3364</v>
      </c>
      <c r="D8235" s="18">
        <v>2022</v>
      </c>
      <c r="E8235" s="18" t="s">
        <v>0</v>
      </c>
      <c r="F8235" s="42">
        <v>3</v>
      </c>
      <c r="G8235" s="4">
        <v>35</v>
      </c>
      <c r="H8235" s="18">
        <v>141.36573999999999</v>
      </c>
    </row>
    <row r="8236" spans="1:8" s="15" customFormat="1" ht="16.5" hidden="1" customHeight="1" outlineLevel="1" x14ac:dyDescent="0.25">
      <c r="A8236" s="18">
        <v>1094</v>
      </c>
      <c r="B8236" s="4" t="s">
        <v>250</v>
      </c>
      <c r="C8236" s="38" t="s">
        <v>3365</v>
      </c>
      <c r="D8236" s="18">
        <v>2022</v>
      </c>
      <c r="E8236" s="18" t="s">
        <v>0</v>
      </c>
      <c r="F8236" s="42">
        <v>1</v>
      </c>
      <c r="G8236" s="4">
        <v>15</v>
      </c>
      <c r="H8236" s="18">
        <v>71.742769999999993</v>
      </c>
    </row>
    <row r="8237" spans="1:8" s="15" customFormat="1" ht="16.5" hidden="1" customHeight="1" outlineLevel="1" x14ac:dyDescent="0.25">
      <c r="A8237" s="18">
        <v>1138</v>
      </c>
      <c r="B8237" s="4" t="s">
        <v>250</v>
      </c>
      <c r="C8237" s="38" t="s">
        <v>3366</v>
      </c>
      <c r="D8237" s="18">
        <v>2022</v>
      </c>
      <c r="E8237" s="18" t="s">
        <v>0</v>
      </c>
      <c r="F8237" s="42">
        <v>1</v>
      </c>
      <c r="G8237" s="4">
        <v>10</v>
      </c>
      <c r="H8237" s="18">
        <v>54.257840000000002</v>
      </c>
    </row>
    <row r="8238" spans="1:8" s="15" customFormat="1" ht="16.5" hidden="1" customHeight="1" outlineLevel="1" x14ac:dyDescent="0.25">
      <c r="A8238" s="18">
        <v>1092</v>
      </c>
      <c r="B8238" s="4" t="s">
        <v>250</v>
      </c>
      <c r="C8238" s="38" t="s">
        <v>6948</v>
      </c>
      <c r="D8238" s="18">
        <v>2022</v>
      </c>
      <c r="E8238" s="18" t="s">
        <v>0</v>
      </c>
      <c r="F8238" s="42">
        <v>1</v>
      </c>
      <c r="G8238" s="4">
        <v>15</v>
      </c>
      <c r="H8238" s="18">
        <v>97.881889999999999</v>
      </c>
    </row>
    <row r="8239" spans="1:8" s="15" customFormat="1" ht="16.5" hidden="1" customHeight="1" outlineLevel="1" x14ac:dyDescent="0.25">
      <c r="A8239" s="18">
        <v>1214</v>
      </c>
      <c r="B8239" s="4" t="s">
        <v>250</v>
      </c>
      <c r="C8239" s="38" t="s">
        <v>6949</v>
      </c>
      <c r="D8239" s="18">
        <v>2022</v>
      </c>
      <c r="E8239" s="18" t="s">
        <v>0</v>
      </c>
      <c r="F8239" s="42">
        <v>1</v>
      </c>
      <c r="G8239" s="4">
        <v>5</v>
      </c>
      <c r="H8239" s="18">
        <v>81.462370000000007</v>
      </c>
    </row>
    <row r="8240" spans="1:8" s="15" customFormat="1" ht="16.5" hidden="1" customHeight="1" outlineLevel="1" x14ac:dyDescent="0.25">
      <c r="A8240" s="18">
        <v>1302</v>
      </c>
      <c r="B8240" s="4" t="s">
        <v>250</v>
      </c>
      <c r="C8240" s="38" t="s">
        <v>6950</v>
      </c>
      <c r="D8240" s="18">
        <v>2022</v>
      </c>
      <c r="E8240" s="18" t="s">
        <v>0</v>
      </c>
      <c r="F8240" s="42">
        <v>1</v>
      </c>
      <c r="G8240" s="4">
        <v>15</v>
      </c>
      <c r="H8240" s="18">
        <v>80.935910000000007</v>
      </c>
    </row>
    <row r="8241" spans="1:8" s="15" customFormat="1" ht="16.5" hidden="1" customHeight="1" outlineLevel="1" x14ac:dyDescent="0.25">
      <c r="A8241" s="18">
        <v>1377</v>
      </c>
      <c r="B8241" s="4" t="s">
        <v>250</v>
      </c>
      <c r="C8241" s="38" t="s">
        <v>6951</v>
      </c>
      <c r="D8241" s="18">
        <v>2022</v>
      </c>
      <c r="E8241" s="18" t="s">
        <v>0</v>
      </c>
      <c r="F8241" s="42">
        <v>1</v>
      </c>
      <c r="G8241" s="4">
        <v>15</v>
      </c>
      <c r="H8241" s="18">
        <v>78.586110000000005</v>
      </c>
    </row>
    <row r="8242" spans="1:8" s="15" customFormat="1" ht="16.5" hidden="1" customHeight="1" outlineLevel="1" x14ac:dyDescent="0.25">
      <c r="A8242" s="18">
        <v>1382</v>
      </c>
      <c r="B8242" s="4" t="s">
        <v>250</v>
      </c>
      <c r="C8242" s="38" t="s">
        <v>6952</v>
      </c>
      <c r="D8242" s="18">
        <v>2022</v>
      </c>
      <c r="E8242" s="18" t="s">
        <v>0</v>
      </c>
      <c r="F8242" s="42">
        <v>1</v>
      </c>
      <c r="G8242" s="4">
        <v>15</v>
      </c>
      <c r="H8242" s="18">
        <v>78.673060000000007</v>
      </c>
    </row>
    <row r="8243" spans="1:8" s="15" customFormat="1" ht="16.5" hidden="1" customHeight="1" outlineLevel="1" x14ac:dyDescent="0.25">
      <c r="A8243" s="18">
        <v>1414</v>
      </c>
      <c r="B8243" s="4" t="s">
        <v>250</v>
      </c>
      <c r="C8243" s="38" t="s">
        <v>6953</v>
      </c>
      <c r="D8243" s="18">
        <v>2022</v>
      </c>
      <c r="E8243" s="18" t="s">
        <v>0</v>
      </c>
      <c r="F8243" s="42">
        <v>1</v>
      </c>
      <c r="G8243" s="4">
        <v>15</v>
      </c>
      <c r="H8243" s="18">
        <v>81.501260000000002</v>
      </c>
    </row>
    <row r="8244" spans="1:8" s="15" customFormat="1" ht="16.5" hidden="1" customHeight="1" outlineLevel="1" x14ac:dyDescent="0.25">
      <c r="A8244" s="18">
        <v>1411</v>
      </c>
      <c r="B8244" s="4" t="s">
        <v>250</v>
      </c>
      <c r="C8244" s="38" t="s">
        <v>6954</v>
      </c>
      <c r="D8244" s="18">
        <v>2022</v>
      </c>
      <c r="E8244" s="18" t="s">
        <v>0</v>
      </c>
      <c r="F8244" s="42">
        <v>1</v>
      </c>
      <c r="G8244" s="4">
        <v>15</v>
      </c>
      <c r="H8244" s="18">
        <v>84.287409999999994</v>
      </c>
    </row>
    <row r="8245" spans="1:8" s="15" customFormat="1" ht="16.5" hidden="1" customHeight="1" outlineLevel="1" x14ac:dyDescent="0.25">
      <c r="A8245" s="18">
        <v>1455</v>
      </c>
      <c r="B8245" s="4" t="s">
        <v>250</v>
      </c>
      <c r="C8245" s="38" t="s">
        <v>6955</v>
      </c>
      <c r="D8245" s="18">
        <v>2022</v>
      </c>
      <c r="E8245" s="18" t="s">
        <v>0</v>
      </c>
      <c r="F8245" s="42">
        <v>1</v>
      </c>
      <c r="G8245" s="4">
        <v>15</v>
      </c>
      <c r="H8245" s="18">
        <v>86.227609999999999</v>
      </c>
    </row>
    <row r="8246" spans="1:8" s="15" customFormat="1" ht="16.5" hidden="1" customHeight="1" outlineLevel="1" x14ac:dyDescent="0.25">
      <c r="A8246" s="18">
        <v>1473</v>
      </c>
      <c r="B8246" s="4" t="s">
        <v>250</v>
      </c>
      <c r="C8246" s="38" t="s">
        <v>6956</v>
      </c>
      <c r="D8246" s="18">
        <v>2022</v>
      </c>
      <c r="E8246" s="18" t="s">
        <v>0</v>
      </c>
      <c r="F8246" s="42">
        <v>1</v>
      </c>
      <c r="G8246" s="4">
        <v>15</v>
      </c>
      <c r="H8246" s="18">
        <v>86.207790000000003</v>
      </c>
    </row>
    <row r="8247" spans="1:8" s="15" customFormat="1" ht="16.5" hidden="1" customHeight="1" outlineLevel="1" x14ac:dyDescent="0.25">
      <c r="A8247" s="18">
        <v>1476</v>
      </c>
      <c r="B8247" s="4" t="s">
        <v>250</v>
      </c>
      <c r="C8247" s="38" t="s">
        <v>6957</v>
      </c>
      <c r="D8247" s="18">
        <v>2022</v>
      </c>
      <c r="E8247" s="18" t="s">
        <v>0</v>
      </c>
      <c r="F8247" s="42">
        <v>1</v>
      </c>
      <c r="G8247" s="4">
        <v>15</v>
      </c>
      <c r="H8247" s="18">
        <v>86.479950000000002</v>
      </c>
    </row>
    <row r="8248" spans="1:8" s="15" customFormat="1" ht="16.5" hidden="1" customHeight="1" outlineLevel="1" x14ac:dyDescent="0.25">
      <c r="A8248" s="18">
        <v>1137</v>
      </c>
      <c r="B8248" s="4" t="s">
        <v>250</v>
      </c>
      <c r="C8248" s="38" t="s">
        <v>6958</v>
      </c>
      <c r="D8248" s="18">
        <v>2022</v>
      </c>
      <c r="E8248" s="18" t="s">
        <v>0</v>
      </c>
      <c r="F8248" s="42">
        <v>1</v>
      </c>
      <c r="G8248" s="4">
        <v>15</v>
      </c>
      <c r="H8248" s="18">
        <v>80.540080000000003</v>
      </c>
    </row>
    <row r="8249" spans="1:8" s="15" customFormat="1" ht="16.5" hidden="1" customHeight="1" outlineLevel="1" x14ac:dyDescent="0.25">
      <c r="A8249" s="18">
        <v>1255</v>
      </c>
      <c r="B8249" s="4" t="s">
        <v>250</v>
      </c>
      <c r="C8249" s="38" t="s">
        <v>6959</v>
      </c>
      <c r="D8249" s="18">
        <v>2022</v>
      </c>
      <c r="E8249" s="18" t="s">
        <v>0</v>
      </c>
      <c r="F8249" s="42">
        <v>1</v>
      </c>
      <c r="G8249" s="4">
        <v>15</v>
      </c>
      <c r="H8249" s="18">
        <v>81.526499999999999</v>
      </c>
    </row>
    <row r="8250" spans="1:8" s="15" customFormat="1" ht="16.5" hidden="1" customHeight="1" outlineLevel="1" x14ac:dyDescent="0.25">
      <c r="A8250" s="18">
        <v>1256</v>
      </c>
      <c r="B8250" s="4" t="s">
        <v>250</v>
      </c>
      <c r="C8250" s="38" t="s">
        <v>6960</v>
      </c>
      <c r="D8250" s="18">
        <v>2022</v>
      </c>
      <c r="E8250" s="18" t="s">
        <v>0</v>
      </c>
      <c r="F8250" s="42">
        <v>1</v>
      </c>
      <c r="G8250" s="4">
        <v>15</v>
      </c>
      <c r="H8250" s="18">
        <v>85.061710000000005</v>
      </c>
    </row>
    <row r="8251" spans="1:8" s="15" customFormat="1" ht="16.5" hidden="1" customHeight="1" outlineLevel="1" x14ac:dyDescent="0.25">
      <c r="A8251" s="18">
        <v>1283</v>
      </c>
      <c r="B8251" s="4" t="s">
        <v>250</v>
      </c>
      <c r="C8251" s="38" t="s">
        <v>6961</v>
      </c>
      <c r="D8251" s="18">
        <v>2022</v>
      </c>
      <c r="E8251" s="18" t="s">
        <v>0</v>
      </c>
      <c r="F8251" s="42">
        <v>1</v>
      </c>
      <c r="G8251" s="4">
        <v>15</v>
      </c>
      <c r="H8251" s="18">
        <v>85.193719999999999</v>
      </c>
    </row>
    <row r="8252" spans="1:8" s="15" customFormat="1" ht="16.5" hidden="1" customHeight="1" outlineLevel="1" x14ac:dyDescent="0.25">
      <c r="A8252" s="18">
        <v>1342</v>
      </c>
      <c r="B8252" s="4" t="s">
        <v>250</v>
      </c>
      <c r="C8252" s="38" t="s">
        <v>6962</v>
      </c>
      <c r="D8252" s="18">
        <v>2022</v>
      </c>
      <c r="E8252" s="18" t="s">
        <v>0</v>
      </c>
      <c r="F8252" s="42">
        <v>1</v>
      </c>
      <c r="G8252" s="4">
        <v>15</v>
      </c>
      <c r="H8252" s="18">
        <v>80.760549999999995</v>
      </c>
    </row>
    <row r="8253" spans="1:8" s="15" customFormat="1" ht="16.5" hidden="1" customHeight="1" outlineLevel="1" x14ac:dyDescent="0.25">
      <c r="A8253" s="18">
        <v>1381</v>
      </c>
      <c r="B8253" s="4" t="s">
        <v>250</v>
      </c>
      <c r="C8253" s="38" t="s">
        <v>6963</v>
      </c>
      <c r="D8253" s="18">
        <v>2022</v>
      </c>
      <c r="E8253" s="18" t="s">
        <v>0</v>
      </c>
      <c r="F8253" s="42">
        <v>1</v>
      </c>
      <c r="G8253" s="4">
        <v>15</v>
      </c>
      <c r="H8253" s="18">
        <v>78.673069999999996</v>
      </c>
    </row>
    <row r="8254" spans="1:8" s="15" customFormat="1" ht="16.5" hidden="1" customHeight="1" outlineLevel="1" x14ac:dyDescent="0.25">
      <c r="A8254" s="18">
        <v>1487</v>
      </c>
      <c r="B8254" s="4" t="s">
        <v>250</v>
      </c>
      <c r="C8254" s="38" t="s">
        <v>3950</v>
      </c>
      <c r="D8254" s="18">
        <v>2022</v>
      </c>
      <c r="E8254" s="18" t="s">
        <v>0</v>
      </c>
      <c r="F8254" s="42">
        <v>1</v>
      </c>
      <c r="G8254" s="4">
        <v>150</v>
      </c>
      <c r="H8254" s="18">
        <v>44.125349999999997</v>
      </c>
    </row>
    <row r="8255" spans="1:8" s="15" customFormat="1" ht="16.5" hidden="1" customHeight="1" outlineLevel="1" x14ac:dyDescent="0.25">
      <c r="A8255" s="18">
        <v>1486</v>
      </c>
      <c r="B8255" s="4" t="s">
        <v>250</v>
      </c>
      <c r="C8255" s="38" t="s">
        <v>4016</v>
      </c>
      <c r="D8255" s="18">
        <v>2022</v>
      </c>
      <c r="E8255" s="18" t="s">
        <v>0</v>
      </c>
      <c r="F8255" s="42">
        <v>1</v>
      </c>
      <c r="G8255" s="4">
        <v>40</v>
      </c>
      <c r="H8255" s="18">
        <v>157.52896000000001</v>
      </c>
    </row>
    <row r="8256" spans="1:8" s="15" customFormat="1" ht="16.5" hidden="1" customHeight="1" outlineLevel="1" x14ac:dyDescent="0.25">
      <c r="A8256" s="18">
        <v>1547</v>
      </c>
      <c r="B8256" s="4" t="s">
        <v>250</v>
      </c>
      <c r="C8256" s="38" t="s">
        <v>3367</v>
      </c>
      <c r="D8256" s="18">
        <v>2022</v>
      </c>
      <c r="E8256" s="18" t="s">
        <v>0</v>
      </c>
      <c r="F8256" s="42">
        <v>4</v>
      </c>
      <c r="G8256" s="4">
        <v>52</v>
      </c>
      <c r="H8256" s="18">
        <v>137.0154</v>
      </c>
    </row>
    <row r="8257" spans="1:8" s="15" customFormat="1" ht="16.5" hidden="1" customHeight="1" outlineLevel="1" x14ac:dyDescent="0.25">
      <c r="A8257" s="18">
        <v>1206</v>
      </c>
      <c r="B8257" s="4" t="s">
        <v>250</v>
      </c>
      <c r="C8257" s="38" t="s">
        <v>3951</v>
      </c>
      <c r="D8257" s="18">
        <v>2022</v>
      </c>
      <c r="E8257" s="18" t="s">
        <v>0</v>
      </c>
      <c r="F8257" s="42">
        <v>1</v>
      </c>
      <c r="G8257" s="4">
        <v>150</v>
      </c>
      <c r="H8257" s="18">
        <v>27.545380000000002</v>
      </c>
    </row>
    <row r="8258" spans="1:8" s="15" customFormat="1" ht="16.5" hidden="1" customHeight="1" outlineLevel="1" x14ac:dyDescent="0.25">
      <c r="A8258" s="18">
        <v>1065</v>
      </c>
      <c r="B8258" s="4" t="s">
        <v>250</v>
      </c>
      <c r="C8258" s="38" t="s">
        <v>6964</v>
      </c>
      <c r="D8258" s="18">
        <v>2022</v>
      </c>
      <c r="E8258" s="18" t="s">
        <v>0</v>
      </c>
      <c r="F8258" s="42">
        <v>1</v>
      </c>
      <c r="G8258" s="4">
        <v>15</v>
      </c>
      <c r="H8258" s="18">
        <v>62.319769999999998</v>
      </c>
    </row>
    <row r="8259" spans="1:8" s="15" customFormat="1" ht="16.5" hidden="1" customHeight="1" outlineLevel="1" x14ac:dyDescent="0.25">
      <c r="A8259" s="18">
        <v>1087</v>
      </c>
      <c r="B8259" s="4" t="s">
        <v>250</v>
      </c>
      <c r="C8259" s="38" t="s">
        <v>6965</v>
      </c>
      <c r="D8259" s="18">
        <v>2022</v>
      </c>
      <c r="E8259" s="18" t="s">
        <v>0</v>
      </c>
      <c r="F8259" s="42">
        <v>2</v>
      </c>
      <c r="G8259" s="4">
        <v>30</v>
      </c>
      <c r="H8259" s="18">
        <v>95.923919999999995</v>
      </c>
    </row>
    <row r="8260" spans="1:8" s="15" customFormat="1" ht="16.5" hidden="1" customHeight="1" outlineLevel="1" x14ac:dyDescent="0.25">
      <c r="A8260" s="18">
        <v>1067</v>
      </c>
      <c r="B8260" s="4" t="s">
        <v>250</v>
      </c>
      <c r="C8260" s="38" t="s">
        <v>5109</v>
      </c>
      <c r="D8260" s="18">
        <v>2022</v>
      </c>
      <c r="E8260" s="18" t="s">
        <v>0</v>
      </c>
      <c r="F8260" s="42">
        <v>3</v>
      </c>
      <c r="G8260" s="4">
        <v>50</v>
      </c>
      <c r="H8260" s="18">
        <v>132.68106</v>
      </c>
    </row>
    <row r="8261" spans="1:8" s="15" customFormat="1" ht="16.5" hidden="1" customHeight="1" outlineLevel="1" x14ac:dyDescent="0.25">
      <c r="A8261" s="18">
        <v>1479</v>
      </c>
      <c r="B8261" s="4" t="s">
        <v>250</v>
      </c>
      <c r="C8261" s="38" t="s">
        <v>6966</v>
      </c>
      <c r="D8261" s="18">
        <v>2022</v>
      </c>
      <c r="E8261" s="18" t="s">
        <v>0</v>
      </c>
      <c r="F8261" s="42">
        <v>1</v>
      </c>
      <c r="G8261" s="4">
        <v>15</v>
      </c>
      <c r="H8261" s="18">
        <v>83.002189999999999</v>
      </c>
    </row>
    <row r="8262" spans="1:8" s="15" customFormat="1" ht="16.5" hidden="1" customHeight="1" outlineLevel="1" x14ac:dyDescent="0.25">
      <c r="A8262" s="18">
        <v>1358</v>
      </c>
      <c r="B8262" s="4" t="s">
        <v>250</v>
      </c>
      <c r="C8262" s="38" t="s">
        <v>3371</v>
      </c>
      <c r="D8262" s="18">
        <v>2022</v>
      </c>
      <c r="E8262" s="18" t="s">
        <v>0</v>
      </c>
      <c r="F8262" s="42">
        <v>1</v>
      </c>
      <c r="G8262" s="4">
        <v>15</v>
      </c>
      <c r="H8262" s="18">
        <v>65.968590000000006</v>
      </c>
    </row>
    <row r="8263" spans="1:8" s="15" customFormat="1" ht="16.5" hidden="1" customHeight="1" outlineLevel="1" x14ac:dyDescent="0.25">
      <c r="A8263" s="18">
        <v>1536</v>
      </c>
      <c r="B8263" s="4" t="s">
        <v>250</v>
      </c>
      <c r="C8263" s="38" t="s">
        <v>6967</v>
      </c>
      <c r="D8263" s="18">
        <v>2022</v>
      </c>
      <c r="E8263" s="18" t="s">
        <v>0</v>
      </c>
      <c r="F8263" s="42">
        <v>1</v>
      </c>
      <c r="G8263" s="4">
        <v>15</v>
      </c>
      <c r="H8263" s="18">
        <v>88.14631</v>
      </c>
    </row>
    <row r="8264" spans="1:8" s="15" customFormat="1" ht="16.5" hidden="1" customHeight="1" outlineLevel="1" x14ac:dyDescent="0.25">
      <c r="A8264" s="18">
        <v>1521</v>
      </c>
      <c r="B8264" s="4" t="s">
        <v>250</v>
      </c>
      <c r="C8264" s="38" t="s">
        <v>6968</v>
      </c>
      <c r="D8264" s="18">
        <v>2022</v>
      </c>
      <c r="E8264" s="18" t="s">
        <v>0</v>
      </c>
      <c r="F8264" s="42">
        <v>1</v>
      </c>
      <c r="G8264" s="4">
        <v>15</v>
      </c>
      <c r="H8264" s="18">
        <v>90.682079999999999</v>
      </c>
    </row>
    <row r="8265" spans="1:8" s="15" customFormat="1" ht="16.5" hidden="1" customHeight="1" outlineLevel="1" x14ac:dyDescent="0.25">
      <c r="A8265" s="18">
        <v>1475</v>
      </c>
      <c r="B8265" s="4" t="s">
        <v>250</v>
      </c>
      <c r="C8265" s="38" t="s">
        <v>6969</v>
      </c>
      <c r="D8265" s="18">
        <v>2022</v>
      </c>
      <c r="E8265" s="18" t="s">
        <v>0</v>
      </c>
      <c r="F8265" s="42">
        <v>1</v>
      </c>
      <c r="G8265" s="4">
        <v>15</v>
      </c>
      <c r="H8265" s="18">
        <v>90.342820000000003</v>
      </c>
    </row>
    <row r="8266" spans="1:8" s="15" customFormat="1" ht="16.5" hidden="1" customHeight="1" outlineLevel="1" x14ac:dyDescent="0.25">
      <c r="A8266" s="18">
        <v>1221</v>
      </c>
      <c r="B8266" s="4" t="s">
        <v>250</v>
      </c>
      <c r="C8266" s="38" t="s">
        <v>3372</v>
      </c>
      <c r="D8266" s="18">
        <v>2022</v>
      </c>
      <c r="E8266" s="18" t="s">
        <v>0</v>
      </c>
      <c r="F8266" s="42">
        <v>1</v>
      </c>
      <c r="G8266" s="4">
        <v>15</v>
      </c>
      <c r="H8266" s="18">
        <v>74.334599999999995</v>
      </c>
    </row>
    <row r="8267" spans="1:8" s="15" customFormat="1" ht="16.5" hidden="1" customHeight="1" outlineLevel="1" x14ac:dyDescent="0.25">
      <c r="A8267" s="18">
        <v>1195</v>
      </c>
      <c r="B8267" s="4" t="s">
        <v>250</v>
      </c>
      <c r="C8267" s="38" t="s">
        <v>3373</v>
      </c>
      <c r="D8267" s="18">
        <v>2022</v>
      </c>
      <c r="E8267" s="18" t="s">
        <v>0</v>
      </c>
      <c r="F8267" s="42">
        <v>1</v>
      </c>
      <c r="G8267" s="4">
        <v>15</v>
      </c>
      <c r="H8267" s="18">
        <v>49.187600000000003</v>
      </c>
    </row>
    <row r="8268" spans="1:8" s="15" customFormat="1" ht="16.5" hidden="1" customHeight="1" outlineLevel="1" x14ac:dyDescent="0.25">
      <c r="A8268" s="18">
        <v>1456</v>
      </c>
      <c r="B8268" s="4" t="s">
        <v>250</v>
      </c>
      <c r="C8268" s="38" t="s">
        <v>6970</v>
      </c>
      <c r="D8268" s="18">
        <v>2022</v>
      </c>
      <c r="E8268" s="18" t="s">
        <v>0</v>
      </c>
      <c r="F8268" s="42">
        <v>1</v>
      </c>
      <c r="G8268" s="4">
        <v>15</v>
      </c>
      <c r="H8268" s="18">
        <v>86.996020000000001</v>
      </c>
    </row>
    <row r="8269" spans="1:8" s="15" customFormat="1" ht="16.5" hidden="1" customHeight="1" outlineLevel="1" x14ac:dyDescent="0.25">
      <c r="A8269" s="18">
        <v>1506</v>
      </c>
      <c r="B8269" s="4" t="s">
        <v>250</v>
      </c>
      <c r="C8269" s="38" t="s">
        <v>6971</v>
      </c>
      <c r="D8269" s="18">
        <v>2022</v>
      </c>
      <c r="E8269" s="18" t="s">
        <v>0</v>
      </c>
      <c r="F8269" s="42">
        <v>1</v>
      </c>
      <c r="G8269" s="4">
        <v>15</v>
      </c>
      <c r="H8269" s="18">
        <v>85.170680000000004</v>
      </c>
    </row>
    <row r="8270" spans="1:8" s="15" customFormat="1" ht="16.5" hidden="1" customHeight="1" outlineLevel="1" x14ac:dyDescent="0.25">
      <c r="A8270" s="18">
        <v>1459</v>
      </c>
      <c r="B8270" s="4" t="s">
        <v>250</v>
      </c>
      <c r="C8270" s="38" t="s">
        <v>6972</v>
      </c>
      <c r="D8270" s="18">
        <v>2022</v>
      </c>
      <c r="E8270" s="18" t="s">
        <v>0</v>
      </c>
      <c r="F8270" s="42">
        <v>1</v>
      </c>
      <c r="G8270" s="4">
        <v>15</v>
      </c>
      <c r="H8270" s="18">
        <v>85.073089999999993</v>
      </c>
    </row>
    <row r="8271" spans="1:8" s="15" customFormat="1" ht="16.5" hidden="1" customHeight="1" outlineLevel="1" x14ac:dyDescent="0.25">
      <c r="A8271" s="18">
        <v>1503</v>
      </c>
      <c r="B8271" s="4" t="s">
        <v>250</v>
      </c>
      <c r="C8271" s="38" t="s">
        <v>6973</v>
      </c>
      <c r="D8271" s="18">
        <v>2022</v>
      </c>
      <c r="E8271" s="18" t="s">
        <v>0</v>
      </c>
      <c r="F8271" s="42">
        <v>1</v>
      </c>
      <c r="G8271" s="4">
        <v>14</v>
      </c>
      <c r="H8271" s="18">
        <v>86.879540000000006</v>
      </c>
    </row>
    <row r="8272" spans="1:8" s="15" customFormat="1" ht="16.5" hidden="1" customHeight="1" outlineLevel="1" x14ac:dyDescent="0.25">
      <c r="A8272" s="18">
        <v>1504</v>
      </c>
      <c r="B8272" s="4" t="s">
        <v>250</v>
      </c>
      <c r="C8272" s="38" t="s">
        <v>6974</v>
      </c>
      <c r="D8272" s="18">
        <v>2022</v>
      </c>
      <c r="E8272" s="18" t="s">
        <v>0</v>
      </c>
      <c r="F8272" s="42">
        <v>1</v>
      </c>
      <c r="G8272" s="4">
        <v>14</v>
      </c>
      <c r="H8272" s="18">
        <v>86.847430000000003</v>
      </c>
    </row>
    <row r="8273" spans="1:8" s="15" customFormat="1" ht="16.5" hidden="1" customHeight="1" outlineLevel="1" x14ac:dyDescent="0.25">
      <c r="A8273" s="18">
        <v>1134</v>
      </c>
      <c r="B8273" s="4" t="s">
        <v>250</v>
      </c>
      <c r="C8273" s="38" t="s">
        <v>6975</v>
      </c>
      <c r="D8273" s="18">
        <v>2022</v>
      </c>
      <c r="E8273" s="18" t="s">
        <v>0</v>
      </c>
      <c r="F8273" s="42">
        <v>1</v>
      </c>
      <c r="G8273" s="4">
        <v>15</v>
      </c>
      <c r="H8273" s="18">
        <v>26.882750000000001</v>
      </c>
    </row>
    <row r="8274" spans="1:8" s="15" customFormat="1" ht="16.5" hidden="1" customHeight="1" outlineLevel="1" x14ac:dyDescent="0.25">
      <c r="A8274" s="18">
        <v>1159</v>
      </c>
      <c r="B8274" s="4" t="s">
        <v>250</v>
      </c>
      <c r="C8274" s="38" t="s">
        <v>6976</v>
      </c>
      <c r="D8274" s="18">
        <v>2022</v>
      </c>
      <c r="E8274" s="18" t="s">
        <v>0</v>
      </c>
      <c r="F8274" s="42">
        <v>1</v>
      </c>
      <c r="G8274" s="4">
        <v>15</v>
      </c>
      <c r="H8274" s="18">
        <v>36.490160000000003</v>
      </c>
    </row>
    <row r="8275" spans="1:8" s="15" customFormat="1" ht="16.5" hidden="1" customHeight="1" outlineLevel="1" x14ac:dyDescent="0.25">
      <c r="A8275" s="18">
        <v>1269</v>
      </c>
      <c r="B8275" s="4" t="s">
        <v>250</v>
      </c>
      <c r="C8275" s="38" t="s">
        <v>6977</v>
      </c>
      <c r="D8275" s="18">
        <v>2022</v>
      </c>
      <c r="E8275" s="18" t="s">
        <v>0</v>
      </c>
      <c r="F8275" s="42">
        <v>1</v>
      </c>
      <c r="G8275" s="4">
        <v>15</v>
      </c>
      <c r="H8275" s="18">
        <v>34.019820000000003</v>
      </c>
    </row>
    <row r="8276" spans="1:8" s="15" customFormat="1" ht="16.5" hidden="1" customHeight="1" outlineLevel="1" x14ac:dyDescent="0.25">
      <c r="A8276" s="18">
        <v>1175</v>
      </c>
      <c r="B8276" s="4" t="s">
        <v>250</v>
      </c>
      <c r="C8276" s="38" t="s">
        <v>6978</v>
      </c>
      <c r="D8276" s="18">
        <v>2022</v>
      </c>
      <c r="E8276" s="18" t="s">
        <v>0</v>
      </c>
      <c r="F8276" s="42">
        <v>1</v>
      </c>
      <c r="G8276" s="4">
        <v>15</v>
      </c>
      <c r="H8276" s="18">
        <v>36.645710000000001</v>
      </c>
    </row>
    <row r="8277" spans="1:8" s="15" customFormat="1" ht="16.5" hidden="1" customHeight="1" outlineLevel="1" x14ac:dyDescent="0.25">
      <c r="A8277" s="18">
        <v>1339</v>
      </c>
      <c r="B8277" s="4" t="s">
        <v>250</v>
      </c>
      <c r="C8277" s="38" t="s">
        <v>6979</v>
      </c>
      <c r="D8277" s="18">
        <v>2022</v>
      </c>
      <c r="E8277" s="18" t="s">
        <v>0</v>
      </c>
      <c r="F8277" s="42">
        <v>1</v>
      </c>
      <c r="G8277" s="4">
        <v>15</v>
      </c>
      <c r="H8277" s="18">
        <v>34.73583</v>
      </c>
    </row>
    <row r="8278" spans="1:8" s="15" customFormat="1" ht="16.5" hidden="1" customHeight="1" outlineLevel="1" x14ac:dyDescent="0.25">
      <c r="A8278" s="18">
        <v>1379</v>
      </c>
      <c r="B8278" s="4" t="s">
        <v>250</v>
      </c>
      <c r="C8278" s="38" t="s">
        <v>6980</v>
      </c>
      <c r="D8278" s="18">
        <v>2022</v>
      </c>
      <c r="E8278" s="18" t="s">
        <v>0</v>
      </c>
      <c r="F8278" s="42">
        <v>1</v>
      </c>
      <c r="G8278" s="4">
        <v>15</v>
      </c>
      <c r="H8278" s="18">
        <v>38.084859999999999</v>
      </c>
    </row>
    <row r="8279" spans="1:8" s="15" customFormat="1" ht="16.5" hidden="1" customHeight="1" outlineLevel="1" x14ac:dyDescent="0.25">
      <c r="A8279" s="18">
        <v>1380</v>
      </c>
      <c r="B8279" s="4" t="s">
        <v>250</v>
      </c>
      <c r="C8279" s="38" t="s">
        <v>6981</v>
      </c>
      <c r="D8279" s="18">
        <v>2022</v>
      </c>
      <c r="E8279" s="18" t="s">
        <v>0</v>
      </c>
      <c r="F8279" s="42">
        <v>1</v>
      </c>
      <c r="G8279" s="4">
        <v>15</v>
      </c>
      <c r="H8279" s="18">
        <v>33.371780000000001</v>
      </c>
    </row>
    <row r="8280" spans="1:8" s="15" customFormat="1" ht="16.5" hidden="1" customHeight="1" outlineLevel="1" x14ac:dyDescent="0.25">
      <c r="A8280" s="18">
        <v>1436</v>
      </c>
      <c r="B8280" s="4" t="s">
        <v>250</v>
      </c>
      <c r="C8280" s="38" t="s">
        <v>6982</v>
      </c>
      <c r="D8280" s="18">
        <v>2022</v>
      </c>
      <c r="E8280" s="18" t="s">
        <v>0</v>
      </c>
      <c r="F8280" s="42">
        <v>1</v>
      </c>
      <c r="G8280" s="4">
        <v>15</v>
      </c>
      <c r="H8280" s="18">
        <v>38.202109999999998</v>
      </c>
    </row>
    <row r="8281" spans="1:8" s="15" customFormat="1" ht="16.5" hidden="1" customHeight="1" outlineLevel="1" x14ac:dyDescent="0.25">
      <c r="A8281" s="18">
        <v>1528</v>
      </c>
      <c r="B8281" s="4" t="s">
        <v>250</v>
      </c>
      <c r="C8281" s="38" t="s">
        <v>6983</v>
      </c>
      <c r="D8281" s="18">
        <v>2022</v>
      </c>
      <c r="E8281" s="18" t="s">
        <v>0</v>
      </c>
      <c r="F8281" s="42">
        <v>1</v>
      </c>
      <c r="G8281" s="4">
        <v>7</v>
      </c>
      <c r="H8281" s="18">
        <v>29.749590000000001</v>
      </c>
    </row>
    <row r="8282" spans="1:8" s="15" customFormat="1" ht="16.5" hidden="1" customHeight="1" outlineLevel="1" x14ac:dyDescent="0.25">
      <c r="A8282" s="18">
        <v>1533</v>
      </c>
      <c r="B8282" s="4" t="s">
        <v>250</v>
      </c>
      <c r="C8282" s="38" t="s">
        <v>6984</v>
      </c>
      <c r="D8282" s="18">
        <v>2022</v>
      </c>
      <c r="E8282" s="18" t="s">
        <v>0</v>
      </c>
      <c r="F8282" s="42">
        <v>1</v>
      </c>
      <c r="G8282" s="4">
        <v>15</v>
      </c>
      <c r="H8282" s="18">
        <v>40.349409999999999</v>
      </c>
    </row>
    <row r="8283" spans="1:8" s="15" customFormat="1" ht="16.5" hidden="1" customHeight="1" outlineLevel="1" x14ac:dyDescent="0.25">
      <c r="A8283" s="18">
        <v>1316</v>
      </c>
      <c r="B8283" s="4" t="s">
        <v>250</v>
      </c>
      <c r="C8283" s="38" t="s">
        <v>3374</v>
      </c>
      <c r="D8283" s="18">
        <v>2022</v>
      </c>
      <c r="E8283" s="18" t="s">
        <v>0</v>
      </c>
      <c r="F8283" s="42">
        <v>1</v>
      </c>
      <c r="G8283" s="4">
        <v>50</v>
      </c>
      <c r="H8283" s="18">
        <v>43.117429999999999</v>
      </c>
    </row>
    <row r="8284" spans="1:8" s="15" customFormat="1" ht="16.5" hidden="1" customHeight="1" outlineLevel="1" x14ac:dyDescent="0.25">
      <c r="A8284" s="18">
        <v>1202</v>
      </c>
      <c r="B8284" s="4" t="s">
        <v>250</v>
      </c>
      <c r="C8284" s="38" t="s">
        <v>6985</v>
      </c>
      <c r="D8284" s="18">
        <v>2022</v>
      </c>
      <c r="E8284" s="18" t="s">
        <v>0</v>
      </c>
      <c r="F8284" s="42">
        <v>1</v>
      </c>
      <c r="G8284" s="4">
        <v>15</v>
      </c>
      <c r="H8284" s="18">
        <v>43.094119999999997</v>
      </c>
    </row>
    <row r="8285" spans="1:8" s="15" customFormat="1" ht="16.5" hidden="1" customHeight="1" outlineLevel="1" x14ac:dyDescent="0.25">
      <c r="A8285" s="18">
        <v>1292</v>
      </c>
      <c r="B8285" s="4" t="s">
        <v>250</v>
      </c>
      <c r="C8285" s="38" t="s">
        <v>6986</v>
      </c>
      <c r="D8285" s="18">
        <v>2022</v>
      </c>
      <c r="E8285" s="18" t="s">
        <v>0</v>
      </c>
      <c r="F8285" s="42">
        <v>1</v>
      </c>
      <c r="G8285" s="4">
        <v>15</v>
      </c>
      <c r="H8285" s="18">
        <v>48.123710000000003</v>
      </c>
    </row>
    <row r="8286" spans="1:8" s="15" customFormat="1" ht="16.5" hidden="1" customHeight="1" outlineLevel="1" x14ac:dyDescent="0.25">
      <c r="A8286" s="18">
        <v>1294</v>
      </c>
      <c r="B8286" s="4" t="s">
        <v>250</v>
      </c>
      <c r="C8286" s="38" t="s">
        <v>6987</v>
      </c>
      <c r="D8286" s="18">
        <v>2022</v>
      </c>
      <c r="E8286" s="18" t="s">
        <v>0</v>
      </c>
      <c r="F8286" s="42">
        <v>1</v>
      </c>
      <c r="G8286" s="4">
        <v>15</v>
      </c>
      <c r="H8286" s="18">
        <v>50.650030000000001</v>
      </c>
    </row>
    <row r="8287" spans="1:8" s="15" customFormat="1" ht="16.5" hidden="1" customHeight="1" outlineLevel="1" x14ac:dyDescent="0.25">
      <c r="A8287" s="18">
        <v>1295</v>
      </c>
      <c r="B8287" s="4" t="s">
        <v>250</v>
      </c>
      <c r="C8287" s="38" t="s">
        <v>6988</v>
      </c>
      <c r="D8287" s="18">
        <v>2022</v>
      </c>
      <c r="E8287" s="18" t="s">
        <v>0</v>
      </c>
      <c r="F8287" s="42">
        <v>1</v>
      </c>
      <c r="G8287" s="4">
        <v>15</v>
      </c>
      <c r="H8287" s="18">
        <v>48.205060000000003</v>
      </c>
    </row>
    <row r="8288" spans="1:8" s="15" customFormat="1" ht="16.5" hidden="1" customHeight="1" outlineLevel="1" x14ac:dyDescent="0.25">
      <c r="A8288" s="18">
        <v>1315</v>
      </c>
      <c r="B8288" s="4" t="s">
        <v>250</v>
      </c>
      <c r="C8288" s="38" t="s">
        <v>6989</v>
      </c>
      <c r="D8288" s="18">
        <v>2022</v>
      </c>
      <c r="E8288" s="18" t="s">
        <v>0</v>
      </c>
      <c r="F8288" s="42">
        <v>1</v>
      </c>
      <c r="G8288" s="4">
        <v>15</v>
      </c>
      <c r="H8288" s="18">
        <v>47.775539999999999</v>
      </c>
    </row>
    <row r="8289" spans="1:8" s="15" customFormat="1" ht="16.5" hidden="1" customHeight="1" outlineLevel="1" x14ac:dyDescent="0.25">
      <c r="A8289" s="18">
        <v>1364</v>
      </c>
      <c r="B8289" s="4" t="s">
        <v>250</v>
      </c>
      <c r="C8289" s="38" t="s">
        <v>6990</v>
      </c>
      <c r="D8289" s="18">
        <v>2022</v>
      </c>
      <c r="E8289" s="18" t="s">
        <v>0</v>
      </c>
      <c r="F8289" s="42">
        <v>1</v>
      </c>
      <c r="G8289" s="4">
        <v>35</v>
      </c>
      <c r="H8289" s="18">
        <v>48.490540000000003</v>
      </c>
    </row>
    <row r="8290" spans="1:8" s="15" customFormat="1" ht="16.5" hidden="1" customHeight="1" outlineLevel="1" x14ac:dyDescent="0.25">
      <c r="A8290" s="18">
        <v>1453</v>
      </c>
      <c r="B8290" s="4" t="s">
        <v>250</v>
      </c>
      <c r="C8290" s="38" t="s">
        <v>6991</v>
      </c>
      <c r="D8290" s="18">
        <v>2022</v>
      </c>
      <c r="E8290" s="18" t="s">
        <v>0</v>
      </c>
      <c r="F8290" s="42">
        <v>1</v>
      </c>
      <c r="G8290" s="4">
        <v>15</v>
      </c>
      <c r="H8290" s="18">
        <v>45.316180000000003</v>
      </c>
    </row>
    <row r="8291" spans="1:8" s="15" customFormat="1" ht="16.5" hidden="1" customHeight="1" outlineLevel="1" x14ac:dyDescent="0.25">
      <c r="A8291" s="18">
        <v>1484</v>
      </c>
      <c r="B8291" s="4" t="s">
        <v>250</v>
      </c>
      <c r="C8291" s="38" t="s">
        <v>6992</v>
      </c>
      <c r="D8291" s="18">
        <v>2022</v>
      </c>
      <c r="E8291" s="18" t="s">
        <v>0</v>
      </c>
      <c r="F8291" s="42">
        <v>1</v>
      </c>
      <c r="G8291" s="4">
        <v>15</v>
      </c>
      <c r="H8291" s="18">
        <v>53.510590000000001</v>
      </c>
    </row>
    <row r="8292" spans="1:8" s="15" customFormat="1" ht="16.5" hidden="1" customHeight="1" outlineLevel="1" x14ac:dyDescent="0.25">
      <c r="A8292" s="18">
        <v>1080</v>
      </c>
      <c r="B8292" s="4" t="s">
        <v>250</v>
      </c>
      <c r="C8292" s="38" t="s">
        <v>6993</v>
      </c>
      <c r="D8292" s="18">
        <v>2022</v>
      </c>
      <c r="E8292" s="18" t="s">
        <v>0</v>
      </c>
      <c r="F8292" s="42">
        <v>1</v>
      </c>
      <c r="G8292" s="4">
        <v>6</v>
      </c>
      <c r="H8292" s="18">
        <v>47.956159999999997</v>
      </c>
    </row>
    <row r="8293" spans="1:8" s="15" customFormat="1" ht="16.5" hidden="1" customHeight="1" outlineLevel="1" x14ac:dyDescent="0.25">
      <c r="A8293" s="18">
        <v>1207</v>
      </c>
      <c r="B8293" s="4" t="s">
        <v>250</v>
      </c>
      <c r="C8293" s="38" t="s">
        <v>6994</v>
      </c>
      <c r="D8293" s="18">
        <v>2022</v>
      </c>
      <c r="E8293" s="18" t="s">
        <v>0</v>
      </c>
      <c r="F8293" s="42">
        <v>1</v>
      </c>
      <c r="G8293" s="4">
        <v>15</v>
      </c>
      <c r="H8293" s="18">
        <v>44.824689999999997</v>
      </c>
    </row>
    <row r="8294" spans="1:8" s="15" customFormat="1" ht="16.5" hidden="1" customHeight="1" outlineLevel="1" x14ac:dyDescent="0.25">
      <c r="A8294" s="18">
        <v>1236</v>
      </c>
      <c r="B8294" s="4" t="s">
        <v>250</v>
      </c>
      <c r="C8294" s="38" t="s">
        <v>6995</v>
      </c>
      <c r="D8294" s="18">
        <v>2022</v>
      </c>
      <c r="E8294" s="18" t="s">
        <v>0</v>
      </c>
      <c r="F8294" s="42">
        <v>1</v>
      </c>
      <c r="G8294" s="4">
        <v>15</v>
      </c>
      <c r="H8294" s="18">
        <v>40.863199999999999</v>
      </c>
    </row>
    <row r="8295" spans="1:8" s="15" customFormat="1" ht="16.5" hidden="1" customHeight="1" outlineLevel="1" x14ac:dyDescent="0.25">
      <c r="A8295" s="18">
        <v>1275</v>
      </c>
      <c r="B8295" s="4" t="s">
        <v>250</v>
      </c>
      <c r="C8295" s="38" t="s">
        <v>6996</v>
      </c>
      <c r="D8295" s="18">
        <v>2022</v>
      </c>
      <c r="E8295" s="18" t="s">
        <v>0</v>
      </c>
      <c r="F8295" s="42">
        <v>1</v>
      </c>
      <c r="G8295" s="4">
        <v>15</v>
      </c>
      <c r="H8295" s="18">
        <v>43.507240000000003</v>
      </c>
    </row>
    <row r="8296" spans="1:8" s="15" customFormat="1" ht="16.5" hidden="1" customHeight="1" outlineLevel="1" x14ac:dyDescent="0.25">
      <c r="A8296" s="18">
        <v>1425</v>
      </c>
      <c r="B8296" s="4" t="s">
        <v>250</v>
      </c>
      <c r="C8296" s="38" t="s">
        <v>6997</v>
      </c>
      <c r="D8296" s="18">
        <v>2022</v>
      </c>
      <c r="E8296" s="18" t="s">
        <v>0</v>
      </c>
      <c r="F8296" s="42">
        <v>1</v>
      </c>
      <c r="G8296" s="4">
        <v>15</v>
      </c>
      <c r="H8296" s="18">
        <v>32.320010000000003</v>
      </c>
    </row>
    <row r="8297" spans="1:8" s="15" customFormat="1" ht="16.5" hidden="1" customHeight="1" outlineLevel="1" x14ac:dyDescent="0.25">
      <c r="A8297" s="18">
        <v>1493</v>
      </c>
      <c r="B8297" s="4" t="s">
        <v>250</v>
      </c>
      <c r="C8297" s="38" t="s">
        <v>6998</v>
      </c>
      <c r="D8297" s="18">
        <v>2022</v>
      </c>
      <c r="E8297" s="18" t="s">
        <v>0</v>
      </c>
      <c r="F8297" s="42">
        <v>1</v>
      </c>
      <c r="G8297" s="4">
        <v>15</v>
      </c>
      <c r="H8297" s="18">
        <v>35.636139999999997</v>
      </c>
    </row>
    <row r="8298" spans="1:8" s="15" customFormat="1" ht="16.5" hidden="1" customHeight="1" outlineLevel="1" x14ac:dyDescent="0.25">
      <c r="A8298" s="18">
        <v>1052</v>
      </c>
      <c r="B8298" s="4" t="s">
        <v>250</v>
      </c>
      <c r="C8298" s="38" t="s">
        <v>6999</v>
      </c>
      <c r="D8298" s="18">
        <v>2022</v>
      </c>
      <c r="E8298" s="18" t="s">
        <v>0</v>
      </c>
      <c r="F8298" s="42">
        <v>1</v>
      </c>
      <c r="G8298" s="4">
        <v>15</v>
      </c>
      <c r="H8298" s="18">
        <v>74.33511</v>
      </c>
    </row>
    <row r="8299" spans="1:8" s="15" customFormat="1" ht="16.5" hidden="1" customHeight="1" outlineLevel="1" x14ac:dyDescent="0.25">
      <c r="A8299" s="18">
        <v>1131</v>
      </c>
      <c r="B8299" s="4" t="s">
        <v>250</v>
      </c>
      <c r="C8299" s="38" t="s">
        <v>7000</v>
      </c>
      <c r="D8299" s="18">
        <v>2022</v>
      </c>
      <c r="E8299" s="18" t="s">
        <v>0</v>
      </c>
      <c r="F8299" s="42">
        <v>1</v>
      </c>
      <c r="G8299" s="4">
        <v>15</v>
      </c>
      <c r="H8299" s="18">
        <v>42.004069999999999</v>
      </c>
    </row>
    <row r="8300" spans="1:8" s="15" customFormat="1" ht="16.5" hidden="1" customHeight="1" outlineLevel="1" x14ac:dyDescent="0.25">
      <c r="A8300" s="18">
        <v>1146</v>
      </c>
      <c r="B8300" s="4" t="s">
        <v>250</v>
      </c>
      <c r="C8300" s="38" t="s">
        <v>7001</v>
      </c>
      <c r="D8300" s="18">
        <v>2022</v>
      </c>
      <c r="E8300" s="18" t="s">
        <v>0</v>
      </c>
      <c r="F8300" s="42">
        <v>1</v>
      </c>
      <c r="G8300" s="4">
        <v>15</v>
      </c>
      <c r="H8300" s="18">
        <v>52.71125</v>
      </c>
    </row>
    <row r="8301" spans="1:8" s="15" customFormat="1" ht="16.5" hidden="1" customHeight="1" outlineLevel="1" x14ac:dyDescent="0.25">
      <c r="A8301" s="18">
        <v>1149</v>
      </c>
      <c r="B8301" s="4" t="s">
        <v>250</v>
      </c>
      <c r="C8301" s="38" t="s">
        <v>7002</v>
      </c>
      <c r="D8301" s="18">
        <v>2022</v>
      </c>
      <c r="E8301" s="18" t="s">
        <v>0</v>
      </c>
      <c r="F8301" s="42">
        <v>1</v>
      </c>
      <c r="G8301" s="4">
        <v>15</v>
      </c>
      <c r="H8301" s="18">
        <v>48.982729999999997</v>
      </c>
    </row>
    <row r="8302" spans="1:8" s="15" customFormat="1" ht="16.5" hidden="1" customHeight="1" outlineLevel="1" x14ac:dyDescent="0.25">
      <c r="A8302" s="18">
        <v>1505</v>
      </c>
      <c r="B8302" s="4" t="s">
        <v>250</v>
      </c>
      <c r="C8302" s="38" t="s">
        <v>7003</v>
      </c>
      <c r="D8302" s="18">
        <v>2022</v>
      </c>
      <c r="E8302" s="18" t="s">
        <v>0</v>
      </c>
      <c r="F8302" s="42">
        <v>1</v>
      </c>
      <c r="G8302" s="4">
        <v>15</v>
      </c>
      <c r="H8302" s="18">
        <v>43.742100000000001</v>
      </c>
    </row>
    <row r="8303" spans="1:8" s="15" customFormat="1" ht="16.5" hidden="1" customHeight="1" outlineLevel="1" x14ac:dyDescent="0.25">
      <c r="A8303" s="18">
        <v>1500</v>
      </c>
      <c r="B8303" s="4" t="s">
        <v>250</v>
      </c>
      <c r="C8303" s="38" t="s">
        <v>7004</v>
      </c>
      <c r="D8303" s="18">
        <v>2022</v>
      </c>
      <c r="E8303" s="18" t="s">
        <v>0</v>
      </c>
      <c r="F8303" s="42">
        <v>1</v>
      </c>
      <c r="G8303" s="4">
        <v>15</v>
      </c>
      <c r="H8303" s="18">
        <v>24.801909999999999</v>
      </c>
    </row>
    <row r="8304" spans="1:8" s="15" customFormat="1" ht="16.5" hidden="1" customHeight="1" outlineLevel="1" x14ac:dyDescent="0.25">
      <c r="A8304" s="18">
        <v>1446</v>
      </c>
      <c r="B8304" s="4" t="s">
        <v>250</v>
      </c>
      <c r="C8304" s="38" t="s">
        <v>7005</v>
      </c>
      <c r="D8304" s="18">
        <v>2022</v>
      </c>
      <c r="E8304" s="18" t="s">
        <v>0</v>
      </c>
      <c r="F8304" s="42">
        <v>1</v>
      </c>
      <c r="G8304" s="4">
        <v>15</v>
      </c>
      <c r="H8304" s="18">
        <v>39.332250000000002</v>
      </c>
    </row>
    <row r="8305" spans="1:8" s="15" customFormat="1" ht="16.5" hidden="1" customHeight="1" outlineLevel="1" x14ac:dyDescent="0.25">
      <c r="A8305" s="18">
        <v>1142</v>
      </c>
      <c r="B8305" s="4" t="s">
        <v>250</v>
      </c>
      <c r="C8305" s="38" t="s">
        <v>7006</v>
      </c>
      <c r="D8305" s="18">
        <v>2022</v>
      </c>
      <c r="E8305" s="18" t="s">
        <v>0</v>
      </c>
      <c r="F8305" s="42">
        <v>1</v>
      </c>
      <c r="G8305" s="4">
        <v>15</v>
      </c>
      <c r="H8305" s="18">
        <v>38.592860000000002</v>
      </c>
    </row>
    <row r="8306" spans="1:8" s="15" customFormat="1" ht="16.5" hidden="1" customHeight="1" outlineLevel="1" x14ac:dyDescent="0.25">
      <c r="A8306" s="18">
        <v>1523</v>
      </c>
      <c r="B8306" s="4" t="s">
        <v>250</v>
      </c>
      <c r="C8306" s="38" t="s">
        <v>7007</v>
      </c>
      <c r="D8306" s="18">
        <v>2022</v>
      </c>
      <c r="E8306" s="18" t="s">
        <v>0</v>
      </c>
      <c r="F8306" s="42">
        <v>1</v>
      </c>
      <c r="G8306" s="4">
        <v>15</v>
      </c>
      <c r="H8306" s="18">
        <v>43.155459999999998</v>
      </c>
    </row>
    <row r="8307" spans="1:8" s="15" customFormat="1" ht="16.5" hidden="1" customHeight="1" outlineLevel="1" x14ac:dyDescent="0.25">
      <c r="A8307" s="18">
        <v>1125</v>
      </c>
      <c r="B8307" s="4" t="s">
        <v>250</v>
      </c>
      <c r="C8307" s="38" t="s">
        <v>7008</v>
      </c>
      <c r="D8307" s="18">
        <v>2022</v>
      </c>
      <c r="E8307" s="18" t="s">
        <v>0</v>
      </c>
      <c r="F8307" s="42">
        <v>2</v>
      </c>
      <c r="G8307" s="4">
        <v>30</v>
      </c>
      <c r="H8307" s="18">
        <v>116.72546</v>
      </c>
    </row>
    <row r="8308" spans="1:8" s="15" customFormat="1" ht="16.5" hidden="1" customHeight="1" outlineLevel="1" x14ac:dyDescent="0.25">
      <c r="A8308" s="18">
        <v>1361</v>
      </c>
      <c r="B8308" s="4" t="s">
        <v>250</v>
      </c>
      <c r="C8308" s="38" t="s">
        <v>7009</v>
      </c>
      <c r="D8308" s="18">
        <v>2022</v>
      </c>
      <c r="E8308" s="18" t="s">
        <v>0</v>
      </c>
      <c r="F8308" s="42">
        <v>1</v>
      </c>
      <c r="G8308" s="4">
        <v>15</v>
      </c>
      <c r="H8308" s="18">
        <v>46.818600000000004</v>
      </c>
    </row>
    <row r="8309" spans="1:8" s="15" customFormat="1" ht="16.5" hidden="1" customHeight="1" outlineLevel="1" x14ac:dyDescent="0.25">
      <c r="A8309" s="18">
        <v>1247</v>
      </c>
      <c r="B8309" s="4" t="s">
        <v>250</v>
      </c>
      <c r="C8309" s="38" t="s">
        <v>7010</v>
      </c>
      <c r="D8309" s="18">
        <v>2022</v>
      </c>
      <c r="E8309" s="18" t="s">
        <v>0</v>
      </c>
      <c r="F8309" s="42">
        <v>1</v>
      </c>
      <c r="G8309" s="4">
        <v>15</v>
      </c>
      <c r="H8309" s="18">
        <v>48.378329999999998</v>
      </c>
    </row>
    <row r="8310" spans="1:8" s="15" customFormat="1" ht="16.5" hidden="1" customHeight="1" outlineLevel="1" x14ac:dyDescent="0.25">
      <c r="A8310" s="18">
        <v>1201</v>
      </c>
      <c r="B8310" s="4" t="s">
        <v>250</v>
      </c>
      <c r="C8310" s="38" t="s">
        <v>7011</v>
      </c>
      <c r="D8310" s="18">
        <v>2022</v>
      </c>
      <c r="E8310" s="18" t="s">
        <v>0</v>
      </c>
      <c r="F8310" s="42">
        <v>1</v>
      </c>
      <c r="G8310" s="4">
        <v>15</v>
      </c>
      <c r="H8310" s="18">
        <v>46.786639999999998</v>
      </c>
    </row>
    <row r="8311" spans="1:8" s="15" customFormat="1" ht="16.5" hidden="1" customHeight="1" outlineLevel="1" x14ac:dyDescent="0.25">
      <c r="A8311" s="18">
        <v>1168</v>
      </c>
      <c r="B8311" s="4" t="s">
        <v>250</v>
      </c>
      <c r="C8311" s="38" t="s">
        <v>7012</v>
      </c>
      <c r="D8311" s="18">
        <v>2022</v>
      </c>
      <c r="E8311" s="18" t="s">
        <v>0</v>
      </c>
      <c r="F8311" s="42">
        <v>1</v>
      </c>
      <c r="G8311" s="4">
        <v>15</v>
      </c>
      <c r="H8311" s="18">
        <v>47.54401</v>
      </c>
    </row>
    <row r="8312" spans="1:8" s="15" customFormat="1" ht="16.5" hidden="1" customHeight="1" outlineLevel="1" x14ac:dyDescent="0.25">
      <c r="A8312" s="18">
        <v>1538</v>
      </c>
      <c r="B8312" s="4" t="s">
        <v>250</v>
      </c>
      <c r="C8312" s="38" t="s">
        <v>7013</v>
      </c>
      <c r="D8312" s="18">
        <v>2022</v>
      </c>
      <c r="E8312" s="18" t="s">
        <v>0</v>
      </c>
      <c r="F8312" s="42">
        <v>1</v>
      </c>
      <c r="G8312" s="4">
        <v>15</v>
      </c>
      <c r="H8312" s="18">
        <v>43.350859999999997</v>
      </c>
    </row>
    <row r="8313" spans="1:8" s="15" customFormat="1" ht="16.5" hidden="1" customHeight="1" outlineLevel="1" x14ac:dyDescent="0.25">
      <c r="A8313" s="18">
        <v>1293</v>
      </c>
      <c r="B8313" s="4" t="s">
        <v>250</v>
      </c>
      <c r="C8313" s="38" t="s">
        <v>7014</v>
      </c>
      <c r="D8313" s="18">
        <v>2022</v>
      </c>
      <c r="E8313" s="18" t="s">
        <v>0</v>
      </c>
      <c r="F8313" s="42">
        <v>1</v>
      </c>
      <c r="G8313" s="4">
        <v>15</v>
      </c>
      <c r="H8313" s="18">
        <v>45.084960000000002</v>
      </c>
    </row>
    <row r="8314" spans="1:8" s="15" customFormat="1" ht="16.5" hidden="1" customHeight="1" outlineLevel="1" x14ac:dyDescent="0.25">
      <c r="A8314" s="18">
        <v>1243</v>
      </c>
      <c r="B8314" s="4" t="s">
        <v>250</v>
      </c>
      <c r="C8314" s="38" t="s">
        <v>7015</v>
      </c>
      <c r="D8314" s="18">
        <v>2022</v>
      </c>
      <c r="E8314" s="18" t="s">
        <v>0</v>
      </c>
      <c r="F8314" s="42">
        <v>1</v>
      </c>
      <c r="G8314" s="4">
        <v>15</v>
      </c>
      <c r="H8314" s="18">
        <v>48.893569999999997</v>
      </c>
    </row>
    <row r="8315" spans="1:8" s="15" customFormat="1" ht="16.5" hidden="1" customHeight="1" outlineLevel="1" x14ac:dyDescent="0.25">
      <c r="A8315" s="18">
        <v>1426</v>
      </c>
      <c r="B8315" s="4" t="s">
        <v>250</v>
      </c>
      <c r="C8315" s="38" t="s">
        <v>7016</v>
      </c>
      <c r="D8315" s="18">
        <v>2022</v>
      </c>
      <c r="E8315" s="18" t="s">
        <v>0</v>
      </c>
      <c r="F8315" s="42">
        <v>1</v>
      </c>
      <c r="G8315" s="4">
        <v>15</v>
      </c>
      <c r="H8315" s="18">
        <v>39.483910000000002</v>
      </c>
    </row>
    <row r="8316" spans="1:8" s="15" customFormat="1" ht="16.5" hidden="1" customHeight="1" outlineLevel="1" x14ac:dyDescent="0.25">
      <c r="A8316" s="18">
        <v>1225</v>
      </c>
      <c r="B8316" s="4" t="s">
        <v>250</v>
      </c>
      <c r="C8316" s="38" t="s">
        <v>7017</v>
      </c>
      <c r="D8316" s="18">
        <v>2022</v>
      </c>
      <c r="E8316" s="18" t="s">
        <v>0</v>
      </c>
      <c r="F8316" s="42">
        <v>1</v>
      </c>
      <c r="G8316" s="4">
        <v>15</v>
      </c>
      <c r="H8316" s="18">
        <v>35.738939999999999</v>
      </c>
    </row>
    <row r="8317" spans="1:8" s="15" customFormat="1" ht="16.5" hidden="1" customHeight="1" outlineLevel="1" x14ac:dyDescent="0.25">
      <c r="A8317" s="18">
        <v>1250</v>
      </c>
      <c r="B8317" s="4" t="s">
        <v>250</v>
      </c>
      <c r="C8317" s="38" t="s">
        <v>7018</v>
      </c>
      <c r="D8317" s="18">
        <v>2022</v>
      </c>
      <c r="E8317" s="18" t="s">
        <v>0</v>
      </c>
      <c r="F8317" s="42">
        <v>1</v>
      </c>
      <c r="G8317" s="4">
        <v>15</v>
      </c>
      <c r="H8317" s="18">
        <v>38.710889999999999</v>
      </c>
    </row>
    <row r="8318" spans="1:8" s="15" customFormat="1" ht="16.5" hidden="1" customHeight="1" outlineLevel="1" x14ac:dyDescent="0.25">
      <c r="A8318" s="18">
        <v>1262</v>
      </c>
      <c r="B8318" s="4" t="s">
        <v>250</v>
      </c>
      <c r="C8318" s="38" t="s">
        <v>7019</v>
      </c>
      <c r="D8318" s="18">
        <v>2022</v>
      </c>
      <c r="E8318" s="18" t="s">
        <v>0</v>
      </c>
      <c r="F8318" s="42">
        <v>1</v>
      </c>
      <c r="G8318" s="4">
        <v>15</v>
      </c>
      <c r="H8318" s="18">
        <v>42.29289</v>
      </c>
    </row>
    <row r="8319" spans="1:8" s="15" customFormat="1" ht="16.5" hidden="1" customHeight="1" outlineLevel="1" x14ac:dyDescent="0.25">
      <c r="A8319" s="18">
        <v>1107</v>
      </c>
      <c r="B8319" s="4" t="s">
        <v>250</v>
      </c>
      <c r="C8319" s="38" t="s">
        <v>7020</v>
      </c>
      <c r="D8319" s="18">
        <v>2022</v>
      </c>
      <c r="E8319" s="18" t="s">
        <v>0</v>
      </c>
      <c r="F8319" s="42">
        <v>1</v>
      </c>
      <c r="G8319" s="4">
        <v>66.84</v>
      </c>
      <c r="H8319" s="18">
        <v>63.997860000000003</v>
      </c>
    </row>
    <row r="8320" spans="1:8" s="15" customFormat="1" ht="16.5" hidden="1" customHeight="1" outlineLevel="1" x14ac:dyDescent="0.25">
      <c r="A8320" s="18">
        <v>1332</v>
      </c>
      <c r="B8320" s="4" t="s">
        <v>250</v>
      </c>
      <c r="C8320" s="38" t="s">
        <v>7021</v>
      </c>
      <c r="D8320" s="18">
        <v>2022</v>
      </c>
      <c r="E8320" s="18" t="s">
        <v>0</v>
      </c>
      <c r="F8320" s="42">
        <v>1</v>
      </c>
      <c r="G8320" s="4">
        <v>15</v>
      </c>
      <c r="H8320" s="18">
        <v>44.73272</v>
      </c>
    </row>
    <row r="8321" spans="1:8" s="15" customFormat="1" ht="16.5" hidden="1" customHeight="1" outlineLevel="1" x14ac:dyDescent="0.25">
      <c r="A8321" s="18">
        <v>1299</v>
      </c>
      <c r="B8321" s="4" t="s">
        <v>250</v>
      </c>
      <c r="C8321" s="38" t="s">
        <v>7022</v>
      </c>
      <c r="D8321" s="18">
        <v>2022</v>
      </c>
      <c r="E8321" s="18" t="s">
        <v>0</v>
      </c>
      <c r="F8321" s="42">
        <v>1</v>
      </c>
      <c r="G8321" s="4">
        <v>15</v>
      </c>
      <c r="H8321" s="18">
        <v>26.997969999999999</v>
      </c>
    </row>
    <row r="8322" spans="1:8" s="15" customFormat="1" ht="16.5" hidden="1" customHeight="1" outlineLevel="1" x14ac:dyDescent="0.25">
      <c r="A8322" s="18">
        <v>1568</v>
      </c>
      <c r="B8322" s="4" t="s">
        <v>250</v>
      </c>
      <c r="C8322" s="38" t="s">
        <v>7023</v>
      </c>
      <c r="D8322" s="18">
        <v>2022</v>
      </c>
      <c r="E8322" s="18" t="s">
        <v>0</v>
      </c>
      <c r="F8322" s="42">
        <v>1</v>
      </c>
      <c r="G8322" s="4">
        <v>15</v>
      </c>
      <c r="H8322" s="18">
        <v>26.403600000000001</v>
      </c>
    </row>
    <row r="8323" spans="1:8" s="15" customFormat="1" ht="16.5" hidden="1" customHeight="1" outlineLevel="1" x14ac:dyDescent="0.25">
      <c r="A8323" s="18">
        <v>1102</v>
      </c>
      <c r="B8323" s="4" t="s">
        <v>250</v>
      </c>
      <c r="C8323" s="38" t="s">
        <v>7024</v>
      </c>
      <c r="D8323" s="18">
        <v>2022</v>
      </c>
      <c r="E8323" s="18" t="s">
        <v>0</v>
      </c>
      <c r="F8323" s="42">
        <v>1</v>
      </c>
      <c r="G8323" s="4">
        <v>30</v>
      </c>
      <c r="H8323" s="18">
        <v>41.390169999999998</v>
      </c>
    </row>
    <row r="8324" spans="1:8" s="15" customFormat="1" ht="16.5" hidden="1" customHeight="1" outlineLevel="1" x14ac:dyDescent="0.25">
      <c r="A8324" s="18">
        <v>1525</v>
      </c>
      <c r="B8324" s="4" t="s">
        <v>250</v>
      </c>
      <c r="C8324" s="38" t="s">
        <v>7025</v>
      </c>
      <c r="D8324" s="18">
        <v>2022</v>
      </c>
      <c r="E8324" s="18" t="s">
        <v>0</v>
      </c>
      <c r="F8324" s="42">
        <v>1</v>
      </c>
      <c r="G8324" s="4">
        <v>15</v>
      </c>
      <c r="H8324" s="18">
        <v>27.6084</v>
      </c>
    </row>
    <row r="8325" spans="1:8" s="15" customFormat="1" ht="16.5" hidden="1" customHeight="1" outlineLevel="1" x14ac:dyDescent="0.25">
      <c r="A8325" s="18">
        <v>1513</v>
      </c>
      <c r="B8325" s="4" t="s">
        <v>250</v>
      </c>
      <c r="C8325" s="38" t="s">
        <v>7026</v>
      </c>
      <c r="D8325" s="18">
        <v>2022</v>
      </c>
      <c r="E8325" s="18" t="s">
        <v>0</v>
      </c>
      <c r="F8325" s="42">
        <v>1</v>
      </c>
      <c r="G8325" s="4">
        <v>15</v>
      </c>
      <c r="H8325" s="18">
        <v>38.969439999999999</v>
      </c>
    </row>
    <row r="8326" spans="1:8" s="15" customFormat="1" ht="16.5" hidden="1" customHeight="1" outlineLevel="1" x14ac:dyDescent="0.25">
      <c r="A8326" s="18">
        <v>1481</v>
      </c>
      <c r="B8326" s="4" t="s">
        <v>250</v>
      </c>
      <c r="C8326" s="38" t="s">
        <v>7027</v>
      </c>
      <c r="D8326" s="18">
        <v>2022</v>
      </c>
      <c r="E8326" s="18" t="s">
        <v>0</v>
      </c>
      <c r="F8326" s="42">
        <v>1</v>
      </c>
      <c r="G8326" s="4">
        <v>15</v>
      </c>
      <c r="H8326" s="18">
        <v>45.531030000000001</v>
      </c>
    </row>
    <row r="8327" spans="1:8" s="15" customFormat="1" ht="16.5" hidden="1" customHeight="1" outlineLevel="1" x14ac:dyDescent="0.25">
      <c r="A8327" s="18">
        <v>1594</v>
      </c>
      <c r="B8327" s="4" t="s">
        <v>250</v>
      </c>
      <c r="C8327" s="38" t="s">
        <v>7028</v>
      </c>
      <c r="D8327" s="18">
        <v>2022</v>
      </c>
      <c r="E8327" s="18" t="s">
        <v>0</v>
      </c>
      <c r="F8327" s="42">
        <v>1</v>
      </c>
      <c r="G8327" s="4">
        <v>15</v>
      </c>
      <c r="H8327" s="18">
        <v>20.496880000000001</v>
      </c>
    </row>
    <row r="8328" spans="1:8" s="15" customFormat="1" ht="16.5" hidden="1" customHeight="1" outlineLevel="1" x14ac:dyDescent="0.25">
      <c r="A8328" s="18">
        <v>1595</v>
      </c>
      <c r="B8328" s="4" t="s">
        <v>250</v>
      </c>
      <c r="C8328" s="38" t="s">
        <v>7029</v>
      </c>
      <c r="D8328" s="18">
        <v>2022</v>
      </c>
      <c r="E8328" s="18" t="s">
        <v>0</v>
      </c>
      <c r="F8328" s="42">
        <v>1</v>
      </c>
      <c r="G8328" s="4">
        <v>15</v>
      </c>
      <c r="H8328" s="18">
        <v>20.496870000000001</v>
      </c>
    </row>
    <row r="8329" spans="1:8" s="15" customFormat="1" ht="16.5" hidden="1" customHeight="1" outlineLevel="1" x14ac:dyDescent="0.25">
      <c r="A8329" s="18">
        <v>1567</v>
      </c>
      <c r="B8329" s="4" t="s">
        <v>250</v>
      </c>
      <c r="C8329" s="38" t="s">
        <v>7030</v>
      </c>
      <c r="D8329" s="18">
        <v>2022</v>
      </c>
      <c r="E8329" s="18" t="s">
        <v>0</v>
      </c>
      <c r="F8329" s="42">
        <v>1</v>
      </c>
      <c r="G8329" s="4">
        <v>15</v>
      </c>
      <c r="H8329" s="18">
        <v>26.947420000000001</v>
      </c>
    </row>
    <row r="8330" spans="1:8" s="15" customFormat="1" ht="16.5" hidden="1" customHeight="1" outlineLevel="1" x14ac:dyDescent="0.25">
      <c r="A8330" s="18">
        <v>1555</v>
      </c>
      <c r="B8330" s="4" t="s">
        <v>250</v>
      </c>
      <c r="C8330" s="38" t="s">
        <v>7031</v>
      </c>
      <c r="D8330" s="18">
        <v>2022</v>
      </c>
      <c r="E8330" s="18" t="s">
        <v>0</v>
      </c>
      <c r="F8330" s="42">
        <v>1</v>
      </c>
      <c r="G8330" s="4">
        <v>15</v>
      </c>
      <c r="H8330" s="18">
        <v>27.47073</v>
      </c>
    </row>
    <row r="8331" spans="1:8" s="15" customFormat="1" ht="16.5" hidden="1" customHeight="1" outlineLevel="1" x14ac:dyDescent="0.25">
      <c r="A8331" s="18">
        <v>1549</v>
      </c>
      <c r="B8331" s="4" t="s">
        <v>250</v>
      </c>
      <c r="C8331" s="38" t="s">
        <v>7032</v>
      </c>
      <c r="D8331" s="18">
        <v>2022</v>
      </c>
      <c r="E8331" s="18" t="s">
        <v>0</v>
      </c>
      <c r="F8331" s="42">
        <v>1</v>
      </c>
      <c r="G8331" s="4">
        <v>15</v>
      </c>
      <c r="H8331" s="18">
        <v>27.648389999999999</v>
      </c>
    </row>
    <row r="8332" spans="1:8" s="15" customFormat="1" ht="16.5" hidden="1" customHeight="1" outlineLevel="1" x14ac:dyDescent="0.25">
      <c r="A8332" s="18">
        <v>1597</v>
      </c>
      <c r="B8332" s="4" t="s">
        <v>250</v>
      </c>
      <c r="C8332" s="38" t="s">
        <v>7033</v>
      </c>
      <c r="D8332" s="18">
        <v>2022</v>
      </c>
      <c r="E8332" s="18" t="s">
        <v>0</v>
      </c>
      <c r="F8332" s="42">
        <v>1</v>
      </c>
      <c r="G8332" s="4">
        <v>15</v>
      </c>
      <c r="H8332" s="18">
        <v>19.454840000000001</v>
      </c>
    </row>
    <row r="8333" spans="1:8" s="15" customFormat="1" ht="16.5" hidden="1" customHeight="1" outlineLevel="1" x14ac:dyDescent="0.25">
      <c r="A8333" s="18">
        <v>1472</v>
      </c>
      <c r="B8333" s="4" t="s">
        <v>250</v>
      </c>
      <c r="C8333" s="38" t="s">
        <v>7034</v>
      </c>
      <c r="D8333" s="18">
        <v>2022</v>
      </c>
      <c r="E8333" s="18" t="s">
        <v>0</v>
      </c>
      <c r="F8333" s="42">
        <v>1</v>
      </c>
      <c r="G8333" s="4">
        <v>15</v>
      </c>
      <c r="H8333" s="18">
        <v>43.993499999999997</v>
      </c>
    </row>
    <row r="8334" spans="1:8" s="15" customFormat="1" ht="16.5" hidden="1" customHeight="1" outlineLevel="1" x14ac:dyDescent="0.25">
      <c r="A8334" s="18">
        <v>1152</v>
      </c>
      <c r="B8334" s="4" t="s">
        <v>250</v>
      </c>
      <c r="C8334" s="38" t="s">
        <v>7035</v>
      </c>
      <c r="D8334" s="18">
        <v>2022</v>
      </c>
      <c r="E8334" s="18" t="s">
        <v>0</v>
      </c>
      <c r="F8334" s="42">
        <v>1</v>
      </c>
      <c r="G8334" s="4">
        <v>15</v>
      </c>
      <c r="H8334" s="18">
        <v>36.728580000000001</v>
      </c>
    </row>
    <row r="8335" spans="1:8" s="15" customFormat="1" ht="16.5" hidden="1" customHeight="1" outlineLevel="1" x14ac:dyDescent="0.25">
      <c r="A8335" s="18">
        <v>1517</v>
      </c>
      <c r="B8335" s="4" t="s">
        <v>250</v>
      </c>
      <c r="C8335" s="38" t="s">
        <v>7036</v>
      </c>
      <c r="D8335" s="18">
        <v>2022</v>
      </c>
      <c r="E8335" s="18" t="s">
        <v>0</v>
      </c>
      <c r="F8335" s="42">
        <v>1</v>
      </c>
      <c r="G8335" s="4">
        <v>15</v>
      </c>
      <c r="H8335" s="18">
        <v>28.380590000000002</v>
      </c>
    </row>
    <row r="8336" spans="1:8" s="15" customFormat="1" ht="16.5" hidden="1" customHeight="1" outlineLevel="1" x14ac:dyDescent="0.25">
      <c r="A8336" s="18">
        <v>1346</v>
      </c>
      <c r="B8336" s="4" t="s">
        <v>250</v>
      </c>
      <c r="C8336" s="38" t="s">
        <v>7037</v>
      </c>
      <c r="D8336" s="18">
        <v>2022</v>
      </c>
      <c r="E8336" s="18" t="s">
        <v>0</v>
      </c>
      <c r="F8336" s="42">
        <v>1</v>
      </c>
      <c r="G8336" s="4">
        <v>15</v>
      </c>
      <c r="H8336" s="18">
        <v>29.349150000000002</v>
      </c>
    </row>
    <row r="8337" spans="1:8" s="15" customFormat="1" ht="16.5" hidden="1" customHeight="1" outlineLevel="1" x14ac:dyDescent="0.25">
      <c r="A8337" s="18">
        <v>1059</v>
      </c>
      <c r="B8337" s="4" t="s">
        <v>250</v>
      </c>
      <c r="C8337" s="38" t="s">
        <v>7038</v>
      </c>
      <c r="D8337" s="18">
        <v>2022</v>
      </c>
      <c r="E8337" s="18" t="s">
        <v>0</v>
      </c>
      <c r="F8337" s="42">
        <v>1</v>
      </c>
      <c r="G8337" s="4">
        <v>15</v>
      </c>
      <c r="H8337" s="18">
        <v>72.895859999999999</v>
      </c>
    </row>
    <row r="8338" spans="1:8" s="15" customFormat="1" ht="16.5" hidden="1" customHeight="1" outlineLevel="1" x14ac:dyDescent="0.25">
      <c r="A8338" s="18">
        <v>1058</v>
      </c>
      <c r="B8338" s="4" t="s">
        <v>250</v>
      </c>
      <c r="C8338" s="38" t="s">
        <v>7039</v>
      </c>
      <c r="D8338" s="18">
        <v>2022</v>
      </c>
      <c r="E8338" s="18" t="s">
        <v>0</v>
      </c>
      <c r="F8338" s="42">
        <v>1</v>
      </c>
      <c r="G8338" s="4">
        <v>15</v>
      </c>
      <c r="H8338" s="18">
        <v>54.167459999999998</v>
      </c>
    </row>
    <row r="8339" spans="1:8" s="15" customFormat="1" ht="16.5" hidden="1" customHeight="1" outlineLevel="1" x14ac:dyDescent="0.25">
      <c r="A8339" s="18">
        <v>1064</v>
      </c>
      <c r="B8339" s="4" t="s">
        <v>250</v>
      </c>
      <c r="C8339" s="38" t="s">
        <v>7040</v>
      </c>
      <c r="D8339" s="18">
        <v>2022</v>
      </c>
      <c r="E8339" s="18" t="s">
        <v>0</v>
      </c>
      <c r="F8339" s="42">
        <v>1</v>
      </c>
      <c r="G8339" s="4">
        <v>15</v>
      </c>
      <c r="H8339" s="18">
        <v>64.419569999999993</v>
      </c>
    </row>
    <row r="8340" spans="1:8" s="15" customFormat="1" ht="16.5" hidden="1" customHeight="1" outlineLevel="1" x14ac:dyDescent="0.25">
      <c r="A8340" s="18">
        <v>1103</v>
      </c>
      <c r="B8340" s="4" t="s">
        <v>250</v>
      </c>
      <c r="C8340" s="38" t="s">
        <v>7041</v>
      </c>
      <c r="D8340" s="18">
        <v>2022</v>
      </c>
      <c r="E8340" s="18" t="s">
        <v>0</v>
      </c>
      <c r="F8340" s="42">
        <v>1</v>
      </c>
      <c r="G8340" s="4">
        <v>15</v>
      </c>
      <c r="H8340" s="18">
        <v>82.14152</v>
      </c>
    </row>
    <row r="8341" spans="1:8" s="15" customFormat="1" ht="16.5" hidden="1" customHeight="1" outlineLevel="1" x14ac:dyDescent="0.25">
      <c r="A8341" s="18">
        <v>1072</v>
      </c>
      <c r="B8341" s="4" t="s">
        <v>250</v>
      </c>
      <c r="C8341" s="38" t="s">
        <v>7042</v>
      </c>
      <c r="D8341" s="18">
        <v>2022</v>
      </c>
      <c r="E8341" s="18" t="s">
        <v>0</v>
      </c>
      <c r="F8341" s="42">
        <v>1</v>
      </c>
      <c r="G8341" s="4">
        <v>15</v>
      </c>
      <c r="H8341" s="18">
        <v>56.087829999999997</v>
      </c>
    </row>
    <row r="8342" spans="1:8" s="15" customFormat="1" ht="16.5" hidden="1" customHeight="1" outlineLevel="1" x14ac:dyDescent="0.25">
      <c r="A8342" s="18">
        <v>1176</v>
      </c>
      <c r="B8342" s="4" t="s">
        <v>250</v>
      </c>
      <c r="C8342" s="38" t="s">
        <v>7043</v>
      </c>
      <c r="D8342" s="18">
        <v>2022</v>
      </c>
      <c r="E8342" s="18" t="s">
        <v>0</v>
      </c>
      <c r="F8342" s="42">
        <v>1</v>
      </c>
      <c r="G8342" s="4">
        <v>15</v>
      </c>
      <c r="H8342" s="18">
        <v>56.383980000000001</v>
      </c>
    </row>
    <row r="8343" spans="1:8" s="15" customFormat="1" ht="16.5" hidden="1" customHeight="1" outlineLevel="1" x14ac:dyDescent="0.25">
      <c r="A8343" s="18">
        <v>1179</v>
      </c>
      <c r="B8343" s="4" t="s">
        <v>250</v>
      </c>
      <c r="C8343" s="38" t="s">
        <v>7044</v>
      </c>
      <c r="D8343" s="18">
        <v>2022</v>
      </c>
      <c r="E8343" s="18" t="s">
        <v>0</v>
      </c>
      <c r="F8343" s="42">
        <v>1</v>
      </c>
      <c r="G8343" s="4">
        <v>15</v>
      </c>
      <c r="H8343" s="18">
        <v>40.05283</v>
      </c>
    </row>
    <row r="8344" spans="1:8" s="15" customFormat="1" ht="16.5" hidden="1" customHeight="1" outlineLevel="1" x14ac:dyDescent="0.25">
      <c r="A8344" s="18">
        <v>1215</v>
      </c>
      <c r="B8344" s="4" t="s">
        <v>250</v>
      </c>
      <c r="C8344" s="38" t="s">
        <v>7045</v>
      </c>
      <c r="D8344" s="18">
        <v>2022</v>
      </c>
      <c r="E8344" s="18" t="s">
        <v>0</v>
      </c>
      <c r="F8344" s="42">
        <v>1</v>
      </c>
      <c r="G8344" s="4">
        <v>15</v>
      </c>
      <c r="H8344" s="18">
        <v>34.396630000000002</v>
      </c>
    </row>
    <row r="8345" spans="1:8" s="15" customFormat="1" ht="16.5" hidden="1" customHeight="1" outlineLevel="1" x14ac:dyDescent="0.25">
      <c r="A8345" s="18">
        <v>1259</v>
      </c>
      <c r="B8345" s="4" t="s">
        <v>250</v>
      </c>
      <c r="C8345" s="38" t="s">
        <v>7046</v>
      </c>
      <c r="D8345" s="18">
        <v>2022</v>
      </c>
      <c r="E8345" s="18" t="s">
        <v>0</v>
      </c>
      <c r="F8345" s="42">
        <v>1</v>
      </c>
      <c r="G8345" s="4">
        <v>15</v>
      </c>
      <c r="H8345" s="18">
        <v>37.455849999999998</v>
      </c>
    </row>
    <row r="8346" spans="1:8" s="15" customFormat="1" ht="16.5" hidden="1" customHeight="1" outlineLevel="1" x14ac:dyDescent="0.25">
      <c r="A8346" s="18">
        <v>1534</v>
      </c>
      <c r="B8346" s="4" t="s">
        <v>250</v>
      </c>
      <c r="C8346" s="38" t="s">
        <v>7047</v>
      </c>
      <c r="D8346" s="18">
        <v>2022</v>
      </c>
      <c r="E8346" s="18" t="s">
        <v>0</v>
      </c>
      <c r="F8346" s="42">
        <v>1</v>
      </c>
      <c r="G8346" s="4">
        <v>15</v>
      </c>
      <c r="H8346" s="18">
        <v>45.203119999999998</v>
      </c>
    </row>
    <row r="8347" spans="1:8" s="15" customFormat="1" ht="16.5" hidden="1" customHeight="1" outlineLevel="1" x14ac:dyDescent="0.25">
      <c r="A8347" s="18">
        <v>1535</v>
      </c>
      <c r="B8347" s="4" t="s">
        <v>250</v>
      </c>
      <c r="C8347" s="38" t="s">
        <v>7048</v>
      </c>
      <c r="D8347" s="18">
        <v>2022</v>
      </c>
      <c r="E8347" s="18" t="s">
        <v>0</v>
      </c>
      <c r="F8347" s="42">
        <v>1</v>
      </c>
      <c r="G8347" s="4">
        <v>15</v>
      </c>
      <c r="H8347" s="18">
        <v>43.985790000000001</v>
      </c>
    </row>
    <row r="8348" spans="1:8" s="15" customFormat="1" ht="16.5" hidden="1" customHeight="1" outlineLevel="1" x14ac:dyDescent="0.25">
      <c r="A8348" s="18">
        <v>1404</v>
      </c>
      <c r="B8348" s="4" t="s">
        <v>250</v>
      </c>
      <c r="C8348" s="38" t="s">
        <v>7049</v>
      </c>
      <c r="D8348" s="18">
        <v>2022</v>
      </c>
      <c r="E8348" s="18" t="s">
        <v>0</v>
      </c>
      <c r="F8348" s="42">
        <v>1</v>
      </c>
      <c r="G8348" s="4">
        <v>15</v>
      </c>
      <c r="H8348" s="18">
        <v>47.006889999999999</v>
      </c>
    </row>
    <row r="8349" spans="1:8" s="15" customFormat="1" ht="16.5" hidden="1" customHeight="1" outlineLevel="1" x14ac:dyDescent="0.25">
      <c r="A8349" s="18">
        <v>1400</v>
      </c>
      <c r="B8349" s="4" t="s">
        <v>250</v>
      </c>
      <c r="C8349" s="38" t="s">
        <v>7050</v>
      </c>
      <c r="D8349" s="18">
        <v>2022</v>
      </c>
      <c r="E8349" s="18" t="s">
        <v>0</v>
      </c>
      <c r="F8349" s="42">
        <v>1</v>
      </c>
      <c r="G8349" s="4">
        <v>15</v>
      </c>
      <c r="H8349" s="18">
        <v>41.962510000000002</v>
      </c>
    </row>
    <row r="8350" spans="1:8" s="15" customFormat="1" ht="16.5" hidden="1" customHeight="1" outlineLevel="1" x14ac:dyDescent="0.25">
      <c r="A8350" s="18">
        <v>1312</v>
      </c>
      <c r="B8350" s="4" t="s">
        <v>250</v>
      </c>
      <c r="C8350" s="38" t="s">
        <v>7051</v>
      </c>
      <c r="D8350" s="18">
        <v>2022</v>
      </c>
      <c r="E8350" s="18" t="s">
        <v>0</v>
      </c>
      <c r="F8350" s="42">
        <v>1</v>
      </c>
      <c r="G8350" s="4">
        <v>15</v>
      </c>
      <c r="H8350" s="18">
        <v>39.046149999999997</v>
      </c>
    </row>
    <row r="8351" spans="1:8" s="15" customFormat="1" ht="16.5" hidden="1" customHeight="1" outlineLevel="1" x14ac:dyDescent="0.25">
      <c r="A8351" s="18">
        <v>1203</v>
      </c>
      <c r="B8351" s="4" t="s">
        <v>250</v>
      </c>
      <c r="C8351" s="38" t="s">
        <v>7052</v>
      </c>
      <c r="D8351" s="18">
        <v>2022</v>
      </c>
      <c r="E8351" s="18" t="s">
        <v>0</v>
      </c>
      <c r="F8351" s="42">
        <v>1</v>
      </c>
      <c r="G8351" s="4">
        <v>15</v>
      </c>
      <c r="H8351" s="18">
        <v>54.768389999999997</v>
      </c>
    </row>
    <row r="8352" spans="1:8" s="15" customFormat="1" ht="16.5" hidden="1" customHeight="1" outlineLevel="1" x14ac:dyDescent="0.25">
      <c r="A8352" s="18">
        <v>1169</v>
      </c>
      <c r="B8352" s="4" t="s">
        <v>250</v>
      </c>
      <c r="C8352" s="38" t="s">
        <v>7053</v>
      </c>
      <c r="D8352" s="18">
        <v>2022</v>
      </c>
      <c r="E8352" s="18" t="s">
        <v>0</v>
      </c>
      <c r="F8352" s="42">
        <v>1</v>
      </c>
      <c r="G8352" s="4">
        <v>15</v>
      </c>
      <c r="H8352" s="18">
        <v>52.673810000000003</v>
      </c>
    </row>
    <row r="8353" spans="1:8" s="15" customFormat="1" ht="16.5" hidden="1" customHeight="1" outlineLevel="1" x14ac:dyDescent="0.25">
      <c r="A8353" s="18">
        <v>1126</v>
      </c>
      <c r="B8353" s="4" t="s">
        <v>250</v>
      </c>
      <c r="C8353" s="38" t="s">
        <v>7054</v>
      </c>
      <c r="D8353" s="18">
        <v>2022</v>
      </c>
      <c r="E8353" s="18" t="s">
        <v>0</v>
      </c>
      <c r="F8353" s="42">
        <v>1</v>
      </c>
      <c r="G8353" s="4">
        <v>15</v>
      </c>
      <c r="H8353" s="18">
        <v>60.327979999999997</v>
      </c>
    </row>
    <row r="8354" spans="1:8" s="15" customFormat="1" ht="16.5" hidden="1" customHeight="1" outlineLevel="1" x14ac:dyDescent="0.25">
      <c r="A8354" s="18">
        <v>1537</v>
      </c>
      <c r="B8354" s="4" t="s">
        <v>250</v>
      </c>
      <c r="C8354" s="38" t="s">
        <v>7055</v>
      </c>
      <c r="D8354" s="18">
        <v>2022</v>
      </c>
      <c r="E8354" s="18" t="s">
        <v>0</v>
      </c>
      <c r="F8354" s="42">
        <v>1</v>
      </c>
      <c r="G8354" s="4">
        <v>15</v>
      </c>
      <c r="H8354" s="18">
        <v>43.162660000000002</v>
      </c>
    </row>
    <row r="8355" spans="1:8" s="15" customFormat="1" ht="16.5" hidden="1" customHeight="1" outlineLevel="1" x14ac:dyDescent="0.25">
      <c r="A8355" s="18">
        <v>1084</v>
      </c>
      <c r="B8355" s="4" t="s">
        <v>250</v>
      </c>
      <c r="C8355" s="38" t="s">
        <v>7056</v>
      </c>
      <c r="D8355" s="18">
        <v>2022</v>
      </c>
      <c r="E8355" s="18" t="s">
        <v>0</v>
      </c>
      <c r="F8355" s="42">
        <v>1</v>
      </c>
      <c r="G8355" s="4">
        <v>15</v>
      </c>
      <c r="H8355" s="18">
        <v>51.739199999999997</v>
      </c>
    </row>
    <row r="8356" spans="1:8" s="15" customFormat="1" ht="16.5" hidden="1" customHeight="1" outlineLevel="1" x14ac:dyDescent="0.25">
      <c r="A8356" s="18">
        <v>1204</v>
      </c>
      <c r="B8356" s="4" t="s">
        <v>250</v>
      </c>
      <c r="C8356" s="38" t="s">
        <v>7057</v>
      </c>
      <c r="D8356" s="18">
        <v>2022</v>
      </c>
      <c r="E8356" s="18" t="s">
        <v>0</v>
      </c>
      <c r="F8356" s="42">
        <v>1</v>
      </c>
      <c r="G8356" s="4">
        <v>15</v>
      </c>
      <c r="H8356" s="18">
        <v>54.881410000000002</v>
      </c>
    </row>
    <row r="8357" spans="1:8" s="15" customFormat="1" ht="16.5" hidden="1" customHeight="1" outlineLevel="1" x14ac:dyDescent="0.25">
      <c r="A8357" s="18">
        <v>1621</v>
      </c>
      <c r="B8357" s="4" t="s">
        <v>250</v>
      </c>
      <c r="C8357" s="38" t="s">
        <v>7058</v>
      </c>
      <c r="D8357" s="18">
        <v>2022</v>
      </c>
      <c r="E8357" s="18" t="s">
        <v>0</v>
      </c>
      <c r="F8357" s="42">
        <v>1</v>
      </c>
      <c r="G8357" s="4">
        <v>15</v>
      </c>
      <c r="H8357" s="18">
        <v>19.513359999999999</v>
      </c>
    </row>
    <row r="8358" spans="1:8" s="15" customFormat="1" ht="16.5" hidden="1" customHeight="1" outlineLevel="1" x14ac:dyDescent="0.25">
      <c r="A8358" s="18">
        <v>1627</v>
      </c>
      <c r="B8358" s="4" t="s">
        <v>250</v>
      </c>
      <c r="C8358" s="38" t="s">
        <v>7059</v>
      </c>
      <c r="D8358" s="18">
        <v>2022</v>
      </c>
      <c r="E8358" s="18" t="s">
        <v>0</v>
      </c>
      <c r="F8358" s="42">
        <v>1</v>
      </c>
      <c r="G8358" s="4">
        <v>40</v>
      </c>
      <c r="H8358" s="18">
        <v>20.464320000000001</v>
      </c>
    </row>
    <row r="8359" spans="1:8" s="15" customFormat="1" ht="16.5" hidden="1" customHeight="1" outlineLevel="1" x14ac:dyDescent="0.25">
      <c r="A8359" s="18">
        <v>1445</v>
      </c>
      <c r="B8359" s="4" t="s">
        <v>250</v>
      </c>
      <c r="C8359" s="38" t="s">
        <v>7060</v>
      </c>
      <c r="D8359" s="18">
        <v>2022</v>
      </c>
      <c r="E8359" s="18" t="s">
        <v>0</v>
      </c>
      <c r="F8359" s="42">
        <v>1</v>
      </c>
      <c r="G8359" s="4">
        <v>15</v>
      </c>
      <c r="H8359" s="18">
        <v>36.522120000000001</v>
      </c>
    </row>
    <row r="8360" spans="1:8" s="15" customFormat="1" ht="16.5" hidden="1" customHeight="1" outlineLevel="1" x14ac:dyDescent="0.25">
      <c r="A8360" s="18">
        <v>1438</v>
      </c>
      <c r="B8360" s="4" t="s">
        <v>250</v>
      </c>
      <c r="C8360" s="38" t="s">
        <v>7061</v>
      </c>
      <c r="D8360" s="18">
        <v>2022</v>
      </c>
      <c r="E8360" s="18" t="s">
        <v>0</v>
      </c>
      <c r="F8360" s="42">
        <v>1</v>
      </c>
      <c r="G8360" s="4">
        <v>15</v>
      </c>
      <c r="H8360" s="18">
        <v>45.898330000000001</v>
      </c>
    </row>
    <row r="8361" spans="1:8" s="15" customFormat="1" ht="16.5" hidden="1" customHeight="1" outlineLevel="1" x14ac:dyDescent="0.25">
      <c r="A8361" s="18">
        <v>1427</v>
      </c>
      <c r="B8361" s="4" t="s">
        <v>250</v>
      </c>
      <c r="C8361" s="38" t="s">
        <v>7062</v>
      </c>
      <c r="D8361" s="18">
        <v>2022</v>
      </c>
      <c r="E8361" s="18" t="s">
        <v>0</v>
      </c>
      <c r="F8361" s="42">
        <v>1</v>
      </c>
      <c r="G8361" s="4">
        <v>15</v>
      </c>
      <c r="H8361" s="18">
        <v>34.098860000000002</v>
      </c>
    </row>
    <row r="8362" spans="1:8" s="15" customFormat="1" ht="16.5" hidden="1" customHeight="1" outlineLevel="1" x14ac:dyDescent="0.25">
      <c r="A8362" s="18">
        <v>1394</v>
      </c>
      <c r="B8362" s="4" t="s">
        <v>250</v>
      </c>
      <c r="C8362" s="38" t="s">
        <v>7063</v>
      </c>
      <c r="D8362" s="18">
        <v>2022</v>
      </c>
      <c r="E8362" s="18" t="s">
        <v>0</v>
      </c>
      <c r="F8362" s="42">
        <v>1</v>
      </c>
      <c r="G8362" s="4">
        <v>15</v>
      </c>
      <c r="H8362" s="18">
        <v>33.057929999999999</v>
      </c>
    </row>
    <row r="8363" spans="1:8" s="15" customFormat="1" ht="16.5" hidden="1" customHeight="1" outlineLevel="1" x14ac:dyDescent="0.25">
      <c r="A8363" s="18">
        <v>1081</v>
      </c>
      <c r="B8363" s="4" t="s">
        <v>250</v>
      </c>
      <c r="C8363" s="38" t="s">
        <v>7064</v>
      </c>
      <c r="D8363" s="18">
        <v>2022</v>
      </c>
      <c r="E8363" s="18" t="s">
        <v>0</v>
      </c>
      <c r="F8363" s="42">
        <v>1</v>
      </c>
      <c r="G8363" s="4">
        <v>15</v>
      </c>
      <c r="H8363" s="18">
        <v>43.036850000000001</v>
      </c>
    </row>
    <row r="8364" spans="1:8" s="15" customFormat="1" ht="16.5" hidden="1" customHeight="1" outlineLevel="1" x14ac:dyDescent="0.25">
      <c r="A8364" s="18">
        <v>1111</v>
      </c>
      <c r="B8364" s="4" t="s">
        <v>250</v>
      </c>
      <c r="C8364" s="38" t="s">
        <v>7065</v>
      </c>
      <c r="D8364" s="18">
        <v>2022</v>
      </c>
      <c r="E8364" s="18" t="s">
        <v>0</v>
      </c>
      <c r="F8364" s="42">
        <v>1</v>
      </c>
      <c r="G8364" s="4">
        <v>7.5</v>
      </c>
      <c r="H8364" s="18">
        <v>47.949930000000002</v>
      </c>
    </row>
    <row r="8365" spans="1:8" s="15" customFormat="1" ht="16.5" hidden="1" customHeight="1" outlineLevel="1" x14ac:dyDescent="0.25">
      <c r="A8365" s="18">
        <v>1118</v>
      </c>
      <c r="B8365" s="4" t="s">
        <v>250</v>
      </c>
      <c r="C8365" s="38" t="s">
        <v>7066</v>
      </c>
      <c r="D8365" s="18">
        <v>2022</v>
      </c>
      <c r="E8365" s="18" t="s">
        <v>0</v>
      </c>
      <c r="F8365" s="42">
        <v>1</v>
      </c>
      <c r="G8365" s="4">
        <v>5</v>
      </c>
      <c r="H8365" s="18">
        <v>63.230629999999998</v>
      </c>
    </row>
    <row r="8366" spans="1:8" s="15" customFormat="1" ht="16.5" hidden="1" customHeight="1" outlineLevel="1" x14ac:dyDescent="0.25">
      <c r="A8366" s="18">
        <v>1391</v>
      </c>
      <c r="B8366" s="4" t="s">
        <v>250</v>
      </c>
      <c r="C8366" s="38" t="s">
        <v>7067</v>
      </c>
      <c r="D8366" s="18">
        <v>2022</v>
      </c>
      <c r="E8366" s="18" t="s">
        <v>0</v>
      </c>
      <c r="F8366" s="42">
        <v>1</v>
      </c>
      <c r="G8366" s="4">
        <v>15</v>
      </c>
      <c r="H8366" s="18">
        <v>23.755220000000001</v>
      </c>
    </row>
    <row r="8367" spans="1:8" s="15" customFormat="1" ht="16.5" hidden="1" customHeight="1" outlineLevel="1" x14ac:dyDescent="0.25">
      <c r="A8367" s="18">
        <v>1460</v>
      </c>
      <c r="B8367" s="4" t="s">
        <v>250</v>
      </c>
      <c r="C8367" s="38" t="s">
        <v>7068</v>
      </c>
      <c r="D8367" s="18">
        <v>2022</v>
      </c>
      <c r="E8367" s="18" t="s">
        <v>0</v>
      </c>
      <c r="F8367" s="42">
        <v>1</v>
      </c>
      <c r="G8367" s="4">
        <v>15</v>
      </c>
      <c r="H8367" s="18">
        <v>23.460129999999999</v>
      </c>
    </row>
    <row r="8368" spans="1:8" s="15" customFormat="1" ht="16.5" hidden="1" customHeight="1" outlineLevel="1" x14ac:dyDescent="0.25">
      <c r="A8368" s="18">
        <v>1531</v>
      </c>
      <c r="B8368" s="4" t="s">
        <v>250</v>
      </c>
      <c r="C8368" s="38" t="s">
        <v>7069</v>
      </c>
      <c r="D8368" s="18">
        <v>2022</v>
      </c>
      <c r="E8368" s="18" t="s">
        <v>0</v>
      </c>
      <c r="F8368" s="42">
        <v>1</v>
      </c>
      <c r="G8368" s="4">
        <v>15</v>
      </c>
      <c r="H8368" s="18">
        <v>23.870629999999998</v>
      </c>
    </row>
    <row r="8369" spans="1:8" s="15" customFormat="1" ht="16.5" hidden="1" customHeight="1" outlineLevel="1" x14ac:dyDescent="0.25">
      <c r="A8369" s="18">
        <v>1532</v>
      </c>
      <c r="B8369" s="4" t="s">
        <v>250</v>
      </c>
      <c r="C8369" s="38" t="s">
        <v>7070</v>
      </c>
      <c r="D8369" s="18">
        <v>2022</v>
      </c>
      <c r="E8369" s="18" t="s">
        <v>0</v>
      </c>
      <c r="F8369" s="42">
        <v>1</v>
      </c>
      <c r="G8369" s="4">
        <v>15</v>
      </c>
      <c r="H8369" s="18">
        <v>23.860959999999999</v>
      </c>
    </row>
    <row r="8370" spans="1:8" s="15" customFormat="1" ht="16.5" hidden="1" customHeight="1" outlineLevel="1" x14ac:dyDescent="0.25">
      <c r="A8370" s="18">
        <v>1251</v>
      </c>
      <c r="B8370" s="4" t="s">
        <v>250</v>
      </c>
      <c r="C8370" s="38" t="s">
        <v>7071</v>
      </c>
      <c r="D8370" s="18">
        <v>2022</v>
      </c>
      <c r="E8370" s="18" t="s">
        <v>0</v>
      </c>
      <c r="F8370" s="42">
        <v>1</v>
      </c>
      <c r="G8370" s="4">
        <v>15</v>
      </c>
      <c r="H8370" s="18">
        <v>24.039619999999999</v>
      </c>
    </row>
    <row r="8371" spans="1:8" s="15" customFormat="1" ht="16.5" hidden="1" customHeight="1" outlineLevel="1" x14ac:dyDescent="0.25">
      <c r="A8371" s="18">
        <v>1260</v>
      </c>
      <c r="B8371" s="4" t="s">
        <v>250</v>
      </c>
      <c r="C8371" s="38" t="s">
        <v>7072</v>
      </c>
      <c r="D8371" s="18">
        <v>2022</v>
      </c>
      <c r="E8371" s="18" t="s">
        <v>0</v>
      </c>
      <c r="F8371" s="42">
        <v>1</v>
      </c>
      <c r="G8371" s="4">
        <v>15</v>
      </c>
      <c r="H8371" s="18">
        <v>23.93337</v>
      </c>
    </row>
    <row r="8372" spans="1:8" s="15" customFormat="1" ht="16.5" hidden="1" customHeight="1" outlineLevel="1" x14ac:dyDescent="0.25">
      <c r="A8372" s="18">
        <v>1217</v>
      </c>
      <c r="B8372" s="4" t="s">
        <v>250</v>
      </c>
      <c r="C8372" s="38" t="s">
        <v>7073</v>
      </c>
      <c r="D8372" s="18">
        <v>2022</v>
      </c>
      <c r="E8372" s="18" t="s">
        <v>0</v>
      </c>
      <c r="F8372" s="42">
        <v>1</v>
      </c>
      <c r="G8372" s="4">
        <v>15</v>
      </c>
      <c r="H8372" s="18">
        <v>23.86253</v>
      </c>
    </row>
    <row r="8373" spans="1:8" s="15" customFormat="1" ht="16.5" hidden="1" customHeight="1" outlineLevel="1" x14ac:dyDescent="0.25">
      <c r="A8373" s="18">
        <v>1117</v>
      </c>
      <c r="B8373" s="4" t="s">
        <v>250</v>
      </c>
      <c r="C8373" s="38" t="s">
        <v>7074</v>
      </c>
      <c r="D8373" s="18">
        <v>2022</v>
      </c>
      <c r="E8373" s="18" t="s">
        <v>0</v>
      </c>
      <c r="F8373" s="42">
        <v>1</v>
      </c>
      <c r="G8373" s="4">
        <v>15</v>
      </c>
      <c r="H8373" s="18">
        <v>32.602209999999999</v>
      </c>
    </row>
    <row r="8374" spans="1:8" s="15" customFormat="1" ht="16.5" hidden="1" customHeight="1" outlineLevel="1" x14ac:dyDescent="0.25">
      <c r="A8374" s="18">
        <v>1602</v>
      </c>
      <c r="B8374" s="4" t="s">
        <v>250</v>
      </c>
      <c r="C8374" s="38" t="s">
        <v>7075</v>
      </c>
      <c r="D8374" s="18">
        <v>2022</v>
      </c>
      <c r="E8374" s="18" t="s">
        <v>0</v>
      </c>
      <c r="F8374" s="42">
        <v>1</v>
      </c>
      <c r="G8374" s="4">
        <v>15</v>
      </c>
      <c r="H8374" s="18">
        <v>21.374549999999999</v>
      </c>
    </row>
    <row r="8375" spans="1:8" s="15" customFormat="1" ht="16.5" hidden="1" customHeight="1" outlineLevel="1" x14ac:dyDescent="0.25">
      <c r="A8375" s="18">
        <v>1600</v>
      </c>
      <c r="B8375" s="4" t="s">
        <v>250</v>
      </c>
      <c r="C8375" s="38" t="s">
        <v>7076</v>
      </c>
      <c r="D8375" s="18">
        <v>2022</v>
      </c>
      <c r="E8375" s="18" t="s">
        <v>0</v>
      </c>
      <c r="F8375" s="42">
        <v>1</v>
      </c>
      <c r="G8375" s="4">
        <v>15</v>
      </c>
      <c r="H8375" s="18">
        <v>21.36281</v>
      </c>
    </row>
    <row r="8376" spans="1:8" s="15" customFormat="1" ht="16.5" hidden="1" customHeight="1" outlineLevel="1" x14ac:dyDescent="0.25">
      <c r="A8376" s="18">
        <v>1300</v>
      </c>
      <c r="B8376" s="4" t="s">
        <v>250</v>
      </c>
      <c r="C8376" s="38" t="s">
        <v>7077</v>
      </c>
      <c r="D8376" s="18">
        <v>2022</v>
      </c>
      <c r="E8376" s="18" t="s">
        <v>0</v>
      </c>
      <c r="F8376" s="42">
        <v>1</v>
      </c>
      <c r="G8376" s="4">
        <v>150</v>
      </c>
      <c r="H8376" s="18">
        <v>106.99420000000001</v>
      </c>
    </row>
    <row r="8377" spans="1:8" s="15" customFormat="1" ht="16.5" hidden="1" customHeight="1" outlineLevel="1" x14ac:dyDescent="0.25">
      <c r="A8377" s="18">
        <v>1629</v>
      </c>
      <c r="B8377" s="4" t="s">
        <v>250</v>
      </c>
      <c r="C8377" s="38" t="s">
        <v>7078</v>
      </c>
      <c r="D8377" s="18">
        <v>2022</v>
      </c>
      <c r="E8377" s="18" t="s">
        <v>0</v>
      </c>
      <c r="F8377" s="42">
        <v>1</v>
      </c>
      <c r="G8377" s="4">
        <v>15</v>
      </c>
      <c r="H8377" s="18">
        <v>20.372979999999998</v>
      </c>
    </row>
    <row r="8378" spans="1:8" s="15" customFormat="1" ht="16.5" hidden="1" customHeight="1" outlineLevel="1" x14ac:dyDescent="0.25">
      <c r="A8378" s="18">
        <v>1467</v>
      </c>
      <c r="B8378" s="4" t="s">
        <v>250</v>
      </c>
      <c r="C8378" s="38" t="s">
        <v>3377</v>
      </c>
      <c r="D8378" s="18">
        <v>2022</v>
      </c>
      <c r="E8378" s="18" t="s">
        <v>0</v>
      </c>
      <c r="F8378" s="42">
        <v>1</v>
      </c>
      <c r="G8378" s="4">
        <v>15</v>
      </c>
      <c r="H8378" s="18">
        <v>43.774450000000002</v>
      </c>
    </row>
    <row r="8379" spans="1:8" s="15" customFormat="1" ht="16.5" hidden="1" customHeight="1" outlineLevel="1" x14ac:dyDescent="0.25">
      <c r="A8379" s="18">
        <v>1585</v>
      </c>
      <c r="B8379" s="4" t="s">
        <v>250</v>
      </c>
      <c r="C8379" s="38" t="s">
        <v>7079</v>
      </c>
      <c r="D8379" s="18">
        <v>2022</v>
      </c>
      <c r="E8379" s="18" t="s">
        <v>0</v>
      </c>
      <c r="F8379" s="42">
        <v>1</v>
      </c>
      <c r="G8379" s="4">
        <v>15</v>
      </c>
      <c r="H8379" s="18">
        <v>29.345410000000001</v>
      </c>
    </row>
    <row r="8380" spans="1:8" s="15" customFormat="1" ht="16.5" hidden="1" customHeight="1" outlineLevel="1" x14ac:dyDescent="0.25">
      <c r="A8380" s="18">
        <v>1574</v>
      </c>
      <c r="B8380" s="4" t="s">
        <v>250</v>
      </c>
      <c r="C8380" s="38" t="s">
        <v>7080</v>
      </c>
      <c r="D8380" s="18">
        <v>2022</v>
      </c>
      <c r="E8380" s="18" t="s">
        <v>0</v>
      </c>
      <c r="F8380" s="42">
        <v>1</v>
      </c>
      <c r="G8380" s="4">
        <v>15</v>
      </c>
      <c r="H8380" s="18">
        <v>29.348510000000001</v>
      </c>
    </row>
    <row r="8381" spans="1:8" s="15" customFormat="1" ht="16.5" hidden="1" customHeight="1" outlineLevel="1" x14ac:dyDescent="0.25">
      <c r="A8381" s="18">
        <v>1544</v>
      </c>
      <c r="B8381" s="4" t="s">
        <v>250</v>
      </c>
      <c r="C8381" s="38" t="s">
        <v>7081</v>
      </c>
      <c r="D8381" s="18">
        <v>2022</v>
      </c>
      <c r="E8381" s="18" t="s">
        <v>0</v>
      </c>
      <c r="F8381" s="42">
        <v>1</v>
      </c>
      <c r="G8381" s="4">
        <v>15</v>
      </c>
      <c r="H8381" s="18">
        <v>29.530819999999999</v>
      </c>
    </row>
    <row r="8382" spans="1:8" s="15" customFormat="1" ht="16.5" hidden="1" customHeight="1" outlineLevel="1" x14ac:dyDescent="0.25">
      <c r="A8382" s="18">
        <v>1539</v>
      </c>
      <c r="B8382" s="4" t="s">
        <v>250</v>
      </c>
      <c r="C8382" s="38" t="s">
        <v>7082</v>
      </c>
      <c r="D8382" s="18">
        <v>2022</v>
      </c>
      <c r="E8382" s="18" t="s">
        <v>0</v>
      </c>
      <c r="F8382" s="42">
        <v>1</v>
      </c>
      <c r="G8382" s="4">
        <v>15</v>
      </c>
      <c r="H8382" s="18">
        <v>27.992619999999999</v>
      </c>
    </row>
    <row r="8383" spans="1:8" s="15" customFormat="1" ht="16.5" hidden="1" customHeight="1" outlineLevel="1" x14ac:dyDescent="0.25">
      <c r="A8383" s="18">
        <v>1540</v>
      </c>
      <c r="B8383" s="4" t="s">
        <v>250</v>
      </c>
      <c r="C8383" s="38" t="s">
        <v>7083</v>
      </c>
      <c r="D8383" s="18">
        <v>2022</v>
      </c>
      <c r="E8383" s="18" t="s">
        <v>0</v>
      </c>
      <c r="F8383" s="42">
        <v>1</v>
      </c>
      <c r="G8383" s="4">
        <v>15</v>
      </c>
      <c r="H8383" s="18">
        <v>29.114439999999998</v>
      </c>
    </row>
    <row r="8384" spans="1:8" s="15" customFormat="1" ht="16.5" hidden="1" customHeight="1" outlineLevel="1" x14ac:dyDescent="0.25">
      <c r="A8384" s="18">
        <v>1518</v>
      </c>
      <c r="B8384" s="4" t="s">
        <v>250</v>
      </c>
      <c r="C8384" s="38" t="s">
        <v>7084</v>
      </c>
      <c r="D8384" s="18">
        <v>2022</v>
      </c>
      <c r="E8384" s="18" t="s">
        <v>0</v>
      </c>
      <c r="F8384" s="42">
        <v>1</v>
      </c>
      <c r="G8384" s="4">
        <v>5</v>
      </c>
      <c r="H8384" s="18">
        <v>27.587070000000001</v>
      </c>
    </row>
    <row r="8385" spans="1:8" s="15" customFormat="1" ht="16.5" hidden="1" customHeight="1" outlineLevel="1" x14ac:dyDescent="0.25">
      <c r="A8385" s="18">
        <v>1543</v>
      </c>
      <c r="B8385" s="4" t="s">
        <v>250</v>
      </c>
      <c r="C8385" s="38" t="s">
        <v>7085</v>
      </c>
      <c r="D8385" s="18">
        <v>2022</v>
      </c>
      <c r="E8385" s="18" t="s">
        <v>0</v>
      </c>
      <c r="F8385" s="42">
        <v>1</v>
      </c>
      <c r="G8385" s="4">
        <v>15</v>
      </c>
      <c r="H8385" s="18">
        <v>28.80339</v>
      </c>
    </row>
    <row r="8386" spans="1:8" s="15" customFormat="1" ht="16.5" hidden="1" customHeight="1" outlineLevel="1" x14ac:dyDescent="0.25">
      <c r="A8386" s="18">
        <v>1516</v>
      </c>
      <c r="B8386" s="4" t="s">
        <v>250</v>
      </c>
      <c r="C8386" s="38" t="s">
        <v>7086</v>
      </c>
      <c r="D8386" s="18">
        <v>2022</v>
      </c>
      <c r="E8386" s="18" t="s">
        <v>0</v>
      </c>
      <c r="F8386" s="42">
        <v>1</v>
      </c>
      <c r="G8386" s="4">
        <v>15</v>
      </c>
      <c r="H8386" s="18">
        <v>28.28978</v>
      </c>
    </row>
    <row r="8387" spans="1:8" s="15" customFormat="1" ht="16.5" hidden="1" customHeight="1" outlineLevel="1" x14ac:dyDescent="0.25">
      <c r="A8387" s="18">
        <v>1480</v>
      </c>
      <c r="B8387" s="4" t="s">
        <v>250</v>
      </c>
      <c r="C8387" s="38" t="s">
        <v>7087</v>
      </c>
      <c r="D8387" s="18">
        <v>2022</v>
      </c>
      <c r="E8387" s="18" t="s">
        <v>0</v>
      </c>
      <c r="F8387" s="42">
        <v>1</v>
      </c>
      <c r="G8387" s="4">
        <v>14</v>
      </c>
      <c r="H8387" s="18">
        <v>47.325870000000002</v>
      </c>
    </row>
    <row r="8388" spans="1:8" s="15" customFormat="1" ht="16.5" hidden="1" customHeight="1" outlineLevel="1" x14ac:dyDescent="0.25">
      <c r="A8388" s="18">
        <v>1211</v>
      </c>
      <c r="B8388" s="4" t="s">
        <v>250</v>
      </c>
      <c r="C8388" s="38" t="s">
        <v>7088</v>
      </c>
      <c r="D8388" s="18">
        <v>2022</v>
      </c>
      <c r="E8388" s="18" t="s">
        <v>0</v>
      </c>
      <c r="F8388" s="42">
        <v>1</v>
      </c>
      <c r="G8388" s="4">
        <v>15</v>
      </c>
      <c r="H8388" s="18">
        <v>29.51773</v>
      </c>
    </row>
    <row r="8389" spans="1:8" s="15" customFormat="1" ht="16.5" hidden="1" customHeight="1" outlineLevel="1" x14ac:dyDescent="0.25">
      <c r="A8389" s="18">
        <v>1478</v>
      </c>
      <c r="B8389" s="4" t="s">
        <v>250</v>
      </c>
      <c r="C8389" s="38" t="s">
        <v>7089</v>
      </c>
      <c r="D8389" s="18">
        <v>2022</v>
      </c>
      <c r="E8389" s="18" t="s">
        <v>0</v>
      </c>
      <c r="F8389" s="42">
        <v>1</v>
      </c>
      <c r="G8389" s="4">
        <v>15</v>
      </c>
      <c r="H8389" s="18">
        <v>29.14348</v>
      </c>
    </row>
    <row r="8390" spans="1:8" s="15" customFormat="1" ht="16.5" hidden="1" customHeight="1" outlineLevel="1" x14ac:dyDescent="0.25">
      <c r="A8390" s="18">
        <v>1542</v>
      </c>
      <c r="B8390" s="4" t="s">
        <v>250</v>
      </c>
      <c r="C8390" s="38" t="s">
        <v>7090</v>
      </c>
      <c r="D8390" s="18">
        <v>2022</v>
      </c>
      <c r="E8390" s="18" t="s">
        <v>0</v>
      </c>
      <c r="F8390" s="42">
        <v>1</v>
      </c>
      <c r="G8390" s="4">
        <v>15</v>
      </c>
      <c r="H8390" s="18">
        <v>28.895720000000001</v>
      </c>
    </row>
    <row r="8391" spans="1:8" s="15" customFormat="1" ht="16.5" hidden="1" customHeight="1" outlineLevel="1" x14ac:dyDescent="0.25">
      <c r="A8391" s="18">
        <v>1431</v>
      </c>
      <c r="B8391" s="4" t="s">
        <v>250</v>
      </c>
      <c r="C8391" s="38" t="s">
        <v>3379</v>
      </c>
      <c r="D8391" s="18">
        <v>2022</v>
      </c>
      <c r="E8391" s="18" t="s">
        <v>0</v>
      </c>
      <c r="F8391" s="42">
        <v>1</v>
      </c>
      <c r="G8391" s="4">
        <v>15</v>
      </c>
      <c r="H8391" s="18">
        <v>86.677850000000007</v>
      </c>
    </row>
    <row r="8392" spans="1:8" s="15" customFormat="1" ht="16.5" hidden="1" customHeight="1" outlineLevel="1" x14ac:dyDescent="0.25">
      <c r="A8392" s="18">
        <v>1432</v>
      </c>
      <c r="B8392" s="4" t="s">
        <v>250</v>
      </c>
      <c r="C8392" s="38" t="s">
        <v>3380</v>
      </c>
      <c r="D8392" s="18">
        <v>2022</v>
      </c>
      <c r="E8392" s="18" t="s">
        <v>0</v>
      </c>
      <c r="F8392" s="42">
        <v>1</v>
      </c>
      <c r="G8392" s="4">
        <v>15</v>
      </c>
      <c r="H8392" s="18">
        <v>85.210419999999999</v>
      </c>
    </row>
    <row r="8393" spans="1:8" s="15" customFormat="1" ht="16.5" hidden="1" customHeight="1" outlineLevel="1" x14ac:dyDescent="0.25">
      <c r="A8393" s="18">
        <v>1546</v>
      </c>
      <c r="B8393" s="4" t="s">
        <v>250</v>
      </c>
      <c r="C8393" s="38" t="s">
        <v>3381</v>
      </c>
      <c r="D8393" s="18">
        <v>2022</v>
      </c>
      <c r="E8393" s="18" t="s">
        <v>0</v>
      </c>
      <c r="F8393" s="42">
        <v>1</v>
      </c>
      <c r="G8393" s="4">
        <v>15</v>
      </c>
      <c r="H8393" s="18">
        <v>79.431190000000001</v>
      </c>
    </row>
    <row r="8394" spans="1:8" s="15" customFormat="1" ht="16.5" hidden="1" customHeight="1" outlineLevel="1" x14ac:dyDescent="0.25">
      <c r="A8394" s="18">
        <v>1571</v>
      </c>
      <c r="B8394" s="4" t="s">
        <v>250</v>
      </c>
      <c r="C8394" s="38" t="s">
        <v>7091</v>
      </c>
      <c r="D8394" s="18">
        <v>2022</v>
      </c>
      <c r="E8394" s="18" t="s">
        <v>0</v>
      </c>
      <c r="F8394" s="42">
        <v>1</v>
      </c>
      <c r="G8394" s="4">
        <v>15</v>
      </c>
      <c r="H8394" s="18">
        <v>27.743770000000001</v>
      </c>
    </row>
    <row r="8395" spans="1:8" s="15" customFormat="1" ht="16.5" hidden="1" customHeight="1" outlineLevel="1" x14ac:dyDescent="0.25">
      <c r="A8395" s="18">
        <v>1656</v>
      </c>
      <c r="B8395" s="4" t="s">
        <v>250</v>
      </c>
      <c r="C8395" s="38" t="s">
        <v>7092</v>
      </c>
      <c r="D8395" s="18">
        <v>2022</v>
      </c>
      <c r="E8395" s="18" t="s">
        <v>0</v>
      </c>
      <c r="F8395" s="42">
        <v>1</v>
      </c>
      <c r="G8395" s="4">
        <v>15</v>
      </c>
      <c r="H8395" s="18">
        <v>21.623889999999999</v>
      </c>
    </row>
    <row r="8396" spans="1:8" s="15" customFormat="1" ht="16.5" hidden="1" customHeight="1" outlineLevel="1" x14ac:dyDescent="0.25">
      <c r="A8396" s="18">
        <v>1657</v>
      </c>
      <c r="B8396" s="4" t="s">
        <v>250</v>
      </c>
      <c r="C8396" s="38" t="s">
        <v>7093</v>
      </c>
      <c r="D8396" s="18">
        <v>2022</v>
      </c>
      <c r="E8396" s="18" t="s">
        <v>0</v>
      </c>
      <c r="F8396" s="42">
        <v>1</v>
      </c>
      <c r="G8396" s="4">
        <v>15</v>
      </c>
      <c r="H8396" s="18">
        <v>21.58127</v>
      </c>
    </row>
    <row r="8397" spans="1:8" s="15" customFormat="1" ht="16.5" hidden="1" customHeight="1" outlineLevel="1" x14ac:dyDescent="0.25">
      <c r="A8397" s="18">
        <v>1658</v>
      </c>
      <c r="B8397" s="4" t="s">
        <v>250</v>
      </c>
      <c r="C8397" s="38" t="s">
        <v>7094</v>
      </c>
      <c r="D8397" s="18">
        <v>2022</v>
      </c>
      <c r="E8397" s="18" t="s">
        <v>0</v>
      </c>
      <c r="F8397" s="42">
        <v>1</v>
      </c>
      <c r="G8397" s="4">
        <v>15</v>
      </c>
      <c r="H8397" s="18">
        <v>20.353010000000001</v>
      </c>
    </row>
    <row r="8398" spans="1:8" s="15" customFormat="1" ht="16.5" hidden="1" customHeight="1" outlineLevel="1" x14ac:dyDescent="0.25">
      <c r="A8398" s="18">
        <v>1556</v>
      </c>
      <c r="B8398" s="4" t="s">
        <v>250</v>
      </c>
      <c r="C8398" s="38" t="s">
        <v>7095</v>
      </c>
      <c r="D8398" s="18">
        <v>2022</v>
      </c>
      <c r="E8398" s="18" t="s">
        <v>0</v>
      </c>
      <c r="F8398" s="42">
        <v>1</v>
      </c>
      <c r="G8398" s="4">
        <v>15</v>
      </c>
      <c r="H8398" s="18">
        <v>27.641110000000001</v>
      </c>
    </row>
    <row r="8399" spans="1:8" s="15" customFormat="1" ht="16.5" hidden="1" customHeight="1" outlineLevel="1" x14ac:dyDescent="0.25">
      <c r="A8399" s="18">
        <v>1416</v>
      </c>
      <c r="B8399" s="4" t="s">
        <v>250</v>
      </c>
      <c r="C8399" s="38" t="s">
        <v>7096</v>
      </c>
      <c r="D8399" s="18">
        <v>2022</v>
      </c>
      <c r="E8399" s="18" t="s">
        <v>0</v>
      </c>
      <c r="F8399" s="42">
        <v>1</v>
      </c>
      <c r="G8399" s="4">
        <v>15</v>
      </c>
      <c r="H8399" s="18">
        <v>25.94896</v>
      </c>
    </row>
    <row r="8400" spans="1:8" s="15" customFormat="1" ht="16.5" hidden="1" customHeight="1" outlineLevel="1" x14ac:dyDescent="0.25">
      <c r="A8400" s="18">
        <v>1383</v>
      </c>
      <c r="B8400" s="4" t="s">
        <v>250</v>
      </c>
      <c r="C8400" s="38" t="s">
        <v>7097</v>
      </c>
      <c r="D8400" s="18">
        <v>2022</v>
      </c>
      <c r="E8400" s="18" t="s">
        <v>0</v>
      </c>
      <c r="F8400" s="42">
        <v>1</v>
      </c>
      <c r="G8400" s="4">
        <v>15</v>
      </c>
      <c r="H8400" s="18">
        <v>27.371600000000001</v>
      </c>
    </row>
    <row r="8401" spans="1:8" s="15" customFormat="1" ht="16.5" hidden="1" customHeight="1" outlineLevel="1" x14ac:dyDescent="0.25">
      <c r="A8401" s="18">
        <v>1659</v>
      </c>
      <c r="B8401" s="4" t="s">
        <v>250</v>
      </c>
      <c r="C8401" s="38" t="s">
        <v>7098</v>
      </c>
      <c r="D8401" s="18">
        <v>2022</v>
      </c>
      <c r="E8401" s="18" t="s">
        <v>0</v>
      </c>
      <c r="F8401" s="42">
        <v>1</v>
      </c>
      <c r="G8401" s="4">
        <v>15</v>
      </c>
      <c r="H8401" s="18">
        <v>20.32394</v>
      </c>
    </row>
    <row r="8402" spans="1:8" s="15" customFormat="1" ht="16.5" hidden="1" customHeight="1" outlineLevel="1" x14ac:dyDescent="0.25">
      <c r="A8402" s="18">
        <v>1569</v>
      </c>
      <c r="B8402" s="4" t="s">
        <v>250</v>
      </c>
      <c r="C8402" s="38" t="s">
        <v>7099</v>
      </c>
      <c r="D8402" s="18">
        <v>2022</v>
      </c>
      <c r="E8402" s="18" t="s">
        <v>0</v>
      </c>
      <c r="F8402" s="42">
        <v>1</v>
      </c>
      <c r="G8402" s="4">
        <v>15</v>
      </c>
      <c r="H8402" s="18">
        <v>28.20553</v>
      </c>
    </row>
    <row r="8403" spans="1:8" s="15" customFormat="1" ht="16.5" hidden="1" customHeight="1" outlineLevel="1" x14ac:dyDescent="0.25">
      <c r="A8403" s="18">
        <v>1378</v>
      </c>
      <c r="B8403" s="4" t="s">
        <v>250</v>
      </c>
      <c r="C8403" s="38" t="s">
        <v>7100</v>
      </c>
      <c r="D8403" s="18">
        <v>2022</v>
      </c>
      <c r="E8403" s="18" t="s">
        <v>0</v>
      </c>
      <c r="F8403" s="42">
        <v>1</v>
      </c>
      <c r="G8403" s="4">
        <v>15</v>
      </c>
      <c r="H8403" s="18">
        <v>27.528220000000001</v>
      </c>
    </row>
    <row r="8404" spans="1:8" s="15" customFormat="1" ht="16.5" hidden="1" customHeight="1" outlineLevel="1" x14ac:dyDescent="0.25">
      <c r="A8404" s="18">
        <v>1660</v>
      </c>
      <c r="B8404" s="4" t="s">
        <v>250</v>
      </c>
      <c r="C8404" s="38" t="s">
        <v>7101</v>
      </c>
      <c r="D8404" s="18">
        <v>2022</v>
      </c>
      <c r="E8404" s="18" t="s">
        <v>0</v>
      </c>
      <c r="F8404" s="42">
        <v>1</v>
      </c>
      <c r="G8404" s="4">
        <v>15</v>
      </c>
      <c r="H8404" s="18">
        <v>20.434280000000001</v>
      </c>
    </row>
    <row r="8405" spans="1:8" s="15" customFormat="1" ht="16.5" hidden="1" customHeight="1" outlineLevel="1" x14ac:dyDescent="0.25">
      <c r="A8405" s="18">
        <v>1582</v>
      </c>
      <c r="B8405" s="4" t="s">
        <v>250</v>
      </c>
      <c r="C8405" s="38" t="s">
        <v>7102</v>
      </c>
      <c r="D8405" s="18">
        <v>2022</v>
      </c>
      <c r="E8405" s="18" t="s">
        <v>0</v>
      </c>
      <c r="F8405" s="42">
        <v>1</v>
      </c>
      <c r="G8405" s="4">
        <v>15</v>
      </c>
      <c r="H8405" s="18">
        <v>27.355149999999998</v>
      </c>
    </row>
    <row r="8406" spans="1:8" s="15" customFormat="1" ht="16.5" hidden="1" customHeight="1" outlineLevel="1" x14ac:dyDescent="0.25">
      <c r="A8406" s="18">
        <v>1661</v>
      </c>
      <c r="B8406" s="4" t="s">
        <v>250</v>
      </c>
      <c r="C8406" s="38" t="s">
        <v>7103</v>
      </c>
      <c r="D8406" s="18">
        <v>2022</v>
      </c>
      <c r="E8406" s="18" t="s">
        <v>0</v>
      </c>
      <c r="F8406" s="42">
        <v>1</v>
      </c>
      <c r="G8406" s="4">
        <v>15</v>
      </c>
      <c r="H8406" s="18">
        <v>20.406030000000001</v>
      </c>
    </row>
    <row r="8407" spans="1:8" s="15" customFormat="1" ht="16.5" hidden="1" customHeight="1" outlineLevel="1" x14ac:dyDescent="0.25">
      <c r="A8407" s="18">
        <v>1662</v>
      </c>
      <c r="B8407" s="4" t="s">
        <v>250</v>
      </c>
      <c r="C8407" s="38" t="s">
        <v>7104</v>
      </c>
      <c r="D8407" s="18">
        <v>2022</v>
      </c>
      <c r="E8407" s="18" t="s">
        <v>0</v>
      </c>
      <c r="F8407" s="42">
        <v>1</v>
      </c>
      <c r="G8407" s="4">
        <v>15</v>
      </c>
      <c r="H8407" s="18">
        <v>20.582090000000001</v>
      </c>
    </row>
    <row r="8408" spans="1:8" s="15" customFormat="1" ht="16.5" hidden="1" customHeight="1" outlineLevel="1" x14ac:dyDescent="0.25">
      <c r="A8408" s="18">
        <v>1586</v>
      </c>
      <c r="B8408" s="4" t="s">
        <v>250</v>
      </c>
      <c r="C8408" s="38" t="s">
        <v>7105</v>
      </c>
      <c r="D8408" s="18">
        <v>2022</v>
      </c>
      <c r="E8408" s="18" t="s">
        <v>0</v>
      </c>
      <c r="F8408" s="42">
        <v>1</v>
      </c>
      <c r="G8408" s="4">
        <v>15</v>
      </c>
      <c r="H8408" s="18">
        <v>27.349409999999999</v>
      </c>
    </row>
    <row r="8409" spans="1:8" s="15" customFormat="1" ht="16.5" hidden="1" customHeight="1" outlineLevel="1" x14ac:dyDescent="0.25">
      <c r="A8409" s="18">
        <v>1651</v>
      </c>
      <c r="B8409" s="4" t="s">
        <v>250</v>
      </c>
      <c r="C8409" s="38" t="s">
        <v>7106</v>
      </c>
      <c r="D8409" s="18">
        <v>2022</v>
      </c>
      <c r="E8409" s="18" t="s">
        <v>0</v>
      </c>
      <c r="F8409" s="42">
        <v>1</v>
      </c>
      <c r="G8409" s="4">
        <v>15</v>
      </c>
      <c r="H8409" s="18">
        <v>20.391559999999998</v>
      </c>
    </row>
    <row r="8410" spans="1:8" s="15" customFormat="1" ht="16.5" hidden="1" customHeight="1" outlineLevel="1" x14ac:dyDescent="0.25">
      <c r="A8410" s="18">
        <v>1558</v>
      </c>
      <c r="B8410" s="4" t="s">
        <v>250</v>
      </c>
      <c r="C8410" s="38" t="s">
        <v>7107</v>
      </c>
      <c r="D8410" s="18">
        <v>2022</v>
      </c>
      <c r="E8410" s="18" t="s">
        <v>0</v>
      </c>
      <c r="F8410" s="42">
        <v>1</v>
      </c>
      <c r="G8410" s="4">
        <v>15</v>
      </c>
      <c r="H8410" s="18">
        <v>27.349409999999999</v>
      </c>
    </row>
    <row r="8411" spans="1:8" s="15" customFormat="1" ht="16.5" hidden="1" customHeight="1" outlineLevel="1" x14ac:dyDescent="0.25">
      <c r="A8411" s="18">
        <v>1301</v>
      </c>
      <c r="B8411" s="4" t="s">
        <v>250</v>
      </c>
      <c r="C8411" s="38" t="s">
        <v>7108</v>
      </c>
      <c r="D8411" s="18">
        <v>2022</v>
      </c>
      <c r="E8411" s="18" t="s">
        <v>0</v>
      </c>
      <c r="F8411" s="42">
        <v>1</v>
      </c>
      <c r="G8411" s="4">
        <v>14</v>
      </c>
      <c r="H8411" s="18">
        <v>27.582529999999998</v>
      </c>
    </row>
    <row r="8412" spans="1:8" s="15" customFormat="1" ht="16.5" hidden="1" customHeight="1" outlineLevel="1" x14ac:dyDescent="0.25">
      <c r="A8412" s="18">
        <v>1652</v>
      </c>
      <c r="B8412" s="4" t="s">
        <v>250</v>
      </c>
      <c r="C8412" s="38" t="s">
        <v>7109</v>
      </c>
      <c r="D8412" s="18">
        <v>2022</v>
      </c>
      <c r="E8412" s="18" t="s">
        <v>0</v>
      </c>
      <c r="F8412" s="42">
        <v>1</v>
      </c>
      <c r="G8412" s="4">
        <v>15</v>
      </c>
      <c r="H8412" s="18">
        <v>20.391549999999999</v>
      </c>
    </row>
    <row r="8413" spans="1:8" s="15" customFormat="1" ht="16.5" hidden="1" customHeight="1" outlineLevel="1" x14ac:dyDescent="0.25">
      <c r="A8413" s="18">
        <v>1336</v>
      </c>
      <c r="B8413" s="4" t="s">
        <v>250</v>
      </c>
      <c r="C8413" s="38" t="s">
        <v>7110</v>
      </c>
      <c r="D8413" s="18">
        <v>2022</v>
      </c>
      <c r="E8413" s="18" t="s">
        <v>0</v>
      </c>
      <c r="F8413" s="42">
        <v>1</v>
      </c>
      <c r="G8413" s="4">
        <v>15</v>
      </c>
      <c r="H8413" s="18">
        <v>27.122769999999999</v>
      </c>
    </row>
    <row r="8414" spans="1:8" s="15" customFormat="1" ht="16.5" hidden="1" customHeight="1" outlineLevel="1" x14ac:dyDescent="0.25">
      <c r="A8414" s="18">
        <v>1511</v>
      </c>
      <c r="B8414" s="4" t="s">
        <v>250</v>
      </c>
      <c r="C8414" s="38" t="s">
        <v>7111</v>
      </c>
      <c r="D8414" s="18">
        <v>2022</v>
      </c>
      <c r="E8414" s="18" t="s">
        <v>0</v>
      </c>
      <c r="F8414" s="42">
        <v>1</v>
      </c>
      <c r="G8414" s="4">
        <v>14</v>
      </c>
      <c r="H8414" s="18">
        <v>29.015250000000002</v>
      </c>
    </row>
    <row r="8415" spans="1:8" s="15" customFormat="1" ht="16.5" hidden="1" customHeight="1" outlineLevel="1" x14ac:dyDescent="0.25">
      <c r="A8415" s="18">
        <v>1510</v>
      </c>
      <c r="B8415" s="4" t="s">
        <v>250</v>
      </c>
      <c r="C8415" s="38" t="s">
        <v>7112</v>
      </c>
      <c r="D8415" s="18">
        <v>2022</v>
      </c>
      <c r="E8415" s="18" t="s">
        <v>0</v>
      </c>
      <c r="F8415" s="42">
        <v>1</v>
      </c>
      <c r="G8415" s="4">
        <v>14</v>
      </c>
      <c r="H8415" s="18">
        <v>29.015250000000002</v>
      </c>
    </row>
    <row r="8416" spans="1:8" s="15" customFormat="1" ht="16.5" hidden="1" customHeight="1" outlineLevel="1" x14ac:dyDescent="0.25">
      <c r="A8416" s="18">
        <v>1512</v>
      </c>
      <c r="B8416" s="4" t="s">
        <v>250</v>
      </c>
      <c r="C8416" s="38" t="s">
        <v>7113</v>
      </c>
      <c r="D8416" s="18">
        <v>2022</v>
      </c>
      <c r="E8416" s="18" t="s">
        <v>0</v>
      </c>
      <c r="F8416" s="42">
        <v>1</v>
      </c>
      <c r="G8416" s="4">
        <v>14</v>
      </c>
      <c r="H8416" s="18">
        <v>29.015219999999999</v>
      </c>
    </row>
    <row r="8417" spans="1:8" s="15" customFormat="1" ht="16.5" hidden="1" customHeight="1" outlineLevel="1" x14ac:dyDescent="0.25">
      <c r="A8417" s="18">
        <v>1485</v>
      </c>
      <c r="B8417" s="4" t="s">
        <v>250</v>
      </c>
      <c r="C8417" s="38" t="s">
        <v>7114</v>
      </c>
      <c r="D8417" s="18">
        <v>2022</v>
      </c>
      <c r="E8417" s="18" t="s">
        <v>0</v>
      </c>
      <c r="F8417" s="42">
        <v>1</v>
      </c>
      <c r="G8417" s="4">
        <v>14</v>
      </c>
      <c r="H8417" s="18">
        <v>36.839280000000002</v>
      </c>
    </row>
    <row r="8418" spans="1:8" s="15" customFormat="1" ht="16.5" hidden="1" customHeight="1" outlineLevel="1" x14ac:dyDescent="0.25">
      <c r="A8418" s="18">
        <v>1626</v>
      </c>
      <c r="B8418" s="4" t="s">
        <v>250</v>
      </c>
      <c r="C8418" s="38" t="s">
        <v>7115</v>
      </c>
      <c r="D8418" s="18">
        <v>2022</v>
      </c>
      <c r="E8418" s="18" t="s">
        <v>0</v>
      </c>
      <c r="F8418" s="42">
        <v>1</v>
      </c>
      <c r="G8418" s="4">
        <v>15</v>
      </c>
      <c r="H8418" s="18">
        <v>20.923310000000001</v>
      </c>
    </row>
    <row r="8419" spans="1:8" s="15" customFormat="1" ht="16.5" hidden="1" customHeight="1" outlineLevel="1" x14ac:dyDescent="0.25">
      <c r="A8419" s="18">
        <v>1622</v>
      </c>
      <c r="B8419" s="4" t="s">
        <v>250</v>
      </c>
      <c r="C8419" s="38" t="s">
        <v>7116</v>
      </c>
      <c r="D8419" s="18">
        <v>2022</v>
      </c>
      <c r="E8419" s="18" t="s">
        <v>0</v>
      </c>
      <c r="F8419" s="42">
        <v>1</v>
      </c>
      <c r="G8419" s="4">
        <v>15</v>
      </c>
      <c r="H8419" s="18">
        <v>20.190079999999998</v>
      </c>
    </row>
    <row r="8420" spans="1:8" s="15" customFormat="1" ht="16.5" hidden="1" customHeight="1" outlineLevel="1" x14ac:dyDescent="0.25">
      <c r="A8420" s="18">
        <v>1620</v>
      </c>
      <c r="B8420" s="4" t="s">
        <v>250</v>
      </c>
      <c r="C8420" s="38" t="s">
        <v>7117</v>
      </c>
      <c r="D8420" s="18">
        <v>2022</v>
      </c>
      <c r="E8420" s="18" t="s">
        <v>0</v>
      </c>
      <c r="F8420" s="42">
        <v>1</v>
      </c>
      <c r="G8420" s="4">
        <v>15</v>
      </c>
      <c r="H8420" s="18">
        <v>20.587530000000001</v>
      </c>
    </row>
    <row r="8421" spans="1:8" s="15" customFormat="1" ht="16.5" hidden="1" customHeight="1" outlineLevel="1" x14ac:dyDescent="0.25">
      <c r="A8421" s="18">
        <v>1625</v>
      </c>
      <c r="B8421" s="4" t="s">
        <v>250</v>
      </c>
      <c r="C8421" s="38" t="s">
        <v>7118</v>
      </c>
      <c r="D8421" s="18">
        <v>2022</v>
      </c>
      <c r="E8421" s="18" t="s">
        <v>0</v>
      </c>
      <c r="F8421" s="42">
        <v>1</v>
      </c>
      <c r="G8421" s="4">
        <v>15</v>
      </c>
      <c r="H8421" s="18">
        <v>20.158169999999998</v>
      </c>
    </row>
    <row r="8422" spans="1:8" s="15" customFormat="1" ht="16.5" hidden="1" customHeight="1" outlineLevel="1" x14ac:dyDescent="0.25">
      <c r="A8422" s="18">
        <v>1619</v>
      </c>
      <c r="B8422" s="4" t="s">
        <v>250</v>
      </c>
      <c r="C8422" s="38" t="s">
        <v>7119</v>
      </c>
      <c r="D8422" s="18">
        <v>2022</v>
      </c>
      <c r="E8422" s="18" t="s">
        <v>0</v>
      </c>
      <c r="F8422" s="42">
        <v>1</v>
      </c>
      <c r="G8422" s="4">
        <v>15</v>
      </c>
      <c r="H8422" s="18">
        <v>20.587530000000001</v>
      </c>
    </row>
    <row r="8423" spans="1:8" s="15" customFormat="1" ht="16.5" hidden="1" customHeight="1" outlineLevel="1" x14ac:dyDescent="0.25">
      <c r="A8423" s="18">
        <v>1623</v>
      </c>
      <c r="B8423" s="4" t="s">
        <v>250</v>
      </c>
      <c r="C8423" s="38" t="s">
        <v>7120</v>
      </c>
      <c r="D8423" s="18">
        <v>2022</v>
      </c>
      <c r="E8423" s="18" t="s">
        <v>0</v>
      </c>
      <c r="F8423" s="42">
        <v>1</v>
      </c>
      <c r="G8423" s="4">
        <v>15</v>
      </c>
      <c r="H8423" s="18">
        <v>20.19012</v>
      </c>
    </row>
    <row r="8424" spans="1:8" s="15" customFormat="1" ht="16.5" hidden="1" customHeight="1" outlineLevel="1" x14ac:dyDescent="0.25">
      <c r="A8424" s="18">
        <v>1618</v>
      </c>
      <c r="B8424" s="4" t="s">
        <v>250</v>
      </c>
      <c r="C8424" s="38" t="s">
        <v>7121</v>
      </c>
      <c r="D8424" s="18">
        <v>2022</v>
      </c>
      <c r="E8424" s="18" t="s">
        <v>0</v>
      </c>
      <c r="F8424" s="42">
        <v>1</v>
      </c>
      <c r="G8424" s="4">
        <v>15</v>
      </c>
      <c r="H8424" s="18">
        <v>20.587579999999999</v>
      </c>
    </row>
    <row r="8425" spans="1:8" s="15" customFormat="1" ht="16.5" hidden="1" customHeight="1" outlineLevel="1" x14ac:dyDescent="0.25">
      <c r="A8425" s="18">
        <v>1617</v>
      </c>
      <c r="B8425" s="4" t="s">
        <v>250</v>
      </c>
      <c r="C8425" s="38" t="s">
        <v>7122</v>
      </c>
      <c r="D8425" s="18">
        <v>2022</v>
      </c>
      <c r="E8425" s="18" t="s">
        <v>0</v>
      </c>
      <c r="F8425" s="42">
        <v>1</v>
      </c>
      <c r="G8425" s="4">
        <v>15</v>
      </c>
      <c r="H8425" s="18">
        <v>20.587579999999999</v>
      </c>
    </row>
    <row r="8426" spans="1:8" s="15" customFormat="1" ht="16.5" hidden="1" customHeight="1" outlineLevel="1" x14ac:dyDescent="0.25">
      <c r="A8426" s="18">
        <v>1410</v>
      </c>
      <c r="B8426" s="4" t="s">
        <v>250</v>
      </c>
      <c r="C8426" s="38" t="s">
        <v>7123</v>
      </c>
      <c r="D8426" s="18">
        <v>2022</v>
      </c>
      <c r="E8426" s="18" t="s">
        <v>0</v>
      </c>
      <c r="F8426" s="42">
        <v>1</v>
      </c>
      <c r="G8426" s="4">
        <v>5</v>
      </c>
      <c r="H8426" s="18">
        <v>53.881999999999998</v>
      </c>
    </row>
    <row r="8427" spans="1:8" s="15" customFormat="1" ht="16.5" hidden="1" customHeight="1" outlineLevel="1" x14ac:dyDescent="0.25">
      <c r="A8427" s="18">
        <v>1353</v>
      </c>
      <c r="B8427" s="4" t="s">
        <v>250</v>
      </c>
      <c r="C8427" s="38" t="s">
        <v>7124</v>
      </c>
      <c r="D8427" s="18">
        <v>2022</v>
      </c>
      <c r="E8427" s="18" t="s">
        <v>0</v>
      </c>
      <c r="F8427" s="42">
        <v>1</v>
      </c>
      <c r="G8427" s="4">
        <v>15</v>
      </c>
      <c r="H8427" s="18">
        <v>26.2971</v>
      </c>
    </row>
    <row r="8428" spans="1:8" s="15" customFormat="1" ht="16.5" hidden="1" customHeight="1" outlineLevel="1" x14ac:dyDescent="0.25">
      <c r="A8428" s="18">
        <v>1091</v>
      </c>
      <c r="B8428" s="4" t="s">
        <v>250</v>
      </c>
      <c r="C8428" s="38" t="s">
        <v>7125</v>
      </c>
      <c r="D8428" s="18">
        <v>2022</v>
      </c>
      <c r="E8428" s="18" t="s">
        <v>0</v>
      </c>
      <c r="F8428" s="42">
        <v>1</v>
      </c>
      <c r="G8428" s="4">
        <v>15</v>
      </c>
      <c r="H8428" s="18">
        <v>34.563160000000003</v>
      </c>
    </row>
    <row r="8429" spans="1:8" s="15" customFormat="1" ht="16.5" hidden="1" customHeight="1" outlineLevel="1" x14ac:dyDescent="0.25">
      <c r="A8429" s="18">
        <v>1437</v>
      </c>
      <c r="B8429" s="4" t="s">
        <v>250</v>
      </c>
      <c r="C8429" s="38" t="s">
        <v>7126</v>
      </c>
      <c r="D8429" s="18">
        <v>2022</v>
      </c>
      <c r="E8429" s="18" t="s">
        <v>0</v>
      </c>
      <c r="F8429" s="42">
        <v>1</v>
      </c>
      <c r="G8429" s="4">
        <v>15</v>
      </c>
      <c r="H8429" s="18">
        <v>26.615690000000001</v>
      </c>
    </row>
    <row r="8430" spans="1:8" s="15" customFormat="1" ht="16.5" hidden="1" customHeight="1" outlineLevel="1" x14ac:dyDescent="0.25">
      <c r="A8430" s="18">
        <v>1120</v>
      </c>
      <c r="B8430" s="4" t="s">
        <v>250</v>
      </c>
      <c r="C8430" s="38" t="s">
        <v>7127</v>
      </c>
      <c r="D8430" s="18">
        <v>2022</v>
      </c>
      <c r="E8430" s="18" t="s">
        <v>0</v>
      </c>
      <c r="F8430" s="42">
        <v>1</v>
      </c>
      <c r="G8430" s="4">
        <v>15</v>
      </c>
      <c r="H8430" s="18">
        <v>35.29101</v>
      </c>
    </row>
    <row r="8431" spans="1:8" s="15" customFormat="1" ht="16.5" hidden="1" customHeight="1" outlineLevel="1" x14ac:dyDescent="0.25">
      <c r="A8431" s="18">
        <v>1076</v>
      </c>
      <c r="B8431" s="4" t="s">
        <v>250</v>
      </c>
      <c r="C8431" s="38" t="s">
        <v>7128</v>
      </c>
      <c r="D8431" s="18">
        <v>2022</v>
      </c>
      <c r="E8431" s="18" t="s">
        <v>0</v>
      </c>
      <c r="F8431" s="42">
        <v>1</v>
      </c>
      <c r="G8431" s="4">
        <v>15</v>
      </c>
      <c r="H8431" s="18">
        <v>34.417389999999997</v>
      </c>
    </row>
    <row r="8432" spans="1:8" s="15" customFormat="1" ht="16.5" hidden="1" customHeight="1" outlineLevel="1" x14ac:dyDescent="0.25">
      <c r="A8432" s="18">
        <v>1119</v>
      </c>
      <c r="B8432" s="4" t="s">
        <v>250</v>
      </c>
      <c r="C8432" s="38" t="s">
        <v>7129</v>
      </c>
      <c r="D8432" s="18">
        <v>2022</v>
      </c>
      <c r="E8432" s="18" t="s">
        <v>0</v>
      </c>
      <c r="F8432" s="42">
        <v>1</v>
      </c>
      <c r="G8432" s="4">
        <v>15</v>
      </c>
      <c r="H8432" s="18">
        <v>34.524479999999997</v>
      </c>
    </row>
    <row r="8433" spans="1:8" s="15" customFormat="1" ht="16.5" hidden="1" customHeight="1" outlineLevel="1" x14ac:dyDescent="0.25">
      <c r="A8433" s="18">
        <v>1457</v>
      </c>
      <c r="B8433" s="4" t="s">
        <v>250</v>
      </c>
      <c r="C8433" s="38" t="s">
        <v>7130</v>
      </c>
      <c r="D8433" s="18">
        <v>2022</v>
      </c>
      <c r="E8433" s="18" t="s">
        <v>0</v>
      </c>
      <c r="F8433" s="42">
        <v>1</v>
      </c>
      <c r="G8433" s="4">
        <v>15</v>
      </c>
      <c r="H8433" s="18">
        <v>25.540939999999999</v>
      </c>
    </row>
    <row r="8434" spans="1:8" s="15" customFormat="1" ht="16.5" hidden="1" customHeight="1" outlineLevel="1" x14ac:dyDescent="0.25">
      <c r="A8434" s="18">
        <v>1192</v>
      </c>
      <c r="B8434" s="4" t="s">
        <v>250</v>
      </c>
      <c r="C8434" s="38" t="s">
        <v>7131</v>
      </c>
      <c r="D8434" s="18">
        <v>2022</v>
      </c>
      <c r="E8434" s="18" t="s">
        <v>0</v>
      </c>
      <c r="F8434" s="42">
        <v>1</v>
      </c>
      <c r="G8434" s="4">
        <v>15</v>
      </c>
      <c r="H8434" s="18">
        <v>32.142670000000003</v>
      </c>
    </row>
    <row r="8435" spans="1:8" s="15" customFormat="1" ht="16.5" hidden="1" customHeight="1" outlineLevel="1" x14ac:dyDescent="0.25">
      <c r="A8435" s="18">
        <v>1289</v>
      </c>
      <c r="B8435" s="4" t="s">
        <v>250</v>
      </c>
      <c r="C8435" s="38" t="s">
        <v>7132</v>
      </c>
      <c r="D8435" s="18">
        <v>2022</v>
      </c>
      <c r="E8435" s="18" t="s">
        <v>0</v>
      </c>
      <c r="F8435" s="42">
        <v>1</v>
      </c>
      <c r="G8435" s="4">
        <v>15</v>
      </c>
      <c r="H8435" s="18">
        <v>25.702279999999998</v>
      </c>
    </row>
    <row r="8436" spans="1:8" s="15" customFormat="1" ht="16.5" hidden="1" customHeight="1" outlineLevel="1" x14ac:dyDescent="0.25">
      <c r="A8436" s="18">
        <v>1641</v>
      </c>
      <c r="B8436" s="4" t="s">
        <v>250</v>
      </c>
      <c r="C8436" s="38" t="s">
        <v>7133</v>
      </c>
      <c r="D8436" s="18">
        <v>2022</v>
      </c>
      <c r="E8436" s="18" t="s">
        <v>0</v>
      </c>
      <c r="F8436" s="42">
        <v>1</v>
      </c>
      <c r="G8436" s="4">
        <v>15</v>
      </c>
      <c r="H8436" s="18">
        <v>21.734159999999999</v>
      </c>
    </row>
    <row r="8437" spans="1:8" s="15" customFormat="1" ht="16.5" hidden="1" customHeight="1" outlineLevel="1" x14ac:dyDescent="0.25">
      <c r="A8437" s="18">
        <v>1642</v>
      </c>
      <c r="B8437" s="4" t="s">
        <v>250</v>
      </c>
      <c r="C8437" s="38" t="s">
        <v>7134</v>
      </c>
      <c r="D8437" s="18">
        <v>2022</v>
      </c>
      <c r="E8437" s="18" t="s">
        <v>0</v>
      </c>
      <c r="F8437" s="42">
        <v>1</v>
      </c>
      <c r="G8437" s="4">
        <v>15</v>
      </c>
      <c r="H8437" s="18">
        <v>20.861640000000001</v>
      </c>
    </row>
    <row r="8438" spans="1:8" s="15" customFormat="1" ht="16.5" hidden="1" customHeight="1" outlineLevel="1" x14ac:dyDescent="0.25">
      <c r="A8438" s="18">
        <v>1644</v>
      </c>
      <c r="B8438" s="4" t="s">
        <v>250</v>
      </c>
      <c r="C8438" s="38" t="s">
        <v>7135</v>
      </c>
      <c r="D8438" s="18">
        <v>2022</v>
      </c>
      <c r="E8438" s="18" t="s">
        <v>0</v>
      </c>
      <c r="F8438" s="42">
        <v>1</v>
      </c>
      <c r="G8438" s="4">
        <v>15</v>
      </c>
      <c r="H8438" s="18">
        <v>20.861609999999999</v>
      </c>
    </row>
    <row r="8439" spans="1:8" s="15" customFormat="1" ht="16.5" hidden="1" customHeight="1" outlineLevel="1" x14ac:dyDescent="0.25">
      <c r="A8439" s="18">
        <v>1643</v>
      </c>
      <c r="B8439" s="4" t="s">
        <v>250</v>
      </c>
      <c r="C8439" s="38" t="s">
        <v>7136</v>
      </c>
      <c r="D8439" s="18">
        <v>2022</v>
      </c>
      <c r="E8439" s="18" t="s">
        <v>0</v>
      </c>
      <c r="F8439" s="42">
        <v>1</v>
      </c>
      <c r="G8439" s="4">
        <v>15</v>
      </c>
      <c r="H8439" s="18">
        <v>20.861319999999999</v>
      </c>
    </row>
    <row r="8440" spans="1:8" s="15" customFormat="1" ht="16.5" hidden="1" customHeight="1" outlineLevel="1" x14ac:dyDescent="0.25">
      <c r="A8440" s="18">
        <v>1634</v>
      </c>
      <c r="B8440" s="4" t="s">
        <v>250</v>
      </c>
      <c r="C8440" s="38" t="s">
        <v>7137</v>
      </c>
      <c r="D8440" s="18">
        <v>2022</v>
      </c>
      <c r="E8440" s="18" t="s">
        <v>0</v>
      </c>
      <c r="F8440" s="42">
        <v>1</v>
      </c>
      <c r="G8440" s="4">
        <v>15</v>
      </c>
      <c r="H8440" s="18">
        <v>20.151540000000001</v>
      </c>
    </row>
    <row r="8441" spans="1:8" s="15" customFormat="1" ht="16.5" hidden="1" customHeight="1" outlineLevel="1" x14ac:dyDescent="0.25">
      <c r="A8441" s="18">
        <v>1559</v>
      </c>
      <c r="B8441" s="4" t="s">
        <v>250</v>
      </c>
      <c r="C8441" s="38" t="s">
        <v>7138</v>
      </c>
      <c r="D8441" s="18">
        <v>2022</v>
      </c>
      <c r="E8441" s="18" t="s">
        <v>0</v>
      </c>
      <c r="F8441" s="42">
        <v>1</v>
      </c>
      <c r="G8441" s="4">
        <v>15</v>
      </c>
      <c r="H8441" s="18">
        <v>28.317489999999999</v>
      </c>
    </row>
    <row r="8442" spans="1:8" s="15" customFormat="1" ht="16.5" hidden="1" customHeight="1" outlineLevel="1" x14ac:dyDescent="0.25">
      <c r="A8442" s="18">
        <v>1560</v>
      </c>
      <c r="B8442" s="4" t="s">
        <v>250</v>
      </c>
      <c r="C8442" s="38" t="s">
        <v>7139</v>
      </c>
      <c r="D8442" s="18">
        <v>2022</v>
      </c>
      <c r="E8442" s="18" t="s">
        <v>0</v>
      </c>
      <c r="F8442" s="42">
        <v>1</v>
      </c>
      <c r="G8442" s="4">
        <v>15</v>
      </c>
      <c r="H8442" s="18">
        <v>29.830819999999999</v>
      </c>
    </row>
    <row r="8443" spans="1:8" s="15" customFormat="1" ht="16.5" hidden="1" customHeight="1" outlineLevel="1" x14ac:dyDescent="0.25">
      <c r="A8443" s="18">
        <v>1635</v>
      </c>
      <c r="B8443" s="4" t="s">
        <v>250</v>
      </c>
      <c r="C8443" s="38" t="s">
        <v>7140</v>
      </c>
      <c r="D8443" s="18">
        <v>2022</v>
      </c>
      <c r="E8443" s="18" t="s">
        <v>0</v>
      </c>
      <c r="F8443" s="42">
        <v>1</v>
      </c>
      <c r="G8443" s="4">
        <v>15</v>
      </c>
      <c r="H8443" s="18">
        <v>20.337399999999999</v>
      </c>
    </row>
    <row r="8444" spans="1:8" s="15" customFormat="1" ht="16.5" hidden="1" customHeight="1" outlineLevel="1" x14ac:dyDescent="0.25">
      <c r="A8444" s="18">
        <v>1636</v>
      </c>
      <c r="B8444" s="4" t="s">
        <v>250</v>
      </c>
      <c r="C8444" s="38" t="s">
        <v>7141</v>
      </c>
      <c r="D8444" s="18">
        <v>2022</v>
      </c>
      <c r="E8444" s="18" t="s">
        <v>0</v>
      </c>
      <c r="F8444" s="42">
        <v>1</v>
      </c>
      <c r="G8444" s="4">
        <v>15</v>
      </c>
      <c r="H8444" s="18">
        <v>20.208839999999999</v>
      </c>
    </row>
    <row r="8445" spans="1:8" s="15" customFormat="1" ht="16.5" hidden="1" customHeight="1" outlineLevel="1" x14ac:dyDescent="0.25">
      <c r="A8445" s="18">
        <v>1639</v>
      </c>
      <c r="B8445" s="4" t="s">
        <v>250</v>
      </c>
      <c r="C8445" s="38" t="s">
        <v>7142</v>
      </c>
      <c r="D8445" s="18">
        <v>2022</v>
      </c>
      <c r="E8445" s="18" t="s">
        <v>0</v>
      </c>
      <c r="F8445" s="42">
        <v>1</v>
      </c>
      <c r="G8445" s="4">
        <v>10</v>
      </c>
      <c r="H8445" s="18">
        <v>20.208819999999999</v>
      </c>
    </row>
    <row r="8446" spans="1:8" s="15" customFormat="1" ht="16.5" hidden="1" customHeight="1" outlineLevel="1" x14ac:dyDescent="0.25">
      <c r="A8446" s="18">
        <v>1637</v>
      </c>
      <c r="B8446" s="4" t="s">
        <v>250</v>
      </c>
      <c r="C8446" s="38" t="s">
        <v>7143</v>
      </c>
      <c r="D8446" s="18">
        <v>2022</v>
      </c>
      <c r="E8446" s="18" t="s">
        <v>0</v>
      </c>
      <c r="F8446" s="42">
        <v>1</v>
      </c>
      <c r="G8446" s="4">
        <v>15</v>
      </c>
      <c r="H8446" s="18">
        <v>20.336449999999999</v>
      </c>
    </row>
    <row r="8447" spans="1:8" s="15" customFormat="1" ht="16.5" hidden="1" customHeight="1" outlineLevel="1" x14ac:dyDescent="0.25">
      <c r="A8447" s="18">
        <v>1596</v>
      </c>
      <c r="B8447" s="4" t="s">
        <v>250</v>
      </c>
      <c r="C8447" s="38" t="s">
        <v>7144</v>
      </c>
      <c r="D8447" s="18">
        <v>2022</v>
      </c>
      <c r="E8447" s="18" t="s">
        <v>0</v>
      </c>
      <c r="F8447" s="42">
        <v>1</v>
      </c>
      <c r="G8447" s="4">
        <v>15</v>
      </c>
      <c r="H8447" s="18">
        <v>20.69511</v>
      </c>
    </row>
    <row r="8448" spans="1:8" s="15" customFormat="1" ht="16.5" hidden="1" customHeight="1" outlineLevel="1" x14ac:dyDescent="0.25">
      <c r="A8448" s="18">
        <v>1638</v>
      </c>
      <c r="B8448" s="4" t="s">
        <v>250</v>
      </c>
      <c r="C8448" s="38" t="s">
        <v>7145</v>
      </c>
      <c r="D8448" s="18">
        <v>2022</v>
      </c>
      <c r="E8448" s="18" t="s">
        <v>0</v>
      </c>
      <c r="F8448" s="42">
        <v>1</v>
      </c>
      <c r="G8448" s="4">
        <v>15</v>
      </c>
      <c r="H8448" s="18">
        <v>20.015930000000001</v>
      </c>
    </row>
    <row r="8449" spans="1:8" s="15" customFormat="1" ht="16.5" hidden="1" customHeight="1" outlineLevel="1" x14ac:dyDescent="0.25">
      <c r="A8449" s="18">
        <v>1640</v>
      </c>
      <c r="B8449" s="4" t="s">
        <v>250</v>
      </c>
      <c r="C8449" s="38" t="s">
        <v>7146</v>
      </c>
      <c r="D8449" s="18">
        <v>2022</v>
      </c>
      <c r="E8449" s="18" t="s">
        <v>0</v>
      </c>
      <c r="F8449" s="42">
        <v>1</v>
      </c>
      <c r="G8449" s="4">
        <v>15</v>
      </c>
      <c r="H8449" s="18">
        <v>20.337340000000001</v>
      </c>
    </row>
    <row r="8450" spans="1:8" s="15" customFormat="1" ht="16.5" hidden="1" customHeight="1" outlineLevel="1" x14ac:dyDescent="0.25">
      <c r="A8450" s="18">
        <v>1615</v>
      </c>
      <c r="B8450" s="4" t="s">
        <v>250</v>
      </c>
      <c r="C8450" s="38" t="s">
        <v>7147</v>
      </c>
      <c r="D8450" s="18">
        <v>2022</v>
      </c>
      <c r="E8450" s="18" t="s">
        <v>0</v>
      </c>
      <c r="F8450" s="42">
        <v>1</v>
      </c>
      <c r="G8450" s="4">
        <v>15</v>
      </c>
      <c r="H8450" s="18">
        <v>21.12482</v>
      </c>
    </row>
    <row r="8451" spans="1:8" s="15" customFormat="1" ht="16.5" hidden="1" customHeight="1" outlineLevel="1" x14ac:dyDescent="0.25">
      <c r="A8451" s="18">
        <v>1613</v>
      </c>
      <c r="B8451" s="4" t="s">
        <v>250</v>
      </c>
      <c r="C8451" s="38" t="s">
        <v>7148</v>
      </c>
      <c r="D8451" s="18">
        <v>2022</v>
      </c>
      <c r="E8451" s="18" t="s">
        <v>0</v>
      </c>
      <c r="F8451" s="42">
        <v>1</v>
      </c>
      <c r="G8451" s="4">
        <v>15</v>
      </c>
      <c r="H8451" s="18">
        <v>21.12481</v>
      </c>
    </row>
    <row r="8452" spans="1:8" s="15" customFormat="1" ht="16.5" hidden="1" customHeight="1" outlineLevel="1" x14ac:dyDescent="0.25">
      <c r="A8452" s="18">
        <v>1575</v>
      </c>
      <c r="B8452" s="4" t="s">
        <v>250</v>
      </c>
      <c r="C8452" s="38" t="s">
        <v>7149</v>
      </c>
      <c r="D8452" s="18">
        <v>2022</v>
      </c>
      <c r="E8452" s="18" t="s">
        <v>0</v>
      </c>
      <c r="F8452" s="42">
        <v>1</v>
      </c>
      <c r="G8452" s="4">
        <v>15</v>
      </c>
      <c r="H8452" s="18">
        <v>29.487079999999999</v>
      </c>
    </row>
    <row r="8453" spans="1:8" s="15" customFormat="1" ht="16.5" hidden="1" customHeight="1" outlineLevel="1" x14ac:dyDescent="0.25">
      <c r="A8453" s="18">
        <v>1550</v>
      </c>
      <c r="B8453" s="4" t="s">
        <v>250</v>
      </c>
      <c r="C8453" s="38" t="s">
        <v>7150</v>
      </c>
      <c r="D8453" s="18">
        <v>2022</v>
      </c>
      <c r="E8453" s="18" t="s">
        <v>0</v>
      </c>
      <c r="F8453" s="42">
        <v>1</v>
      </c>
      <c r="G8453" s="4">
        <v>15</v>
      </c>
      <c r="H8453" s="18">
        <v>29.54571</v>
      </c>
    </row>
    <row r="8454" spans="1:8" s="15" customFormat="1" ht="16.5" hidden="1" customHeight="1" outlineLevel="1" x14ac:dyDescent="0.25">
      <c r="A8454" s="18">
        <v>1498</v>
      </c>
      <c r="B8454" s="4" t="s">
        <v>250</v>
      </c>
      <c r="C8454" s="38" t="s">
        <v>7151</v>
      </c>
      <c r="D8454" s="18">
        <v>2022</v>
      </c>
      <c r="E8454" s="18" t="s">
        <v>0</v>
      </c>
      <c r="F8454" s="42">
        <v>1</v>
      </c>
      <c r="G8454" s="4">
        <v>15</v>
      </c>
      <c r="H8454" s="18">
        <v>28.922560000000001</v>
      </c>
    </row>
    <row r="8455" spans="1:8" s="15" customFormat="1" ht="16.5" hidden="1" customHeight="1" outlineLevel="1" x14ac:dyDescent="0.25">
      <c r="A8455" s="18">
        <v>1614</v>
      </c>
      <c r="B8455" s="4" t="s">
        <v>250</v>
      </c>
      <c r="C8455" s="38" t="s">
        <v>7152</v>
      </c>
      <c r="D8455" s="18">
        <v>2022</v>
      </c>
      <c r="E8455" s="18" t="s">
        <v>0</v>
      </c>
      <c r="F8455" s="42">
        <v>1</v>
      </c>
      <c r="G8455" s="4">
        <v>15</v>
      </c>
      <c r="H8455" s="18">
        <v>21.190799999999999</v>
      </c>
    </row>
    <row r="8456" spans="1:8" s="15" customFormat="1" ht="16.5" hidden="1" customHeight="1" outlineLevel="1" x14ac:dyDescent="0.25">
      <c r="A8456" s="18">
        <v>1319</v>
      </c>
      <c r="B8456" s="4" t="s">
        <v>250</v>
      </c>
      <c r="C8456" s="38" t="s">
        <v>7153</v>
      </c>
      <c r="D8456" s="18">
        <v>2022</v>
      </c>
      <c r="E8456" s="18" t="s">
        <v>0</v>
      </c>
      <c r="F8456" s="42">
        <v>1</v>
      </c>
      <c r="G8456" s="4">
        <v>15</v>
      </c>
      <c r="H8456" s="18">
        <v>29.63109</v>
      </c>
    </row>
    <row r="8457" spans="1:8" s="15" customFormat="1" ht="16.5" hidden="1" customHeight="1" outlineLevel="1" x14ac:dyDescent="0.25">
      <c r="A8457" s="18">
        <v>1325</v>
      </c>
      <c r="B8457" s="4" t="s">
        <v>250</v>
      </c>
      <c r="C8457" s="38" t="s">
        <v>7154</v>
      </c>
      <c r="D8457" s="18">
        <v>2022</v>
      </c>
      <c r="E8457" s="18" t="s">
        <v>0</v>
      </c>
      <c r="F8457" s="42">
        <v>1</v>
      </c>
      <c r="G8457" s="4">
        <v>15</v>
      </c>
      <c r="H8457" s="18">
        <v>30.42014</v>
      </c>
    </row>
    <row r="8458" spans="1:8" s="15" customFormat="1" ht="16.5" hidden="1" customHeight="1" outlineLevel="1" x14ac:dyDescent="0.25">
      <c r="A8458" s="18">
        <v>1671</v>
      </c>
      <c r="B8458" s="4" t="s">
        <v>250</v>
      </c>
      <c r="C8458" s="38" t="s">
        <v>7155</v>
      </c>
      <c r="D8458" s="18">
        <v>2022</v>
      </c>
      <c r="E8458" s="18" t="s">
        <v>0</v>
      </c>
      <c r="F8458" s="42">
        <v>1</v>
      </c>
      <c r="G8458" s="4">
        <v>15</v>
      </c>
      <c r="H8458" s="18">
        <v>21.483689999999999</v>
      </c>
    </row>
    <row r="8459" spans="1:8" s="15" customFormat="1" ht="16.5" hidden="1" customHeight="1" outlineLevel="1" x14ac:dyDescent="0.25">
      <c r="A8459" s="18">
        <v>1672</v>
      </c>
      <c r="B8459" s="4" t="s">
        <v>250</v>
      </c>
      <c r="C8459" s="38" t="s">
        <v>7156</v>
      </c>
      <c r="D8459" s="18">
        <v>2022</v>
      </c>
      <c r="E8459" s="18" t="s">
        <v>0</v>
      </c>
      <c r="F8459" s="42">
        <v>1</v>
      </c>
      <c r="G8459" s="4">
        <v>15</v>
      </c>
      <c r="H8459" s="18">
        <v>21.233460000000001</v>
      </c>
    </row>
    <row r="8460" spans="1:8" s="15" customFormat="1" ht="16.5" hidden="1" customHeight="1" outlineLevel="1" x14ac:dyDescent="0.25">
      <c r="A8460" s="18">
        <v>1673</v>
      </c>
      <c r="B8460" s="4" t="s">
        <v>250</v>
      </c>
      <c r="C8460" s="38" t="s">
        <v>7157</v>
      </c>
      <c r="D8460" s="18">
        <v>2022</v>
      </c>
      <c r="E8460" s="18" t="s">
        <v>0</v>
      </c>
      <c r="F8460" s="42">
        <v>1</v>
      </c>
      <c r="G8460" s="4">
        <v>15</v>
      </c>
      <c r="H8460" s="18">
        <v>21.10247</v>
      </c>
    </row>
    <row r="8461" spans="1:8" s="15" customFormat="1" ht="16.5" hidden="1" customHeight="1" outlineLevel="1" x14ac:dyDescent="0.25">
      <c r="A8461" s="18">
        <v>1541</v>
      </c>
      <c r="B8461" s="4" t="s">
        <v>250</v>
      </c>
      <c r="C8461" s="38" t="s">
        <v>7158</v>
      </c>
      <c r="D8461" s="18">
        <v>2022</v>
      </c>
      <c r="E8461" s="18" t="s">
        <v>0</v>
      </c>
      <c r="F8461" s="42">
        <v>1</v>
      </c>
      <c r="G8461" s="4">
        <v>15</v>
      </c>
      <c r="H8461" s="18">
        <v>27.186509999999998</v>
      </c>
    </row>
    <row r="8462" spans="1:8" s="15" customFormat="1" ht="16.5" hidden="1" customHeight="1" outlineLevel="1" x14ac:dyDescent="0.25">
      <c r="A8462" s="18">
        <v>1670</v>
      </c>
      <c r="B8462" s="4" t="s">
        <v>250</v>
      </c>
      <c r="C8462" s="38" t="s">
        <v>7159</v>
      </c>
      <c r="D8462" s="18">
        <v>2022</v>
      </c>
      <c r="E8462" s="18" t="s">
        <v>0</v>
      </c>
      <c r="F8462" s="42">
        <v>1</v>
      </c>
      <c r="G8462" s="4">
        <v>15</v>
      </c>
      <c r="H8462" s="18">
        <v>21.645320000000002</v>
      </c>
    </row>
    <row r="8463" spans="1:8" s="15" customFormat="1" ht="16.5" hidden="1" customHeight="1" outlineLevel="1" x14ac:dyDescent="0.25">
      <c r="A8463" s="18">
        <v>1185</v>
      </c>
      <c r="B8463" s="4" t="s">
        <v>250</v>
      </c>
      <c r="C8463" s="38" t="s">
        <v>7160</v>
      </c>
      <c r="D8463" s="18">
        <v>2022</v>
      </c>
      <c r="E8463" s="18" t="s">
        <v>0</v>
      </c>
      <c r="F8463" s="42">
        <v>1</v>
      </c>
      <c r="G8463" s="4">
        <v>15</v>
      </c>
      <c r="H8463" s="18">
        <v>25.963450000000002</v>
      </c>
    </row>
    <row r="8464" spans="1:8" s="15" customFormat="1" ht="16.5" hidden="1" customHeight="1" outlineLevel="1" x14ac:dyDescent="0.25">
      <c r="A8464" s="18">
        <v>1683</v>
      </c>
      <c r="B8464" s="4" t="s">
        <v>250</v>
      </c>
      <c r="C8464" s="38" t="s">
        <v>7161</v>
      </c>
      <c r="D8464" s="18">
        <v>2022</v>
      </c>
      <c r="E8464" s="18" t="s">
        <v>0</v>
      </c>
      <c r="F8464" s="42">
        <v>1</v>
      </c>
      <c r="G8464" s="4">
        <v>15</v>
      </c>
      <c r="H8464" s="18">
        <v>21.986609999999999</v>
      </c>
    </row>
    <row r="8465" spans="1:8" s="15" customFormat="1" ht="16.5" hidden="1" customHeight="1" outlineLevel="1" x14ac:dyDescent="0.25">
      <c r="A8465" s="18">
        <v>1681</v>
      </c>
      <c r="B8465" s="4" t="s">
        <v>250</v>
      </c>
      <c r="C8465" s="38" t="s">
        <v>7162</v>
      </c>
      <c r="D8465" s="18">
        <v>2022</v>
      </c>
      <c r="E8465" s="18" t="s">
        <v>0</v>
      </c>
      <c r="F8465" s="42">
        <v>1</v>
      </c>
      <c r="G8465" s="4">
        <v>15</v>
      </c>
      <c r="H8465" s="18">
        <v>20.721609999999998</v>
      </c>
    </row>
    <row r="8466" spans="1:8" s="15" customFormat="1" ht="16.5" hidden="1" customHeight="1" outlineLevel="1" x14ac:dyDescent="0.25">
      <c r="A8466" s="18">
        <v>1682</v>
      </c>
      <c r="B8466" s="4" t="s">
        <v>250</v>
      </c>
      <c r="C8466" s="38" t="s">
        <v>7163</v>
      </c>
      <c r="D8466" s="18">
        <v>2022</v>
      </c>
      <c r="E8466" s="18" t="s">
        <v>0</v>
      </c>
      <c r="F8466" s="42">
        <v>1</v>
      </c>
      <c r="G8466" s="4">
        <v>15</v>
      </c>
      <c r="H8466" s="18">
        <v>19.475529999999999</v>
      </c>
    </row>
    <row r="8467" spans="1:8" s="15" customFormat="1" ht="16.5" hidden="1" customHeight="1" outlineLevel="1" x14ac:dyDescent="0.25">
      <c r="A8467" s="18">
        <v>1298</v>
      </c>
      <c r="B8467" s="4" t="s">
        <v>250</v>
      </c>
      <c r="C8467" s="38" t="s">
        <v>7164</v>
      </c>
      <c r="D8467" s="18">
        <v>2022</v>
      </c>
      <c r="E8467" s="18" t="s">
        <v>0</v>
      </c>
      <c r="F8467" s="42">
        <v>1</v>
      </c>
      <c r="G8467" s="4">
        <v>14.8</v>
      </c>
      <c r="H8467" s="18">
        <v>25.83239</v>
      </c>
    </row>
    <row r="8468" spans="1:8" s="15" customFormat="1" ht="16.5" hidden="1" customHeight="1" outlineLevel="1" x14ac:dyDescent="0.25">
      <c r="A8468" s="18">
        <v>1689</v>
      </c>
      <c r="B8468" s="4" t="s">
        <v>250</v>
      </c>
      <c r="C8468" s="38" t="s">
        <v>7165</v>
      </c>
      <c r="D8468" s="18">
        <v>2022</v>
      </c>
      <c r="E8468" s="18" t="s">
        <v>0</v>
      </c>
      <c r="F8468" s="42">
        <v>1</v>
      </c>
      <c r="G8468" s="4">
        <v>15</v>
      </c>
      <c r="H8468" s="18">
        <v>19.890170000000001</v>
      </c>
    </row>
    <row r="8469" spans="1:8" s="15" customFormat="1" ht="16.5" hidden="1" customHeight="1" outlineLevel="1" x14ac:dyDescent="0.25">
      <c r="A8469" s="18">
        <v>1530</v>
      </c>
      <c r="B8469" s="4" t="s">
        <v>250</v>
      </c>
      <c r="C8469" s="38" t="s">
        <v>7166</v>
      </c>
      <c r="D8469" s="18">
        <v>2022</v>
      </c>
      <c r="E8469" s="18" t="s">
        <v>0</v>
      </c>
      <c r="F8469" s="42">
        <v>1</v>
      </c>
      <c r="G8469" s="4">
        <v>15</v>
      </c>
      <c r="H8469" s="18">
        <v>26.234400000000001</v>
      </c>
    </row>
    <row r="8470" spans="1:8" s="15" customFormat="1" ht="16.5" hidden="1" customHeight="1" outlineLevel="1" x14ac:dyDescent="0.25">
      <c r="A8470" s="18">
        <v>1690</v>
      </c>
      <c r="B8470" s="4" t="s">
        <v>250</v>
      </c>
      <c r="C8470" s="38" t="s">
        <v>7167</v>
      </c>
      <c r="D8470" s="18">
        <v>2022</v>
      </c>
      <c r="E8470" s="18" t="s">
        <v>0</v>
      </c>
      <c r="F8470" s="42">
        <v>1</v>
      </c>
      <c r="G8470" s="4">
        <v>15</v>
      </c>
      <c r="H8470" s="18">
        <v>19.903870000000001</v>
      </c>
    </row>
    <row r="8471" spans="1:8" s="15" customFormat="1" ht="16.5" hidden="1" customHeight="1" outlineLevel="1" x14ac:dyDescent="0.25">
      <c r="A8471" s="18">
        <v>1496</v>
      </c>
      <c r="B8471" s="4" t="s">
        <v>250</v>
      </c>
      <c r="C8471" s="38" t="s">
        <v>7168</v>
      </c>
      <c r="D8471" s="18">
        <v>2022</v>
      </c>
      <c r="E8471" s="18" t="s">
        <v>0</v>
      </c>
      <c r="F8471" s="42">
        <v>1</v>
      </c>
      <c r="G8471" s="4">
        <v>15</v>
      </c>
      <c r="H8471" s="18">
        <v>27.299669999999999</v>
      </c>
    </row>
    <row r="8472" spans="1:8" s="15" customFormat="1" ht="16.5" hidden="1" customHeight="1" outlineLevel="1" x14ac:dyDescent="0.25">
      <c r="A8472" s="18">
        <v>1705</v>
      </c>
      <c r="B8472" s="4" t="s">
        <v>250</v>
      </c>
      <c r="C8472" s="38" t="s">
        <v>7169</v>
      </c>
      <c r="D8472" s="18">
        <v>2022</v>
      </c>
      <c r="E8472" s="18" t="s">
        <v>0</v>
      </c>
      <c r="F8472" s="42">
        <v>1</v>
      </c>
      <c r="G8472" s="4">
        <v>15</v>
      </c>
      <c r="H8472" s="18">
        <v>20.50919</v>
      </c>
    </row>
    <row r="8473" spans="1:8" s="15" customFormat="1" ht="16.5" hidden="1" customHeight="1" outlineLevel="1" x14ac:dyDescent="0.25">
      <c r="A8473" s="18">
        <v>1707</v>
      </c>
      <c r="B8473" s="4" t="s">
        <v>250</v>
      </c>
      <c r="C8473" s="38" t="s">
        <v>7170</v>
      </c>
      <c r="D8473" s="18">
        <v>2022</v>
      </c>
      <c r="E8473" s="18" t="s">
        <v>0</v>
      </c>
      <c r="F8473" s="42">
        <v>1</v>
      </c>
      <c r="G8473" s="4">
        <v>15</v>
      </c>
      <c r="H8473" s="18">
        <v>20.904240000000001</v>
      </c>
    </row>
    <row r="8474" spans="1:8" s="15" customFormat="1" ht="16.5" hidden="1" customHeight="1" outlineLevel="1" x14ac:dyDescent="0.25">
      <c r="A8474" s="18">
        <v>1709</v>
      </c>
      <c r="B8474" s="4" t="s">
        <v>250</v>
      </c>
      <c r="C8474" s="38" t="s">
        <v>7171</v>
      </c>
      <c r="D8474" s="18">
        <v>2022</v>
      </c>
      <c r="E8474" s="18" t="s">
        <v>0</v>
      </c>
      <c r="F8474" s="42">
        <v>1</v>
      </c>
      <c r="G8474" s="4">
        <v>15</v>
      </c>
      <c r="H8474" s="18">
        <v>20.553899999999999</v>
      </c>
    </row>
    <row r="8475" spans="1:8" s="15" customFormat="1" ht="16.5" hidden="1" customHeight="1" outlineLevel="1" x14ac:dyDescent="0.25">
      <c r="A8475" s="18">
        <v>1100</v>
      </c>
      <c r="B8475" s="4" t="s">
        <v>250</v>
      </c>
      <c r="C8475" s="38" t="s">
        <v>7172</v>
      </c>
      <c r="D8475" s="18">
        <v>2022</v>
      </c>
      <c r="E8475" s="18" t="s">
        <v>0</v>
      </c>
      <c r="F8475" s="42">
        <v>1</v>
      </c>
      <c r="G8475" s="4">
        <v>15</v>
      </c>
      <c r="H8475" s="18">
        <v>35.061709999999998</v>
      </c>
    </row>
    <row r="8476" spans="1:8" s="15" customFormat="1" ht="16.5" hidden="1" customHeight="1" outlineLevel="1" x14ac:dyDescent="0.25">
      <c r="A8476" s="18">
        <v>1257</v>
      </c>
      <c r="B8476" s="4" t="s">
        <v>250</v>
      </c>
      <c r="C8476" s="38" t="s">
        <v>7173</v>
      </c>
      <c r="D8476" s="18">
        <v>2022</v>
      </c>
      <c r="E8476" s="18" t="s">
        <v>0</v>
      </c>
      <c r="F8476" s="42">
        <v>1</v>
      </c>
      <c r="G8476" s="4">
        <v>15</v>
      </c>
      <c r="H8476" s="18">
        <v>29.501200000000001</v>
      </c>
    </row>
    <row r="8477" spans="1:8" s="15" customFormat="1" ht="16.5" hidden="1" customHeight="1" outlineLevel="1" x14ac:dyDescent="0.25">
      <c r="A8477" s="18">
        <v>1258</v>
      </c>
      <c r="B8477" s="4" t="s">
        <v>250</v>
      </c>
      <c r="C8477" s="38" t="s">
        <v>7174</v>
      </c>
      <c r="D8477" s="18">
        <v>2022</v>
      </c>
      <c r="E8477" s="18" t="s">
        <v>0</v>
      </c>
      <c r="F8477" s="42">
        <v>1</v>
      </c>
      <c r="G8477" s="4">
        <v>5</v>
      </c>
      <c r="H8477" s="18">
        <v>26.593620000000001</v>
      </c>
    </row>
    <row r="8478" spans="1:8" s="15" customFormat="1" ht="16.5" hidden="1" customHeight="1" outlineLevel="1" x14ac:dyDescent="0.25">
      <c r="A8478" s="18">
        <v>1278</v>
      </c>
      <c r="B8478" s="4" t="s">
        <v>250</v>
      </c>
      <c r="C8478" s="38" t="s">
        <v>7175</v>
      </c>
      <c r="D8478" s="18">
        <v>2022</v>
      </c>
      <c r="E8478" s="18" t="s">
        <v>0</v>
      </c>
      <c r="F8478" s="42">
        <v>1</v>
      </c>
      <c r="G8478" s="4">
        <v>15</v>
      </c>
      <c r="H8478" s="18">
        <v>28.355229999999999</v>
      </c>
    </row>
    <row r="8479" spans="1:8" s="15" customFormat="1" ht="16.5" hidden="1" customHeight="1" outlineLevel="1" x14ac:dyDescent="0.25">
      <c r="A8479" s="18">
        <v>1340</v>
      </c>
      <c r="B8479" s="4" t="s">
        <v>250</v>
      </c>
      <c r="C8479" s="38" t="s">
        <v>7176</v>
      </c>
      <c r="D8479" s="18">
        <v>2022</v>
      </c>
      <c r="E8479" s="18" t="s">
        <v>0</v>
      </c>
      <c r="F8479" s="42">
        <v>1</v>
      </c>
      <c r="G8479" s="4">
        <v>15</v>
      </c>
      <c r="H8479" s="18">
        <v>27.216280000000001</v>
      </c>
    </row>
    <row r="8480" spans="1:8" s="15" customFormat="1" ht="16.5" hidden="1" customHeight="1" outlineLevel="1" x14ac:dyDescent="0.25">
      <c r="A8480" s="18">
        <v>1355</v>
      </c>
      <c r="B8480" s="4" t="s">
        <v>250</v>
      </c>
      <c r="C8480" s="38" t="s">
        <v>7177</v>
      </c>
      <c r="D8480" s="18">
        <v>2022</v>
      </c>
      <c r="E8480" s="18" t="s">
        <v>0</v>
      </c>
      <c r="F8480" s="42">
        <v>1</v>
      </c>
      <c r="G8480" s="4">
        <v>36.450000000000003</v>
      </c>
      <c r="H8480" s="18">
        <v>27.109559999999998</v>
      </c>
    </row>
    <row r="8481" spans="1:8" s="15" customFormat="1" ht="16.5" hidden="1" customHeight="1" outlineLevel="1" x14ac:dyDescent="0.25">
      <c r="A8481" s="18">
        <v>1415</v>
      </c>
      <c r="B8481" s="4" t="s">
        <v>250</v>
      </c>
      <c r="C8481" s="38" t="s">
        <v>7178</v>
      </c>
      <c r="D8481" s="18">
        <v>2022</v>
      </c>
      <c r="E8481" s="18" t="s">
        <v>0</v>
      </c>
      <c r="F8481" s="42">
        <v>1</v>
      </c>
      <c r="G8481" s="4">
        <v>15</v>
      </c>
      <c r="H8481" s="18">
        <v>27.49531</v>
      </c>
    </row>
    <row r="8482" spans="1:8" s="15" customFormat="1" ht="16.5" hidden="1" customHeight="1" outlineLevel="1" x14ac:dyDescent="0.25">
      <c r="A8482" s="18">
        <v>1419</v>
      </c>
      <c r="B8482" s="4" t="s">
        <v>250</v>
      </c>
      <c r="C8482" s="38" t="s">
        <v>7179</v>
      </c>
      <c r="D8482" s="18">
        <v>2022</v>
      </c>
      <c r="E8482" s="18" t="s">
        <v>0</v>
      </c>
      <c r="F8482" s="42">
        <v>1</v>
      </c>
      <c r="G8482" s="4">
        <v>15</v>
      </c>
      <c r="H8482" s="18">
        <v>25.665479999999999</v>
      </c>
    </row>
    <row r="8483" spans="1:8" s="15" customFormat="1" ht="16.5" hidden="1" customHeight="1" outlineLevel="1" x14ac:dyDescent="0.25">
      <c r="A8483" s="18">
        <v>1497</v>
      </c>
      <c r="B8483" s="4" t="s">
        <v>250</v>
      </c>
      <c r="C8483" s="38" t="s">
        <v>7180</v>
      </c>
      <c r="D8483" s="18">
        <v>2022</v>
      </c>
      <c r="E8483" s="18" t="s">
        <v>0</v>
      </c>
      <c r="F8483" s="42">
        <v>1</v>
      </c>
      <c r="G8483" s="4">
        <v>15</v>
      </c>
      <c r="H8483" s="18">
        <v>27.315380000000001</v>
      </c>
    </row>
    <row r="8484" spans="1:8" s="15" customFormat="1" ht="16.5" hidden="1" customHeight="1" outlineLevel="1" x14ac:dyDescent="0.25">
      <c r="A8484" s="18">
        <v>1494</v>
      </c>
      <c r="B8484" s="4" t="s">
        <v>250</v>
      </c>
      <c r="C8484" s="38" t="s">
        <v>7181</v>
      </c>
      <c r="D8484" s="18">
        <v>2022</v>
      </c>
      <c r="E8484" s="18" t="s">
        <v>0</v>
      </c>
      <c r="F8484" s="42">
        <v>1</v>
      </c>
      <c r="G8484" s="4">
        <v>15</v>
      </c>
      <c r="H8484" s="18">
        <v>27.249890000000001</v>
      </c>
    </row>
    <row r="8485" spans="1:8" s="15" customFormat="1" ht="16.5" hidden="1" customHeight="1" outlineLevel="1" x14ac:dyDescent="0.25">
      <c r="A8485" s="18">
        <v>1703</v>
      </c>
      <c r="B8485" s="4" t="s">
        <v>250</v>
      </c>
      <c r="C8485" s="38" t="s">
        <v>7182</v>
      </c>
      <c r="D8485" s="18">
        <v>2022</v>
      </c>
      <c r="E8485" s="18" t="s">
        <v>0</v>
      </c>
      <c r="F8485" s="42">
        <v>1</v>
      </c>
      <c r="G8485" s="4">
        <v>14.8</v>
      </c>
      <c r="H8485" s="18">
        <v>20.48678</v>
      </c>
    </row>
    <row r="8486" spans="1:8" s="15" customFormat="1" ht="16.5" hidden="1" customHeight="1" outlineLevel="1" x14ac:dyDescent="0.25">
      <c r="A8486" s="18">
        <v>1702</v>
      </c>
      <c r="B8486" s="4" t="s">
        <v>250</v>
      </c>
      <c r="C8486" s="38" t="s">
        <v>7183</v>
      </c>
      <c r="D8486" s="18">
        <v>2022</v>
      </c>
      <c r="E8486" s="18" t="s">
        <v>0</v>
      </c>
      <c r="F8486" s="42">
        <v>1</v>
      </c>
      <c r="G8486" s="4">
        <v>15</v>
      </c>
      <c r="H8486" s="18">
        <v>20.509170000000001</v>
      </c>
    </row>
    <row r="8487" spans="1:8" s="15" customFormat="1" ht="16.5" hidden="1" customHeight="1" outlineLevel="1" x14ac:dyDescent="0.25">
      <c r="A8487" s="18">
        <v>1609</v>
      </c>
      <c r="B8487" s="4" t="s">
        <v>250</v>
      </c>
      <c r="C8487" s="38" t="s">
        <v>7184</v>
      </c>
      <c r="D8487" s="18">
        <v>2022</v>
      </c>
      <c r="E8487" s="18" t="s">
        <v>0</v>
      </c>
      <c r="F8487" s="42">
        <v>1</v>
      </c>
      <c r="G8487" s="4">
        <v>80</v>
      </c>
      <c r="H8487" s="18">
        <v>62.396479999999997</v>
      </c>
    </row>
    <row r="8488" spans="1:8" s="15" customFormat="1" ht="16.5" hidden="1" customHeight="1" outlineLevel="1" x14ac:dyDescent="0.25">
      <c r="A8488" s="18">
        <v>1624</v>
      </c>
      <c r="B8488" s="4" t="s">
        <v>250</v>
      </c>
      <c r="C8488" s="38" t="s">
        <v>7185</v>
      </c>
      <c r="D8488" s="18">
        <v>2022</v>
      </c>
      <c r="E8488" s="18" t="s">
        <v>0</v>
      </c>
      <c r="F8488" s="42">
        <v>1</v>
      </c>
      <c r="G8488" s="4">
        <v>15</v>
      </c>
      <c r="H8488" s="18">
        <v>21.391870000000001</v>
      </c>
    </row>
    <row r="8489" spans="1:8" s="15" customFormat="1" ht="16.5" hidden="1" customHeight="1" outlineLevel="1" x14ac:dyDescent="0.25">
      <c r="A8489" s="18">
        <v>1697</v>
      </c>
      <c r="B8489" s="4" t="s">
        <v>250</v>
      </c>
      <c r="C8489" s="38" t="s">
        <v>7186</v>
      </c>
      <c r="D8489" s="18">
        <v>2022</v>
      </c>
      <c r="E8489" s="18" t="s">
        <v>0</v>
      </c>
      <c r="F8489" s="42">
        <v>1</v>
      </c>
      <c r="G8489" s="4">
        <v>15</v>
      </c>
      <c r="H8489" s="18">
        <v>20.13729</v>
      </c>
    </row>
    <row r="8490" spans="1:8" s="15" customFormat="1" ht="16.5" hidden="1" customHeight="1" outlineLevel="1" x14ac:dyDescent="0.25">
      <c r="A8490" s="18">
        <v>1677</v>
      </c>
      <c r="B8490" s="4" t="s">
        <v>250</v>
      </c>
      <c r="C8490" s="38" t="s">
        <v>7187</v>
      </c>
      <c r="D8490" s="18">
        <v>2022</v>
      </c>
      <c r="E8490" s="18" t="s">
        <v>0</v>
      </c>
      <c r="F8490" s="42">
        <v>1</v>
      </c>
      <c r="G8490" s="4">
        <v>15</v>
      </c>
      <c r="H8490" s="18">
        <v>21.961279999999999</v>
      </c>
    </row>
    <row r="8491" spans="1:8" s="15" customFormat="1" ht="16.5" hidden="1" customHeight="1" outlineLevel="1" x14ac:dyDescent="0.25">
      <c r="A8491" s="18">
        <v>1675</v>
      </c>
      <c r="B8491" s="4" t="s">
        <v>250</v>
      </c>
      <c r="C8491" s="38" t="s">
        <v>7188</v>
      </c>
      <c r="D8491" s="18">
        <v>2022</v>
      </c>
      <c r="E8491" s="18" t="s">
        <v>0</v>
      </c>
      <c r="F8491" s="42">
        <v>1</v>
      </c>
      <c r="G8491" s="4">
        <v>15</v>
      </c>
      <c r="H8491" s="18">
        <v>22.147880000000001</v>
      </c>
    </row>
    <row r="8492" spans="1:8" s="15" customFormat="1" ht="16.5" hidden="1" customHeight="1" outlineLevel="1" x14ac:dyDescent="0.25">
      <c r="A8492" s="18">
        <v>1470</v>
      </c>
      <c r="B8492" s="4" t="s">
        <v>250</v>
      </c>
      <c r="C8492" s="38" t="s">
        <v>7189</v>
      </c>
      <c r="D8492" s="18">
        <v>2022</v>
      </c>
      <c r="E8492" s="18" t="s">
        <v>0</v>
      </c>
      <c r="F8492" s="42">
        <v>1</v>
      </c>
      <c r="G8492" s="4">
        <v>15</v>
      </c>
      <c r="H8492" s="18">
        <v>26.091909999999999</v>
      </c>
    </row>
    <row r="8493" spans="1:8" s="15" customFormat="1" ht="16.5" hidden="1" customHeight="1" outlineLevel="1" x14ac:dyDescent="0.25">
      <c r="A8493" s="18">
        <v>1447</v>
      </c>
      <c r="B8493" s="4" t="s">
        <v>250</v>
      </c>
      <c r="C8493" s="38" t="s">
        <v>7190</v>
      </c>
      <c r="D8493" s="18">
        <v>2022</v>
      </c>
      <c r="E8493" s="18" t="s">
        <v>0</v>
      </c>
      <c r="F8493" s="42">
        <v>1</v>
      </c>
      <c r="G8493" s="4">
        <v>15</v>
      </c>
      <c r="H8493" s="18">
        <v>27.098769999999998</v>
      </c>
    </row>
    <row r="8494" spans="1:8" s="15" customFormat="1" ht="16.5" hidden="1" customHeight="1" outlineLevel="1" x14ac:dyDescent="0.25">
      <c r="A8494" s="18">
        <v>1716</v>
      </c>
      <c r="B8494" s="4" t="s">
        <v>250</v>
      </c>
      <c r="C8494" s="38" t="s">
        <v>7191</v>
      </c>
      <c r="D8494" s="18">
        <v>2022</v>
      </c>
      <c r="E8494" s="18" t="s">
        <v>0</v>
      </c>
      <c r="F8494" s="42">
        <v>1</v>
      </c>
      <c r="G8494" s="4">
        <v>15</v>
      </c>
      <c r="H8494" s="18">
        <v>20.41048</v>
      </c>
    </row>
    <row r="8495" spans="1:8" s="15" customFormat="1" ht="16.5" hidden="1" customHeight="1" outlineLevel="1" x14ac:dyDescent="0.25">
      <c r="A8495" s="18">
        <v>1630</v>
      </c>
      <c r="B8495" s="4" t="s">
        <v>250</v>
      </c>
      <c r="C8495" s="38" t="s">
        <v>7192</v>
      </c>
      <c r="D8495" s="18">
        <v>2022</v>
      </c>
      <c r="E8495" s="18" t="s">
        <v>0</v>
      </c>
      <c r="F8495" s="42">
        <v>1</v>
      </c>
      <c r="G8495" s="4">
        <v>15</v>
      </c>
      <c r="H8495" s="18">
        <v>20.86525</v>
      </c>
    </row>
    <row r="8496" spans="1:8" s="15" customFormat="1" ht="16.5" hidden="1" customHeight="1" outlineLevel="1" x14ac:dyDescent="0.25">
      <c r="A8496" s="18">
        <v>1501</v>
      </c>
      <c r="B8496" s="4" t="s">
        <v>250</v>
      </c>
      <c r="C8496" s="38" t="s">
        <v>4234</v>
      </c>
      <c r="D8496" s="18">
        <v>2022</v>
      </c>
      <c r="E8496" s="18" t="s">
        <v>0</v>
      </c>
      <c r="F8496" s="42">
        <v>1</v>
      </c>
      <c r="G8496" s="4">
        <v>12</v>
      </c>
      <c r="H8496" s="18">
        <v>38.836379999999998</v>
      </c>
    </row>
    <row r="8497" spans="1:8" s="15" customFormat="1" ht="16.5" hidden="1" customHeight="1" outlineLevel="1" x14ac:dyDescent="0.25">
      <c r="A8497" s="18">
        <v>1592</v>
      </c>
      <c r="B8497" s="4" t="s">
        <v>250</v>
      </c>
      <c r="C8497" s="38" t="s">
        <v>3382</v>
      </c>
      <c r="D8497" s="18">
        <v>2022</v>
      </c>
      <c r="E8497" s="18" t="s">
        <v>0</v>
      </c>
      <c r="F8497" s="42">
        <v>1</v>
      </c>
      <c r="G8497" s="4">
        <v>30</v>
      </c>
      <c r="H8497" s="18">
        <v>22.807079999999999</v>
      </c>
    </row>
    <row r="8498" spans="1:8" s="15" customFormat="1" ht="16.5" hidden="1" customHeight="1" outlineLevel="1" x14ac:dyDescent="0.25">
      <c r="A8498" s="18">
        <v>1374</v>
      </c>
      <c r="B8498" s="4" t="s">
        <v>250</v>
      </c>
      <c r="C8498" s="38" t="s">
        <v>3383</v>
      </c>
      <c r="D8498" s="18">
        <v>2022</v>
      </c>
      <c r="E8498" s="18" t="s">
        <v>0</v>
      </c>
      <c r="F8498" s="42">
        <v>1</v>
      </c>
      <c r="G8498" s="4">
        <v>15</v>
      </c>
      <c r="H8498" s="18">
        <v>32.611870000000003</v>
      </c>
    </row>
    <row r="8499" spans="1:8" s="15" customFormat="1" ht="16.5" hidden="1" customHeight="1" outlineLevel="1" x14ac:dyDescent="0.25">
      <c r="A8499" s="18">
        <v>1196</v>
      </c>
      <c r="B8499" s="4" t="s">
        <v>250</v>
      </c>
      <c r="C8499" s="38" t="s">
        <v>3384</v>
      </c>
      <c r="D8499" s="18">
        <v>2022</v>
      </c>
      <c r="E8499" s="18" t="s">
        <v>0</v>
      </c>
      <c r="F8499" s="42">
        <v>1</v>
      </c>
      <c r="G8499" s="4">
        <v>15</v>
      </c>
      <c r="H8499" s="18">
        <v>44.449509999999997</v>
      </c>
    </row>
    <row r="8500" spans="1:8" s="15" customFormat="1" ht="16.5" hidden="1" customHeight="1" outlineLevel="1" x14ac:dyDescent="0.25">
      <c r="A8500" s="18">
        <v>1590</v>
      </c>
      <c r="B8500" s="4" t="s">
        <v>250</v>
      </c>
      <c r="C8500" s="38" t="s">
        <v>3385</v>
      </c>
      <c r="D8500" s="18">
        <v>2022</v>
      </c>
      <c r="E8500" s="18" t="s">
        <v>0</v>
      </c>
      <c r="F8500" s="42">
        <v>1</v>
      </c>
      <c r="G8500" s="4">
        <v>30</v>
      </c>
      <c r="H8500" s="18">
        <v>40.30303</v>
      </c>
    </row>
    <row r="8501" spans="1:8" s="15" customFormat="1" ht="16.5" hidden="1" customHeight="1" outlineLevel="1" x14ac:dyDescent="0.25">
      <c r="A8501" s="18">
        <v>1150</v>
      </c>
      <c r="B8501" s="4" t="s">
        <v>250</v>
      </c>
      <c r="C8501" s="38" t="s">
        <v>3386</v>
      </c>
      <c r="D8501" s="18">
        <v>2022</v>
      </c>
      <c r="E8501" s="18" t="s">
        <v>0</v>
      </c>
      <c r="F8501" s="42">
        <v>1</v>
      </c>
      <c r="G8501" s="4">
        <v>15</v>
      </c>
      <c r="H8501" s="18">
        <v>36.52122</v>
      </c>
    </row>
    <row r="8502" spans="1:8" s="15" customFormat="1" ht="16.5" hidden="1" customHeight="1" outlineLevel="1" x14ac:dyDescent="0.25">
      <c r="A8502" s="18">
        <v>1591</v>
      </c>
      <c r="B8502" s="4" t="s">
        <v>250</v>
      </c>
      <c r="C8502" s="38" t="s">
        <v>3387</v>
      </c>
      <c r="D8502" s="18">
        <v>2022</v>
      </c>
      <c r="E8502" s="18" t="s">
        <v>0</v>
      </c>
      <c r="F8502" s="42">
        <v>1</v>
      </c>
      <c r="G8502" s="4">
        <v>25</v>
      </c>
      <c r="H8502" s="18">
        <v>38.581510000000002</v>
      </c>
    </row>
    <row r="8503" spans="1:8" s="15" customFormat="1" ht="16.5" hidden="1" customHeight="1" outlineLevel="1" x14ac:dyDescent="0.25">
      <c r="A8503" s="18">
        <v>1589</v>
      </c>
      <c r="B8503" s="4" t="s">
        <v>250</v>
      </c>
      <c r="C8503" s="38" t="s">
        <v>3388</v>
      </c>
      <c r="D8503" s="18">
        <v>2022</v>
      </c>
      <c r="E8503" s="18" t="s">
        <v>0</v>
      </c>
      <c r="F8503" s="42">
        <v>1</v>
      </c>
      <c r="G8503" s="4">
        <v>100.6</v>
      </c>
      <c r="H8503" s="18">
        <v>42.331180000000003</v>
      </c>
    </row>
    <row r="8504" spans="1:8" s="15" customFormat="1" ht="16.5" hidden="1" customHeight="1" outlineLevel="1" x14ac:dyDescent="0.25">
      <c r="A8504" s="18">
        <v>1162</v>
      </c>
      <c r="B8504" s="4" t="s">
        <v>250</v>
      </c>
      <c r="C8504" s="38" t="s">
        <v>3389</v>
      </c>
      <c r="D8504" s="18">
        <v>2022</v>
      </c>
      <c r="E8504" s="18" t="s">
        <v>0</v>
      </c>
      <c r="F8504" s="42">
        <v>1</v>
      </c>
      <c r="G8504" s="4">
        <v>15</v>
      </c>
      <c r="H8504" s="18">
        <v>47.104309999999998</v>
      </c>
    </row>
    <row r="8505" spans="1:8" s="15" customFormat="1" ht="16.5" hidden="1" customHeight="1" outlineLevel="1" x14ac:dyDescent="0.25">
      <c r="A8505" s="18">
        <v>1700</v>
      </c>
      <c r="B8505" s="4" t="s">
        <v>250</v>
      </c>
      <c r="C8505" s="38" t="s">
        <v>7193</v>
      </c>
      <c r="D8505" s="18">
        <v>2022</v>
      </c>
      <c r="E8505" s="18" t="s">
        <v>0</v>
      </c>
      <c r="F8505" s="42">
        <v>1</v>
      </c>
      <c r="G8505" s="4">
        <v>15</v>
      </c>
      <c r="H8505" s="18">
        <v>20.086320000000001</v>
      </c>
    </row>
    <row r="8506" spans="1:8" s="15" customFormat="1" ht="16.5" hidden="1" customHeight="1" outlineLevel="1" x14ac:dyDescent="0.25">
      <c r="A8506" s="18">
        <v>1688</v>
      </c>
      <c r="B8506" s="4" t="s">
        <v>250</v>
      </c>
      <c r="C8506" s="38" t="s">
        <v>7194</v>
      </c>
      <c r="D8506" s="18">
        <v>2022</v>
      </c>
      <c r="E8506" s="18" t="s">
        <v>0</v>
      </c>
      <c r="F8506" s="42">
        <v>1</v>
      </c>
      <c r="G8506" s="4">
        <v>14.8</v>
      </c>
      <c r="H8506" s="18">
        <v>20.25977</v>
      </c>
    </row>
    <row r="8507" spans="1:8" s="15" customFormat="1" ht="16.5" hidden="1" customHeight="1" outlineLevel="1" x14ac:dyDescent="0.25">
      <c r="A8507" s="18">
        <v>1691</v>
      </c>
      <c r="B8507" s="4" t="s">
        <v>250</v>
      </c>
      <c r="C8507" s="38" t="s">
        <v>7195</v>
      </c>
      <c r="D8507" s="18">
        <v>2022</v>
      </c>
      <c r="E8507" s="18" t="s">
        <v>0</v>
      </c>
      <c r="F8507" s="42">
        <v>1</v>
      </c>
      <c r="G8507" s="4">
        <v>15</v>
      </c>
      <c r="H8507" s="18">
        <v>20.092510000000001</v>
      </c>
    </row>
    <row r="8508" spans="1:8" s="15" customFormat="1" ht="16.5" hidden="1" customHeight="1" outlineLevel="1" x14ac:dyDescent="0.25">
      <c r="A8508" s="18">
        <v>1713</v>
      </c>
      <c r="B8508" s="4" t="s">
        <v>250</v>
      </c>
      <c r="C8508" s="38" t="s">
        <v>7196</v>
      </c>
      <c r="D8508" s="18">
        <v>2022</v>
      </c>
      <c r="E8508" s="18" t="s">
        <v>0</v>
      </c>
      <c r="F8508" s="42">
        <v>1</v>
      </c>
      <c r="G8508" s="4">
        <v>15</v>
      </c>
      <c r="H8508" s="18">
        <v>21.11138</v>
      </c>
    </row>
    <row r="8509" spans="1:8" s="15" customFormat="1" ht="16.5" hidden="1" customHeight="1" outlineLevel="1" x14ac:dyDescent="0.25">
      <c r="A8509" s="18">
        <v>1335</v>
      </c>
      <c r="B8509" s="4" t="s">
        <v>250</v>
      </c>
      <c r="C8509" s="38" t="s">
        <v>3390</v>
      </c>
      <c r="D8509" s="18">
        <v>2022</v>
      </c>
      <c r="E8509" s="18" t="s">
        <v>0</v>
      </c>
      <c r="F8509" s="42">
        <v>1</v>
      </c>
      <c r="G8509" s="4">
        <v>15</v>
      </c>
      <c r="H8509" s="18">
        <v>72.431610000000006</v>
      </c>
    </row>
    <row r="8510" spans="1:8" s="15" customFormat="1" ht="16.5" hidden="1" customHeight="1" outlineLevel="1" x14ac:dyDescent="0.25">
      <c r="A8510" s="18">
        <v>1519</v>
      </c>
      <c r="B8510" s="4" t="s">
        <v>250</v>
      </c>
      <c r="C8510" s="38" t="s">
        <v>3391</v>
      </c>
      <c r="D8510" s="18">
        <v>2022</v>
      </c>
      <c r="E8510" s="18" t="s">
        <v>0</v>
      </c>
      <c r="F8510" s="42">
        <v>1</v>
      </c>
      <c r="G8510" s="4">
        <v>15</v>
      </c>
      <c r="H8510" s="18">
        <v>66.889690000000002</v>
      </c>
    </row>
    <row r="8511" spans="1:8" s="15" customFormat="1" ht="16.5" hidden="1" customHeight="1" outlineLevel="1" x14ac:dyDescent="0.25">
      <c r="A8511" s="18">
        <v>1110</v>
      </c>
      <c r="B8511" s="4" t="s">
        <v>250</v>
      </c>
      <c r="C8511" s="38" t="s">
        <v>3393</v>
      </c>
      <c r="D8511" s="18">
        <v>2022</v>
      </c>
      <c r="E8511" s="18" t="s">
        <v>0</v>
      </c>
      <c r="F8511" s="42">
        <v>1</v>
      </c>
      <c r="G8511" s="4">
        <v>15</v>
      </c>
      <c r="H8511" s="18">
        <v>39.9176</v>
      </c>
    </row>
    <row r="8512" spans="1:8" s="15" customFormat="1" ht="16.5" hidden="1" customHeight="1" outlineLevel="1" x14ac:dyDescent="0.25">
      <c r="A8512" s="18">
        <v>1104</v>
      </c>
      <c r="B8512" s="4" t="s">
        <v>250</v>
      </c>
      <c r="C8512" s="38" t="s">
        <v>3395</v>
      </c>
      <c r="D8512" s="18">
        <v>2022</v>
      </c>
      <c r="E8512" s="18" t="s">
        <v>0</v>
      </c>
      <c r="F8512" s="42">
        <v>1</v>
      </c>
      <c r="G8512" s="4">
        <v>15</v>
      </c>
      <c r="H8512" s="18">
        <v>51.30518</v>
      </c>
    </row>
    <row r="8513" spans="1:8" s="15" customFormat="1" ht="16.5" hidden="1" customHeight="1" outlineLevel="1" x14ac:dyDescent="0.25">
      <c r="A8513" s="18">
        <v>1469</v>
      </c>
      <c r="B8513" s="4" t="s">
        <v>250</v>
      </c>
      <c r="C8513" s="38" t="s">
        <v>3396</v>
      </c>
      <c r="D8513" s="18">
        <v>2022</v>
      </c>
      <c r="E8513" s="18" t="s">
        <v>0</v>
      </c>
      <c r="F8513" s="42">
        <v>1</v>
      </c>
      <c r="G8513" s="4">
        <v>15</v>
      </c>
      <c r="H8513" s="18">
        <v>86.523330000000001</v>
      </c>
    </row>
    <row r="8514" spans="1:8" s="15" customFormat="1" ht="16.5" hidden="1" customHeight="1" outlineLevel="1" x14ac:dyDescent="0.25">
      <c r="A8514" s="18">
        <v>1434</v>
      </c>
      <c r="B8514" s="4" t="s">
        <v>250</v>
      </c>
      <c r="C8514" s="38" t="s">
        <v>3397</v>
      </c>
      <c r="D8514" s="18">
        <v>2022</v>
      </c>
      <c r="E8514" s="18" t="s">
        <v>0</v>
      </c>
      <c r="F8514" s="42">
        <v>1</v>
      </c>
      <c r="G8514" s="4">
        <v>25</v>
      </c>
      <c r="H8514" s="18">
        <v>48.64781</v>
      </c>
    </row>
    <row r="8515" spans="1:8" s="15" customFormat="1" ht="16.5" hidden="1" customHeight="1" outlineLevel="1" x14ac:dyDescent="0.25">
      <c r="A8515" s="18">
        <v>1050</v>
      </c>
      <c r="B8515" s="4" t="s">
        <v>250</v>
      </c>
      <c r="C8515" s="38" t="s">
        <v>3398</v>
      </c>
      <c r="D8515" s="18">
        <v>2022</v>
      </c>
      <c r="E8515" s="18" t="s">
        <v>0</v>
      </c>
      <c r="F8515" s="42">
        <v>1</v>
      </c>
      <c r="G8515" s="4">
        <v>15</v>
      </c>
      <c r="H8515" s="18">
        <v>47.849449999999997</v>
      </c>
    </row>
    <row r="8516" spans="1:8" s="15" customFormat="1" ht="16.5" hidden="1" customHeight="1" outlineLevel="1" x14ac:dyDescent="0.25">
      <c r="A8516" s="18">
        <v>1490</v>
      </c>
      <c r="B8516" s="4" t="s">
        <v>250</v>
      </c>
      <c r="C8516" s="38" t="s">
        <v>3400</v>
      </c>
      <c r="D8516" s="18">
        <v>2022</v>
      </c>
      <c r="E8516" s="18" t="s">
        <v>0</v>
      </c>
      <c r="F8516" s="42">
        <v>1</v>
      </c>
      <c r="G8516" s="4">
        <v>80</v>
      </c>
      <c r="H8516" s="18">
        <v>80.945989999999995</v>
      </c>
    </row>
    <row r="8517" spans="1:8" s="15" customFormat="1" ht="16.5" hidden="1" customHeight="1" outlineLevel="1" x14ac:dyDescent="0.25">
      <c r="A8517" s="18">
        <v>1520</v>
      </c>
      <c r="B8517" s="4" t="s">
        <v>250</v>
      </c>
      <c r="C8517" s="38" t="s">
        <v>3403</v>
      </c>
      <c r="D8517" s="18">
        <v>2022</v>
      </c>
      <c r="E8517" s="18" t="s">
        <v>0</v>
      </c>
      <c r="F8517" s="42">
        <v>1</v>
      </c>
      <c r="G8517" s="4">
        <v>50</v>
      </c>
      <c r="H8517" s="18">
        <v>40.565359999999998</v>
      </c>
    </row>
    <row r="8518" spans="1:8" s="15" customFormat="1" ht="16.5" hidden="1" customHeight="1" outlineLevel="1" x14ac:dyDescent="0.25">
      <c r="A8518" s="18">
        <v>1329</v>
      </c>
      <c r="B8518" s="4" t="s">
        <v>250</v>
      </c>
      <c r="C8518" s="38" t="s">
        <v>3404</v>
      </c>
      <c r="D8518" s="18">
        <v>2022</v>
      </c>
      <c r="E8518" s="18" t="s">
        <v>0</v>
      </c>
      <c r="F8518" s="42">
        <v>1</v>
      </c>
      <c r="G8518" s="4">
        <v>15</v>
      </c>
      <c r="H8518" s="18">
        <v>55.910319999999999</v>
      </c>
    </row>
    <row r="8519" spans="1:8" s="15" customFormat="1" ht="16.5" hidden="1" customHeight="1" outlineLevel="1" x14ac:dyDescent="0.25">
      <c r="A8519" s="18">
        <v>1143</v>
      </c>
      <c r="B8519" s="4" t="s">
        <v>250</v>
      </c>
      <c r="C8519" s="38" t="s">
        <v>7197</v>
      </c>
      <c r="D8519" s="18">
        <v>2022</v>
      </c>
      <c r="E8519" s="18" t="s">
        <v>0</v>
      </c>
      <c r="F8519" s="42">
        <v>1</v>
      </c>
      <c r="G8519" s="4">
        <v>15</v>
      </c>
      <c r="H8519" s="18">
        <v>29.025110000000002</v>
      </c>
    </row>
    <row r="8520" spans="1:8" s="15" customFormat="1" ht="16.5" hidden="1" customHeight="1" outlineLevel="1" x14ac:dyDescent="0.25">
      <c r="A8520" s="18">
        <v>1303</v>
      </c>
      <c r="B8520" s="4" t="s">
        <v>250</v>
      </c>
      <c r="C8520" s="38" t="s">
        <v>7198</v>
      </c>
      <c r="D8520" s="18">
        <v>2022</v>
      </c>
      <c r="E8520" s="18" t="s">
        <v>0</v>
      </c>
      <c r="F8520" s="42">
        <v>1</v>
      </c>
      <c r="G8520" s="4">
        <v>15</v>
      </c>
      <c r="H8520" s="18">
        <v>26.06983</v>
      </c>
    </row>
    <row r="8521" spans="1:8" s="15" customFormat="1" ht="16.5" hidden="1" customHeight="1" outlineLevel="1" x14ac:dyDescent="0.25">
      <c r="A8521" s="18">
        <v>1267</v>
      </c>
      <c r="B8521" s="4" t="s">
        <v>250</v>
      </c>
      <c r="C8521" s="38" t="s">
        <v>7199</v>
      </c>
      <c r="D8521" s="18">
        <v>2022</v>
      </c>
      <c r="E8521" s="18" t="s">
        <v>0</v>
      </c>
      <c r="F8521" s="42">
        <v>1</v>
      </c>
      <c r="G8521" s="4">
        <v>15</v>
      </c>
      <c r="H8521" s="18">
        <v>29.173719999999999</v>
      </c>
    </row>
    <row r="8522" spans="1:8" s="15" customFormat="1" ht="16.5" hidden="1" customHeight="1" outlineLevel="1" x14ac:dyDescent="0.25">
      <c r="A8522" s="18">
        <v>1266</v>
      </c>
      <c r="B8522" s="4" t="s">
        <v>250</v>
      </c>
      <c r="C8522" s="38" t="s">
        <v>7200</v>
      </c>
      <c r="D8522" s="18">
        <v>2022</v>
      </c>
      <c r="E8522" s="18" t="s">
        <v>0</v>
      </c>
      <c r="F8522" s="42">
        <v>1</v>
      </c>
      <c r="G8522" s="4">
        <v>15</v>
      </c>
      <c r="H8522" s="18">
        <v>29.1737</v>
      </c>
    </row>
    <row r="8523" spans="1:8" s="15" customFormat="1" ht="16.5" hidden="1" customHeight="1" outlineLevel="1" x14ac:dyDescent="0.25">
      <c r="A8523" s="18">
        <v>1748</v>
      </c>
      <c r="B8523" s="4" t="s">
        <v>250</v>
      </c>
      <c r="C8523" s="38" t="s">
        <v>7201</v>
      </c>
      <c r="D8523" s="18">
        <v>2022</v>
      </c>
      <c r="E8523" s="18" t="s">
        <v>0</v>
      </c>
      <c r="F8523" s="42">
        <v>1</v>
      </c>
      <c r="G8523" s="4">
        <v>15</v>
      </c>
      <c r="H8523" s="18">
        <v>21.274419999999999</v>
      </c>
    </row>
    <row r="8524" spans="1:8" s="15" customFormat="1" ht="16.5" hidden="1" customHeight="1" outlineLevel="1" x14ac:dyDescent="0.25">
      <c r="A8524" s="18">
        <v>1751</v>
      </c>
      <c r="B8524" s="4" t="s">
        <v>250</v>
      </c>
      <c r="C8524" s="38" t="s">
        <v>7202</v>
      </c>
      <c r="D8524" s="18">
        <v>2022</v>
      </c>
      <c r="E8524" s="18" t="s">
        <v>0</v>
      </c>
      <c r="F8524" s="42">
        <v>1</v>
      </c>
      <c r="G8524" s="4">
        <v>15</v>
      </c>
      <c r="H8524" s="18">
        <v>21.46724</v>
      </c>
    </row>
    <row r="8525" spans="1:8" s="15" customFormat="1" ht="16.5" hidden="1" customHeight="1" outlineLevel="1" x14ac:dyDescent="0.25">
      <c r="A8525" s="18">
        <v>1752</v>
      </c>
      <c r="B8525" s="4" t="s">
        <v>250</v>
      </c>
      <c r="C8525" s="38" t="s">
        <v>7203</v>
      </c>
      <c r="D8525" s="18">
        <v>2022</v>
      </c>
      <c r="E8525" s="18" t="s">
        <v>0</v>
      </c>
      <c r="F8525" s="42">
        <v>1</v>
      </c>
      <c r="G8525" s="4">
        <v>15</v>
      </c>
      <c r="H8525" s="18">
        <v>21.27441</v>
      </c>
    </row>
    <row r="8526" spans="1:8" s="15" customFormat="1" ht="16.5" hidden="1" customHeight="1" outlineLevel="1" x14ac:dyDescent="0.25">
      <c r="A8526" s="18">
        <v>1086</v>
      </c>
      <c r="B8526" s="4" t="s">
        <v>250</v>
      </c>
      <c r="C8526" s="38" t="s">
        <v>7204</v>
      </c>
      <c r="D8526" s="18">
        <v>2022</v>
      </c>
      <c r="E8526" s="18" t="s">
        <v>0</v>
      </c>
      <c r="F8526" s="42">
        <v>1</v>
      </c>
      <c r="G8526" s="4">
        <v>15</v>
      </c>
      <c r="H8526" s="18">
        <v>36.86936</v>
      </c>
    </row>
    <row r="8527" spans="1:8" s="15" customFormat="1" ht="16.5" hidden="1" customHeight="1" outlineLevel="1" x14ac:dyDescent="0.25">
      <c r="A8527" s="18">
        <v>1753</v>
      </c>
      <c r="B8527" s="4" t="s">
        <v>250</v>
      </c>
      <c r="C8527" s="38" t="s">
        <v>7205</v>
      </c>
      <c r="D8527" s="18">
        <v>2022</v>
      </c>
      <c r="E8527" s="18" t="s">
        <v>0</v>
      </c>
      <c r="F8527" s="42">
        <v>1</v>
      </c>
      <c r="G8527" s="4">
        <v>15</v>
      </c>
      <c r="H8527" s="18">
        <v>21.27441</v>
      </c>
    </row>
    <row r="8528" spans="1:8" s="15" customFormat="1" ht="16.5" hidden="1" customHeight="1" outlineLevel="1" x14ac:dyDescent="0.25">
      <c r="A8528" s="18">
        <v>1754</v>
      </c>
      <c r="B8528" s="4" t="s">
        <v>250</v>
      </c>
      <c r="C8528" s="38" t="s">
        <v>7206</v>
      </c>
      <c r="D8528" s="18">
        <v>2022</v>
      </c>
      <c r="E8528" s="18" t="s">
        <v>0</v>
      </c>
      <c r="F8528" s="42">
        <v>1</v>
      </c>
      <c r="G8528" s="4">
        <v>15</v>
      </c>
      <c r="H8528" s="18">
        <v>21.27441</v>
      </c>
    </row>
    <row r="8529" spans="1:8" s="15" customFormat="1" ht="16.5" hidden="1" customHeight="1" outlineLevel="1" x14ac:dyDescent="0.25">
      <c r="A8529" s="18">
        <v>1755</v>
      </c>
      <c r="B8529" s="4" t="s">
        <v>250</v>
      </c>
      <c r="C8529" s="38" t="s">
        <v>7207</v>
      </c>
      <c r="D8529" s="18">
        <v>2022</v>
      </c>
      <c r="E8529" s="18" t="s">
        <v>0</v>
      </c>
      <c r="F8529" s="42">
        <v>1</v>
      </c>
      <c r="G8529" s="4">
        <v>15</v>
      </c>
      <c r="H8529" s="18">
        <v>21.27441</v>
      </c>
    </row>
    <row r="8530" spans="1:8" s="15" customFormat="1" ht="16.5" hidden="1" customHeight="1" outlineLevel="1" x14ac:dyDescent="0.25">
      <c r="A8530" s="18">
        <v>1756</v>
      </c>
      <c r="B8530" s="4" t="s">
        <v>250</v>
      </c>
      <c r="C8530" s="38" t="s">
        <v>7208</v>
      </c>
      <c r="D8530" s="18">
        <v>2022</v>
      </c>
      <c r="E8530" s="18" t="s">
        <v>0</v>
      </c>
      <c r="F8530" s="42">
        <v>1</v>
      </c>
      <c r="G8530" s="4">
        <v>15</v>
      </c>
      <c r="H8530" s="18">
        <v>21.27441</v>
      </c>
    </row>
    <row r="8531" spans="1:8" s="15" customFormat="1" ht="16.5" hidden="1" customHeight="1" outlineLevel="1" x14ac:dyDescent="0.25">
      <c r="A8531" s="18">
        <v>1757</v>
      </c>
      <c r="B8531" s="4" t="s">
        <v>250</v>
      </c>
      <c r="C8531" s="38" t="s">
        <v>7209</v>
      </c>
      <c r="D8531" s="18">
        <v>2022</v>
      </c>
      <c r="E8531" s="18" t="s">
        <v>0</v>
      </c>
      <c r="F8531" s="42">
        <v>1</v>
      </c>
      <c r="G8531" s="4">
        <v>15</v>
      </c>
      <c r="H8531" s="18">
        <v>22.63495</v>
      </c>
    </row>
    <row r="8532" spans="1:8" s="15" customFormat="1" ht="16.5" hidden="1" customHeight="1" outlineLevel="1" x14ac:dyDescent="0.25">
      <c r="A8532" s="18">
        <v>1309</v>
      </c>
      <c r="B8532" s="4" t="s">
        <v>250</v>
      </c>
      <c r="C8532" s="38" t="s">
        <v>3406</v>
      </c>
      <c r="D8532" s="18">
        <v>2022</v>
      </c>
      <c r="E8532" s="18" t="s">
        <v>0</v>
      </c>
      <c r="F8532" s="42">
        <v>1</v>
      </c>
      <c r="G8532" s="4">
        <v>15</v>
      </c>
      <c r="H8532" s="18">
        <v>74.227339999999998</v>
      </c>
    </row>
    <row r="8533" spans="1:8" s="15" customFormat="1" ht="16.5" hidden="1" customHeight="1" outlineLevel="1" x14ac:dyDescent="0.25">
      <c r="A8533" s="18">
        <v>1170</v>
      </c>
      <c r="B8533" s="4" t="s">
        <v>250</v>
      </c>
      <c r="C8533" s="38" t="s">
        <v>3407</v>
      </c>
      <c r="D8533" s="18">
        <v>2022</v>
      </c>
      <c r="E8533" s="18" t="s">
        <v>0</v>
      </c>
      <c r="F8533" s="42">
        <v>1</v>
      </c>
      <c r="G8533" s="4">
        <v>15</v>
      </c>
      <c r="H8533" s="18">
        <v>68.544229999999999</v>
      </c>
    </row>
    <row r="8534" spans="1:8" s="15" customFormat="1" ht="16.5" hidden="1" customHeight="1" outlineLevel="1" x14ac:dyDescent="0.25">
      <c r="A8534" s="18">
        <v>1397</v>
      </c>
      <c r="B8534" s="4" t="s">
        <v>250</v>
      </c>
      <c r="C8534" s="38" t="s">
        <v>3408</v>
      </c>
      <c r="D8534" s="18">
        <v>2022</v>
      </c>
      <c r="E8534" s="18" t="s">
        <v>0</v>
      </c>
      <c r="F8534" s="42">
        <v>1</v>
      </c>
      <c r="G8534" s="4">
        <v>15</v>
      </c>
      <c r="H8534" s="18">
        <v>67.901709999999994</v>
      </c>
    </row>
    <row r="8535" spans="1:8" s="15" customFormat="1" ht="16.5" hidden="1" customHeight="1" outlineLevel="1" x14ac:dyDescent="0.25">
      <c r="A8535" s="18">
        <v>1450</v>
      </c>
      <c r="B8535" s="4" t="s">
        <v>250</v>
      </c>
      <c r="C8535" s="38" t="s">
        <v>3409</v>
      </c>
      <c r="D8535" s="18">
        <v>2022</v>
      </c>
      <c r="E8535" s="18" t="s">
        <v>0</v>
      </c>
      <c r="F8535" s="42">
        <v>1</v>
      </c>
      <c r="G8535" s="4">
        <v>15</v>
      </c>
      <c r="H8535" s="18">
        <v>51.050849999999997</v>
      </c>
    </row>
    <row r="8536" spans="1:8" s="15" customFormat="1" ht="16.5" hidden="1" customHeight="1" outlineLevel="1" x14ac:dyDescent="0.25">
      <c r="A8536" s="18">
        <v>1242</v>
      </c>
      <c r="B8536" s="4" t="s">
        <v>250</v>
      </c>
      <c r="C8536" s="38" t="s">
        <v>3410</v>
      </c>
      <c r="D8536" s="18">
        <v>2022</v>
      </c>
      <c r="E8536" s="18" t="s">
        <v>0</v>
      </c>
      <c r="F8536" s="42">
        <v>1</v>
      </c>
      <c r="G8536" s="4">
        <v>15</v>
      </c>
      <c r="H8536" s="18">
        <v>70.093699999999998</v>
      </c>
    </row>
    <row r="8537" spans="1:8" s="15" customFormat="1" ht="16.5" hidden="1" customHeight="1" outlineLevel="1" x14ac:dyDescent="0.25">
      <c r="A8537" s="18">
        <v>1093</v>
      </c>
      <c r="B8537" s="4" t="s">
        <v>250</v>
      </c>
      <c r="C8537" s="38" t="s">
        <v>3411</v>
      </c>
      <c r="D8537" s="18">
        <v>2022</v>
      </c>
      <c r="E8537" s="18" t="s">
        <v>0</v>
      </c>
      <c r="F8537" s="42">
        <v>1</v>
      </c>
      <c r="G8537" s="4">
        <v>15</v>
      </c>
      <c r="H8537" s="18">
        <v>47.30574</v>
      </c>
    </row>
    <row r="8538" spans="1:8" s="15" customFormat="1" ht="16.5" hidden="1" customHeight="1" outlineLevel="1" x14ac:dyDescent="0.25">
      <c r="A8538" s="18">
        <v>1095</v>
      </c>
      <c r="B8538" s="4" t="s">
        <v>250</v>
      </c>
      <c r="C8538" s="38" t="s">
        <v>3412</v>
      </c>
      <c r="D8538" s="18">
        <v>2022</v>
      </c>
      <c r="E8538" s="18" t="s">
        <v>0</v>
      </c>
      <c r="F8538" s="42">
        <v>1</v>
      </c>
      <c r="G8538" s="4">
        <v>15</v>
      </c>
      <c r="H8538" s="18">
        <v>50.169440000000002</v>
      </c>
    </row>
    <row r="8539" spans="1:8" s="15" customFormat="1" ht="16.5" hidden="1" customHeight="1" outlineLevel="1" x14ac:dyDescent="0.25">
      <c r="A8539" s="18">
        <v>1449</v>
      </c>
      <c r="B8539" s="4" t="s">
        <v>250</v>
      </c>
      <c r="C8539" s="38" t="s">
        <v>3413</v>
      </c>
      <c r="D8539" s="18">
        <v>2022</v>
      </c>
      <c r="E8539" s="18" t="s">
        <v>0</v>
      </c>
      <c r="F8539" s="42">
        <v>1</v>
      </c>
      <c r="G8539" s="4">
        <v>14</v>
      </c>
      <c r="H8539" s="18">
        <v>64.346289999999996</v>
      </c>
    </row>
    <row r="8540" spans="1:8" s="15" customFormat="1" ht="16.5" hidden="1" customHeight="1" outlineLevel="1" x14ac:dyDescent="0.25">
      <c r="A8540" s="18">
        <v>1139</v>
      </c>
      <c r="B8540" s="4" t="s">
        <v>250</v>
      </c>
      <c r="C8540" s="38" t="s">
        <v>3414</v>
      </c>
      <c r="D8540" s="18">
        <v>2022</v>
      </c>
      <c r="E8540" s="18" t="s">
        <v>0</v>
      </c>
      <c r="F8540" s="42">
        <v>1</v>
      </c>
      <c r="G8540" s="4">
        <v>15</v>
      </c>
      <c r="H8540" s="18">
        <v>64.929599999999994</v>
      </c>
    </row>
    <row r="8541" spans="1:8" s="15" customFormat="1" ht="16.5" hidden="1" customHeight="1" outlineLevel="1" x14ac:dyDescent="0.25">
      <c r="A8541" s="18">
        <v>1128</v>
      </c>
      <c r="B8541" s="4" t="s">
        <v>250</v>
      </c>
      <c r="C8541" s="38" t="s">
        <v>3415</v>
      </c>
      <c r="D8541" s="18">
        <v>2022</v>
      </c>
      <c r="E8541" s="18" t="s">
        <v>0</v>
      </c>
      <c r="F8541" s="42">
        <v>1</v>
      </c>
      <c r="G8541" s="4">
        <v>15</v>
      </c>
      <c r="H8541" s="18">
        <v>46.614730000000002</v>
      </c>
    </row>
    <row r="8542" spans="1:8" s="15" customFormat="1" ht="16.5" hidden="1" customHeight="1" outlineLevel="1" x14ac:dyDescent="0.25">
      <c r="A8542" s="18">
        <v>1722</v>
      </c>
      <c r="B8542" s="4" t="s">
        <v>250</v>
      </c>
      <c r="C8542" s="38" t="s">
        <v>7210</v>
      </c>
      <c r="D8542" s="18">
        <v>2022</v>
      </c>
      <c r="E8542" s="18" t="s">
        <v>0</v>
      </c>
      <c r="F8542" s="42">
        <v>1</v>
      </c>
      <c r="G8542" s="4">
        <v>15</v>
      </c>
      <c r="H8542" s="18">
        <v>18.413450000000001</v>
      </c>
    </row>
    <row r="8543" spans="1:8" s="15" customFormat="1" ht="16.5" hidden="1" customHeight="1" outlineLevel="1" x14ac:dyDescent="0.25">
      <c r="A8543" s="18">
        <v>1646</v>
      </c>
      <c r="B8543" s="4" t="s">
        <v>250</v>
      </c>
      <c r="C8543" s="38" t="s">
        <v>7211</v>
      </c>
      <c r="D8543" s="18">
        <v>2022</v>
      </c>
      <c r="E8543" s="18" t="s">
        <v>0</v>
      </c>
      <c r="F8543" s="42">
        <v>1</v>
      </c>
      <c r="G8543" s="4">
        <v>15</v>
      </c>
      <c r="H8543" s="18">
        <v>20.26483</v>
      </c>
    </row>
    <row r="8544" spans="1:8" s="15" customFormat="1" ht="16.5" hidden="1" customHeight="1" outlineLevel="1" x14ac:dyDescent="0.25">
      <c r="A8544" s="18">
        <v>1648</v>
      </c>
      <c r="B8544" s="4" t="s">
        <v>250</v>
      </c>
      <c r="C8544" s="38" t="s">
        <v>7212</v>
      </c>
      <c r="D8544" s="18">
        <v>2022</v>
      </c>
      <c r="E8544" s="18" t="s">
        <v>0</v>
      </c>
      <c r="F8544" s="42">
        <v>1</v>
      </c>
      <c r="G8544" s="4">
        <v>15</v>
      </c>
      <c r="H8544" s="18">
        <v>20.26483</v>
      </c>
    </row>
    <row r="8545" spans="1:8" s="15" customFormat="1" ht="16.5" hidden="1" customHeight="1" outlineLevel="1" x14ac:dyDescent="0.25">
      <c r="A8545" s="18">
        <v>1732</v>
      </c>
      <c r="B8545" s="4" t="s">
        <v>250</v>
      </c>
      <c r="C8545" s="38" t="s">
        <v>7213</v>
      </c>
      <c r="D8545" s="18">
        <v>2022</v>
      </c>
      <c r="E8545" s="18" t="s">
        <v>0</v>
      </c>
      <c r="F8545" s="42">
        <v>1</v>
      </c>
      <c r="G8545" s="4">
        <v>15</v>
      </c>
      <c r="H8545" s="18">
        <v>38.099080000000001</v>
      </c>
    </row>
    <row r="8546" spans="1:8" s="15" customFormat="1" ht="16.5" hidden="1" customHeight="1" outlineLevel="1" x14ac:dyDescent="0.25">
      <c r="A8546" s="18">
        <v>1645</v>
      </c>
      <c r="B8546" s="4" t="s">
        <v>250</v>
      </c>
      <c r="C8546" s="38" t="s">
        <v>7214</v>
      </c>
      <c r="D8546" s="18">
        <v>2022</v>
      </c>
      <c r="E8546" s="18" t="s">
        <v>0</v>
      </c>
      <c r="F8546" s="42">
        <v>1</v>
      </c>
      <c r="G8546" s="4">
        <v>15</v>
      </c>
      <c r="H8546" s="18">
        <v>21.615970000000001</v>
      </c>
    </row>
    <row r="8547" spans="1:8" s="15" customFormat="1" ht="16.5" hidden="1" customHeight="1" outlineLevel="1" x14ac:dyDescent="0.25">
      <c r="A8547" s="18">
        <v>1733</v>
      </c>
      <c r="B8547" s="4" t="s">
        <v>250</v>
      </c>
      <c r="C8547" s="38" t="s">
        <v>7215</v>
      </c>
      <c r="D8547" s="18">
        <v>2022</v>
      </c>
      <c r="E8547" s="18" t="s">
        <v>0</v>
      </c>
      <c r="F8547" s="42">
        <v>1</v>
      </c>
      <c r="G8547" s="4">
        <v>15</v>
      </c>
      <c r="H8547" s="18">
        <v>37.945799999999998</v>
      </c>
    </row>
    <row r="8548" spans="1:8" s="15" customFormat="1" ht="16.5" hidden="1" customHeight="1" outlineLevel="1" x14ac:dyDescent="0.25">
      <c r="A8548" s="18">
        <v>1699</v>
      </c>
      <c r="B8548" s="4" t="s">
        <v>250</v>
      </c>
      <c r="C8548" s="38" t="s">
        <v>7216</v>
      </c>
      <c r="D8548" s="18">
        <v>2022</v>
      </c>
      <c r="E8548" s="18" t="s">
        <v>0</v>
      </c>
      <c r="F8548" s="42">
        <v>1</v>
      </c>
      <c r="G8548" s="4">
        <v>15</v>
      </c>
      <c r="H8548" s="18">
        <v>19.87799</v>
      </c>
    </row>
    <row r="8549" spans="1:8" s="15" customFormat="1" ht="16.5" hidden="1" customHeight="1" outlineLevel="1" x14ac:dyDescent="0.25">
      <c r="A8549" s="18">
        <v>1693</v>
      </c>
      <c r="B8549" s="4" t="s">
        <v>250</v>
      </c>
      <c r="C8549" s="38" t="s">
        <v>7217</v>
      </c>
      <c r="D8549" s="18">
        <v>2022</v>
      </c>
      <c r="E8549" s="18" t="s">
        <v>0</v>
      </c>
      <c r="F8549" s="42">
        <v>1</v>
      </c>
      <c r="G8549" s="4">
        <v>15</v>
      </c>
      <c r="H8549" s="18">
        <v>19.334009999999999</v>
      </c>
    </row>
    <row r="8550" spans="1:8" s="15" customFormat="1" ht="16.5" hidden="1" customHeight="1" outlineLevel="1" x14ac:dyDescent="0.25">
      <c r="A8550" s="18">
        <v>1679</v>
      </c>
      <c r="B8550" s="4" t="s">
        <v>250</v>
      </c>
      <c r="C8550" s="38" t="s">
        <v>7218</v>
      </c>
      <c r="D8550" s="18">
        <v>2022</v>
      </c>
      <c r="E8550" s="18" t="s">
        <v>0</v>
      </c>
      <c r="F8550" s="42">
        <v>1</v>
      </c>
      <c r="G8550" s="4">
        <v>15</v>
      </c>
      <c r="H8550" s="18">
        <v>20.90635</v>
      </c>
    </row>
    <row r="8551" spans="1:8" s="15" customFormat="1" ht="16.5" hidden="1" customHeight="1" outlineLevel="1" x14ac:dyDescent="0.25">
      <c r="A8551" s="18">
        <v>1715</v>
      </c>
      <c r="B8551" s="4" t="s">
        <v>250</v>
      </c>
      <c r="C8551" s="38" t="s">
        <v>7219</v>
      </c>
      <c r="D8551" s="18">
        <v>2022</v>
      </c>
      <c r="E8551" s="18" t="s">
        <v>0</v>
      </c>
      <c r="F8551" s="42">
        <v>1</v>
      </c>
      <c r="G8551" s="4">
        <v>15</v>
      </c>
      <c r="H8551" s="18">
        <v>20.804849999999998</v>
      </c>
    </row>
    <row r="8552" spans="1:8" s="15" customFormat="1" ht="16.5" hidden="1" customHeight="1" outlineLevel="1" x14ac:dyDescent="0.25">
      <c r="A8552" s="18">
        <v>1678</v>
      </c>
      <c r="B8552" s="4" t="s">
        <v>250</v>
      </c>
      <c r="C8552" s="38" t="s">
        <v>7220</v>
      </c>
      <c r="D8552" s="18">
        <v>2022</v>
      </c>
      <c r="E8552" s="18" t="s">
        <v>0</v>
      </c>
      <c r="F8552" s="42">
        <v>1</v>
      </c>
      <c r="G8552" s="4">
        <v>15</v>
      </c>
      <c r="H8552" s="18">
        <v>21.62838</v>
      </c>
    </row>
    <row r="8553" spans="1:8" s="15" customFormat="1" ht="16.5" hidden="1" customHeight="1" outlineLevel="1" x14ac:dyDescent="0.25">
      <c r="A8553" s="18">
        <v>1727</v>
      </c>
      <c r="B8553" s="4" t="s">
        <v>250</v>
      </c>
      <c r="C8553" s="38" t="s">
        <v>7221</v>
      </c>
      <c r="D8553" s="18">
        <v>2022</v>
      </c>
      <c r="E8553" s="18" t="s">
        <v>0</v>
      </c>
      <c r="F8553" s="42">
        <v>1</v>
      </c>
      <c r="G8553" s="4">
        <v>15</v>
      </c>
      <c r="H8553" s="18">
        <v>22.475660000000001</v>
      </c>
    </row>
    <row r="8554" spans="1:8" s="15" customFormat="1" ht="16.5" hidden="1" customHeight="1" outlineLevel="1" x14ac:dyDescent="0.25">
      <c r="A8554" s="18">
        <v>1726</v>
      </c>
      <c r="B8554" s="4" t="s">
        <v>250</v>
      </c>
      <c r="C8554" s="38" t="s">
        <v>7222</v>
      </c>
      <c r="D8554" s="18">
        <v>2022</v>
      </c>
      <c r="E8554" s="18" t="s">
        <v>0</v>
      </c>
      <c r="F8554" s="42">
        <v>1</v>
      </c>
      <c r="G8554" s="4">
        <v>15</v>
      </c>
      <c r="H8554" s="18">
        <v>22.467469999999999</v>
      </c>
    </row>
    <row r="8555" spans="1:8" s="15" customFormat="1" ht="16.5" hidden="1" customHeight="1" outlineLevel="1" x14ac:dyDescent="0.25">
      <c r="A8555" s="18">
        <v>1725</v>
      </c>
      <c r="B8555" s="4" t="s">
        <v>250</v>
      </c>
      <c r="C8555" s="38" t="s">
        <v>7223</v>
      </c>
      <c r="D8555" s="18">
        <v>2022</v>
      </c>
      <c r="E8555" s="18" t="s">
        <v>0</v>
      </c>
      <c r="F8555" s="42">
        <v>1</v>
      </c>
      <c r="G8555" s="4">
        <v>15</v>
      </c>
      <c r="H8555" s="18">
        <v>22.005680000000002</v>
      </c>
    </row>
    <row r="8556" spans="1:8" s="15" customFormat="1" ht="16.5" hidden="1" customHeight="1" outlineLevel="1" x14ac:dyDescent="0.25">
      <c r="A8556" s="18">
        <v>1730</v>
      </c>
      <c r="B8556" s="4" t="s">
        <v>250</v>
      </c>
      <c r="C8556" s="38" t="s">
        <v>7224</v>
      </c>
      <c r="D8556" s="18">
        <v>2022</v>
      </c>
      <c r="E8556" s="18" t="s">
        <v>0</v>
      </c>
      <c r="F8556" s="42">
        <v>1</v>
      </c>
      <c r="G8556" s="4">
        <v>7.5</v>
      </c>
      <c r="H8556" s="18">
        <v>40.187330000000003</v>
      </c>
    </row>
    <row r="8557" spans="1:8" s="15" customFormat="1" ht="16.5" hidden="1" customHeight="1" outlineLevel="1" x14ac:dyDescent="0.25">
      <c r="A8557" s="18">
        <v>1724</v>
      </c>
      <c r="B8557" s="4" t="s">
        <v>250</v>
      </c>
      <c r="C8557" s="38" t="s">
        <v>7225</v>
      </c>
      <c r="D8557" s="18">
        <v>2022</v>
      </c>
      <c r="E8557" s="18" t="s">
        <v>0</v>
      </c>
      <c r="F8557" s="42">
        <v>1</v>
      </c>
      <c r="G8557" s="4">
        <v>7.5</v>
      </c>
      <c r="H8557" s="18">
        <v>22.03762</v>
      </c>
    </row>
    <row r="8558" spans="1:8" s="15" customFormat="1" ht="16.5" hidden="1" customHeight="1" outlineLevel="1" x14ac:dyDescent="0.25">
      <c r="A8558" s="18">
        <v>1729</v>
      </c>
      <c r="B8558" s="4" t="s">
        <v>250</v>
      </c>
      <c r="C8558" s="38" t="s">
        <v>7226</v>
      </c>
      <c r="D8558" s="18">
        <v>2022</v>
      </c>
      <c r="E8558" s="18" t="s">
        <v>0</v>
      </c>
      <c r="F8558" s="42">
        <v>1</v>
      </c>
      <c r="G8558" s="4">
        <v>15</v>
      </c>
      <c r="H8558" s="18">
        <v>40.186109999999999</v>
      </c>
    </row>
    <row r="8559" spans="1:8" s="15" customFormat="1" ht="16.5" hidden="1" customHeight="1" outlineLevel="1" x14ac:dyDescent="0.25">
      <c r="A8559" s="18">
        <v>1666</v>
      </c>
      <c r="B8559" s="4" t="s">
        <v>250</v>
      </c>
      <c r="C8559" s="38" t="s">
        <v>7227</v>
      </c>
      <c r="D8559" s="18">
        <v>2022</v>
      </c>
      <c r="E8559" s="18" t="s">
        <v>0</v>
      </c>
      <c r="F8559" s="42">
        <v>1</v>
      </c>
      <c r="G8559" s="4">
        <v>15</v>
      </c>
      <c r="H8559" s="18">
        <v>23.151309999999999</v>
      </c>
    </row>
    <row r="8560" spans="1:8" s="15" customFormat="1" ht="16.5" hidden="1" customHeight="1" outlineLevel="1" x14ac:dyDescent="0.25">
      <c r="A8560" s="18">
        <v>1583</v>
      </c>
      <c r="B8560" s="4" t="s">
        <v>250</v>
      </c>
      <c r="C8560" s="38" t="s">
        <v>7228</v>
      </c>
      <c r="D8560" s="18">
        <v>2022</v>
      </c>
      <c r="E8560" s="18" t="s">
        <v>0</v>
      </c>
      <c r="F8560" s="42">
        <v>1</v>
      </c>
      <c r="G8560" s="4">
        <v>15</v>
      </c>
      <c r="H8560" s="18">
        <v>27.56466</v>
      </c>
    </row>
    <row r="8561" spans="1:8" s="15" customFormat="1" ht="16.5" hidden="1" customHeight="1" outlineLevel="1" x14ac:dyDescent="0.25">
      <c r="A8561" s="18">
        <v>1734</v>
      </c>
      <c r="B8561" s="4" t="s">
        <v>250</v>
      </c>
      <c r="C8561" s="38" t="s">
        <v>7229</v>
      </c>
      <c r="D8561" s="18">
        <v>2022</v>
      </c>
      <c r="E8561" s="18" t="s">
        <v>0</v>
      </c>
      <c r="F8561" s="42">
        <v>1</v>
      </c>
      <c r="G8561" s="4">
        <v>15</v>
      </c>
      <c r="H8561" s="18">
        <v>20.456869999999999</v>
      </c>
    </row>
    <row r="8562" spans="1:8" s="15" customFormat="1" ht="16.5" hidden="1" customHeight="1" outlineLevel="1" x14ac:dyDescent="0.25">
      <c r="A8562" s="18">
        <v>1183</v>
      </c>
      <c r="B8562" s="4" t="s">
        <v>250</v>
      </c>
      <c r="C8562" s="38" t="s">
        <v>3416</v>
      </c>
      <c r="D8562" s="18">
        <v>2022</v>
      </c>
      <c r="E8562" s="18" t="s">
        <v>0</v>
      </c>
      <c r="F8562" s="42">
        <v>2</v>
      </c>
      <c r="G8562" s="4">
        <v>30</v>
      </c>
      <c r="H8562" s="18">
        <v>66.840879999999999</v>
      </c>
    </row>
    <row r="8563" spans="1:8" s="15" customFormat="1" ht="16.5" hidden="1" customHeight="1" outlineLevel="1" x14ac:dyDescent="0.25">
      <c r="A8563" s="18">
        <v>1746</v>
      </c>
      <c r="B8563" s="4" t="s">
        <v>250</v>
      </c>
      <c r="C8563" s="38" t="s">
        <v>7230</v>
      </c>
      <c r="D8563" s="18">
        <v>2022</v>
      </c>
      <c r="E8563" s="18" t="s">
        <v>0</v>
      </c>
      <c r="F8563" s="42">
        <v>1</v>
      </c>
      <c r="G8563" s="4">
        <v>15</v>
      </c>
      <c r="H8563" s="18">
        <v>22.110209999999999</v>
      </c>
    </row>
    <row r="8564" spans="1:8" s="15" customFormat="1" ht="16.5" hidden="1" customHeight="1" outlineLevel="1" x14ac:dyDescent="0.25">
      <c r="A8564" s="18">
        <v>1468</v>
      </c>
      <c r="B8564" s="4" t="s">
        <v>250</v>
      </c>
      <c r="C8564" s="38" t="s">
        <v>3417</v>
      </c>
      <c r="D8564" s="18">
        <v>2022</v>
      </c>
      <c r="E8564" s="18" t="s">
        <v>0</v>
      </c>
      <c r="F8564" s="42">
        <v>1</v>
      </c>
      <c r="G8564" s="4">
        <v>15</v>
      </c>
      <c r="H8564" s="18">
        <v>76.311890000000005</v>
      </c>
    </row>
    <row r="8565" spans="1:8" s="15" customFormat="1" ht="16.5" hidden="1" customHeight="1" outlineLevel="1" x14ac:dyDescent="0.25">
      <c r="A8565" s="18">
        <v>1719</v>
      </c>
      <c r="B8565" s="4" t="s">
        <v>250</v>
      </c>
      <c r="C8565" s="38" t="s">
        <v>3418</v>
      </c>
      <c r="D8565" s="18">
        <v>2022</v>
      </c>
      <c r="E8565" s="18" t="s">
        <v>0</v>
      </c>
      <c r="F8565" s="42">
        <v>1</v>
      </c>
      <c r="G8565" s="4">
        <v>15</v>
      </c>
      <c r="H8565" s="18">
        <v>82.205789999999993</v>
      </c>
    </row>
    <row r="8566" spans="1:8" s="15" customFormat="1" ht="16.5" hidden="1" customHeight="1" outlineLevel="1" x14ac:dyDescent="0.25">
      <c r="A8566" s="18">
        <v>1229</v>
      </c>
      <c r="B8566" s="4" t="s">
        <v>250</v>
      </c>
      <c r="C8566" s="38" t="s">
        <v>3419</v>
      </c>
      <c r="D8566" s="18">
        <v>2022</v>
      </c>
      <c r="E8566" s="18" t="s">
        <v>0</v>
      </c>
      <c r="F8566" s="42">
        <v>1</v>
      </c>
      <c r="G8566" s="4">
        <v>15</v>
      </c>
      <c r="H8566" s="18">
        <v>39.868499999999997</v>
      </c>
    </row>
    <row r="8567" spans="1:8" s="15" customFormat="1" ht="16.5" hidden="1" customHeight="1" outlineLevel="1" x14ac:dyDescent="0.25">
      <c r="A8567" s="18">
        <v>1320</v>
      </c>
      <c r="B8567" s="4" t="s">
        <v>250</v>
      </c>
      <c r="C8567" s="38" t="s">
        <v>3420</v>
      </c>
      <c r="D8567" s="18">
        <v>2022</v>
      </c>
      <c r="E8567" s="18" t="s">
        <v>0</v>
      </c>
      <c r="F8567" s="42">
        <v>1</v>
      </c>
      <c r="G8567" s="4">
        <v>15</v>
      </c>
      <c r="H8567" s="18">
        <v>46.248759999999997</v>
      </c>
    </row>
    <row r="8568" spans="1:8" s="15" customFormat="1" ht="16.5" hidden="1" customHeight="1" outlineLevel="1" x14ac:dyDescent="0.25">
      <c r="A8568" s="18">
        <v>1664</v>
      </c>
      <c r="B8568" s="4" t="s">
        <v>250</v>
      </c>
      <c r="C8568" s="38" t="s">
        <v>3421</v>
      </c>
      <c r="D8568" s="18">
        <v>2022</v>
      </c>
      <c r="E8568" s="18" t="s">
        <v>0</v>
      </c>
      <c r="F8568" s="42">
        <v>1</v>
      </c>
      <c r="G8568" s="4">
        <v>15</v>
      </c>
      <c r="H8568" s="18">
        <v>84.366579999999999</v>
      </c>
    </row>
    <row r="8569" spans="1:8" s="15" customFormat="1" ht="16.5" hidden="1" customHeight="1" outlineLevel="1" x14ac:dyDescent="0.25">
      <c r="A8569" s="18">
        <v>1057</v>
      </c>
      <c r="B8569" s="4" t="s">
        <v>250</v>
      </c>
      <c r="C8569" s="38" t="s">
        <v>3423</v>
      </c>
      <c r="D8569" s="18">
        <v>2022</v>
      </c>
      <c r="E8569" s="18" t="s">
        <v>0</v>
      </c>
      <c r="F8569" s="42">
        <v>1</v>
      </c>
      <c r="G8569" s="4">
        <v>15</v>
      </c>
      <c r="H8569" s="18">
        <v>36.524709999999999</v>
      </c>
    </row>
    <row r="8570" spans="1:8" s="15" customFormat="1" ht="16.5" hidden="1" customHeight="1" outlineLevel="1" x14ac:dyDescent="0.25">
      <c r="A8570" s="18">
        <v>1132</v>
      </c>
      <c r="B8570" s="4" t="s">
        <v>250</v>
      </c>
      <c r="C8570" s="38" t="s">
        <v>3424</v>
      </c>
      <c r="D8570" s="18">
        <v>2022</v>
      </c>
      <c r="E8570" s="18" t="s">
        <v>0</v>
      </c>
      <c r="F8570" s="42">
        <v>1</v>
      </c>
      <c r="G8570" s="4">
        <v>15</v>
      </c>
      <c r="H8570" s="18">
        <v>57.55742</v>
      </c>
    </row>
    <row r="8571" spans="1:8" s="15" customFormat="1" ht="16.5" hidden="1" customHeight="1" outlineLevel="1" x14ac:dyDescent="0.25">
      <c r="A8571" s="18">
        <v>1075</v>
      </c>
      <c r="B8571" s="4" t="s">
        <v>250</v>
      </c>
      <c r="C8571" s="38" t="s">
        <v>3425</v>
      </c>
      <c r="D8571" s="18">
        <v>2022</v>
      </c>
      <c r="E8571" s="18" t="s">
        <v>0</v>
      </c>
      <c r="F8571" s="42">
        <v>1</v>
      </c>
      <c r="G8571" s="4">
        <v>15</v>
      </c>
      <c r="H8571" s="18">
        <v>39.853230000000003</v>
      </c>
    </row>
    <row r="8572" spans="1:8" s="15" customFormat="1" ht="16.5" hidden="1" customHeight="1" outlineLevel="1" x14ac:dyDescent="0.25">
      <c r="A8572" s="18">
        <v>1491</v>
      </c>
      <c r="B8572" s="4" t="s">
        <v>250</v>
      </c>
      <c r="C8572" s="38" t="s">
        <v>3427</v>
      </c>
      <c r="D8572" s="18">
        <v>2022</v>
      </c>
      <c r="E8572" s="18" t="s">
        <v>0</v>
      </c>
      <c r="F8572" s="42">
        <v>1</v>
      </c>
      <c r="G8572" s="4">
        <v>15</v>
      </c>
      <c r="H8572" s="18">
        <v>48.802100000000003</v>
      </c>
    </row>
    <row r="8573" spans="1:8" s="15" customFormat="1" ht="16.5" hidden="1" customHeight="1" outlineLevel="1" x14ac:dyDescent="0.25">
      <c r="A8573" s="18">
        <v>1263</v>
      </c>
      <c r="B8573" s="4" t="s">
        <v>250</v>
      </c>
      <c r="C8573" s="38" t="s">
        <v>3428</v>
      </c>
      <c r="D8573" s="18">
        <v>2022</v>
      </c>
      <c r="E8573" s="18" t="s">
        <v>0</v>
      </c>
      <c r="F8573" s="42">
        <v>1</v>
      </c>
      <c r="G8573" s="4">
        <v>15</v>
      </c>
      <c r="H8573" s="18">
        <v>56.780209999999997</v>
      </c>
    </row>
    <row r="8574" spans="1:8" s="15" customFormat="1" ht="16.5" hidden="1" customHeight="1" outlineLevel="1" x14ac:dyDescent="0.25">
      <c r="A8574" s="18">
        <v>1720</v>
      </c>
      <c r="B8574" s="4" t="s">
        <v>250</v>
      </c>
      <c r="C8574" s="38" t="s">
        <v>4020</v>
      </c>
      <c r="D8574" s="18">
        <v>2022</v>
      </c>
      <c r="E8574" s="18" t="s">
        <v>0</v>
      </c>
      <c r="F8574" s="42">
        <v>1</v>
      </c>
      <c r="G8574" s="4">
        <v>15</v>
      </c>
      <c r="H8574" s="18">
        <v>65.696730000000002</v>
      </c>
    </row>
    <row r="8575" spans="1:8" s="15" customFormat="1" ht="16.5" hidden="1" customHeight="1" outlineLevel="1" x14ac:dyDescent="0.25">
      <c r="A8575" s="18">
        <v>1738</v>
      </c>
      <c r="B8575" s="4" t="s">
        <v>250</v>
      </c>
      <c r="C8575" s="38" t="s">
        <v>7231</v>
      </c>
      <c r="D8575" s="18">
        <v>2022</v>
      </c>
      <c r="E8575" s="18" t="s">
        <v>0</v>
      </c>
      <c r="F8575" s="42">
        <v>1</v>
      </c>
      <c r="G8575" s="4">
        <v>15</v>
      </c>
      <c r="H8575" s="18">
        <v>20.840900000000001</v>
      </c>
    </row>
    <row r="8576" spans="1:8" s="15" customFormat="1" ht="16.5" hidden="1" customHeight="1" outlineLevel="1" x14ac:dyDescent="0.25">
      <c r="A8576" s="18">
        <v>1088</v>
      </c>
      <c r="B8576" s="4" t="s">
        <v>250</v>
      </c>
      <c r="C8576" s="38" t="s">
        <v>7232</v>
      </c>
      <c r="D8576" s="18">
        <v>2022</v>
      </c>
      <c r="E8576" s="18" t="s">
        <v>0</v>
      </c>
      <c r="F8576" s="42">
        <v>1</v>
      </c>
      <c r="G8576" s="4">
        <v>7.5</v>
      </c>
      <c r="H8576" s="18">
        <v>34.350090000000002</v>
      </c>
    </row>
    <row r="8577" spans="1:8" s="15" customFormat="1" ht="16.5" hidden="1" customHeight="1" outlineLevel="1" x14ac:dyDescent="0.25">
      <c r="A8577" s="18">
        <v>1182</v>
      </c>
      <c r="B8577" s="4" t="s">
        <v>250</v>
      </c>
      <c r="C8577" s="38" t="s">
        <v>7233</v>
      </c>
      <c r="D8577" s="18">
        <v>2022</v>
      </c>
      <c r="E8577" s="18" t="s">
        <v>0</v>
      </c>
      <c r="F8577" s="42">
        <v>1</v>
      </c>
      <c r="G8577" s="4">
        <v>7.5</v>
      </c>
      <c r="H8577" s="18">
        <v>25.870930000000001</v>
      </c>
    </row>
    <row r="8578" spans="1:8" s="15" customFormat="1" ht="16.5" hidden="1" customHeight="1" outlineLevel="1" x14ac:dyDescent="0.25">
      <c r="A8578" s="18">
        <v>1736</v>
      </c>
      <c r="B8578" s="4" t="s">
        <v>250</v>
      </c>
      <c r="C8578" s="38" t="s">
        <v>7234</v>
      </c>
      <c r="D8578" s="18">
        <v>2022</v>
      </c>
      <c r="E8578" s="18" t="s">
        <v>0</v>
      </c>
      <c r="F8578" s="42">
        <v>1</v>
      </c>
      <c r="G8578" s="4">
        <v>15</v>
      </c>
      <c r="H8578" s="18">
        <v>20.297630000000002</v>
      </c>
    </row>
    <row r="8579" spans="1:8" s="15" customFormat="1" ht="16.5" hidden="1" customHeight="1" outlineLevel="1" x14ac:dyDescent="0.25">
      <c r="A8579" s="18">
        <v>1477</v>
      </c>
      <c r="B8579" s="4" t="s">
        <v>250</v>
      </c>
      <c r="C8579" s="38" t="s">
        <v>7235</v>
      </c>
      <c r="D8579" s="18">
        <v>2022</v>
      </c>
      <c r="E8579" s="18" t="s">
        <v>0</v>
      </c>
      <c r="F8579" s="42">
        <v>1</v>
      </c>
      <c r="G8579" s="4">
        <v>15</v>
      </c>
      <c r="H8579" s="18">
        <v>26.655180000000001</v>
      </c>
    </row>
    <row r="8580" spans="1:8" s="15" customFormat="1" ht="16.5" hidden="1" customHeight="1" outlineLevel="1" x14ac:dyDescent="0.25">
      <c r="A8580" s="18">
        <v>1742</v>
      </c>
      <c r="B8580" s="4" t="s">
        <v>250</v>
      </c>
      <c r="C8580" s="38" t="s">
        <v>7236</v>
      </c>
      <c r="D8580" s="18">
        <v>2022</v>
      </c>
      <c r="E8580" s="18" t="s">
        <v>0</v>
      </c>
      <c r="F8580" s="42">
        <v>1</v>
      </c>
      <c r="G8580" s="4">
        <v>15</v>
      </c>
      <c r="H8580" s="18">
        <v>20.381309999999999</v>
      </c>
    </row>
    <row r="8581" spans="1:8" s="15" customFormat="1" ht="16.5" hidden="1" customHeight="1" outlineLevel="1" x14ac:dyDescent="0.25">
      <c r="A8581" s="18">
        <v>1743</v>
      </c>
      <c r="B8581" s="4" t="s">
        <v>250</v>
      </c>
      <c r="C8581" s="38" t="s">
        <v>7237</v>
      </c>
      <c r="D8581" s="18">
        <v>2022</v>
      </c>
      <c r="E8581" s="18" t="s">
        <v>0</v>
      </c>
      <c r="F8581" s="42">
        <v>1</v>
      </c>
      <c r="G8581" s="4">
        <v>15</v>
      </c>
      <c r="H8581" s="18">
        <v>21.259340000000002</v>
      </c>
    </row>
    <row r="8582" spans="1:8" s="15" customFormat="1" ht="16.5" hidden="1" customHeight="1" outlineLevel="1" x14ac:dyDescent="0.25">
      <c r="A8582" s="18">
        <v>1745</v>
      </c>
      <c r="B8582" s="4" t="s">
        <v>250</v>
      </c>
      <c r="C8582" s="38" t="s">
        <v>7238</v>
      </c>
      <c r="D8582" s="18">
        <v>2022</v>
      </c>
      <c r="E8582" s="18" t="s">
        <v>0</v>
      </c>
      <c r="F8582" s="42">
        <v>1</v>
      </c>
      <c r="G8582" s="4">
        <v>15</v>
      </c>
      <c r="H8582" s="18">
        <v>21.595549999999999</v>
      </c>
    </row>
    <row r="8583" spans="1:8" s="15" customFormat="1" ht="16.5" hidden="1" customHeight="1" outlineLevel="1" x14ac:dyDescent="0.25">
      <c r="A8583" s="18">
        <v>1740</v>
      </c>
      <c r="B8583" s="4" t="s">
        <v>250</v>
      </c>
      <c r="C8583" s="38" t="s">
        <v>7239</v>
      </c>
      <c r="D8583" s="18">
        <v>2022</v>
      </c>
      <c r="E8583" s="18" t="s">
        <v>0</v>
      </c>
      <c r="F8583" s="42">
        <v>1</v>
      </c>
      <c r="G8583" s="4">
        <v>15</v>
      </c>
      <c r="H8583" s="18">
        <v>22.117270000000001</v>
      </c>
    </row>
    <row r="8584" spans="1:8" s="15" customFormat="1" ht="16.5" hidden="1" customHeight="1" outlineLevel="1" x14ac:dyDescent="0.25">
      <c r="A8584" s="18">
        <v>1739</v>
      </c>
      <c r="B8584" s="4" t="s">
        <v>250</v>
      </c>
      <c r="C8584" s="38" t="s">
        <v>7240</v>
      </c>
      <c r="D8584" s="18">
        <v>2022</v>
      </c>
      <c r="E8584" s="18" t="s">
        <v>0</v>
      </c>
      <c r="F8584" s="42">
        <v>1</v>
      </c>
      <c r="G8584" s="4">
        <v>15</v>
      </c>
      <c r="H8584" s="18">
        <v>20.372240000000001</v>
      </c>
    </row>
    <row r="8585" spans="1:8" s="15" customFormat="1" ht="16.5" hidden="1" customHeight="1" outlineLevel="1" x14ac:dyDescent="0.25">
      <c r="A8585" s="18">
        <v>1744</v>
      </c>
      <c r="B8585" s="4" t="s">
        <v>250</v>
      </c>
      <c r="C8585" s="38" t="s">
        <v>7241</v>
      </c>
      <c r="D8585" s="18">
        <v>2022</v>
      </c>
      <c r="E8585" s="18" t="s">
        <v>0</v>
      </c>
      <c r="F8585" s="42">
        <v>1</v>
      </c>
      <c r="G8585" s="4">
        <v>15</v>
      </c>
      <c r="H8585" s="18">
        <v>20.974820000000001</v>
      </c>
    </row>
    <row r="8586" spans="1:8" s="15" customFormat="1" ht="16.5" hidden="1" customHeight="1" outlineLevel="1" x14ac:dyDescent="0.25">
      <c r="A8586" s="18">
        <v>1741</v>
      </c>
      <c r="B8586" s="4" t="s">
        <v>250</v>
      </c>
      <c r="C8586" s="38" t="s">
        <v>7242</v>
      </c>
      <c r="D8586" s="18">
        <v>2022</v>
      </c>
      <c r="E8586" s="18" t="s">
        <v>0</v>
      </c>
      <c r="F8586" s="42">
        <v>1</v>
      </c>
      <c r="G8586" s="4">
        <v>15</v>
      </c>
      <c r="H8586" s="18">
        <v>20.950620000000001</v>
      </c>
    </row>
    <row r="8587" spans="1:8" s="15" customFormat="1" ht="16.5" hidden="1" customHeight="1" outlineLevel="1" x14ac:dyDescent="0.25">
      <c r="A8587" s="18">
        <v>1735</v>
      </c>
      <c r="B8587" s="4" t="s">
        <v>250</v>
      </c>
      <c r="C8587" s="38" t="s">
        <v>7243</v>
      </c>
      <c r="D8587" s="18">
        <v>2022</v>
      </c>
      <c r="E8587" s="18" t="s">
        <v>0</v>
      </c>
      <c r="F8587" s="42">
        <v>1</v>
      </c>
      <c r="G8587" s="4">
        <v>15</v>
      </c>
      <c r="H8587" s="18">
        <v>20.99973</v>
      </c>
    </row>
    <row r="8588" spans="1:8" s="15" customFormat="1" ht="16.5" hidden="1" customHeight="1" outlineLevel="1" x14ac:dyDescent="0.25">
      <c r="A8588" s="18">
        <v>1737</v>
      </c>
      <c r="B8588" s="4" t="s">
        <v>250</v>
      </c>
      <c r="C8588" s="38" t="s">
        <v>7244</v>
      </c>
      <c r="D8588" s="18">
        <v>2022</v>
      </c>
      <c r="E8588" s="18" t="s">
        <v>0</v>
      </c>
      <c r="F8588" s="42">
        <v>1</v>
      </c>
      <c r="G8588" s="4">
        <v>15</v>
      </c>
      <c r="H8588" s="18">
        <v>21.400739999999999</v>
      </c>
    </row>
    <row r="8589" spans="1:8" s="15" customFormat="1" ht="16.5" hidden="1" customHeight="1" outlineLevel="1" x14ac:dyDescent="0.25">
      <c r="A8589" s="18">
        <v>1317</v>
      </c>
      <c r="B8589" s="4" t="s">
        <v>250</v>
      </c>
      <c r="C8589" s="38" t="s">
        <v>3429</v>
      </c>
      <c r="D8589" s="18">
        <v>2022</v>
      </c>
      <c r="E8589" s="18" t="s">
        <v>0</v>
      </c>
      <c r="F8589" s="42">
        <v>1</v>
      </c>
      <c r="G8589" s="4">
        <v>15</v>
      </c>
      <c r="H8589" s="18">
        <v>35.730620000000002</v>
      </c>
    </row>
    <row r="8590" spans="1:8" s="15" customFormat="1" ht="16.5" hidden="1" customHeight="1" outlineLevel="1" x14ac:dyDescent="0.25">
      <c r="A8590" s="18">
        <v>1366</v>
      </c>
      <c r="B8590" s="4" t="s">
        <v>250</v>
      </c>
      <c r="C8590" s="38" t="s">
        <v>3430</v>
      </c>
      <c r="D8590" s="18">
        <v>2022</v>
      </c>
      <c r="E8590" s="18" t="s">
        <v>0</v>
      </c>
      <c r="F8590" s="42">
        <v>1</v>
      </c>
      <c r="G8590" s="4">
        <v>12</v>
      </c>
      <c r="H8590" s="18">
        <v>44.294640000000001</v>
      </c>
    </row>
    <row r="8591" spans="1:8" s="15" customFormat="1" ht="16.5" hidden="1" customHeight="1" outlineLevel="1" x14ac:dyDescent="0.25">
      <c r="A8591" s="18">
        <v>1665</v>
      </c>
      <c r="B8591" s="4" t="s">
        <v>250</v>
      </c>
      <c r="C8591" s="38" t="s">
        <v>3432</v>
      </c>
      <c r="D8591" s="18">
        <v>2022</v>
      </c>
      <c r="E8591" s="18" t="s">
        <v>0</v>
      </c>
      <c r="F8591" s="42">
        <v>1</v>
      </c>
      <c r="G8591" s="4">
        <v>15</v>
      </c>
      <c r="H8591" s="18">
        <v>79.265370000000004</v>
      </c>
    </row>
    <row r="8592" spans="1:8" s="15" customFormat="1" ht="16.5" hidden="1" customHeight="1" outlineLevel="1" x14ac:dyDescent="0.25">
      <c r="A8592" s="18">
        <v>1782</v>
      </c>
      <c r="B8592" s="4" t="s">
        <v>250</v>
      </c>
      <c r="C8592" s="38" t="s">
        <v>7245</v>
      </c>
      <c r="D8592" s="18">
        <v>2022</v>
      </c>
      <c r="E8592" s="18" t="s">
        <v>0</v>
      </c>
      <c r="F8592" s="42">
        <v>1</v>
      </c>
      <c r="G8592" s="4">
        <v>10</v>
      </c>
      <c r="H8592" s="18">
        <v>37.76437</v>
      </c>
    </row>
    <row r="8593" spans="1:8" s="15" customFormat="1" ht="16.5" hidden="1" customHeight="1" outlineLevel="1" x14ac:dyDescent="0.25">
      <c r="A8593" s="18">
        <v>1778</v>
      </c>
      <c r="B8593" s="4" t="s">
        <v>250</v>
      </c>
      <c r="C8593" s="38" t="s">
        <v>7246</v>
      </c>
      <c r="D8593" s="18">
        <v>2022</v>
      </c>
      <c r="E8593" s="18" t="s">
        <v>0</v>
      </c>
      <c r="F8593" s="42">
        <v>1</v>
      </c>
      <c r="G8593" s="4">
        <v>15</v>
      </c>
      <c r="H8593" s="18">
        <v>38.218150000000001</v>
      </c>
    </row>
    <row r="8594" spans="1:8" s="15" customFormat="1" ht="16.5" hidden="1" customHeight="1" outlineLevel="1" x14ac:dyDescent="0.25">
      <c r="A8594" s="18">
        <v>1776</v>
      </c>
      <c r="B8594" s="4" t="s">
        <v>250</v>
      </c>
      <c r="C8594" s="38" t="s">
        <v>7247</v>
      </c>
      <c r="D8594" s="18">
        <v>2022</v>
      </c>
      <c r="E8594" s="18" t="s">
        <v>0</v>
      </c>
      <c r="F8594" s="42">
        <v>1</v>
      </c>
      <c r="G8594" s="4">
        <v>15</v>
      </c>
      <c r="H8594" s="18">
        <v>37.81617</v>
      </c>
    </row>
    <row r="8595" spans="1:8" s="15" customFormat="1" ht="16.5" hidden="1" customHeight="1" outlineLevel="1" x14ac:dyDescent="0.25">
      <c r="A8595" s="18">
        <v>1789</v>
      </c>
      <c r="B8595" s="4" t="s">
        <v>250</v>
      </c>
      <c r="C8595" s="38" t="s">
        <v>7248</v>
      </c>
      <c r="D8595" s="18">
        <v>2022</v>
      </c>
      <c r="E8595" s="18" t="s">
        <v>0</v>
      </c>
      <c r="F8595" s="42">
        <v>1</v>
      </c>
      <c r="G8595" s="4">
        <v>15</v>
      </c>
      <c r="H8595" s="18">
        <v>37.640729999999998</v>
      </c>
    </row>
    <row r="8596" spans="1:8" s="15" customFormat="1" ht="16.5" hidden="1" customHeight="1" outlineLevel="1" x14ac:dyDescent="0.25">
      <c r="A8596" s="18">
        <v>1791</v>
      </c>
      <c r="B8596" s="4" t="s">
        <v>250</v>
      </c>
      <c r="C8596" s="38" t="s">
        <v>7249</v>
      </c>
      <c r="D8596" s="18">
        <v>2022</v>
      </c>
      <c r="E8596" s="18" t="s">
        <v>0</v>
      </c>
      <c r="F8596" s="42">
        <v>1</v>
      </c>
      <c r="G8596" s="4">
        <v>15</v>
      </c>
      <c r="H8596" s="18">
        <v>37.650010000000002</v>
      </c>
    </row>
    <row r="8597" spans="1:8" s="15" customFormat="1" ht="16.5" hidden="1" customHeight="1" outlineLevel="1" x14ac:dyDescent="0.25">
      <c r="A8597" s="18">
        <v>1775</v>
      </c>
      <c r="B8597" s="4" t="s">
        <v>250</v>
      </c>
      <c r="C8597" s="38" t="s">
        <v>7250</v>
      </c>
      <c r="D8597" s="18">
        <v>2022</v>
      </c>
      <c r="E8597" s="18" t="s">
        <v>0</v>
      </c>
      <c r="F8597" s="42">
        <v>1</v>
      </c>
      <c r="G8597" s="4">
        <v>15</v>
      </c>
      <c r="H8597" s="18">
        <v>20.45778</v>
      </c>
    </row>
    <row r="8598" spans="1:8" s="15" customFormat="1" ht="16.5" hidden="1" customHeight="1" outlineLevel="1" x14ac:dyDescent="0.25">
      <c r="A8598" s="18">
        <v>1790</v>
      </c>
      <c r="B8598" s="4" t="s">
        <v>250</v>
      </c>
      <c r="C8598" s="38" t="s">
        <v>7251</v>
      </c>
      <c r="D8598" s="18">
        <v>2022</v>
      </c>
      <c r="E8598" s="18" t="s">
        <v>0</v>
      </c>
      <c r="F8598" s="42">
        <v>1</v>
      </c>
      <c r="G8598" s="4">
        <v>15</v>
      </c>
      <c r="H8598" s="18">
        <v>40.176090000000002</v>
      </c>
    </row>
    <row r="8599" spans="1:8" s="15" customFormat="1" ht="16.5" hidden="1" customHeight="1" outlineLevel="1" x14ac:dyDescent="0.25">
      <c r="A8599" s="18">
        <v>1774</v>
      </c>
      <c r="B8599" s="4" t="s">
        <v>250</v>
      </c>
      <c r="C8599" s="38" t="s">
        <v>7252</v>
      </c>
      <c r="D8599" s="18">
        <v>2022</v>
      </c>
      <c r="E8599" s="18" t="s">
        <v>0</v>
      </c>
      <c r="F8599" s="42">
        <v>1</v>
      </c>
      <c r="G8599" s="4">
        <v>15</v>
      </c>
      <c r="H8599" s="18">
        <v>38.228209999999997</v>
      </c>
    </row>
    <row r="8600" spans="1:8" s="15" customFormat="1" ht="16.5" hidden="1" customHeight="1" outlineLevel="1" x14ac:dyDescent="0.25">
      <c r="A8600" s="18">
        <v>1780</v>
      </c>
      <c r="B8600" s="4" t="s">
        <v>250</v>
      </c>
      <c r="C8600" s="38" t="s">
        <v>7253</v>
      </c>
      <c r="D8600" s="18">
        <v>2022</v>
      </c>
      <c r="E8600" s="18" t="s">
        <v>0</v>
      </c>
      <c r="F8600" s="42">
        <v>1</v>
      </c>
      <c r="G8600" s="4">
        <v>15</v>
      </c>
      <c r="H8600" s="18">
        <v>37.671570000000003</v>
      </c>
    </row>
    <row r="8601" spans="1:8" s="15" customFormat="1" ht="16.5" hidden="1" customHeight="1" outlineLevel="1" x14ac:dyDescent="0.25">
      <c r="A8601" s="18">
        <v>1786</v>
      </c>
      <c r="B8601" s="4" t="s">
        <v>250</v>
      </c>
      <c r="C8601" s="38" t="s">
        <v>7254</v>
      </c>
      <c r="D8601" s="18">
        <v>2022</v>
      </c>
      <c r="E8601" s="18" t="s">
        <v>0</v>
      </c>
      <c r="F8601" s="42">
        <v>1</v>
      </c>
      <c r="G8601" s="4">
        <v>15</v>
      </c>
      <c r="H8601" s="18">
        <v>37.76435</v>
      </c>
    </row>
    <row r="8602" spans="1:8" s="15" customFormat="1" ht="16.5" hidden="1" customHeight="1" outlineLevel="1" x14ac:dyDescent="0.25">
      <c r="A8602" s="18">
        <v>1787</v>
      </c>
      <c r="B8602" s="4" t="s">
        <v>250</v>
      </c>
      <c r="C8602" s="38" t="s">
        <v>7255</v>
      </c>
      <c r="D8602" s="18">
        <v>2022</v>
      </c>
      <c r="E8602" s="18" t="s">
        <v>0</v>
      </c>
      <c r="F8602" s="42">
        <v>1</v>
      </c>
      <c r="G8602" s="4">
        <v>15</v>
      </c>
      <c r="H8602" s="18">
        <v>37.76437</v>
      </c>
    </row>
    <row r="8603" spans="1:8" s="15" customFormat="1" ht="16.5" hidden="1" customHeight="1" outlineLevel="1" x14ac:dyDescent="0.25">
      <c r="A8603" s="18">
        <v>1783</v>
      </c>
      <c r="B8603" s="4" t="s">
        <v>250</v>
      </c>
      <c r="C8603" s="38" t="s">
        <v>7256</v>
      </c>
      <c r="D8603" s="18">
        <v>2022</v>
      </c>
      <c r="E8603" s="18" t="s">
        <v>0</v>
      </c>
      <c r="F8603" s="42">
        <v>1</v>
      </c>
      <c r="G8603" s="4">
        <v>15</v>
      </c>
      <c r="H8603" s="18">
        <v>37.717979999999997</v>
      </c>
    </row>
    <row r="8604" spans="1:8" s="15" customFormat="1" ht="16.5" hidden="1" customHeight="1" outlineLevel="1" x14ac:dyDescent="0.25">
      <c r="A8604" s="18">
        <v>1784</v>
      </c>
      <c r="B8604" s="4" t="s">
        <v>250</v>
      </c>
      <c r="C8604" s="38" t="s">
        <v>7257</v>
      </c>
      <c r="D8604" s="18">
        <v>2022</v>
      </c>
      <c r="E8604" s="18" t="s">
        <v>0</v>
      </c>
      <c r="F8604" s="42">
        <v>1</v>
      </c>
      <c r="G8604" s="4">
        <v>15</v>
      </c>
      <c r="H8604" s="18">
        <v>19.947649999999999</v>
      </c>
    </row>
    <row r="8605" spans="1:8" s="15" customFormat="1" ht="16.5" hidden="1" customHeight="1" outlineLevel="1" x14ac:dyDescent="0.25">
      <c r="A8605" s="18">
        <v>1572</v>
      </c>
      <c r="B8605" s="4" t="s">
        <v>250</v>
      </c>
      <c r="C8605" s="38" t="s">
        <v>7258</v>
      </c>
      <c r="D8605" s="18">
        <v>2022</v>
      </c>
      <c r="E8605" s="18" t="s">
        <v>0</v>
      </c>
      <c r="F8605" s="42">
        <v>1</v>
      </c>
      <c r="G8605" s="4">
        <v>90</v>
      </c>
      <c r="H8605" s="18">
        <v>43.944899999999997</v>
      </c>
    </row>
    <row r="8606" spans="1:8" s="15" customFormat="1" ht="16.5" hidden="1" customHeight="1" outlineLevel="1" x14ac:dyDescent="0.25">
      <c r="A8606" s="18">
        <v>1570</v>
      </c>
      <c r="B8606" s="4" t="s">
        <v>250</v>
      </c>
      <c r="C8606" s="38" t="s">
        <v>7259</v>
      </c>
      <c r="D8606" s="18">
        <v>2022</v>
      </c>
      <c r="E8606" s="18" t="s">
        <v>0</v>
      </c>
      <c r="F8606" s="42">
        <v>1</v>
      </c>
      <c r="G8606" s="4">
        <v>15</v>
      </c>
      <c r="H8606" s="18">
        <v>27.048290000000001</v>
      </c>
    </row>
    <row r="8607" spans="1:8" s="15" customFormat="1" ht="16.5" hidden="1" customHeight="1" outlineLevel="1" x14ac:dyDescent="0.25">
      <c r="A8607" s="18">
        <v>1527</v>
      </c>
      <c r="B8607" s="4" t="s">
        <v>250</v>
      </c>
      <c r="C8607" s="38" t="s">
        <v>7260</v>
      </c>
      <c r="D8607" s="18">
        <v>2022</v>
      </c>
      <c r="E8607" s="18" t="s">
        <v>0</v>
      </c>
      <c r="F8607" s="42">
        <v>1</v>
      </c>
      <c r="G8607" s="4">
        <v>15</v>
      </c>
      <c r="H8607" s="18">
        <v>27.074200000000001</v>
      </c>
    </row>
    <row r="8608" spans="1:8" s="15" customFormat="1" ht="16.5" hidden="1" customHeight="1" outlineLevel="1" x14ac:dyDescent="0.25">
      <c r="A8608" s="18">
        <v>1136</v>
      </c>
      <c r="B8608" s="4" t="s">
        <v>250</v>
      </c>
      <c r="C8608" s="38" t="s">
        <v>7261</v>
      </c>
      <c r="D8608" s="18">
        <v>2022</v>
      </c>
      <c r="E8608" s="18" t="s">
        <v>0</v>
      </c>
      <c r="F8608" s="42">
        <v>1</v>
      </c>
      <c r="G8608" s="4">
        <v>15</v>
      </c>
      <c r="H8608" s="18">
        <v>44.777329999999999</v>
      </c>
    </row>
    <row r="8609" spans="1:8" s="15" customFormat="1" ht="16.5" hidden="1" customHeight="1" outlineLevel="1" x14ac:dyDescent="0.25">
      <c r="A8609" s="18">
        <v>1180</v>
      </c>
      <c r="B8609" s="4" t="s">
        <v>250</v>
      </c>
      <c r="C8609" s="38" t="s">
        <v>7262</v>
      </c>
      <c r="D8609" s="18">
        <v>2022</v>
      </c>
      <c r="E8609" s="18" t="s">
        <v>0</v>
      </c>
      <c r="F8609" s="42">
        <v>2</v>
      </c>
      <c r="G8609" s="4">
        <v>30</v>
      </c>
      <c r="H8609" s="18">
        <v>47.541179999999997</v>
      </c>
    </row>
    <row r="8610" spans="1:8" s="15" customFormat="1" ht="16.5" hidden="1" customHeight="1" outlineLevel="1" x14ac:dyDescent="0.25">
      <c r="A8610" s="18">
        <v>1272</v>
      </c>
      <c r="B8610" s="4" t="s">
        <v>250</v>
      </c>
      <c r="C8610" s="38" t="s">
        <v>7263</v>
      </c>
      <c r="D8610" s="18">
        <v>2022</v>
      </c>
      <c r="E8610" s="18" t="s">
        <v>0</v>
      </c>
      <c r="F8610" s="42">
        <v>1</v>
      </c>
      <c r="G8610" s="4">
        <v>15</v>
      </c>
      <c r="H8610" s="18">
        <v>26.936800000000002</v>
      </c>
    </row>
    <row r="8611" spans="1:8" s="15" customFormat="1" ht="16.5" hidden="1" customHeight="1" outlineLevel="1" x14ac:dyDescent="0.25">
      <c r="A8611" s="18">
        <v>1474</v>
      </c>
      <c r="B8611" s="4" t="s">
        <v>250</v>
      </c>
      <c r="C8611" s="38" t="s">
        <v>7264</v>
      </c>
      <c r="D8611" s="18">
        <v>2022</v>
      </c>
      <c r="E8611" s="18" t="s">
        <v>0</v>
      </c>
      <c r="F8611" s="42">
        <v>1</v>
      </c>
      <c r="G8611" s="4">
        <v>15</v>
      </c>
      <c r="H8611" s="18">
        <v>29.796779999999998</v>
      </c>
    </row>
    <row r="8612" spans="1:8" s="15" customFormat="1" ht="16.5" hidden="1" customHeight="1" outlineLevel="1" x14ac:dyDescent="0.25">
      <c r="A8612" s="18">
        <v>1777</v>
      </c>
      <c r="B8612" s="4" t="s">
        <v>250</v>
      </c>
      <c r="C8612" s="38" t="s">
        <v>7265</v>
      </c>
      <c r="D8612" s="18">
        <v>2022</v>
      </c>
      <c r="E8612" s="18" t="s">
        <v>0</v>
      </c>
      <c r="F8612" s="42">
        <v>1</v>
      </c>
      <c r="G8612" s="4">
        <v>15</v>
      </c>
      <c r="H8612" s="18">
        <v>37.816160000000004</v>
      </c>
    </row>
    <row r="8613" spans="1:8" s="15" customFormat="1" ht="16.5" hidden="1" customHeight="1" outlineLevel="1" x14ac:dyDescent="0.25">
      <c r="A8613" s="18">
        <v>1781</v>
      </c>
      <c r="B8613" s="4" t="s">
        <v>250</v>
      </c>
      <c r="C8613" s="38" t="s">
        <v>7266</v>
      </c>
      <c r="D8613" s="18">
        <v>2022</v>
      </c>
      <c r="E8613" s="18" t="s">
        <v>0</v>
      </c>
      <c r="F8613" s="42">
        <v>1</v>
      </c>
      <c r="G8613" s="4">
        <v>15</v>
      </c>
      <c r="H8613" s="18">
        <v>37.877989999999997</v>
      </c>
    </row>
    <row r="8614" spans="1:8" s="15" customFormat="1" ht="16.5" hidden="1" customHeight="1" outlineLevel="1" x14ac:dyDescent="0.25">
      <c r="A8614" s="18">
        <v>1124</v>
      </c>
      <c r="B8614" s="4" t="s">
        <v>250</v>
      </c>
      <c r="C8614" s="38" t="s">
        <v>3434</v>
      </c>
      <c r="D8614" s="18">
        <v>2022</v>
      </c>
      <c r="E8614" s="18" t="s">
        <v>0</v>
      </c>
      <c r="F8614" s="42">
        <v>1</v>
      </c>
      <c r="G8614" s="4">
        <v>15</v>
      </c>
      <c r="H8614" s="18">
        <v>49.598140000000001</v>
      </c>
    </row>
    <row r="8615" spans="1:8" s="15" customFormat="1" ht="16.5" hidden="1" customHeight="1" outlineLevel="1" x14ac:dyDescent="0.25">
      <c r="A8615" s="18">
        <v>1232</v>
      </c>
      <c r="B8615" s="4" t="s">
        <v>250</v>
      </c>
      <c r="C8615" s="38" t="s">
        <v>3437</v>
      </c>
      <c r="D8615" s="18">
        <v>2022</v>
      </c>
      <c r="E8615" s="18" t="s">
        <v>0</v>
      </c>
      <c r="F8615" s="42">
        <v>1</v>
      </c>
      <c r="G8615" s="4">
        <v>15</v>
      </c>
      <c r="H8615" s="18">
        <v>55.975839999999998</v>
      </c>
    </row>
    <row r="8616" spans="1:8" s="15" customFormat="1" ht="16.5" hidden="1" customHeight="1" outlineLevel="1" x14ac:dyDescent="0.25">
      <c r="A8616" s="18">
        <v>1731</v>
      </c>
      <c r="B8616" s="4" t="s">
        <v>250</v>
      </c>
      <c r="C8616" s="38" t="s">
        <v>7267</v>
      </c>
      <c r="D8616" s="18">
        <v>2022</v>
      </c>
      <c r="E8616" s="18" t="s">
        <v>0</v>
      </c>
      <c r="F8616" s="42">
        <v>1</v>
      </c>
      <c r="G8616" s="4">
        <v>5</v>
      </c>
      <c r="H8616" s="18">
        <v>12.13636</v>
      </c>
    </row>
    <row r="8617" spans="1:8" s="15" customFormat="1" ht="16.5" hidden="1" customHeight="1" outlineLevel="1" x14ac:dyDescent="0.25">
      <c r="A8617" s="18">
        <v>1647</v>
      </c>
      <c r="B8617" s="4" t="s">
        <v>250</v>
      </c>
      <c r="C8617" s="38" t="s">
        <v>7268</v>
      </c>
      <c r="D8617" s="18">
        <v>2022</v>
      </c>
      <c r="E8617" s="18" t="s">
        <v>0</v>
      </c>
      <c r="F8617" s="42">
        <v>1</v>
      </c>
      <c r="G8617" s="4">
        <v>15</v>
      </c>
      <c r="H8617" s="18">
        <v>20.734690000000001</v>
      </c>
    </row>
    <row r="8618" spans="1:8" s="15" customFormat="1" ht="16.5" hidden="1" customHeight="1" outlineLevel="1" x14ac:dyDescent="0.25">
      <c r="A8618" s="18">
        <v>1721</v>
      </c>
      <c r="B8618" s="4" t="s">
        <v>250</v>
      </c>
      <c r="C8618" s="38" t="s">
        <v>7269</v>
      </c>
      <c r="D8618" s="18">
        <v>2022</v>
      </c>
      <c r="E8618" s="18" t="s">
        <v>0</v>
      </c>
      <c r="F8618" s="42">
        <v>1</v>
      </c>
      <c r="G8618" s="4">
        <v>15</v>
      </c>
      <c r="H8618" s="18">
        <v>18.89282</v>
      </c>
    </row>
    <row r="8619" spans="1:8" s="15" customFormat="1" ht="16.5" hidden="1" customHeight="1" outlineLevel="1" x14ac:dyDescent="0.25">
      <c r="A8619" s="18">
        <v>1723</v>
      </c>
      <c r="B8619" s="4" t="s">
        <v>250</v>
      </c>
      <c r="C8619" s="38" t="s">
        <v>7270</v>
      </c>
      <c r="D8619" s="18">
        <v>2022</v>
      </c>
      <c r="E8619" s="18" t="s">
        <v>0</v>
      </c>
      <c r="F8619" s="42">
        <v>1</v>
      </c>
      <c r="G8619" s="4">
        <v>15</v>
      </c>
      <c r="H8619" s="18">
        <v>37.011879999999998</v>
      </c>
    </row>
    <row r="8620" spans="1:8" s="15" customFormat="1" ht="16.5" hidden="1" customHeight="1" outlineLevel="1" x14ac:dyDescent="0.25">
      <c r="A8620" s="18">
        <v>1758</v>
      </c>
      <c r="B8620" s="4" t="s">
        <v>250</v>
      </c>
      <c r="C8620" s="38" t="s">
        <v>7271</v>
      </c>
      <c r="D8620" s="18">
        <v>2022</v>
      </c>
      <c r="E8620" s="18" t="s">
        <v>0</v>
      </c>
      <c r="F8620" s="42">
        <v>1</v>
      </c>
      <c r="G8620" s="4">
        <v>15</v>
      </c>
      <c r="H8620" s="18">
        <v>37.853990000000003</v>
      </c>
    </row>
    <row r="8621" spans="1:8" s="15" customFormat="1" ht="16.5" hidden="1" customHeight="1" outlineLevel="1" x14ac:dyDescent="0.25">
      <c r="A8621" s="18">
        <v>1667</v>
      </c>
      <c r="B8621" s="4" t="s">
        <v>250</v>
      </c>
      <c r="C8621" s="38" t="s">
        <v>7272</v>
      </c>
      <c r="D8621" s="18">
        <v>2022</v>
      </c>
      <c r="E8621" s="18" t="s">
        <v>0</v>
      </c>
      <c r="F8621" s="42">
        <v>1</v>
      </c>
      <c r="G8621" s="4">
        <v>15</v>
      </c>
      <c r="H8621" s="18">
        <v>23.590250000000001</v>
      </c>
    </row>
    <row r="8622" spans="1:8" s="15" customFormat="1" ht="16.5" hidden="1" customHeight="1" outlineLevel="1" x14ac:dyDescent="0.25">
      <c r="A8622" s="18">
        <v>1762</v>
      </c>
      <c r="B8622" s="4" t="s">
        <v>250</v>
      </c>
      <c r="C8622" s="38" t="s">
        <v>7273</v>
      </c>
      <c r="D8622" s="18">
        <v>2022</v>
      </c>
      <c r="E8622" s="18" t="s">
        <v>0</v>
      </c>
      <c r="F8622" s="42">
        <v>1</v>
      </c>
      <c r="G8622" s="4">
        <v>35</v>
      </c>
      <c r="H8622" s="18">
        <v>39.692369999999997</v>
      </c>
    </row>
    <row r="8623" spans="1:8" s="15" customFormat="1" ht="16.5" hidden="1" customHeight="1" outlineLevel="1" x14ac:dyDescent="0.25">
      <c r="A8623" s="18">
        <v>1351</v>
      </c>
      <c r="B8623" s="4" t="s">
        <v>250</v>
      </c>
      <c r="C8623" s="38" t="s">
        <v>3439</v>
      </c>
      <c r="D8623" s="18">
        <v>2022</v>
      </c>
      <c r="E8623" s="18" t="s">
        <v>0</v>
      </c>
      <c r="F8623" s="42">
        <v>1</v>
      </c>
      <c r="G8623" s="4">
        <v>15</v>
      </c>
      <c r="H8623" s="18">
        <v>46.994250000000001</v>
      </c>
    </row>
    <row r="8624" spans="1:8" s="15" customFormat="1" ht="16.5" hidden="1" customHeight="1" outlineLevel="1" x14ac:dyDescent="0.25">
      <c r="A8624" s="18">
        <v>1045</v>
      </c>
      <c r="B8624" s="4" t="s">
        <v>250</v>
      </c>
      <c r="C8624" s="38" t="s">
        <v>3440</v>
      </c>
      <c r="D8624" s="18">
        <v>2022</v>
      </c>
      <c r="E8624" s="18" t="s">
        <v>0</v>
      </c>
      <c r="F8624" s="42">
        <v>1</v>
      </c>
      <c r="G8624" s="4">
        <v>15</v>
      </c>
      <c r="H8624" s="18">
        <v>53.549520000000001</v>
      </c>
    </row>
    <row r="8625" spans="1:8" s="15" customFormat="1" ht="16.5" hidden="1" customHeight="1" outlineLevel="1" x14ac:dyDescent="0.25">
      <c r="A8625" s="18">
        <v>1106</v>
      </c>
      <c r="B8625" s="4" t="s">
        <v>250</v>
      </c>
      <c r="C8625" s="38" t="s">
        <v>3442</v>
      </c>
      <c r="D8625" s="18">
        <v>2022</v>
      </c>
      <c r="E8625" s="18" t="s">
        <v>0</v>
      </c>
      <c r="F8625" s="42">
        <v>1</v>
      </c>
      <c r="G8625" s="4">
        <v>15</v>
      </c>
      <c r="H8625" s="18">
        <v>34.299669999999999</v>
      </c>
    </row>
    <row r="8626" spans="1:8" s="15" customFormat="1" ht="16.5" hidden="1" customHeight="1" outlineLevel="1" x14ac:dyDescent="0.25">
      <c r="A8626" s="18">
        <v>1385</v>
      </c>
      <c r="B8626" s="4" t="s">
        <v>250</v>
      </c>
      <c r="C8626" s="38" t="s">
        <v>3443</v>
      </c>
      <c r="D8626" s="18">
        <v>2022</v>
      </c>
      <c r="E8626" s="18" t="s">
        <v>0</v>
      </c>
      <c r="F8626" s="42">
        <v>1</v>
      </c>
      <c r="G8626" s="4">
        <v>15</v>
      </c>
      <c r="H8626" s="18">
        <v>60.506920000000001</v>
      </c>
    </row>
    <row r="8627" spans="1:8" s="15" customFormat="1" ht="16.5" hidden="1" customHeight="1" outlineLevel="1" x14ac:dyDescent="0.25">
      <c r="A8627" s="18">
        <v>1163</v>
      </c>
      <c r="B8627" s="4" t="s">
        <v>250</v>
      </c>
      <c r="C8627" s="38" t="s">
        <v>3444</v>
      </c>
      <c r="D8627" s="18">
        <v>2022</v>
      </c>
      <c r="E8627" s="18" t="s">
        <v>0</v>
      </c>
      <c r="F8627" s="42">
        <v>1</v>
      </c>
      <c r="G8627" s="4">
        <v>15</v>
      </c>
      <c r="H8627" s="18">
        <v>44.706240000000001</v>
      </c>
    </row>
    <row r="8628" spans="1:8" s="15" customFormat="1" ht="16.5" hidden="1" customHeight="1" outlineLevel="1" x14ac:dyDescent="0.25">
      <c r="A8628" s="18">
        <v>1198</v>
      </c>
      <c r="B8628" s="4" t="s">
        <v>250</v>
      </c>
      <c r="C8628" s="38" t="s">
        <v>3445</v>
      </c>
      <c r="D8628" s="18">
        <v>2022</v>
      </c>
      <c r="E8628" s="18" t="s">
        <v>0</v>
      </c>
      <c r="F8628" s="42">
        <v>1</v>
      </c>
      <c r="G8628" s="4">
        <v>15</v>
      </c>
      <c r="H8628" s="18">
        <v>65.718249999999998</v>
      </c>
    </row>
    <row r="8629" spans="1:8" s="15" customFormat="1" ht="16.5" hidden="1" customHeight="1" outlineLevel="1" x14ac:dyDescent="0.25">
      <c r="A8629" s="18">
        <v>1264</v>
      </c>
      <c r="B8629" s="4" t="s">
        <v>250</v>
      </c>
      <c r="C8629" s="38" t="s">
        <v>3447</v>
      </c>
      <c r="D8629" s="18">
        <v>2022</v>
      </c>
      <c r="E8629" s="18" t="s">
        <v>0</v>
      </c>
      <c r="F8629" s="42">
        <v>1</v>
      </c>
      <c r="G8629" s="4">
        <v>15</v>
      </c>
      <c r="H8629" s="18">
        <v>71.71002</v>
      </c>
    </row>
    <row r="8630" spans="1:8" s="15" customFormat="1" ht="16.5" hidden="1" customHeight="1" outlineLevel="1" x14ac:dyDescent="0.25">
      <c r="A8630" s="18">
        <v>1046</v>
      </c>
      <c r="B8630" s="4" t="s">
        <v>250</v>
      </c>
      <c r="C8630" s="38" t="s">
        <v>3448</v>
      </c>
      <c r="D8630" s="18">
        <v>2022</v>
      </c>
      <c r="E8630" s="18" t="s">
        <v>0</v>
      </c>
      <c r="F8630" s="42">
        <v>1</v>
      </c>
      <c r="G8630" s="4">
        <v>0.5</v>
      </c>
      <c r="H8630" s="18">
        <v>50.828560000000003</v>
      </c>
    </row>
    <row r="8631" spans="1:8" s="15" customFormat="1" ht="16.5" hidden="1" customHeight="1" outlineLevel="1" x14ac:dyDescent="0.25">
      <c r="A8631" s="18">
        <v>1759</v>
      </c>
      <c r="B8631" s="4" t="s">
        <v>250</v>
      </c>
      <c r="C8631" s="38" t="s">
        <v>7274</v>
      </c>
      <c r="D8631" s="18">
        <v>2022</v>
      </c>
      <c r="E8631" s="18" t="s">
        <v>0</v>
      </c>
      <c r="F8631" s="42">
        <v>1</v>
      </c>
      <c r="G8631" s="4">
        <v>15</v>
      </c>
      <c r="H8631" s="18">
        <v>19.77468</v>
      </c>
    </row>
    <row r="8632" spans="1:8" s="15" customFormat="1" ht="16.5" hidden="1" customHeight="1" outlineLevel="1" x14ac:dyDescent="0.25">
      <c r="A8632" s="18">
        <v>1760</v>
      </c>
      <c r="B8632" s="4" t="s">
        <v>250</v>
      </c>
      <c r="C8632" s="38" t="s">
        <v>7275</v>
      </c>
      <c r="D8632" s="18">
        <v>2022</v>
      </c>
      <c r="E8632" s="18" t="s">
        <v>0</v>
      </c>
      <c r="F8632" s="42">
        <v>1</v>
      </c>
      <c r="G8632" s="4">
        <v>15</v>
      </c>
      <c r="H8632" s="18">
        <v>19.95609</v>
      </c>
    </row>
    <row r="8633" spans="1:8" s="15" customFormat="1" ht="16.5" hidden="1" customHeight="1" outlineLevel="1" x14ac:dyDescent="0.25">
      <c r="A8633" s="18">
        <v>1772</v>
      </c>
      <c r="B8633" s="4" t="s">
        <v>250</v>
      </c>
      <c r="C8633" s="38" t="s">
        <v>7276</v>
      </c>
      <c r="D8633" s="18">
        <v>2022</v>
      </c>
      <c r="E8633" s="18" t="s">
        <v>0</v>
      </c>
      <c r="F8633" s="42">
        <v>1</v>
      </c>
      <c r="G8633" s="4">
        <v>15</v>
      </c>
      <c r="H8633" s="18">
        <v>38.492100000000001</v>
      </c>
    </row>
    <row r="8634" spans="1:8" s="15" customFormat="1" ht="16.5" hidden="1" customHeight="1" outlineLevel="1" x14ac:dyDescent="0.25">
      <c r="A8634" s="18">
        <v>1773</v>
      </c>
      <c r="B8634" s="4" t="s">
        <v>250</v>
      </c>
      <c r="C8634" s="38" t="s">
        <v>7277</v>
      </c>
      <c r="D8634" s="18">
        <v>2022</v>
      </c>
      <c r="E8634" s="18" t="s">
        <v>0</v>
      </c>
      <c r="F8634" s="42">
        <v>1</v>
      </c>
      <c r="G8634" s="4">
        <v>15</v>
      </c>
      <c r="H8634" s="18">
        <v>38.287239999999997</v>
      </c>
    </row>
    <row r="8635" spans="1:8" s="15" customFormat="1" ht="16.5" hidden="1" customHeight="1" outlineLevel="1" x14ac:dyDescent="0.25">
      <c r="A8635" s="18">
        <v>1747</v>
      </c>
      <c r="B8635" s="4" t="s">
        <v>250</v>
      </c>
      <c r="C8635" s="38" t="s">
        <v>7278</v>
      </c>
      <c r="D8635" s="18">
        <v>2022</v>
      </c>
      <c r="E8635" s="18" t="s">
        <v>0</v>
      </c>
      <c r="F8635" s="42">
        <v>1</v>
      </c>
      <c r="G8635" s="4">
        <v>15</v>
      </c>
      <c r="H8635" s="18">
        <v>22.51708</v>
      </c>
    </row>
    <row r="8636" spans="1:8" s="15" customFormat="1" ht="16.5" hidden="1" customHeight="1" outlineLevel="1" x14ac:dyDescent="0.25">
      <c r="A8636" s="18">
        <v>1280</v>
      </c>
      <c r="B8636" s="4" t="s">
        <v>250</v>
      </c>
      <c r="C8636" s="38" t="s">
        <v>7279</v>
      </c>
      <c r="D8636" s="18">
        <v>2022</v>
      </c>
      <c r="E8636" s="18" t="s">
        <v>0</v>
      </c>
      <c r="F8636" s="42">
        <v>1</v>
      </c>
      <c r="G8636" s="4">
        <v>1.5</v>
      </c>
      <c r="H8636" s="18">
        <v>45.670850000000002</v>
      </c>
    </row>
    <row r="8637" spans="1:8" s="15" customFormat="1" ht="16.5" hidden="1" customHeight="1" outlineLevel="1" x14ac:dyDescent="0.25">
      <c r="A8637" s="18">
        <v>1770</v>
      </c>
      <c r="B8637" s="4" t="s">
        <v>250</v>
      </c>
      <c r="C8637" s="38" t="s">
        <v>7280</v>
      </c>
      <c r="D8637" s="18">
        <v>2022</v>
      </c>
      <c r="E8637" s="18" t="s">
        <v>0</v>
      </c>
      <c r="F8637" s="42">
        <v>1</v>
      </c>
      <c r="G8637" s="4">
        <v>15</v>
      </c>
      <c r="H8637" s="18">
        <v>38.03763</v>
      </c>
    </row>
    <row r="8638" spans="1:8" s="15" customFormat="1" ht="16.5" hidden="1" customHeight="1" outlineLevel="1" x14ac:dyDescent="0.25">
      <c r="A8638" s="18">
        <v>1771</v>
      </c>
      <c r="B8638" s="4" t="s">
        <v>250</v>
      </c>
      <c r="C8638" s="38" t="s">
        <v>7281</v>
      </c>
      <c r="D8638" s="18">
        <v>2022</v>
      </c>
      <c r="E8638" s="18" t="s">
        <v>0</v>
      </c>
      <c r="F8638" s="42">
        <v>1</v>
      </c>
      <c r="G8638" s="4">
        <v>15</v>
      </c>
      <c r="H8638" s="18">
        <v>38.10859</v>
      </c>
    </row>
    <row r="8639" spans="1:8" s="15" customFormat="1" ht="16.5" hidden="1" customHeight="1" outlineLevel="1" x14ac:dyDescent="0.25">
      <c r="A8639" s="18">
        <v>1764</v>
      </c>
      <c r="B8639" s="4" t="s">
        <v>250</v>
      </c>
      <c r="C8639" s="38" t="s">
        <v>7282</v>
      </c>
      <c r="D8639" s="18">
        <v>2022</v>
      </c>
      <c r="E8639" s="18" t="s">
        <v>0</v>
      </c>
      <c r="F8639" s="42">
        <v>1</v>
      </c>
      <c r="G8639" s="4">
        <v>6</v>
      </c>
      <c r="H8639" s="18">
        <v>36.777290000000001</v>
      </c>
    </row>
    <row r="8640" spans="1:8" s="15" customFormat="1" ht="16.5" hidden="1" customHeight="1" outlineLevel="1" x14ac:dyDescent="0.25">
      <c r="A8640" s="18">
        <v>1763</v>
      </c>
      <c r="B8640" s="4" t="s">
        <v>250</v>
      </c>
      <c r="C8640" s="38" t="s">
        <v>7283</v>
      </c>
      <c r="D8640" s="18">
        <v>2022</v>
      </c>
      <c r="E8640" s="18" t="s">
        <v>0</v>
      </c>
      <c r="F8640" s="42">
        <v>1</v>
      </c>
      <c r="G8640" s="4">
        <v>15</v>
      </c>
      <c r="H8640" s="18">
        <v>36.481870000000001</v>
      </c>
    </row>
    <row r="8641" spans="1:8" s="15" customFormat="1" ht="16.5" hidden="1" customHeight="1" outlineLevel="1" x14ac:dyDescent="0.25">
      <c r="A8641" s="18">
        <v>1766</v>
      </c>
      <c r="B8641" s="4" t="s">
        <v>250</v>
      </c>
      <c r="C8641" s="38" t="s">
        <v>7284</v>
      </c>
      <c r="D8641" s="18">
        <v>2022</v>
      </c>
      <c r="E8641" s="18" t="s">
        <v>0</v>
      </c>
      <c r="F8641" s="42">
        <v>1</v>
      </c>
      <c r="G8641" s="4">
        <v>15</v>
      </c>
      <c r="H8641" s="18">
        <v>39.495809999999999</v>
      </c>
    </row>
    <row r="8642" spans="1:8" s="15" customFormat="1" ht="16.5" hidden="1" customHeight="1" outlineLevel="1" x14ac:dyDescent="0.25">
      <c r="A8642" s="18">
        <v>1765</v>
      </c>
      <c r="B8642" s="4" t="s">
        <v>250</v>
      </c>
      <c r="C8642" s="38" t="s">
        <v>7285</v>
      </c>
      <c r="D8642" s="18">
        <v>2022</v>
      </c>
      <c r="E8642" s="18" t="s">
        <v>0</v>
      </c>
      <c r="F8642" s="42">
        <v>1</v>
      </c>
      <c r="G8642" s="4">
        <v>15</v>
      </c>
      <c r="H8642" s="18">
        <v>38.76484</v>
      </c>
    </row>
    <row r="8643" spans="1:8" s="15" customFormat="1" ht="16.5" hidden="1" customHeight="1" outlineLevel="1" x14ac:dyDescent="0.25">
      <c r="A8643" s="18">
        <v>1357</v>
      </c>
      <c r="B8643" s="4" t="s">
        <v>250</v>
      </c>
      <c r="C8643" s="38" t="s">
        <v>3451</v>
      </c>
      <c r="D8643" s="18">
        <v>2022</v>
      </c>
      <c r="E8643" s="18" t="s">
        <v>0</v>
      </c>
      <c r="F8643" s="42">
        <v>1</v>
      </c>
      <c r="G8643" s="4">
        <v>15</v>
      </c>
      <c r="H8643" s="18">
        <v>47.785469999999997</v>
      </c>
    </row>
    <row r="8644" spans="1:8" s="15" customFormat="1" ht="16.5" hidden="1" customHeight="1" outlineLevel="1" x14ac:dyDescent="0.25">
      <c r="A8644" s="18">
        <v>1345</v>
      </c>
      <c r="B8644" s="4" t="s">
        <v>250</v>
      </c>
      <c r="C8644" s="38" t="s">
        <v>3452</v>
      </c>
      <c r="D8644" s="18">
        <v>2022</v>
      </c>
      <c r="E8644" s="18" t="s">
        <v>0</v>
      </c>
      <c r="F8644" s="42">
        <v>1</v>
      </c>
      <c r="G8644" s="4">
        <v>15</v>
      </c>
      <c r="H8644" s="18">
        <v>37.127319999999997</v>
      </c>
    </row>
    <row r="8645" spans="1:8" s="15" customFormat="1" ht="16.5" hidden="1" customHeight="1" outlineLevel="1" x14ac:dyDescent="0.25">
      <c r="A8645" s="18">
        <v>1323</v>
      </c>
      <c r="B8645" s="4" t="s">
        <v>250</v>
      </c>
      <c r="C8645" s="38" t="s">
        <v>3453</v>
      </c>
      <c r="D8645" s="18">
        <v>2022</v>
      </c>
      <c r="E8645" s="18" t="s">
        <v>0</v>
      </c>
      <c r="F8645" s="42">
        <v>1</v>
      </c>
      <c r="G8645" s="4">
        <v>15</v>
      </c>
      <c r="H8645" s="18">
        <v>50.44706</v>
      </c>
    </row>
    <row r="8646" spans="1:8" s="15" customFormat="1" ht="16.5" hidden="1" customHeight="1" outlineLevel="1" x14ac:dyDescent="0.25">
      <c r="A8646" s="18">
        <v>1048</v>
      </c>
      <c r="B8646" s="4" t="s">
        <v>250</v>
      </c>
      <c r="C8646" s="38" t="s">
        <v>3454</v>
      </c>
      <c r="D8646" s="18">
        <v>2022</v>
      </c>
      <c r="E8646" s="18" t="s">
        <v>0</v>
      </c>
      <c r="F8646" s="42">
        <v>1</v>
      </c>
      <c r="G8646" s="4">
        <v>15</v>
      </c>
      <c r="H8646" s="18">
        <v>50.38353</v>
      </c>
    </row>
    <row r="8647" spans="1:8" s="15" customFormat="1" ht="16.5" hidden="1" customHeight="1" outlineLevel="1" x14ac:dyDescent="0.25">
      <c r="A8647" s="18">
        <v>1181</v>
      </c>
      <c r="B8647" s="4" t="s">
        <v>250</v>
      </c>
      <c r="C8647" s="38" t="s">
        <v>3456</v>
      </c>
      <c r="D8647" s="18">
        <v>2022</v>
      </c>
      <c r="E8647" s="18" t="s">
        <v>0</v>
      </c>
      <c r="F8647" s="42">
        <v>1</v>
      </c>
      <c r="G8647" s="4">
        <v>15</v>
      </c>
      <c r="H8647" s="18">
        <v>46.348019999999998</v>
      </c>
    </row>
    <row r="8648" spans="1:8" s="15" customFormat="1" ht="16.5" hidden="1" customHeight="1" outlineLevel="1" x14ac:dyDescent="0.25">
      <c r="A8648" s="18">
        <v>1174</v>
      </c>
      <c r="B8648" s="4" t="s">
        <v>250</v>
      </c>
      <c r="C8648" s="38" t="s">
        <v>3457</v>
      </c>
      <c r="D8648" s="18">
        <v>2022</v>
      </c>
      <c r="E8648" s="18" t="s">
        <v>0</v>
      </c>
      <c r="F8648" s="42">
        <v>1</v>
      </c>
      <c r="G8648" s="4">
        <v>15</v>
      </c>
      <c r="H8648" s="18">
        <v>25.054829999999999</v>
      </c>
    </row>
    <row r="8649" spans="1:8" s="15" customFormat="1" ht="16.5" hidden="1" customHeight="1" outlineLevel="1" x14ac:dyDescent="0.25">
      <c r="A8649" s="18">
        <v>1212</v>
      </c>
      <c r="B8649" s="4" t="s">
        <v>250</v>
      </c>
      <c r="C8649" s="38" t="s">
        <v>3458</v>
      </c>
      <c r="D8649" s="18">
        <v>2022</v>
      </c>
      <c r="E8649" s="18" t="s">
        <v>0</v>
      </c>
      <c r="F8649" s="42">
        <v>1</v>
      </c>
      <c r="G8649" s="4">
        <v>15</v>
      </c>
      <c r="H8649" s="18">
        <v>31.65944</v>
      </c>
    </row>
    <row r="8650" spans="1:8" s="15" customFormat="1" ht="16.5" hidden="1" customHeight="1" outlineLevel="1" x14ac:dyDescent="0.25">
      <c r="A8650" s="18">
        <v>1153</v>
      </c>
      <c r="B8650" s="4" t="s">
        <v>250</v>
      </c>
      <c r="C8650" s="38" t="s">
        <v>3459</v>
      </c>
      <c r="D8650" s="18">
        <v>2022</v>
      </c>
      <c r="E8650" s="18" t="s">
        <v>0</v>
      </c>
      <c r="F8650" s="42">
        <v>1</v>
      </c>
      <c r="G8650" s="4">
        <v>15</v>
      </c>
      <c r="H8650" s="18">
        <v>37.831609999999998</v>
      </c>
    </row>
    <row r="8651" spans="1:8" s="15" customFormat="1" ht="16.5" hidden="1" customHeight="1" outlineLevel="1" x14ac:dyDescent="0.25">
      <c r="A8651" s="18">
        <v>1224</v>
      </c>
      <c r="B8651" s="4" t="s">
        <v>250</v>
      </c>
      <c r="C8651" s="38" t="s">
        <v>3460</v>
      </c>
      <c r="D8651" s="18">
        <v>2022</v>
      </c>
      <c r="E8651" s="18" t="s">
        <v>0</v>
      </c>
      <c r="F8651" s="42">
        <v>1</v>
      </c>
      <c r="G8651" s="4">
        <v>15</v>
      </c>
      <c r="H8651" s="18">
        <v>40.605870000000003</v>
      </c>
    </row>
    <row r="8652" spans="1:8" s="15" customFormat="1" ht="16.5" hidden="1" customHeight="1" outlineLevel="1" x14ac:dyDescent="0.25">
      <c r="A8652" s="18">
        <v>1240</v>
      </c>
      <c r="B8652" s="4" t="s">
        <v>250</v>
      </c>
      <c r="C8652" s="38" t="s">
        <v>3461</v>
      </c>
      <c r="D8652" s="18">
        <v>2022</v>
      </c>
      <c r="E8652" s="18" t="s">
        <v>0</v>
      </c>
      <c r="F8652" s="42">
        <v>1</v>
      </c>
      <c r="G8652" s="4">
        <v>15</v>
      </c>
      <c r="H8652" s="18">
        <v>36.350589999999997</v>
      </c>
    </row>
    <row r="8653" spans="1:8" s="15" customFormat="1" ht="16.5" hidden="1" customHeight="1" outlineLevel="1" x14ac:dyDescent="0.25">
      <c r="A8653" s="18">
        <v>1633</v>
      </c>
      <c r="B8653" s="4" t="s">
        <v>250</v>
      </c>
      <c r="C8653" s="38" t="s">
        <v>3462</v>
      </c>
      <c r="D8653" s="18">
        <v>2022</v>
      </c>
      <c r="E8653" s="18" t="s">
        <v>0</v>
      </c>
      <c r="F8653" s="42">
        <v>1</v>
      </c>
      <c r="G8653" s="4">
        <v>15</v>
      </c>
      <c r="H8653" s="18">
        <v>79.206659999999999</v>
      </c>
    </row>
    <row r="8654" spans="1:8" s="15" customFormat="1" ht="16.5" hidden="1" customHeight="1" outlineLevel="1" x14ac:dyDescent="0.25">
      <c r="A8654" s="18">
        <v>1077</v>
      </c>
      <c r="B8654" s="4" t="s">
        <v>250</v>
      </c>
      <c r="C8654" s="38" t="s">
        <v>3463</v>
      </c>
      <c r="D8654" s="18">
        <v>2022</v>
      </c>
      <c r="E8654" s="18" t="s">
        <v>0</v>
      </c>
      <c r="F8654" s="42">
        <v>1</v>
      </c>
      <c r="G8654" s="4">
        <v>15</v>
      </c>
      <c r="H8654" s="18">
        <v>40.653419999999997</v>
      </c>
    </row>
    <row r="8655" spans="1:8" s="15" customFormat="1" ht="16.5" hidden="1" customHeight="1" outlineLevel="1" x14ac:dyDescent="0.25">
      <c r="A8655" s="18">
        <v>1326</v>
      </c>
      <c r="B8655" s="4" t="s">
        <v>250</v>
      </c>
      <c r="C8655" s="38" t="s">
        <v>3464</v>
      </c>
      <c r="D8655" s="18">
        <v>2022</v>
      </c>
      <c r="E8655" s="18" t="s">
        <v>0</v>
      </c>
      <c r="F8655" s="42">
        <v>1</v>
      </c>
      <c r="G8655" s="4">
        <v>15</v>
      </c>
      <c r="H8655" s="18">
        <v>52.097029999999997</v>
      </c>
    </row>
    <row r="8656" spans="1:8" s="15" customFormat="1" ht="16.5" hidden="1" customHeight="1" outlineLevel="1" x14ac:dyDescent="0.25">
      <c r="A8656" s="18">
        <v>1349</v>
      </c>
      <c r="B8656" s="4" t="s">
        <v>250</v>
      </c>
      <c r="C8656" s="38" t="s">
        <v>3465</v>
      </c>
      <c r="D8656" s="18">
        <v>2022</v>
      </c>
      <c r="E8656" s="18" t="s">
        <v>0</v>
      </c>
      <c r="F8656" s="42">
        <v>1</v>
      </c>
      <c r="G8656" s="4">
        <v>15</v>
      </c>
      <c r="H8656" s="18">
        <v>49.063969999999998</v>
      </c>
    </row>
    <row r="8657" spans="1:8" s="15" customFormat="1" ht="16.5" hidden="1" customHeight="1" outlineLevel="1" x14ac:dyDescent="0.25">
      <c r="A8657" s="18">
        <v>1802</v>
      </c>
      <c r="B8657" s="4" t="s">
        <v>250</v>
      </c>
      <c r="C8657" s="38" t="s">
        <v>7286</v>
      </c>
      <c r="D8657" s="18">
        <v>2022</v>
      </c>
      <c r="E8657" s="18" t="s">
        <v>0</v>
      </c>
      <c r="F8657" s="42">
        <v>1</v>
      </c>
      <c r="G8657" s="4">
        <v>15</v>
      </c>
      <c r="H8657" s="18">
        <v>19.495450000000002</v>
      </c>
    </row>
    <row r="8658" spans="1:8" s="15" customFormat="1" ht="16.5" hidden="1" customHeight="1" outlineLevel="1" x14ac:dyDescent="0.25">
      <c r="A8658" s="18">
        <v>1803</v>
      </c>
      <c r="B8658" s="4" t="s">
        <v>250</v>
      </c>
      <c r="C8658" s="38" t="s">
        <v>7287</v>
      </c>
      <c r="D8658" s="18">
        <v>2022</v>
      </c>
      <c r="E8658" s="18" t="s">
        <v>0</v>
      </c>
      <c r="F8658" s="42">
        <v>1</v>
      </c>
      <c r="G8658" s="4">
        <v>15</v>
      </c>
      <c r="H8658" s="18">
        <v>19.860610000000001</v>
      </c>
    </row>
    <row r="8659" spans="1:8" s="15" customFormat="1" ht="16.5" hidden="1" customHeight="1" outlineLevel="1" x14ac:dyDescent="0.25">
      <c r="A8659" s="18">
        <v>1804</v>
      </c>
      <c r="B8659" s="4" t="s">
        <v>250</v>
      </c>
      <c r="C8659" s="38" t="s">
        <v>7288</v>
      </c>
      <c r="D8659" s="18">
        <v>2022</v>
      </c>
      <c r="E8659" s="18" t="s">
        <v>0</v>
      </c>
      <c r="F8659" s="42">
        <v>1</v>
      </c>
      <c r="G8659" s="4">
        <v>15</v>
      </c>
      <c r="H8659" s="18">
        <v>21.16142</v>
      </c>
    </row>
    <row r="8660" spans="1:8" s="15" customFormat="1" ht="16.5" hidden="1" customHeight="1" outlineLevel="1" x14ac:dyDescent="0.25">
      <c r="A8660" s="18">
        <v>1805</v>
      </c>
      <c r="B8660" s="4" t="s">
        <v>250</v>
      </c>
      <c r="C8660" s="38" t="s">
        <v>7289</v>
      </c>
      <c r="D8660" s="18">
        <v>2022</v>
      </c>
      <c r="E8660" s="18" t="s">
        <v>0</v>
      </c>
      <c r="F8660" s="42">
        <v>1</v>
      </c>
      <c r="G8660" s="4">
        <v>15</v>
      </c>
      <c r="H8660" s="18">
        <v>21.16142</v>
      </c>
    </row>
    <row r="8661" spans="1:8" s="15" customFormat="1" ht="16.5" hidden="1" customHeight="1" outlineLevel="1" x14ac:dyDescent="0.25">
      <c r="A8661" s="18">
        <v>1417</v>
      </c>
      <c r="B8661" s="4" t="s">
        <v>250</v>
      </c>
      <c r="C8661" s="38" t="s">
        <v>7290</v>
      </c>
      <c r="D8661" s="18">
        <v>2022</v>
      </c>
      <c r="E8661" s="18" t="s">
        <v>0</v>
      </c>
      <c r="F8661" s="42">
        <v>1</v>
      </c>
      <c r="G8661" s="4">
        <v>15</v>
      </c>
      <c r="H8661" s="18">
        <v>43.4968</v>
      </c>
    </row>
    <row r="8662" spans="1:8" s="15" customFormat="1" ht="16.5" hidden="1" customHeight="1" outlineLevel="1" x14ac:dyDescent="0.25">
      <c r="A8662" s="18">
        <v>1807</v>
      </c>
      <c r="B8662" s="4" t="s">
        <v>250</v>
      </c>
      <c r="C8662" s="38" t="s">
        <v>7291</v>
      </c>
      <c r="D8662" s="18">
        <v>2022</v>
      </c>
      <c r="E8662" s="18" t="s">
        <v>0</v>
      </c>
      <c r="F8662" s="42">
        <v>1</v>
      </c>
      <c r="G8662" s="4">
        <v>15</v>
      </c>
      <c r="H8662" s="18">
        <v>20.333069999999999</v>
      </c>
    </row>
    <row r="8663" spans="1:8" s="15" customFormat="1" ht="16.5" hidden="1" customHeight="1" outlineLevel="1" x14ac:dyDescent="0.25">
      <c r="A8663" s="18">
        <v>1808</v>
      </c>
      <c r="B8663" s="4" t="s">
        <v>250</v>
      </c>
      <c r="C8663" s="38" t="s">
        <v>7292</v>
      </c>
      <c r="D8663" s="18">
        <v>2022</v>
      </c>
      <c r="E8663" s="18" t="s">
        <v>0</v>
      </c>
      <c r="F8663" s="42">
        <v>1</v>
      </c>
      <c r="G8663" s="4">
        <v>15</v>
      </c>
      <c r="H8663" s="18">
        <v>20.333069999999999</v>
      </c>
    </row>
    <row r="8664" spans="1:8" s="15" customFormat="1" ht="16.5" hidden="1" customHeight="1" outlineLevel="1" x14ac:dyDescent="0.25">
      <c r="A8664" s="18">
        <v>1811</v>
      </c>
      <c r="B8664" s="4" t="s">
        <v>250</v>
      </c>
      <c r="C8664" s="38" t="s">
        <v>7293</v>
      </c>
      <c r="D8664" s="18">
        <v>2022</v>
      </c>
      <c r="E8664" s="18" t="s">
        <v>0</v>
      </c>
      <c r="F8664" s="42">
        <v>1</v>
      </c>
      <c r="G8664" s="4">
        <v>15</v>
      </c>
      <c r="H8664" s="18">
        <v>20.311150000000001</v>
      </c>
    </row>
    <row r="8665" spans="1:8" s="15" customFormat="1" ht="16.5" hidden="1" customHeight="1" outlineLevel="1" x14ac:dyDescent="0.25">
      <c r="A8665" s="18">
        <v>1812</v>
      </c>
      <c r="B8665" s="4" t="s">
        <v>250</v>
      </c>
      <c r="C8665" s="38" t="s">
        <v>7294</v>
      </c>
      <c r="D8665" s="18">
        <v>2022</v>
      </c>
      <c r="E8665" s="18" t="s">
        <v>0</v>
      </c>
      <c r="F8665" s="42">
        <v>1</v>
      </c>
      <c r="G8665" s="4">
        <v>15</v>
      </c>
      <c r="H8665" s="18">
        <v>20.311150000000001</v>
      </c>
    </row>
    <row r="8666" spans="1:8" s="15" customFormat="1" ht="16.5" hidden="1" customHeight="1" outlineLevel="1" x14ac:dyDescent="0.25">
      <c r="A8666" s="18">
        <v>1810</v>
      </c>
      <c r="B8666" s="4" t="s">
        <v>250</v>
      </c>
      <c r="C8666" s="38" t="s">
        <v>7295</v>
      </c>
      <c r="D8666" s="18">
        <v>2022</v>
      </c>
      <c r="E8666" s="18" t="s">
        <v>0</v>
      </c>
      <c r="F8666" s="42">
        <v>1</v>
      </c>
      <c r="G8666" s="4">
        <v>15</v>
      </c>
      <c r="H8666" s="18">
        <v>20.311150000000001</v>
      </c>
    </row>
    <row r="8667" spans="1:8" s="15" customFormat="1" ht="16.5" hidden="1" customHeight="1" outlineLevel="1" x14ac:dyDescent="0.25">
      <c r="A8667" s="18">
        <v>1354</v>
      </c>
      <c r="B8667" s="4" t="s">
        <v>250</v>
      </c>
      <c r="C8667" s="38" t="s">
        <v>7296</v>
      </c>
      <c r="D8667" s="18">
        <v>2022</v>
      </c>
      <c r="E8667" s="18" t="s">
        <v>0</v>
      </c>
      <c r="F8667" s="42">
        <v>1</v>
      </c>
      <c r="G8667" s="4">
        <v>15</v>
      </c>
      <c r="H8667" s="18">
        <v>27.022300000000001</v>
      </c>
    </row>
    <row r="8668" spans="1:8" s="15" customFormat="1" ht="16.5" hidden="1" customHeight="1" outlineLevel="1" x14ac:dyDescent="0.25">
      <c r="A8668" s="18">
        <v>1375</v>
      </c>
      <c r="B8668" s="4" t="s">
        <v>250</v>
      </c>
      <c r="C8668" s="38" t="s">
        <v>7297</v>
      </c>
      <c r="D8668" s="18">
        <v>2022</v>
      </c>
      <c r="E8668" s="18" t="s">
        <v>0</v>
      </c>
      <c r="F8668" s="42">
        <v>1</v>
      </c>
      <c r="G8668" s="4">
        <v>15</v>
      </c>
      <c r="H8668" s="18">
        <v>29.615210000000001</v>
      </c>
    </row>
    <row r="8669" spans="1:8" s="15" customFormat="1" ht="16.5" hidden="1" customHeight="1" outlineLevel="1" x14ac:dyDescent="0.25">
      <c r="A8669" s="18">
        <v>1268</v>
      </c>
      <c r="B8669" s="4" t="s">
        <v>250</v>
      </c>
      <c r="C8669" s="38" t="s">
        <v>7298</v>
      </c>
      <c r="D8669" s="18">
        <v>2022</v>
      </c>
      <c r="E8669" s="18" t="s">
        <v>0</v>
      </c>
      <c r="F8669" s="42">
        <v>1</v>
      </c>
      <c r="G8669" s="4">
        <v>15</v>
      </c>
      <c r="H8669" s="18">
        <v>25.882200000000001</v>
      </c>
    </row>
    <row r="8670" spans="1:8" s="15" customFormat="1" ht="16.5" hidden="1" customHeight="1" outlineLevel="1" x14ac:dyDescent="0.25">
      <c r="A8670" s="18">
        <v>1085</v>
      </c>
      <c r="B8670" s="4" t="s">
        <v>250</v>
      </c>
      <c r="C8670" s="38" t="s">
        <v>3468</v>
      </c>
      <c r="D8670" s="18">
        <v>2022</v>
      </c>
      <c r="E8670" s="18" t="s">
        <v>0</v>
      </c>
      <c r="F8670" s="42">
        <v>1</v>
      </c>
      <c r="G8670" s="4">
        <v>15</v>
      </c>
      <c r="H8670" s="18">
        <v>28.272410000000001</v>
      </c>
    </row>
    <row r="8671" spans="1:8" s="15" customFormat="1" ht="16.5" hidden="1" customHeight="1" outlineLevel="1" x14ac:dyDescent="0.25">
      <c r="A8671" s="18">
        <v>1386</v>
      </c>
      <c r="B8671" s="4" t="s">
        <v>250</v>
      </c>
      <c r="C8671" s="38" t="s">
        <v>3469</v>
      </c>
      <c r="D8671" s="18">
        <v>2022</v>
      </c>
      <c r="E8671" s="18" t="s">
        <v>0</v>
      </c>
      <c r="F8671" s="42">
        <v>1</v>
      </c>
      <c r="G8671" s="4">
        <v>15</v>
      </c>
      <c r="H8671" s="18">
        <v>45.971069999999997</v>
      </c>
    </row>
    <row r="8672" spans="1:8" s="15" customFormat="1" ht="16.5" hidden="1" customHeight="1" outlineLevel="1" x14ac:dyDescent="0.25">
      <c r="A8672" s="18">
        <v>1482</v>
      </c>
      <c r="B8672" s="4" t="s">
        <v>250</v>
      </c>
      <c r="C8672" s="38" t="s">
        <v>3470</v>
      </c>
      <c r="D8672" s="18">
        <v>2022</v>
      </c>
      <c r="E8672" s="18" t="s">
        <v>0</v>
      </c>
      <c r="F8672" s="42">
        <v>1</v>
      </c>
      <c r="G8672" s="4">
        <v>15</v>
      </c>
      <c r="H8672" s="18">
        <v>58.35642</v>
      </c>
    </row>
    <row r="8673" spans="1:8" s="15" customFormat="1" ht="16.5" hidden="1" customHeight="1" outlineLevel="1" x14ac:dyDescent="0.25">
      <c r="A8673" s="18">
        <v>1509</v>
      </c>
      <c r="B8673" s="4" t="s">
        <v>250</v>
      </c>
      <c r="C8673" s="38" t="s">
        <v>3471</v>
      </c>
      <c r="D8673" s="18">
        <v>2022</v>
      </c>
      <c r="E8673" s="18" t="s">
        <v>0</v>
      </c>
      <c r="F8673" s="42">
        <v>1</v>
      </c>
      <c r="G8673" s="4">
        <v>15</v>
      </c>
      <c r="H8673" s="18">
        <v>35.291589999999999</v>
      </c>
    </row>
    <row r="8674" spans="1:8" s="15" customFormat="1" ht="16.5" hidden="1" customHeight="1" outlineLevel="1" x14ac:dyDescent="0.25">
      <c r="A8674" s="18">
        <v>1588</v>
      </c>
      <c r="B8674" s="4" t="s">
        <v>250</v>
      </c>
      <c r="C8674" s="38" t="s">
        <v>3472</v>
      </c>
      <c r="D8674" s="18">
        <v>2022</v>
      </c>
      <c r="E8674" s="18" t="s">
        <v>0</v>
      </c>
      <c r="F8674" s="42">
        <v>1</v>
      </c>
      <c r="G8674" s="4">
        <v>15</v>
      </c>
      <c r="H8674" s="18">
        <v>52.671889999999998</v>
      </c>
    </row>
    <row r="8675" spans="1:8" s="15" customFormat="1" ht="16.5" hidden="1" customHeight="1" outlineLevel="1" x14ac:dyDescent="0.25">
      <c r="A8675" s="18">
        <v>1607</v>
      </c>
      <c r="B8675" s="4" t="s">
        <v>250</v>
      </c>
      <c r="C8675" s="38" t="s">
        <v>3473</v>
      </c>
      <c r="D8675" s="18">
        <v>2022</v>
      </c>
      <c r="E8675" s="18" t="s">
        <v>0</v>
      </c>
      <c r="F8675" s="42">
        <v>1</v>
      </c>
      <c r="G8675" s="4">
        <v>15</v>
      </c>
      <c r="H8675" s="18">
        <v>52.189030000000002</v>
      </c>
    </row>
    <row r="8676" spans="1:8" s="15" customFormat="1" ht="16.5" hidden="1" customHeight="1" outlineLevel="1" x14ac:dyDescent="0.25">
      <c r="A8676" s="18">
        <v>1576</v>
      </c>
      <c r="B8676" s="4" t="s">
        <v>250</v>
      </c>
      <c r="C8676" s="38" t="s">
        <v>3474</v>
      </c>
      <c r="D8676" s="18">
        <v>2022</v>
      </c>
      <c r="E8676" s="18" t="s">
        <v>0</v>
      </c>
      <c r="F8676" s="42">
        <v>1</v>
      </c>
      <c r="G8676" s="4">
        <v>15</v>
      </c>
      <c r="H8676" s="18">
        <v>39.171219999999998</v>
      </c>
    </row>
    <row r="8677" spans="1:8" s="15" customFormat="1" ht="16.5" hidden="1" customHeight="1" outlineLevel="1" x14ac:dyDescent="0.25">
      <c r="A8677" s="18">
        <v>1578</v>
      </c>
      <c r="B8677" s="4" t="s">
        <v>250</v>
      </c>
      <c r="C8677" s="38" t="s">
        <v>4259</v>
      </c>
      <c r="D8677" s="18">
        <v>2022</v>
      </c>
      <c r="E8677" s="18" t="s">
        <v>0</v>
      </c>
      <c r="F8677" s="42">
        <v>1</v>
      </c>
      <c r="G8677" s="4">
        <v>70</v>
      </c>
      <c r="H8677" s="18">
        <v>49.122480000000003</v>
      </c>
    </row>
    <row r="8678" spans="1:8" s="15" customFormat="1" ht="16.5" hidden="1" customHeight="1" outlineLevel="1" x14ac:dyDescent="0.25">
      <c r="A8678" s="18">
        <v>1577</v>
      </c>
      <c r="B8678" s="4" t="s">
        <v>250</v>
      </c>
      <c r="C8678" s="38" t="s">
        <v>3475</v>
      </c>
      <c r="D8678" s="18">
        <v>2022</v>
      </c>
      <c r="E8678" s="18" t="s">
        <v>0</v>
      </c>
      <c r="F8678" s="42">
        <v>1</v>
      </c>
      <c r="G8678" s="4">
        <v>7.5</v>
      </c>
      <c r="H8678" s="18">
        <v>56.397120000000001</v>
      </c>
    </row>
    <row r="8679" spans="1:8" s="15" customFormat="1" ht="16.5" hidden="1" customHeight="1" outlineLevel="1" x14ac:dyDescent="0.25">
      <c r="A8679" s="18">
        <v>1398</v>
      </c>
      <c r="B8679" s="4" t="s">
        <v>250</v>
      </c>
      <c r="C8679" s="38" t="s">
        <v>3476</v>
      </c>
      <c r="D8679" s="18">
        <v>2022</v>
      </c>
      <c r="E8679" s="18" t="s">
        <v>0</v>
      </c>
      <c r="F8679" s="42">
        <v>1</v>
      </c>
      <c r="G8679" s="4">
        <v>15</v>
      </c>
      <c r="H8679" s="18">
        <v>37.387880000000003</v>
      </c>
    </row>
    <row r="8680" spans="1:8" s="15" customFormat="1" ht="16.5" hidden="1" customHeight="1" outlineLevel="1" x14ac:dyDescent="0.25">
      <c r="A8680" s="18">
        <v>1199</v>
      </c>
      <c r="B8680" s="4" t="s">
        <v>250</v>
      </c>
      <c r="C8680" s="38" t="s">
        <v>3477</v>
      </c>
      <c r="D8680" s="18">
        <v>2022</v>
      </c>
      <c r="E8680" s="18" t="s">
        <v>0</v>
      </c>
      <c r="F8680" s="42">
        <v>1</v>
      </c>
      <c r="G8680" s="4">
        <v>15</v>
      </c>
      <c r="H8680" s="18">
        <v>58.009950000000003</v>
      </c>
    </row>
    <row r="8681" spans="1:8" s="15" customFormat="1" ht="16.5" hidden="1" customHeight="1" outlineLevel="1" x14ac:dyDescent="0.25">
      <c r="A8681" s="18">
        <v>1508</v>
      </c>
      <c r="B8681" s="4" t="s">
        <v>250</v>
      </c>
      <c r="C8681" s="38" t="s">
        <v>3478</v>
      </c>
      <c r="D8681" s="18">
        <v>2022</v>
      </c>
      <c r="E8681" s="18" t="s">
        <v>0</v>
      </c>
      <c r="F8681" s="42">
        <v>1</v>
      </c>
      <c r="G8681" s="4">
        <v>15</v>
      </c>
      <c r="H8681" s="18">
        <v>58.226889999999997</v>
      </c>
    </row>
    <row r="8682" spans="1:8" s="15" customFormat="1" ht="16.5" hidden="1" customHeight="1" outlineLevel="1" x14ac:dyDescent="0.25">
      <c r="A8682" s="18">
        <v>1127</v>
      </c>
      <c r="B8682" s="4" t="s">
        <v>250</v>
      </c>
      <c r="C8682" s="38" t="s">
        <v>3479</v>
      </c>
      <c r="D8682" s="18">
        <v>2022</v>
      </c>
      <c r="E8682" s="18" t="s">
        <v>0</v>
      </c>
      <c r="F8682" s="42">
        <v>1</v>
      </c>
      <c r="G8682" s="4">
        <v>15</v>
      </c>
      <c r="H8682" s="18">
        <v>43.304130000000001</v>
      </c>
    </row>
    <row r="8683" spans="1:8" s="15" customFormat="1" ht="16.5" hidden="1" customHeight="1" outlineLevel="1" x14ac:dyDescent="0.25">
      <c r="A8683" s="18">
        <v>1794</v>
      </c>
      <c r="B8683" s="4" t="s">
        <v>250</v>
      </c>
      <c r="C8683" s="38" t="s">
        <v>7299</v>
      </c>
      <c r="D8683" s="18">
        <v>2022</v>
      </c>
      <c r="E8683" s="18" t="s">
        <v>0</v>
      </c>
      <c r="F8683" s="42">
        <v>1</v>
      </c>
      <c r="G8683" s="4">
        <v>10</v>
      </c>
      <c r="H8683" s="18">
        <v>37.667470000000002</v>
      </c>
    </row>
    <row r="8684" spans="1:8" s="15" customFormat="1" ht="16.5" hidden="1" customHeight="1" outlineLevel="1" x14ac:dyDescent="0.25">
      <c r="A8684" s="18">
        <v>1526</v>
      </c>
      <c r="B8684" s="4" t="s">
        <v>250</v>
      </c>
      <c r="C8684" s="38" t="s">
        <v>7300</v>
      </c>
      <c r="D8684" s="18">
        <v>2022</v>
      </c>
      <c r="E8684" s="18" t="s">
        <v>0</v>
      </c>
      <c r="F8684" s="42">
        <v>1</v>
      </c>
      <c r="G8684" s="4">
        <v>15</v>
      </c>
      <c r="H8684" s="18">
        <v>43.950600000000001</v>
      </c>
    </row>
    <row r="8685" spans="1:8" s="15" customFormat="1" ht="16.5" hidden="1" customHeight="1" outlineLevel="1" x14ac:dyDescent="0.25">
      <c r="A8685" s="18">
        <v>1714</v>
      </c>
      <c r="B8685" s="4" t="s">
        <v>250</v>
      </c>
      <c r="C8685" s="38" t="s">
        <v>7301</v>
      </c>
      <c r="D8685" s="18">
        <v>2022</v>
      </c>
      <c r="E8685" s="18" t="s">
        <v>0</v>
      </c>
      <c r="F8685" s="42">
        <v>1</v>
      </c>
      <c r="G8685" s="4">
        <v>10</v>
      </c>
      <c r="H8685" s="18">
        <v>22.473520000000001</v>
      </c>
    </row>
    <row r="8686" spans="1:8" s="15" customFormat="1" ht="16.5" hidden="1" customHeight="1" outlineLevel="1" x14ac:dyDescent="0.25">
      <c r="A8686" s="18">
        <v>1147</v>
      </c>
      <c r="B8686" s="4" t="s">
        <v>250</v>
      </c>
      <c r="C8686" s="38" t="s">
        <v>3480</v>
      </c>
      <c r="D8686" s="18">
        <v>2022</v>
      </c>
      <c r="E8686" s="18" t="s">
        <v>0</v>
      </c>
      <c r="F8686" s="42">
        <v>1</v>
      </c>
      <c r="G8686" s="4">
        <v>15</v>
      </c>
      <c r="H8686" s="18">
        <v>43.881630000000001</v>
      </c>
    </row>
    <row r="8687" spans="1:8" s="15" customFormat="1" ht="16.5" hidden="1" customHeight="1" outlineLevel="1" x14ac:dyDescent="0.25">
      <c r="A8687" s="18">
        <v>1049</v>
      </c>
      <c r="B8687" s="4" t="s">
        <v>250</v>
      </c>
      <c r="C8687" s="38" t="s">
        <v>3481</v>
      </c>
      <c r="D8687" s="18">
        <v>2022</v>
      </c>
      <c r="E8687" s="18" t="s">
        <v>0</v>
      </c>
      <c r="F8687" s="42">
        <v>1</v>
      </c>
      <c r="G8687" s="4">
        <v>15</v>
      </c>
      <c r="H8687" s="18">
        <v>40.174639999999997</v>
      </c>
    </row>
    <row r="8688" spans="1:8" s="15" customFormat="1" ht="16.5" hidden="1" customHeight="1" outlineLevel="1" x14ac:dyDescent="0.25">
      <c r="A8688" s="18">
        <v>1430</v>
      </c>
      <c r="B8688" s="4" t="s">
        <v>250</v>
      </c>
      <c r="C8688" s="38" t="s">
        <v>3482</v>
      </c>
      <c r="D8688" s="18">
        <v>2022</v>
      </c>
      <c r="E8688" s="18" t="s">
        <v>0</v>
      </c>
      <c r="F8688" s="42">
        <v>1</v>
      </c>
      <c r="G8688" s="4">
        <v>15</v>
      </c>
      <c r="H8688" s="18">
        <v>27.14612</v>
      </c>
    </row>
    <row r="8689" spans="1:8" s="15" customFormat="1" ht="16.5" hidden="1" customHeight="1" outlineLevel="1" x14ac:dyDescent="0.25">
      <c r="A8689" s="18">
        <v>1279</v>
      </c>
      <c r="B8689" s="4" t="s">
        <v>250</v>
      </c>
      <c r="C8689" s="38" t="s">
        <v>7302</v>
      </c>
      <c r="D8689" s="18">
        <v>2022</v>
      </c>
      <c r="E8689" s="18" t="s">
        <v>0</v>
      </c>
      <c r="F8689" s="42">
        <v>1</v>
      </c>
      <c r="G8689" s="4">
        <v>15</v>
      </c>
      <c r="H8689" s="18">
        <v>28.35267</v>
      </c>
    </row>
    <row r="8690" spans="1:8" s="15" customFormat="1" ht="16.5" hidden="1" customHeight="1" outlineLevel="1" x14ac:dyDescent="0.25">
      <c r="A8690" s="18">
        <v>1333</v>
      </c>
      <c r="B8690" s="4" t="s">
        <v>250</v>
      </c>
      <c r="C8690" s="38" t="s">
        <v>7303</v>
      </c>
      <c r="D8690" s="18">
        <v>2022</v>
      </c>
      <c r="E8690" s="18" t="s">
        <v>0</v>
      </c>
      <c r="F8690" s="42">
        <v>1</v>
      </c>
      <c r="G8690" s="4">
        <v>15</v>
      </c>
      <c r="H8690" s="18">
        <v>44.414149999999999</v>
      </c>
    </row>
    <row r="8691" spans="1:8" s="15" customFormat="1" ht="16.5" hidden="1" customHeight="1" outlineLevel="1" x14ac:dyDescent="0.25">
      <c r="A8691" s="18">
        <v>1282</v>
      </c>
      <c r="B8691" s="4" t="s">
        <v>250</v>
      </c>
      <c r="C8691" s="38" t="s">
        <v>7304</v>
      </c>
      <c r="D8691" s="18">
        <v>2022</v>
      </c>
      <c r="E8691" s="18" t="s">
        <v>0</v>
      </c>
      <c r="F8691" s="42">
        <v>1</v>
      </c>
      <c r="G8691" s="4">
        <v>15</v>
      </c>
      <c r="H8691" s="18">
        <v>44.60595</v>
      </c>
    </row>
    <row r="8692" spans="1:8" s="15" customFormat="1" ht="16.5" hidden="1" customHeight="1" outlineLevel="1" x14ac:dyDescent="0.25">
      <c r="A8692" s="18">
        <v>1062</v>
      </c>
      <c r="B8692" s="4" t="s">
        <v>250</v>
      </c>
      <c r="C8692" s="38" t="s">
        <v>7305</v>
      </c>
      <c r="D8692" s="18">
        <v>2022</v>
      </c>
      <c r="E8692" s="18" t="s">
        <v>0</v>
      </c>
      <c r="F8692" s="42">
        <v>1</v>
      </c>
      <c r="G8692" s="4">
        <v>5</v>
      </c>
      <c r="H8692" s="18">
        <v>57.436309999999999</v>
      </c>
    </row>
    <row r="8693" spans="1:8" s="15" customFormat="1" ht="16.5" hidden="1" customHeight="1" outlineLevel="1" x14ac:dyDescent="0.25">
      <c r="A8693" s="18">
        <v>1561</v>
      </c>
      <c r="B8693" s="4" t="s">
        <v>250</v>
      </c>
      <c r="C8693" s="38" t="s">
        <v>7306</v>
      </c>
      <c r="D8693" s="18">
        <v>2022</v>
      </c>
      <c r="E8693" s="18" t="s">
        <v>0</v>
      </c>
      <c r="F8693" s="42">
        <v>1</v>
      </c>
      <c r="G8693" s="4">
        <v>100</v>
      </c>
      <c r="H8693" s="18">
        <v>49.349429999999998</v>
      </c>
    </row>
    <row r="8694" spans="1:8" s="15" customFormat="1" ht="16.5" hidden="1" customHeight="1" outlineLevel="1" x14ac:dyDescent="0.25">
      <c r="A8694" s="18">
        <v>1668</v>
      </c>
      <c r="B8694" s="4" t="s">
        <v>250</v>
      </c>
      <c r="C8694" s="38" t="s">
        <v>7307</v>
      </c>
      <c r="D8694" s="18">
        <v>2022</v>
      </c>
      <c r="E8694" s="18" t="s">
        <v>0</v>
      </c>
      <c r="F8694" s="42">
        <v>1</v>
      </c>
      <c r="G8694" s="4">
        <v>15</v>
      </c>
      <c r="H8694" s="18">
        <v>22.50311</v>
      </c>
    </row>
    <row r="8695" spans="1:8" s="15" customFormat="1" ht="16.5" hidden="1" customHeight="1" outlineLevel="1" x14ac:dyDescent="0.25">
      <c r="A8695" s="18">
        <v>1761</v>
      </c>
      <c r="B8695" s="4" t="s">
        <v>250</v>
      </c>
      <c r="C8695" s="38" t="s">
        <v>7308</v>
      </c>
      <c r="D8695" s="18">
        <v>2022</v>
      </c>
      <c r="E8695" s="18" t="s">
        <v>0</v>
      </c>
      <c r="F8695" s="42">
        <v>1</v>
      </c>
      <c r="G8695" s="4">
        <v>7</v>
      </c>
      <c r="H8695" s="18">
        <v>40.701230000000002</v>
      </c>
    </row>
    <row r="8696" spans="1:8" s="15" customFormat="1" ht="16.5" hidden="1" customHeight="1" outlineLevel="1" x14ac:dyDescent="0.25">
      <c r="A8696" s="18">
        <v>1565</v>
      </c>
      <c r="B8696" s="4" t="s">
        <v>250</v>
      </c>
      <c r="C8696" s="38" t="s">
        <v>7309</v>
      </c>
      <c r="D8696" s="18">
        <v>2022</v>
      </c>
      <c r="E8696" s="18" t="s">
        <v>0</v>
      </c>
      <c r="F8696" s="42">
        <v>1</v>
      </c>
      <c r="G8696" s="4">
        <v>15</v>
      </c>
      <c r="H8696" s="18">
        <v>45.766640000000002</v>
      </c>
    </row>
    <row r="8697" spans="1:8" s="15" customFormat="1" ht="16.5" hidden="1" customHeight="1" outlineLevel="1" x14ac:dyDescent="0.25">
      <c r="A8697" s="18">
        <v>1277</v>
      </c>
      <c r="B8697" s="4" t="s">
        <v>250</v>
      </c>
      <c r="C8697" s="38" t="s">
        <v>7310</v>
      </c>
      <c r="D8697" s="18">
        <v>2022</v>
      </c>
      <c r="E8697" s="18" t="s">
        <v>0</v>
      </c>
      <c r="F8697" s="42">
        <v>1</v>
      </c>
      <c r="G8697" s="4">
        <v>10</v>
      </c>
      <c r="H8697" s="18">
        <v>43.394190000000002</v>
      </c>
    </row>
    <row r="8698" spans="1:8" s="15" customFormat="1" ht="16.5" hidden="1" customHeight="1" outlineLevel="1" x14ac:dyDescent="0.25">
      <c r="A8698" s="18">
        <v>1818</v>
      </c>
      <c r="B8698" s="4" t="s">
        <v>250</v>
      </c>
      <c r="C8698" s="38" t="s">
        <v>7311</v>
      </c>
      <c r="D8698" s="18">
        <v>2022</v>
      </c>
      <c r="E8698" s="18" t="s">
        <v>0</v>
      </c>
      <c r="F8698" s="42">
        <v>1</v>
      </c>
      <c r="G8698" s="4">
        <v>15</v>
      </c>
      <c r="H8698" s="18">
        <v>22.84834</v>
      </c>
    </row>
    <row r="8699" spans="1:8" s="15" customFormat="1" ht="16.5" hidden="1" customHeight="1" outlineLevel="1" x14ac:dyDescent="0.25">
      <c r="A8699" s="18">
        <v>1819</v>
      </c>
      <c r="B8699" s="4" t="s">
        <v>250</v>
      </c>
      <c r="C8699" s="38" t="s">
        <v>7312</v>
      </c>
      <c r="D8699" s="18">
        <v>2022</v>
      </c>
      <c r="E8699" s="18" t="s">
        <v>0</v>
      </c>
      <c r="F8699" s="42">
        <v>1</v>
      </c>
      <c r="G8699" s="4">
        <v>13</v>
      </c>
      <c r="H8699" s="18">
        <v>40.710619999999999</v>
      </c>
    </row>
    <row r="8700" spans="1:8" s="15" customFormat="1" ht="16.5" hidden="1" customHeight="1" outlineLevel="1" x14ac:dyDescent="0.25">
      <c r="A8700" s="18">
        <v>1581</v>
      </c>
      <c r="B8700" s="4" t="s">
        <v>250</v>
      </c>
      <c r="C8700" s="38" t="s">
        <v>3484</v>
      </c>
      <c r="D8700" s="18">
        <v>2022</v>
      </c>
      <c r="E8700" s="18" t="s">
        <v>0</v>
      </c>
      <c r="F8700" s="42">
        <v>1</v>
      </c>
      <c r="G8700" s="4">
        <v>15</v>
      </c>
      <c r="H8700" s="18">
        <v>26.938189999999999</v>
      </c>
    </row>
    <row r="8701" spans="1:8" s="15" customFormat="1" ht="16.5" hidden="1" customHeight="1" outlineLevel="1" x14ac:dyDescent="0.25">
      <c r="A8701" s="18">
        <v>1606</v>
      </c>
      <c r="B8701" s="4" t="s">
        <v>250</v>
      </c>
      <c r="C8701" s="38" t="s">
        <v>3485</v>
      </c>
      <c r="D8701" s="18">
        <v>2022</v>
      </c>
      <c r="E8701" s="18" t="s">
        <v>0</v>
      </c>
      <c r="F8701" s="42">
        <v>1</v>
      </c>
      <c r="G8701" s="4">
        <v>15</v>
      </c>
      <c r="H8701" s="18">
        <v>26.232790000000001</v>
      </c>
    </row>
    <row r="8702" spans="1:8" s="15" customFormat="1" ht="16.5" hidden="1" customHeight="1" outlineLevel="1" x14ac:dyDescent="0.25">
      <c r="A8702" s="18">
        <v>1718</v>
      </c>
      <c r="B8702" s="4" t="s">
        <v>250</v>
      </c>
      <c r="C8702" s="38" t="s">
        <v>3486</v>
      </c>
      <c r="D8702" s="18">
        <v>2022</v>
      </c>
      <c r="E8702" s="18" t="s">
        <v>0</v>
      </c>
      <c r="F8702" s="42">
        <v>1</v>
      </c>
      <c r="G8702" s="4">
        <v>7.5</v>
      </c>
      <c r="H8702" s="18">
        <v>22.300080000000001</v>
      </c>
    </row>
    <row r="8703" spans="1:8" s="15" customFormat="1" ht="16.5" hidden="1" customHeight="1" outlineLevel="1" x14ac:dyDescent="0.25">
      <c r="A8703" s="18">
        <v>1611</v>
      </c>
      <c r="B8703" s="4" t="s">
        <v>250</v>
      </c>
      <c r="C8703" s="38" t="s">
        <v>3487</v>
      </c>
      <c r="D8703" s="18">
        <v>2022</v>
      </c>
      <c r="E8703" s="18" t="s">
        <v>0</v>
      </c>
      <c r="F8703" s="42">
        <v>1</v>
      </c>
      <c r="G8703" s="4">
        <v>15</v>
      </c>
      <c r="H8703" s="18">
        <v>28.116569999999999</v>
      </c>
    </row>
    <row r="8704" spans="1:8" s="15" customFormat="1" ht="16.5" hidden="1" customHeight="1" outlineLevel="1" x14ac:dyDescent="0.25">
      <c r="A8704" s="18">
        <v>1579</v>
      </c>
      <c r="B8704" s="4" t="s">
        <v>250</v>
      </c>
      <c r="C8704" s="38" t="s">
        <v>3488</v>
      </c>
      <c r="D8704" s="18">
        <v>2022</v>
      </c>
      <c r="E8704" s="18" t="s">
        <v>0</v>
      </c>
      <c r="F8704" s="42">
        <v>1</v>
      </c>
      <c r="G8704" s="4">
        <v>15</v>
      </c>
      <c r="H8704" s="18">
        <v>24.205749999999998</v>
      </c>
    </row>
    <row r="8705" spans="1:8" s="15" customFormat="1" ht="16.5" hidden="1" customHeight="1" outlineLevel="1" x14ac:dyDescent="0.25">
      <c r="A8705" s="18">
        <v>1612</v>
      </c>
      <c r="B8705" s="4" t="s">
        <v>250</v>
      </c>
      <c r="C8705" s="38" t="s">
        <v>3489</v>
      </c>
      <c r="D8705" s="18">
        <v>2022</v>
      </c>
      <c r="E8705" s="18" t="s">
        <v>0</v>
      </c>
      <c r="F8705" s="42">
        <v>1</v>
      </c>
      <c r="G8705" s="4">
        <v>15</v>
      </c>
      <c r="H8705" s="18">
        <v>47.694049999999997</v>
      </c>
    </row>
    <row r="8706" spans="1:8" s="15" customFormat="1" ht="16.5" hidden="1" customHeight="1" outlineLevel="1" x14ac:dyDescent="0.25">
      <c r="A8706" s="18">
        <v>1610</v>
      </c>
      <c r="B8706" s="4" t="s">
        <v>250</v>
      </c>
      <c r="C8706" s="38" t="s">
        <v>3490</v>
      </c>
      <c r="D8706" s="18">
        <v>2022</v>
      </c>
      <c r="E8706" s="18" t="s">
        <v>0</v>
      </c>
      <c r="F8706" s="42">
        <v>1</v>
      </c>
      <c r="G8706" s="4">
        <v>15</v>
      </c>
      <c r="H8706" s="18">
        <v>23.990410000000001</v>
      </c>
    </row>
    <row r="8707" spans="1:8" s="15" customFormat="1" ht="16.5" hidden="1" customHeight="1" outlineLevel="1" x14ac:dyDescent="0.25">
      <c r="A8707" s="18">
        <v>1562</v>
      </c>
      <c r="B8707" s="4" t="s">
        <v>250</v>
      </c>
      <c r="C8707" s="38" t="s">
        <v>7313</v>
      </c>
      <c r="D8707" s="18">
        <v>2022</v>
      </c>
      <c r="E8707" s="18" t="s">
        <v>0</v>
      </c>
      <c r="F8707" s="42">
        <v>1</v>
      </c>
      <c r="G8707" s="4">
        <v>15</v>
      </c>
      <c r="H8707" s="18">
        <v>47.962159999999997</v>
      </c>
    </row>
    <row r="8708" spans="1:8" s="15" customFormat="1" ht="16.5" hidden="1" customHeight="1" outlineLevel="1" x14ac:dyDescent="0.25">
      <c r="A8708" s="18">
        <v>1554</v>
      </c>
      <c r="B8708" s="4" t="s">
        <v>250</v>
      </c>
      <c r="C8708" s="38" t="s">
        <v>7314</v>
      </c>
      <c r="D8708" s="18">
        <v>2022</v>
      </c>
      <c r="E8708" s="18" t="s">
        <v>0</v>
      </c>
      <c r="F8708" s="42">
        <v>1</v>
      </c>
      <c r="G8708" s="4">
        <v>15</v>
      </c>
      <c r="H8708" s="18">
        <v>48.560920000000003</v>
      </c>
    </row>
    <row r="8709" spans="1:8" s="15" customFormat="1" ht="16.5" hidden="1" customHeight="1" outlineLevel="1" x14ac:dyDescent="0.25">
      <c r="A8709" s="18">
        <v>1820</v>
      </c>
      <c r="B8709" s="4" t="s">
        <v>250</v>
      </c>
      <c r="C8709" s="38" t="s">
        <v>7315</v>
      </c>
      <c r="D8709" s="18">
        <v>2022</v>
      </c>
      <c r="E8709" s="18" t="s">
        <v>0</v>
      </c>
      <c r="F8709" s="42">
        <v>1</v>
      </c>
      <c r="G8709" s="4">
        <v>15</v>
      </c>
      <c r="H8709" s="18">
        <v>39.786650000000002</v>
      </c>
    </row>
    <row r="8710" spans="1:8" s="15" customFormat="1" ht="16.5" hidden="1" customHeight="1" outlineLevel="1" x14ac:dyDescent="0.25">
      <c r="A8710" s="18">
        <v>1821</v>
      </c>
      <c r="B8710" s="4" t="s">
        <v>250</v>
      </c>
      <c r="C8710" s="38" t="s">
        <v>7316</v>
      </c>
      <c r="D8710" s="18">
        <v>2022</v>
      </c>
      <c r="E8710" s="18" t="s">
        <v>0</v>
      </c>
      <c r="F8710" s="42">
        <v>1</v>
      </c>
      <c r="G8710" s="4">
        <v>15</v>
      </c>
      <c r="H8710" s="18">
        <v>39.59478</v>
      </c>
    </row>
    <row r="8711" spans="1:8" s="15" customFormat="1" ht="16.5" hidden="1" customHeight="1" outlineLevel="1" x14ac:dyDescent="0.25">
      <c r="A8711" s="18">
        <v>1495</v>
      </c>
      <c r="B8711" s="4" t="s">
        <v>250</v>
      </c>
      <c r="C8711" s="38" t="s">
        <v>7317</v>
      </c>
      <c r="D8711" s="18">
        <v>2022</v>
      </c>
      <c r="E8711" s="18" t="s">
        <v>0</v>
      </c>
      <c r="F8711" s="42">
        <v>1</v>
      </c>
      <c r="G8711" s="4">
        <v>15</v>
      </c>
      <c r="H8711" s="18">
        <v>47.759900000000002</v>
      </c>
    </row>
    <row r="8712" spans="1:8" s="15" customFormat="1" ht="16.5" hidden="1" customHeight="1" outlineLevel="1" x14ac:dyDescent="0.25">
      <c r="A8712" s="18">
        <v>1608</v>
      </c>
      <c r="B8712" s="4" t="s">
        <v>250</v>
      </c>
      <c r="C8712" s="38" t="s">
        <v>3491</v>
      </c>
      <c r="D8712" s="18">
        <v>2022</v>
      </c>
      <c r="E8712" s="18" t="s">
        <v>0</v>
      </c>
      <c r="F8712" s="42">
        <v>1</v>
      </c>
      <c r="G8712" s="4">
        <v>75</v>
      </c>
      <c r="H8712" s="18">
        <v>62.887169999999998</v>
      </c>
    </row>
    <row r="8713" spans="1:8" s="15" customFormat="1" ht="16.5" hidden="1" customHeight="1" outlineLevel="1" x14ac:dyDescent="0.25">
      <c r="A8713" s="18">
        <v>1043</v>
      </c>
      <c r="B8713" s="4" t="s">
        <v>250</v>
      </c>
      <c r="C8713" s="38" t="s">
        <v>3492</v>
      </c>
      <c r="D8713" s="18">
        <v>2022</v>
      </c>
      <c r="E8713" s="18" t="s">
        <v>0</v>
      </c>
      <c r="F8713" s="42">
        <v>1</v>
      </c>
      <c r="G8713" s="4">
        <v>15</v>
      </c>
      <c r="H8713" s="18">
        <v>37.546930000000003</v>
      </c>
    </row>
    <row r="8714" spans="1:8" s="15" customFormat="1" ht="16.5" hidden="1" customHeight="1" outlineLevel="1" x14ac:dyDescent="0.25">
      <c r="A8714" s="18">
        <v>1797</v>
      </c>
      <c r="B8714" s="4" t="s">
        <v>250</v>
      </c>
      <c r="C8714" s="38" t="s">
        <v>7318</v>
      </c>
      <c r="D8714" s="18">
        <v>2022</v>
      </c>
      <c r="E8714" s="18" t="s">
        <v>0</v>
      </c>
      <c r="F8714" s="42">
        <v>1</v>
      </c>
      <c r="G8714" s="4">
        <v>15</v>
      </c>
      <c r="H8714" s="18">
        <v>38.980930000000001</v>
      </c>
    </row>
    <row r="8715" spans="1:8" s="15" customFormat="1" ht="16.5" hidden="1" customHeight="1" outlineLevel="1" x14ac:dyDescent="0.25">
      <c r="A8715" s="18">
        <v>1796</v>
      </c>
      <c r="B8715" s="4" t="s">
        <v>250</v>
      </c>
      <c r="C8715" s="38" t="s">
        <v>7319</v>
      </c>
      <c r="D8715" s="18">
        <v>2022</v>
      </c>
      <c r="E8715" s="18" t="s">
        <v>0</v>
      </c>
      <c r="F8715" s="42">
        <v>1</v>
      </c>
      <c r="G8715" s="4">
        <v>50</v>
      </c>
      <c r="H8715" s="18">
        <v>36.406640000000003</v>
      </c>
    </row>
    <row r="8716" spans="1:8" s="15" customFormat="1" ht="16.5" hidden="1" customHeight="1" outlineLevel="1" x14ac:dyDescent="0.25">
      <c r="A8716" s="18">
        <v>1799</v>
      </c>
      <c r="B8716" s="4" t="s">
        <v>250</v>
      </c>
      <c r="C8716" s="38" t="s">
        <v>7320</v>
      </c>
      <c r="D8716" s="18">
        <v>2022</v>
      </c>
      <c r="E8716" s="18" t="s">
        <v>0</v>
      </c>
      <c r="F8716" s="42">
        <v>1</v>
      </c>
      <c r="G8716" s="4">
        <v>15</v>
      </c>
      <c r="H8716" s="18">
        <v>38.414819999999999</v>
      </c>
    </row>
    <row r="8717" spans="1:8" s="15" customFormat="1" ht="16.5" hidden="1" customHeight="1" outlineLevel="1" x14ac:dyDescent="0.25">
      <c r="A8717" s="18">
        <v>1800</v>
      </c>
      <c r="B8717" s="4" t="s">
        <v>250</v>
      </c>
      <c r="C8717" s="38" t="s">
        <v>7321</v>
      </c>
      <c r="D8717" s="18">
        <v>2022</v>
      </c>
      <c r="E8717" s="18" t="s">
        <v>0</v>
      </c>
      <c r="F8717" s="42">
        <v>1</v>
      </c>
      <c r="G8717" s="4">
        <v>15</v>
      </c>
      <c r="H8717" s="18">
        <v>40.875959999999999</v>
      </c>
    </row>
    <row r="8718" spans="1:8" s="15" customFormat="1" ht="16.5" hidden="1" customHeight="1" outlineLevel="1" x14ac:dyDescent="0.25">
      <c r="A8718" s="18">
        <v>1801</v>
      </c>
      <c r="B8718" s="4" t="s">
        <v>250</v>
      </c>
      <c r="C8718" s="38" t="s">
        <v>7322</v>
      </c>
      <c r="D8718" s="18">
        <v>2022</v>
      </c>
      <c r="E8718" s="18" t="s">
        <v>0</v>
      </c>
      <c r="F8718" s="42">
        <v>1</v>
      </c>
      <c r="G8718" s="4">
        <v>15</v>
      </c>
      <c r="H8718" s="18">
        <v>38.286940000000001</v>
      </c>
    </row>
    <row r="8719" spans="1:8" s="15" customFormat="1" ht="16.5" hidden="1" customHeight="1" outlineLevel="1" x14ac:dyDescent="0.25">
      <c r="A8719" s="18">
        <v>1795</v>
      </c>
      <c r="B8719" s="4" t="s">
        <v>250</v>
      </c>
      <c r="C8719" s="38" t="s">
        <v>7323</v>
      </c>
      <c r="D8719" s="18">
        <v>2022</v>
      </c>
      <c r="E8719" s="18" t="s">
        <v>0</v>
      </c>
      <c r="F8719" s="42">
        <v>1</v>
      </c>
      <c r="G8719" s="4">
        <v>15</v>
      </c>
      <c r="H8719" s="18">
        <v>40.647919999999999</v>
      </c>
    </row>
    <row r="8720" spans="1:8" s="15" customFormat="1" ht="16.5" hidden="1" customHeight="1" outlineLevel="1" x14ac:dyDescent="0.25">
      <c r="A8720" s="18">
        <v>1189</v>
      </c>
      <c r="B8720" s="4" t="s">
        <v>250</v>
      </c>
      <c r="C8720" s="38" t="s">
        <v>3493</v>
      </c>
      <c r="D8720" s="18">
        <v>2022</v>
      </c>
      <c r="E8720" s="18" t="s">
        <v>0</v>
      </c>
      <c r="F8720" s="42">
        <v>1</v>
      </c>
      <c r="G8720" s="4">
        <v>15</v>
      </c>
      <c r="H8720" s="18">
        <v>49.993400000000001</v>
      </c>
    </row>
    <row r="8721" spans="1:8" s="15" customFormat="1" ht="16.5" hidden="1" customHeight="1" outlineLevel="1" x14ac:dyDescent="0.25">
      <c r="A8721" s="18">
        <v>1356</v>
      </c>
      <c r="B8721" s="4" t="s">
        <v>250</v>
      </c>
      <c r="C8721" s="38" t="s">
        <v>3495</v>
      </c>
      <c r="D8721" s="18">
        <v>2022</v>
      </c>
      <c r="E8721" s="18" t="s">
        <v>0</v>
      </c>
      <c r="F8721" s="42">
        <v>1</v>
      </c>
      <c r="G8721" s="4">
        <v>15</v>
      </c>
      <c r="H8721" s="18">
        <v>41.61168</v>
      </c>
    </row>
    <row r="8722" spans="1:8" s="15" customFormat="1" ht="16.5" hidden="1" customHeight="1" outlineLevel="1" x14ac:dyDescent="0.25">
      <c r="A8722" s="18">
        <v>1580</v>
      </c>
      <c r="B8722" s="4" t="s">
        <v>250</v>
      </c>
      <c r="C8722" s="38" t="s">
        <v>3496</v>
      </c>
      <c r="D8722" s="18">
        <v>2022</v>
      </c>
      <c r="E8722" s="18" t="s">
        <v>0</v>
      </c>
      <c r="F8722" s="42">
        <v>1</v>
      </c>
      <c r="G8722" s="4">
        <v>15</v>
      </c>
      <c r="H8722" s="18">
        <v>45.779389999999999</v>
      </c>
    </row>
    <row r="8723" spans="1:8" s="15" customFormat="1" ht="16.5" hidden="1" customHeight="1" outlineLevel="1" x14ac:dyDescent="0.25">
      <c r="A8723" s="18">
        <v>1816</v>
      </c>
      <c r="B8723" s="4" t="s">
        <v>250</v>
      </c>
      <c r="C8723" s="38" t="s">
        <v>7324</v>
      </c>
      <c r="D8723" s="18">
        <v>2022</v>
      </c>
      <c r="E8723" s="18" t="s">
        <v>0</v>
      </c>
      <c r="F8723" s="42">
        <v>1</v>
      </c>
      <c r="G8723" s="4">
        <v>15</v>
      </c>
      <c r="H8723" s="18">
        <v>43.163409999999999</v>
      </c>
    </row>
    <row r="8724" spans="1:8" s="15" customFormat="1" ht="16.5" hidden="1" customHeight="1" outlineLevel="1" x14ac:dyDescent="0.25">
      <c r="A8724" s="18">
        <v>1815</v>
      </c>
      <c r="B8724" s="4" t="s">
        <v>250</v>
      </c>
      <c r="C8724" s="38" t="s">
        <v>7325</v>
      </c>
      <c r="D8724" s="18">
        <v>2022</v>
      </c>
      <c r="E8724" s="18" t="s">
        <v>0</v>
      </c>
      <c r="F8724" s="42">
        <v>1</v>
      </c>
      <c r="G8724" s="4">
        <v>15</v>
      </c>
      <c r="H8724" s="18">
        <v>38.44258</v>
      </c>
    </row>
    <row r="8725" spans="1:8" s="15" customFormat="1" ht="16.5" hidden="1" customHeight="1" outlineLevel="1" x14ac:dyDescent="0.25">
      <c r="A8725" s="18">
        <v>634</v>
      </c>
      <c r="B8725" s="4" t="s">
        <v>250</v>
      </c>
      <c r="C8725" s="38" t="s">
        <v>7326</v>
      </c>
      <c r="D8725" s="18">
        <v>2022</v>
      </c>
      <c r="E8725" s="18" t="s">
        <v>0</v>
      </c>
      <c r="F8725" s="42">
        <v>1</v>
      </c>
      <c r="G8725" s="4">
        <v>15</v>
      </c>
      <c r="H8725" s="18">
        <v>31.843610000000002</v>
      </c>
    </row>
    <row r="8726" spans="1:8" s="15" customFormat="1" ht="16.5" hidden="1" customHeight="1" outlineLevel="1" x14ac:dyDescent="0.25">
      <c r="A8726" s="18">
        <v>507</v>
      </c>
      <c r="B8726" s="4" t="s">
        <v>250</v>
      </c>
      <c r="C8726" s="38" t="s">
        <v>5207</v>
      </c>
      <c r="D8726" s="18">
        <v>2022</v>
      </c>
      <c r="E8726" s="18" t="s">
        <v>0</v>
      </c>
      <c r="F8726" s="42">
        <v>1</v>
      </c>
      <c r="G8726" s="4">
        <v>25</v>
      </c>
      <c r="H8726" s="18">
        <v>31.5</v>
      </c>
    </row>
    <row r="8727" spans="1:8" s="15" customFormat="1" ht="16.5" hidden="1" customHeight="1" outlineLevel="1" x14ac:dyDescent="0.25">
      <c r="A8727" s="18">
        <v>483</v>
      </c>
      <c r="B8727" s="4" t="s">
        <v>250</v>
      </c>
      <c r="C8727" s="38" t="s">
        <v>3498</v>
      </c>
      <c r="D8727" s="18">
        <v>2022</v>
      </c>
      <c r="E8727" s="18" t="s">
        <v>0</v>
      </c>
      <c r="F8727" s="42">
        <v>1</v>
      </c>
      <c r="G8727" s="4">
        <v>15</v>
      </c>
      <c r="H8727" s="18">
        <v>25.23142</v>
      </c>
    </row>
    <row r="8728" spans="1:8" s="15" customFormat="1" ht="16.5" hidden="1" customHeight="1" outlineLevel="1" x14ac:dyDescent="0.25">
      <c r="A8728" s="18">
        <v>494</v>
      </c>
      <c r="B8728" s="4" t="s">
        <v>250</v>
      </c>
      <c r="C8728" s="38" t="s">
        <v>3499</v>
      </c>
      <c r="D8728" s="18">
        <v>2022</v>
      </c>
      <c r="E8728" s="18" t="s">
        <v>0</v>
      </c>
      <c r="F8728" s="42">
        <v>1</v>
      </c>
      <c r="G8728" s="4">
        <v>15</v>
      </c>
      <c r="H8728" s="18">
        <v>25.633800000000001</v>
      </c>
    </row>
    <row r="8729" spans="1:8" s="15" customFormat="1" ht="16.5" hidden="1" customHeight="1" outlineLevel="1" x14ac:dyDescent="0.25">
      <c r="A8729" s="18">
        <v>495</v>
      </c>
      <c r="B8729" s="4" t="s">
        <v>250</v>
      </c>
      <c r="C8729" s="38" t="s">
        <v>3500</v>
      </c>
      <c r="D8729" s="18">
        <v>2022</v>
      </c>
      <c r="E8729" s="18" t="s">
        <v>0</v>
      </c>
      <c r="F8729" s="42">
        <v>2</v>
      </c>
      <c r="G8729" s="4">
        <v>48</v>
      </c>
      <c r="H8729" s="18">
        <v>40.257680000000001</v>
      </c>
    </row>
    <row r="8730" spans="1:8" s="15" customFormat="1" ht="16.5" hidden="1" customHeight="1" outlineLevel="1" x14ac:dyDescent="0.25">
      <c r="A8730" s="18">
        <v>764</v>
      </c>
      <c r="B8730" s="4" t="s">
        <v>250</v>
      </c>
      <c r="C8730" s="38" t="s">
        <v>7327</v>
      </c>
      <c r="D8730" s="18">
        <v>2022</v>
      </c>
      <c r="E8730" s="18" t="s">
        <v>0</v>
      </c>
      <c r="F8730" s="42">
        <v>1</v>
      </c>
      <c r="G8730" s="4">
        <v>14</v>
      </c>
      <c r="H8730" s="18">
        <v>27.521470000000001</v>
      </c>
    </row>
    <row r="8731" spans="1:8" s="15" customFormat="1" ht="16.5" hidden="1" customHeight="1" outlineLevel="1" x14ac:dyDescent="0.25">
      <c r="A8731" s="18">
        <v>765</v>
      </c>
      <c r="B8731" s="4" t="s">
        <v>250</v>
      </c>
      <c r="C8731" s="38" t="s">
        <v>7328</v>
      </c>
      <c r="D8731" s="18">
        <v>2022</v>
      </c>
      <c r="E8731" s="18" t="s">
        <v>0</v>
      </c>
      <c r="F8731" s="42">
        <v>1</v>
      </c>
      <c r="G8731" s="4">
        <v>14</v>
      </c>
      <c r="H8731" s="18">
        <v>28.615739999999999</v>
      </c>
    </row>
    <row r="8732" spans="1:8" s="15" customFormat="1" ht="16.5" hidden="1" customHeight="1" outlineLevel="1" x14ac:dyDescent="0.25">
      <c r="A8732" s="18">
        <v>771</v>
      </c>
      <c r="B8732" s="4" t="s">
        <v>250</v>
      </c>
      <c r="C8732" s="38" t="s">
        <v>7329</v>
      </c>
      <c r="D8732" s="18">
        <v>2022</v>
      </c>
      <c r="E8732" s="18" t="s">
        <v>0</v>
      </c>
      <c r="F8732" s="42">
        <v>1</v>
      </c>
      <c r="G8732" s="4">
        <v>14</v>
      </c>
      <c r="H8732" s="18">
        <v>26.95065</v>
      </c>
    </row>
    <row r="8733" spans="1:8" s="15" customFormat="1" ht="16.5" hidden="1" customHeight="1" outlineLevel="1" x14ac:dyDescent="0.25">
      <c r="A8733" s="18">
        <v>770</v>
      </c>
      <c r="B8733" s="4" t="s">
        <v>250</v>
      </c>
      <c r="C8733" s="38" t="s">
        <v>7330</v>
      </c>
      <c r="D8733" s="18">
        <v>2022</v>
      </c>
      <c r="E8733" s="18" t="s">
        <v>0</v>
      </c>
      <c r="F8733" s="42">
        <v>1</v>
      </c>
      <c r="G8733" s="4">
        <v>14</v>
      </c>
      <c r="H8733" s="18">
        <v>28.596800000000002</v>
      </c>
    </row>
    <row r="8734" spans="1:8" s="15" customFormat="1" ht="16.5" hidden="1" customHeight="1" outlineLevel="1" x14ac:dyDescent="0.25">
      <c r="A8734" s="18">
        <v>769</v>
      </c>
      <c r="B8734" s="4" t="s">
        <v>250</v>
      </c>
      <c r="C8734" s="38" t="s">
        <v>7331</v>
      </c>
      <c r="D8734" s="18">
        <v>2022</v>
      </c>
      <c r="E8734" s="18" t="s">
        <v>0</v>
      </c>
      <c r="F8734" s="42">
        <v>1</v>
      </c>
      <c r="G8734" s="4">
        <v>14</v>
      </c>
      <c r="H8734" s="18">
        <v>29.471039999999999</v>
      </c>
    </row>
    <row r="8735" spans="1:8" s="15" customFormat="1" ht="16.5" hidden="1" customHeight="1" outlineLevel="1" x14ac:dyDescent="0.25">
      <c r="A8735" s="18">
        <v>768</v>
      </c>
      <c r="B8735" s="4" t="s">
        <v>250</v>
      </c>
      <c r="C8735" s="38" t="s">
        <v>7332</v>
      </c>
      <c r="D8735" s="18">
        <v>2022</v>
      </c>
      <c r="E8735" s="18" t="s">
        <v>0</v>
      </c>
      <c r="F8735" s="42">
        <v>1</v>
      </c>
      <c r="G8735" s="4">
        <v>14</v>
      </c>
      <c r="H8735" s="18">
        <v>26.456019999999999</v>
      </c>
    </row>
    <row r="8736" spans="1:8" s="15" customFormat="1" ht="16.5" hidden="1" customHeight="1" outlineLevel="1" x14ac:dyDescent="0.25">
      <c r="A8736" s="18">
        <v>767</v>
      </c>
      <c r="B8736" s="4" t="s">
        <v>250</v>
      </c>
      <c r="C8736" s="38" t="s">
        <v>7333</v>
      </c>
      <c r="D8736" s="18">
        <v>2022</v>
      </c>
      <c r="E8736" s="18" t="s">
        <v>0</v>
      </c>
      <c r="F8736" s="42">
        <v>1</v>
      </c>
      <c r="G8736" s="4">
        <v>14</v>
      </c>
      <c r="H8736" s="18">
        <v>26.772069999999999</v>
      </c>
    </row>
    <row r="8737" spans="1:8" s="15" customFormat="1" ht="16.5" hidden="1" customHeight="1" outlineLevel="1" x14ac:dyDescent="0.25">
      <c r="A8737" s="18">
        <v>766</v>
      </c>
      <c r="B8737" s="4" t="s">
        <v>250</v>
      </c>
      <c r="C8737" s="38" t="s">
        <v>7334</v>
      </c>
      <c r="D8737" s="18">
        <v>2022</v>
      </c>
      <c r="E8737" s="18" t="s">
        <v>0</v>
      </c>
      <c r="F8737" s="42">
        <v>1</v>
      </c>
      <c r="G8737" s="4">
        <v>14</v>
      </c>
      <c r="H8737" s="18">
        <v>26.757480000000001</v>
      </c>
    </row>
    <row r="8738" spans="1:8" s="15" customFormat="1" ht="16.5" hidden="1" customHeight="1" outlineLevel="1" x14ac:dyDescent="0.25">
      <c r="A8738" s="18">
        <v>763</v>
      </c>
      <c r="B8738" s="4" t="s">
        <v>250</v>
      </c>
      <c r="C8738" s="38" t="s">
        <v>7335</v>
      </c>
      <c r="D8738" s="18">
        <v>2022</v>
      </c>
      <c r="E8738" s="18" t="s">
        <v>0</v>
      </c>
      <c r="F8738" s="42">
        <v>1</v>
      </c>
      <c r="G8738" s="4">
        <v>14</v>
      </c>
      <c r="H8738" s="18">
        <v>27.236190000000001</v>
      </c>
    </row>
    <row r="8739" spans="1:8" s="15" customFormat="1" ht="16.5" hidden="1" customHeight="1" outlineLevel="1" x14ac:dyDescent="0.25">
      <c r="A8739" s="18">
        <v>527</v>
      </c>
      <c r="B8739" s="4" t="s">
        <v>250</v>
      </c>
      <c r="C8739" s="38" t="s">
        <v>3502</v>
      </c>
      <c r="D8739" s="18">
        <v>2022</v>
      </c>
      <c r="E8739" s="18" t="s">
        <v>0</v>
      </c>
      <c r="F8739" s="42">
        <v>1</v>
      </c>
      <c r="G8739" s="4">
        <v>15</v>
      </c>
      <c r="H8739" s="18">
        <v>31.620819999999998</v>
      </c>
    </row>
    <row r="8740" spans="1:8" s="15" customFormat="1" ht="16.5" hidden="1" customHeight="1" outlineLevel="1" x14ac:dyDescent="0.25">
      <c r="A8740" s="18">
        <v>528</v>
      </c>
      <c r="B8740" s="4" t="s">
        <v>250</v>
      </c>
      <c r="C8740" s="38" t="s">
        <v>3504</v>
      </c>
      <c r="D8740" s="18">
        <v>2022</v>
      </c>
      <c r="E8740" s="18" t="s">
        <v>0</v>
      </c>
      <c r="F8740" s="42">
        <v>1</v>
      </c>
      <c r="G8740" s="4">
        <v>25</v>
      </c>
      <c r="H8740" s="18">
        <v>69.056449999999998</v>
      </c>
    </row>
    <row r="8741" spans="1:8" s="15" customFormat="1" ht="16.5" hidden="1" customHeight="1" outlineLevel="1" x14ac:dyDescent="0.25">
      <c r="A8741" s="18">
        <v>806</v>
      </c>
      <c r="B8741" s="4" t="s">
        <v>250</v>
      </c>
      <c r="C8741" s="38" t="s">
        <v>7336</v>
      </c>
      <c r="D8741" s="18">
        <v>2022</v>
      </c>
      <c r="E8741" s="18" t="s">
        <v>0</v>
      </c>
      <c r="F8741" s="42">
        <v>1</v>
      </c>
      <c r="G8741" s="4">
        <v>15</v>
      </c>
      <c r="H8741" s="18">
        <v>27.42567</v>
      </c>
    </row>
    <row r="8742" spans="1:8" s="15" customFormat="1" ht="16.5" hidden="1" customHeight="1" outlineLevel="1" x14ac:dyDescent="0.25">
      <c r="A8742" s="18">
        <v>772</v>
      </c>
      <c r="B8742" s="4" t="s">
        <v>250</v>
      </c>
      <c r="C8742" s="38" t="s">
        <v>7337</v>
      </c>
      <c r="D8742" s="18">
        <v>2022</v>
      </c>
      <c r="E8742" s="18" t="s">
        <v>0</v>
      </c>
      <c r="F8742" s="42">
        <v>1</v>
      </c>
      <c r="G8742" s="4">
        <v>15</v>
      </c>
      <c r="H8742" s="18">
        <v>25.252179999999999</v>
      </c>
    </row>
    <row r="8743" spans="1:8" s="15" customFormat="1" ht="16.5" hidden="1" customHeight="1" outlineLevel="1" x14ac:dyDescent="0.25">
      <c r="A8743" s="18">
        <v>748</v>
      </c>
      <c r="B8743" s="4" t="s">
        <v>250</v>
      </c>
      <c r="C8743" s="38" t="s">
        <v>7338</v>
      </c>
      <c r="D8743" s="18">
        <v>2022</v>
      </c>
      <c r="E8743" s="18" t="s">
        <v>0</v>
      </c>
      <c r="F8743" s="42">
        <v>1</v>
      </c>
      <c r="G8743" s="4">
        <v>15</v>
      </c>
      <c r="H8743" s="18">
        <v>26.936299999999999</v>
      </c>
    </row>
    <row r="8744" spans="1:8" s="15" customFormat="1" ht="16.5" hidden="1" customHeight="1" outlineLevel="1" x14ac:dyDescent="0.25">
      <c r="A8744" s="18">
        <v>716</v>
      </c>
      <c r="B8744" s="4" t="s">
        <v>250</v>
      </c>
      <c r="C8744" s="38" t="s">
        <v>7339</v>
      </c>
      <c r="D8744" s="18">
        <v>2022</v>
      </c>
      <c r="E8744" s="18" t="s">
        <v>0</v>
      </c>
      <c r="F8744" s="42">
        <v>1</v>
      </c>
      <c r="G8744" s="4">
        <v>15</v>
      </c>
      <c r="H8744" s="18">
        <v>26.125689999999999</v>
      </c>
    </row>
    <row r="8745" spans="1:8" s="15" customFormat="1" ht="16.5" hidden="1" customHeight="1" outlineLevel="1" x14ac:dyDescent="0.25">
      <c r="A8745" s="18">
        <v>650</v>
      </c>
      <c r="B8745" s="4" t="s">
        <v>250</v>
      </c>
      <c r="C8745" s="38" t="s">
        <v>7340</v>
      </c>
      <c r="D8745" s="18">
        <v>2022</v>
      </c>
      <c r="E8745" s="18" t="s">
        <v>0</v>
      </c>
      <c r="F8745" s="42">
        <v>1</v>
      </c>
      <c r="G8745" s="4">
        <v>15</v>
      </c>
      <c r="H8745" s="18">
        <v>25.740200000000002</v>
      </c>
    </row>
    <row r="8746" spans="1:8" s="15" customFormat="1" ht="16.5" hidden="1" customHeight="1" outlineLevel="1" x14ac:dyDescent="0.25">
      <c r="A8746" s="18">
        <v>721</v>
      </c>
      <c r="B8746" s="4" t="s">
        <v>250</v>
      </c>
      <c r="C8746" s="38" t="s">
        <v>7341</v>
      </c>
      <c r="D8746" s="18">
        <v>2022</v>
      </c>
      <c r="E8746" s="18" t="s">
        <v>0</v>
      </c>
      <c r="F8746" s="42">
        <v>1</v>
      </c>
      <c r="G8746" s="4">
        <v>15</v>
      </c>
      <c r="H8746" s="18">
        <v>25.25506</v>
      </c>
    </row>
    <row r="8747" spans="1:8" s="15" customFormat="1" ht="16.5" hidden="1" customHeight="1" outlineLevel="1" x14ac:dyDescent="0.25">
      <c r="A8747" s="18">
        <v>513</v>
      </c>
      <c r="B8747" s="4" t="s">
        <v>250</v>
      </c>
      <c r="C8747" s="38" t="s">
        <v>3505</v>
      </c>
      <c r="D8747" s="18">
        <v>2022</v>
      </c>
      <c r="E8747" s="18" t="s">
        <v>0</v>
      </c>
      <c r="F8747" s="42">
        <v>1</v>
      </c>
      <c r="G8747" s="4">
        <v>15</v>
      </c>
      <c r="H8747" s="18">
        <v>30.104410000000001</v>
      </c>
    </row>
    <row r="8748" spans="1:8" s="15" customFormat="1" ht="16.5" hidden="1" customHeight="1" outlineLevel="1" x14ac:dyDescent="0.25">
      <c r="A8748" s="18">
        <v>484</v>
      </c>
      <c r="B8748" s="4" t="s">
        <v>250</v>
      </c>
      <c r="C8748" s="38" t="s">
        <v>3506</v>
      </c>
      <c r="D8748" s="18">
        <v>2022</v>
      </c>
      <c r="E8748" s="18" t="s">
        <v>0</v>
      </c>
      <c r="F8748" s="42">
        <v>1</v>
      </c>
      <c r="G8748" s="4">
        <v>15</v>
      </c>
      <c r="H8748" s="18">
        <v>27.527000000000001</v>
      </c>
    </row>
    <row r="8749" spans="1:8" s="15" customFormat="1" ht="16.5" hidden="1" customHeight="1" outlineLevel="1" x14ac:dyDescent="0.25">
      <c r="A8749" s="18">
        <v>681</v>
      </c>
      <c r="B8749" s="4" t="s">
        <v>250</v>
      </c>
      <c r="C8749" s="38" t="s">
        <v>7342</v>
      </c>
      <c r="D8749" s="18">
        <v>2022</v>
      </c>
      <c r="E8749" s="18" t="s">
        <v>0</v>
      </c>
      <c r="F8749" s="42">
        <v>1</v>
      </c>
      <c r="G8749" s="4">
        <v>15</v>
      </c>
      <c r="H8749" s="18">
        <v>28.975840000000002</v>
      </c>
    </row>
    <row r="8750" spans="1:8" s="15" customFormat="1" ht="16.5" hidden="1" customHeight="1" outlineLevel="1" x14ac:dyDescent="0.25">
      <c r="A8750" s="18">
        <v>689</v>
      </c>
      <c r="B8750" s="4" t="s">
        <v>250</v>
      </c>
      <c r="C8750" s="38" t="s">
        <v>7343</v>
      </c>
      <c r="D8750" s="18">
        <v>2022</v>
      </c>
      <c r="E8750" s="18" t="s">
        <v>0</v>
      </c>
      <c r="F8750" s="42">
        <v>1</v>
      </c>
      <c r="G8750" s="4">
        <v>15</v>
      </c>
      <c r="H8750" s="18">
        <v>24.622150000000001</v>
      </c>
    </row>
    <row r="8751" spans="1:8" s="15" customFormat="1" ht="16.5" hidden="1" customHeight="1" outlineLevel="1" x14ac:dyDescent="0.25">
      <c r="A8751" s="18">
        <v>647</v>
      </c>
      <c r="B8751" s="4" t="s">
        <v>250</v>
      </c>
      <c r="C8751" s="38" t="s">
        <v>7344</v>
      </c>
      <c r="D8751" s="18">
        <v>2022</v>
      </c>
      <c r="E8751" s="18" t="s">
        <v>0</v>
      </c>
      <c r="F8751" s="42">
        <v>1</v>
      </c>
      <c r="G8751" s="4">
        <v>15</v>
      </c>
      <c r="H8751" s="18">
        <v>29.644130000000001</v>
      </c>
    </row>
    <row r="8752" spans="1:8" s="15" customFormat="1" ht="16.5" hidden="1" customHeight="1" outlineLevel="1" x14ac:dyDescent="0.25">
      <c r="A8752" s="18">
        <v>667</v>
      </c>
      <c r="B8752" s="4" t="s">
        <v>250</v>
      </c>
      <c r="C8752" s="38" t="s">
        <v>7345</v>
      </c>
      <c r="D8752" s="18">
        <v>2022</v>
      </c>
      <c r="E8752" s="18" t="s">
        <v>0</v>
      </c>
      <c r="F8752" s="42">
        <v>1</v>
      </c>
      <c r="G8752" s="4">
        <v>15</v>
      </c>
      <c r="H8752" s="18">
        <v>23.084710000000001</v>
      </c>
    </row>
    <row r="8753" spans="1:8" s="15" customFormat="1" ht="16.5" hidden="1" customHeight="1" outlineLevel="1" x14ac:dyDescent="0.25">
      <c r="A8753" s="18">
        <v>604</v>
      </c>
      <c r="B8753" s="4" t="s">
        <v>250</v>
      </c>
      <c r="C8753" s="38" t="s">
        <v>7346</v>
      </c>
      <c r="D8753" s="18">
        <v>2022</v>
      </c>
      <c r="E8753" s="18" t="s">
        <v>0</v>
      </c>
      <c r="F8753" s="42">
        <v>1</v>
      </c>
      <c r="G8753" s="4">
        <v>15</v>
      </c>
      <c r="H8753" s="18">
        <v>26.399750000000001</v>
      </c>
    </row>
    <row r="8754" spans="1:8" s="15" customFormat="1" ht="16.5" hidden="1" customHeight="1" outlineLevel="1" x14ac:dyDescent="0.25">
      <c r="A8754" s="18">
        <v>697</v>
      </c>
      <c r="B8754" s="4" t="s">
        <v>250</v>
      </c>
      <c r="C8754" s="38" t="s">
        <v>7347</v>
      </c>
      <c r="D8754" s="18">
        <v>2022</v>
      </c>
      <c r="E8754" s="18" t="s">
        <v>0</v>
      </c>
      <c r="F8754" s="42">
        <v>1</v>
      </c>
      <c r="G8754" s="4">
        <v>15</v>
      </c>
      <c r="H8754" s="18">
        <v>25.818239999999999</v>
      </c>
    </row>
    <row r="8755" spans="1:8" s="15" customFormat="1" ht="16.5" hidden="1" customHeight="1" outlineLevel="1" x14ac:dyDescent="0.25">
      <c r="A8755" s="18">
        <v>546</v>
      </c>
      <c r="B8755" s="4" t="s">
        <v>250</v>
      </c>
      <c r="C8755" s="38" t="s">
        <v>3508</v>
      </c>
      <c r="D8755" s="18">
        <v>2022</v>
      </c>
      <c r="E8755" s="18" t="s">
        <v>0</v>
      </c>
      <c r="F8755" s="42">
        <v>3</v>
      </c>
      <c r="G8755" s="4">
        <v>45</v>
      </c>
      <c r="H8755" s="18">
        <v>206.69119000000001</v>
      </c>
    </row>
    <row r="8756" spans="1:8" s="15" customFormat="1" ht="16.5" hidden="1" customHeight="1" outlineLevel="1" x14ac:dyDescent="0.25">
      <c r="A8756" s="18">
        <v>537</v>
      </c>
      <c r="B8756" s="4" t="s">
        <v>250</v>
      </c>
      <c r="C8756" s="38" t="s">
        <v>3509</v>
      </c>
      <c r="D8756" s="18">
        <v>2022</v>
      </c>
      <c r="E8756" s="18" t="s">
        <v>0</v>
      </c>
      <c r="F8756" s="42">
        <v>1</v>
      </c>
      <c r="G8756" s="4">
        <v>15</v>
      </c>
      <c r="H8756" s="18">
        <v>52.116059999999997</v>
      </c>
    </row>
    <row r="8757" spans="1:8" s="15" customFormat="1" ht="16.5" hidden="1" customHeight="1" outlineLevel="1" x14ac:dyDescent="0.25">
      <c r="A8757" s="18">
        <v>538</v>
      </c>
      <c r="B8757" s="4" t="s">
        <v>250</v>
      </c>
      <c r="C8757" s="38" t="s">
        <v>3510</v>
      </c>
      <c r="D8757" s="18">
        <v>2022</v>
      </c>
      <c r="E8757" s="18" t="s">
        <v>0</v>
      </c>
      <c r="F8757" s="42">
        <v>1</v>
      </c>
      <c r="G8757" s="4">
        <v>15</v>
      </c>
      <c r="H8757" s="18">
        <v>72.531189999999995</v>
      </c>
    </row>
    <row r="8758" spans="1:8" s="15" customFormat="1" ht="16.5" hidden="1" customHeight="1" outlineLevel="1" x14ac:dyDescent="0.25">
      <c r="A8758" s="18">
        <v>450</v>
      </c>
      <c r="B8758" s="4" t="s">
        <v>250</v>
      </c>
      <c r="C8758" s="38" t="s">
        <v>4025</v>
      </c>
      <c r="D8758" s="18">
        <v>2022</v>
      </c>
      <c r="E8758" s="18" t="s">
        <v>0</v>
      </c>
      <c r="F8758" s="42">
        <v>1</v>
      </c>
      <c r="G8758" s="4">
        <v>150</v>
      </c>
      <c r="H8758" s="18">
        <v>69.529640000000001</v>
      </c>
    </row>
    <row r="8759" spans="1:8" s="15" customFormat="1" ht="16.5" hidden="1" customHeight="1" outlineLevel="1" x14ac:dyDescent="0.25">
      <c r="A8759" s="18">
        <v>549</v>
      </c>
      <c r="B8759" s="4" t="s">
        <v>250</v>
      </c>
      <c r="C8759" s="38" t="s">
        <v>4052</v>
      </c>
      <c r="D8759" s="18">
        <v>2022</v>
      </c>
      <c r="E8759" s="18" t="s">
        <v>0</v>
      </c>
      <c r="F8759" s="42">
        <v>11</v>
      </c>
      <c r="G8759" s="4">
        <v>165</v>
      </c>
      <c r="H8759" s="18">
        <v>445.95173999999997</v>
      </c>
    </row>
    <row r="8760" spans="1:8" s="15" customFormat="1" ht="16.5" hidden="1" customHeight="1" outlineLevel="1" x14ac:dyDescent="0.25">
      <c r="A8760" s="18">
        <v>548</v>
      </c>
      <c r="B8760" s="4" t="s">
        <v>250</v>
      </c>
      <c r="C8760" s="38" t="s">
        <v>3511</v>
      </c>
      <c r="D8760" s="18">
        <v>2022</v>
      </c>
      <c r="E8760" s="18" t="s">
        <v>0</v>
      </c>
      <c r="F8760" s="42">
        <v>1</v>
      </c>
      <c r="G8760" s="4">
        <v>15</v>
      </c>
      <c r="H8760" s="18">
        <v>38.406320000000001</v>
      </c>
    </row>
    <row r="8761" spans="1:8" s="15" customFormat="1" ht="16.5" hidden="1" customHeight="1" outlineLevel="1" x14ac:dyDescent="0.25">
      <c r="A8761" s="18">
        <v>540</v>
      </c>
      <c r="B8761" s="4" t="s">
        <v>250</v>
      </c>
      <c r="C8761" s="38" t="s">
        <v>7348</v>
      </c>
      <c r="D8761" s="18">
        <v>2022</v>
      </c>
      <c r="E8761" s="18" t="s">
        <v>0</v>
      </c>
      <c r="F8761" s="42">
        <v>1</v>
      </c>
      <c r="G8761" s="4">
        <v>15</v>
      </c>
      <c r="H8761" s="18">
        <v>33.771329999999999</v>
      </c>
    </row>
    <row r="8762" spans="1:8" s="15" customFormat="1" ht="16.5" hidden="1" customHeight="1" outlineLevel="1" x14ac:dyDescent="0.25">
      <c r="A8762" s="18">
        <v>539</v>
      </c>
      <c r="B8762" s="4" t="s">
        <v>250</v>
      </c>
      <c r="C8762" s="38" t="s">
        <v>3513</v>
      </c>
      <c r="D8762" s="18">
        <v>2022</v>
      </c>
      <c r="E8762" s="18" t="s">
        <v>0</v>
      </c>
      <c r="F8762" s="42">
        <v>1</v>
      </c>
      <c r="G8762" s="4">
        <v>15</v>
      </c>
      <c r="H8762" s="18">
        <v>34.220570000000002</v>
      </c>
    </row>
    <row r="8763" spans="1:8" s="15" customFormat="1" ht="16.5" hidden="1" customHeight="1" outlineLevel="1" x14ac:dyDescent="0.25">
      <c r="A8763" s="18">
        <v>541</v>
      </c>
      <c r="B8763" s="4" t="s">
        <v>250</v>
      </c>
      <c r="C8763" s="38" t="s">
        <v>3514</v>
      </c>
      <c r="D8763" s="18">
        <v>2022</v>
      </c>
      <c r="E8763" s="18" t="s">
        <v>0</v>
      </c>
      <c r="F8763" s="42">
        <v>1</v>
      </c>
      <c r="G8763" s="4">
        <v>15</v>
      </c>
      <c r="H8763" s="18">
        <v>59.176020000000001</v>
      </c>
    </row>
    <row r="8764" spans="1:8" s="15" customFormat="1" ht="16.5" hidden="1" customHeight="1" outlineLevel="1" x14ac:dyDescent="0.25">
      <c r="A8764" s="18">
        <v>543</v>
      </c>
      <c r="B8764" s="4" t="s">
        <v>250</v>
      </c>
      <c r="C8764" s="38" t="s">
        <v>3515</v>
      </c>
      <c r="D8764" s="18">
        <v>2022</v>
      </c>
      <c r="E8764" s="18" t="s">
        <v>0</v>
      </c>
      <c r="F8764" s="42">
        <v>3</v>
      </c>
      <c r="G8764" s="4">
        <v>45</v>
      </c>
      <c r="H8764" s="18">
        <v>101.33967</v>
      </c>
    </row>
    <row r="8765" spans="1:8" s="15" customFormat="1" ht="16.5" hidden="1" customHeight="1" outlineLevel="1" x14ac:dyDescent="0.25">
      <c r="A8765" s="18">
        <v>542</v>
      </c>
      <c r="B8765" s="4" t="s">
        <v>250</v>
      </c>
      <c r="C8765" s="38" t="s">
        <v>3516</v>
      </c>
      <c r="D8765" s="18">
        <v>2022</v>
      </c>
      <c r="E8765" s="18" t="s">
        <v>0</v>
      </c>
      <c r="F8765" s="42">
        <v>1</v>
      </c>
      <c r="G8765" s="4">
        <v>15</v>
      </c>
      <c r="H8765" s="18">
        <v>33.461019999999998</v>
      </c>
    </row>
    <row r="8766" spans="1:8" s="15" customFormat="1" ht="16.5" hidden="1" customHeight="1" outlineLevel="1" x14ac:dyDescent="0.25">
      <c r="A8766" s="18">
        <v>547</v>
      </c>
      <c r="B8766" s="4" t="s">
        <v>250</v>
      </c>
      <c r="C8766" s="38" t="s">
        <v>3517</v>
      </c>
      <c r="D8766" s="18">
        <v>2022</v>
      </c>
      <c r="E8766" s="18" t="s">
        <v>0</v>
      </c>
      <c r="F8766" s="42">
        <v>1</v>
      </c>
      <c r="G8766" s="4">
        <v>15</v>
      </c>
      <c r="H8766" s="18">
        <v>32.747399999999999</v>
      </c>
    </row>
    <row r="8767" spans="1:8" s="15" customFormat="1" ht="16.5" hidden="1" customHeight="1" outlineLevel="1" x14ac:dyDescent="0.25">
      <c r="A8767" s="18">
        <v>544</v>
      </c>
      <c r="B8767" s="4" t="s">
        <v>250</v>
      </c>
      <c r="C8767" s="38" t="s">
        <v>3518</v>
      </c>
      <c r="D8767" s="18">
        <v>2022</v>
      </c>
      <c r="E8767" s="18" t="s">
        <v>0</v>
      </c>
      <c r="F8767" s="42">
        <v>1</v>
      </c>
      <c r="G8767" s="4">
        <v>15</v>
      </c>
      <c r="H8767" s="18">
        <v>27.635380000000001</v>
      </c>
    </row>
    <row r="8768" spans="1:8" s="15" customFormat="1" ht="16.5" hidden="1" customHeight="1" outlineLevel="1" x14ac:dyDescent="0.25">
      <c r="A8768" s="18">
        <v>534</v>
      </c>
      <c r="B8768" s="4" t="s">
        <v>250</v>
      </c>
      <c r="C8768" s="38" t="s">
        <v>3519</v>
      </c>
      <c r="D8768" s="18">
        <v>2022</v>
      </c>
      <c r="E8768" s="18" t="s">
        <v>0</v>
      </c>
      <c r="F8768" s="42">
        <v>1</v>
      </c>
      <c r="G8768" s="4">
        <v>15</v>
      </c>
      <c r="H8768" s="18">
        <v>90.555700000000002</v>
      </c>
    </row>
    <row r="8769" spans="1:8" s="15" customFormat="1" ht="16.5" hidden="1" customHeight="1" outlineLevel="1" x14ac:dyDescent="0.25">
      <c r="A8769" s="18">
        <v>535</v>
      </c>
      <c r="B8769" s="4" t="s">
        <v>250</v>
      </c>
      <c r="C8769" s="38" t="s">
        <v>7349</v>
      </c>
      <c r="D8769" s="18">
        <v>2022</v>
      </c>
      <c r="E8769" s="18" t="s">
        <v>0</v>
      </c>
      <c r="F8769" s="42">
        <v>1</v>
      </c>
      <c r="G8769" s="4">
        <v>15</v>
      </c>
      <c r="H8769" s="18">
        <v>91.960380000000001</v>
      </c>
    </row>
    <row r="8770" spans="1:8" s="15" customFormat="1" ht="16.5" hidden="1" customHeight="1" outlineLevel="1" x14ac:dyDescent="0.25">
      <c r="A8770" s="18">
        <v>533</v>
      </c>
      <c r="B8770" s="4" t="s">
        <v>250</v>
      </c>
      <c r="C8770" s="38" t="s">
        <v>4022</v>
      </c>
      <c r="D8770" s="18">
        <v>2022</v>
      </c>
      <c r="E8770" s="18" t="s">
        <v>0</v>
      </c>
      <c r="F8770" s="42">
        <v>1</v>
      </c>
      <c r="G8770" s="4">
        <v>15</v>
      </c>
      <c r="H8770" s="18">
        <v>60.497369999999997</v>
      </c>
    </row>
    <row r="8771" spans="1:8" s="15" customFormat="1" ht="16.5" hidden="1" customHeight="1" outlineLevel="1" x14ac:dyDescent="0.25">
      <c r="A8771" s="18">
        <v>678</v>
      </c>
      <c r="B8771" s="4" t="s">
        <v>250</v>
      </c>
      <c r="C8771" s="38" t="s">
        <v>7350</v>
      </c>
      <c r="D8771" s="18">
        <v>2022</v>
      </c>
      <c r="E8771" s="18" t="s">
        <v>0</v>
      </c>
      <c r="F8771" s="42">
        <v>1</v>
      </c>
      <c r="G8771" s="4">
        <v>15</v>
      </c>
      <c r="H8771" s="18">
        <v>24.465009999999999</v>
      </c>
    </row>
    <row r="8772" spans="1:8" s="15" customFormat="1" ht="16.5" hidden="1" customHeight="1" outlineLevel="1" x14ac:dyDescent="0.25">
      <c r="A8772" s="18">
        <v>699</v>
      </c>
      <c r="B8772" s="4" t="s">
        <v>250</v>
      </c>
      <c r="C8772" s="38" t="s">
        <v>7351</v>
      </c>
      <c r="D8772" s="18">
        <v>2022</v>
      </c>
      <c r="E8772" s="18" t="s">
        <v>0</v>
      </c>
      <c r="F8772" s="42">
        <v>1</v>
      </c>
      <c r="G8772" s="4">
        <v>15</v>
      </c>
      <c r="H8772" s="18">
        <v>23.616520000000001</v>
      </c>
    </row>
    <row r="8773" spans="1:8" s="15" customFormat="1" ht="16.5" hidden="1" customHeight="1" outlineLevel="1" x14ac:dyDescent="0.25">
      <c r="A8773" s="18">
        <v>639</v>
      </c>
      <c r="B8773" s="4" t="s">
        <v>250</v>
      </c>
      <c r="C8773" s="38" t="s">
        <v>7352</v>
      </c>
      <c r="D8773" s="18">
        <v>2022</v>
      </c>
      <c r="E8773" s="18" t="s">
        <v>0</v>
      </c>
      <c r="F8773" s="42">
        <v>1</v>
      </c>
      <c r="G8773" s="4">
        <v>15</v>
      </c>
      <c r="H8773" s="18">
        <v>28.361732</v>
      </c>
    </row>
    <row r="8774" spans="1:8" s="15" customFormat="1" ht="16.5" hidden="1" customHeight="1" outlineLevel="1" x14ac:dyDescent="0.25">
      <c r="A8774" s="18">
        <v>608</v>
      </c>
      <c r="B8774" s="4" t="s">
        <v>250</v>
      </c>
      <c r="C8774" s="38" t="s">
        <v>7353</v>
      </c>
      <c r="D8774" s="18">
        <v>2022</v>
      </c>
      <c r="E8774" s="18" t="s">
        <v>0</v>
      </c>
      <c r="F8774" s="42">
        <v>1</v>
      </c>
      <c r="G8774" s="4">
        <v>15</v>
      </c>
      <c r="H8774" s="18">
        <v>28.387969999999999</v>
      </c>
    </row>
    <row r="8775" spans="1:8" s="15" customFormat="1" ht="16.5" hidden="1" customHeight="1" outlineLevel="1" x14ac:dyDescent="0.25">
      <c r="A8775" s="18">
        <v>624</v>
      </c>
      <c r="B8775" s="4" t="s">
        <v>250</v>
      </c>
      <c r="C8775" s="38" t="s">
        <v>7354</v>
      </c>
      <c r="D8775" s="18">
        <v>2022</v>
      </c>
      <c r="E8775" s="18" t="s">
        <v>0</v>
      </c>
      <c r="F8775" s="42">
        <v>1</v>
      </c>
      <c r="G8775" s="4">
        <v>15</v>
      </c>
      <c r="H8775" s="18">
        <v>29.990629999999999</v>
      </c>
    </row>
    <row r="8776" spans="1:8" s="15" customFormat="1" ht="16.5" hidden="1" customHeight="1" outlineLevel="1" x14ac:dyDescent="0.25">
      <c r="A8776" s="18">
        <v>606</v>
      </c>
      <c r="B8776" s="4" t="s">
        <v>250</v>
      </c>
      <c r="C8776" s="38" t="s">
        <v>7355</v>
      </c>
      <c r="D8776" s="18">
        <v>2022</v>
      </c>
      <c r="E8776" s="18" t="s">
        <v>0</v>
      </c>
      <c r="F8776" s="42">
        <v>1</v>
      </c>
      <c r="G8776" s="4">
        <v>15</v>
      </c>
      <c r="H8776" s="18">
        <v>31.261330000000001</v>
      </c>
    </row>
    <row r="8777" spans="1:8" s="15" customFormat="1" ht="16.5" hidden="1" customHeight="1" outlineLevel="1" x14ac:dyDescent="0.25">
      <c r="A8777" s="18">
        <v>613</v>
      </c>
      <c r="B8777" s="4" t="s">
        <v>250</v>
      </c>
      <c r="C8777" s="38" t="s">
        <v>7356</v>
      </c>
      <c r="D8777" s="18">
        <v>2022</v>
      </c>
      <c r="E8777" s="18" t="s">
        <v>0</v>
      </c>
      <c r="F8777" s="42">
        <v>1</v>
      </c>
      <c r="G8777" s="4">
        <v>15</v>
      </c>
      <c r="H8777" s="18">
        <v>29.484220000000001</v>
      </c>
    </row>
    <row r="8778" spans="1:8" s="15" customFormat="1" ht="16.5" hidden="1" customHeight="1" outlineLevel="1" x14ac:dyDescent="0.25">
      <c r="A8778" s="18">
        <v>614</v>
      </c>
      <c r="B8778" s="4" t="s">
        <v>250</v>
      </c>
      <c r="C8778" s="38" t="s">
        <v>7357</v>
      </c>
      <c r="D8778" s="18">
        <v>2022</v>
      </c>
      <c r="E8778" s="18" t="s">
        <v>0</v>
      </c>
      <c r="F8778" s="42">
        <v>1</v>
      </c>
      <c r="G8778" s="4">
        <v>15</v>
      </c>
      <c r="H8778" s="18">
        <v>29.48423</v>
      </c>
    </row>
    <row r="8779" spans="1:8" s="15" customFormat="1" ht="16.5" hidden="1" customHeight="1" outlineLevel="1" x14ac:dyDescent="0.25">
      <c r="A8779" s="18">
        <v>595</v>
      </c>
      <c r="B8779" s="4" t="s">
        <v>250</v>
      </c>
      <c r="C8779" s="38" t="s">
        <v>7358</v>
      </c>
      <c r="D8779" s="18">
        <v>2022</v>
      </c>
      <c r="E8779" s="18" t="s">
        <v>0</v>
      </c>
      <c r="F8779" s="42">
        <v>1</v>
      </c>
      <c r="G8779" s="4">
        <v>15</v>
      </c>
      <c r="H8779" s="18">
        <v>26.368649999999999</v>
      </c>
    </row>
    <row r="8780" spans="1:8" s="15" customFormat="1" ht="16.5" hidden="1" customHeight="1" outlineLevel="1" x14ac:dyDescent="0.25">
      <c r="A8780" s="18">
        <v>505</v>
      </c>
      <c r="B8780" s="4" t="s">
        <v>250</v>
      </c>
      <c r="C8780" s="38" t="s">
        <v>7359</v>
      </c>
      <c r="D8780" s="18">
        <v>2022</v>
      </c>
      <c r="E8780" s="18" t="s">
        <v>0</v>
      </c>
      <c r="F8780" s="42">
        <v>1</v>
      </c>
      <c r="G8780" s="4">
        <v>12</v>
      </c>
      <c r="H8780" s="18">
        <v>30.912649999999999</v>
      </c>
    </row>
    <row r="8781" spans="1:8" s="15" customFormat="1" ht="16.5" hidden="1" customHeight="1" outlineLevel="1" x14ac:dyDescent="0.25">
      <c r="A8781" s="18">
        <v>591</v>
      </c>
      <c r="B8781" s="4" t="s">
        <v>250</v>
      </c>
      <c r="C8781" s="38" t="s">
        <v>7360</v>
      </c>
      <c r="D8781" s="18">
        <v>2022</v>
      </c>
      <c r="E8781" s="18" t="s">
        <v>0</v>
      </c>
      <c r="F8781" s="42">
        <v>1</v>
      </c>
      <c r="G8781" s="4">
        <v>15</v>
      </c>
      <c r="H8781" s="18">
        <v>24.22345</v>
      </c>
    </row>
    <row r="8782" spans="1:8" s="15" customFormat="1" ht="16.5" hidden="1" customHeight="1" outlineLevel="1" x14ac:dyDescent="0.25">
      <c r="A8782" s="18">
        <v>675</v>
      </c>
      <c r="B8782" s="4" t="s">
        <v>250</v>
      </c>
      <c r="C8782" s="38" t="s">
        <v>7361</v>
      </c>
      <c r="D8782" s="18">
        <v>2022</v>
      </c>
      <c r="E8782" s="18" t="s">
        <v>0</v>
      </c>
      <c r="F8782" s="42">
        <v>1</v>
      </c>
      <c r="G8782" s="4">
        <v>30</v>
      </c>
      <c r="H8782" s="18">
        <v>28.828060000000001</v>
      </c>
    </row>
    <row r="8783" spans="1:8" s="15" customFormat="1" ht="16.5" hidden="1" customHeight="1" outlineLevel="1" x14ac:dyDescent="0.25">
      <c r="A8783" s="18">
        <v>732</v>
      </c>
      <c r="B8783" s="4" t="s">
        <v>250</v>
      </c>
      <c r="C8783" s="38" t="s">
        <v>7362</v>
      </c>
      <c r="D8783" s="18">
        <v>2022</v>
      </c>
      <c r="E8783" s="18" t="s">
        <v>0</v>
      </c>
      <c r="F8783" s="42">
        <v>1</v>
      </c>
      <c r="G8783" s="4">
        <v>15</v>
      </c>
      <c r="H8783" s="18">
        <v>30.20091</v>
      </c>
    </row>
    <row r="8784" spans="1:8" s="15" customFormat="1" ht="16.5" hidden="1" customHeight="1" outlineLevel="1" x14ac:dyDescent="0.25">
      <c r="A8784" s="18">
        <v>492</v>
      </c>
      <c r="B8784" s="4" t="s">
        <v>250</v>
      </c>
      <c r="C8784" s="38" t="s">
        <v>3955</v>
      </c>
      <c r="D8784" s="18">
        <v>2022</v>
      </c>
      <c r="E8784" s="18" t="s">
        <v>0</v>
      </c>
      <c r="F8784" s="42">
        <v>1</v>
      </c>
      <c r="G8784" s="4">
        <v>15</v>
      </c>
      <c r="H8784" s="18">
        <v>29.81616</v>
      </c>
    </row>
    <row r="8785" spans="1:8" s="15" customFormat="1" ht="16.5" hidden="1" customHeight="1" outlineLevel="1" x14ac:dyDescent="0.25">
      <c r="A8785" s="18">
        <v>598</v>
      </c>
      <c r="B8785" s="4" t="s">
        <v>250</v>
      </c>
      <c r="C8785" s="38" t="s">
        <v>7363</v>
      </c>
      <c r="D8785" s="18">
        <v>2022</v>
      </c>
      <c r="E8785" s="18" t="s">
        <v>0</v>
      </c>
      <c r="F8785" s="42">
        <v>1</v>
      </c>
      <c r="G8785" s="4">
        <v>15</v>
      </c>
      <c r="H8785" s="18">
        <v>24.67071</v>
      </c>
    </row>
    <row r="8786" spans="1:8" s="15" customFormat="1" ht="16.5" hidden="1" customHeight="1" outlineLevel="1" x14ac:dyDescent="0.25">
      <c r="A8786" s="18">
        <v>512</v>
      </c>
      <c r="B8786" s="4" t="s">
        <v>250</v>
      </c>
      <c r="C8786" s="38" t="s">
        <v>3524</v>
      </c>
      <c r="D8786" s="18">
        <v>2022</v>
      </c>
      <c r="E8786" s="18" t="s">
        <v>0</v>
      </c>
      <c r="F8786" s="42">
        <v>1</v>
      </c>
      <c r="G8786" s="4">
        <v>15</v>
      </c>
      <c r="H8786" s="18">
        <v>34.508330000000001</v>
      </c>
    </row>
    <row r="8787" spans="1:8" s="15" customFormat="1" ht="16.5" hidden="1" customHeight="1" outlineLevel="1" x14ac:dyDescent="0.25">
      <c r="A8787" s="18">
        <v>478</v>
      </c>
      <c r="B8787" s="4" t="s">
        <v>250</v>
      </c>
      <c r="C8787" s="38" t="s">
        <v>3525</v>
      </c>
      <c r="D8787" s="18">
        <v>2022</v>
      </c>
      <c r="E8787" s="18" t="s">
        <v>0</v>
      </c>
      <c r="F8787" s="42">
        <v>1</v>
      </c>
      <c r="G8787" s="4">
        <v>15</v>
      </c>
      <c r="H8787" s="18">
        <v>25.0227</v>
      </c>
    </row>
    <row r="8788" spans="1:8" s="15" customFormat="1" ht="16.5" hidden="1" customHeight="1" outlineLevel="1" x14ac:dyDescent="0.25">
      <c r="A8788" s="18">
        <v>623</v>
      </c>
      <c r="B8788" s="4" t="s">
        <v>250</v>
      </c>
      <c r="C8788" s="38" t="s">
        <v>7364</v>
      </c>
      <c r="D8788" s="18">
        <v>2022</v>
      </c>
      <c r="E8788" s="18" t="s">
        <v>0</v>
      </c>
      <c r="F8788" s="42">
        <v>1</v>
      </c>
      <c r="G8788" s="4">
        <v>15</v>
      </c>
      <c r="H8788" s="18">
        <v>29.608540000000001</v>
      </c>
    </row>
    <row r="8789" spans="1:8" s="15" customFormat="1" ht="16.5" hidden="1" customHeight="1" outlineLevel="1" x14ac:dyDescent="0.25">
      <c r="A8789" s="18">
        <v>597</v>
      </c>
      <c r="B8789" s="4" t="s">
        <v>250</v>
      </c>
      <c r="C8789" s="38" t="s">
        <v>7365</v>
      </c>
      <c r="D8789" s="18">
        <v>2022</v>
      </c>
      <c r="E8789" s="18" t="s">
        <v>0</v>
      </c>
      <c r="F8789" s="42">
        <v>1</v>
      </c>
      <c r="G8789" s="4">
        <v>15</v>
      </c>
      <c r="H8789" s="18">
        <v>24.516069999999999</v>
      </c>
    </row>
    <row r="8790" spans="1:8" s="15" customFormat="1" ht="16.5" hidden="1" customHeight="1" outlineLevel="1" x14ac:dyDescent="0.25">
      <c r="A8790" s="18">
        <v>596</v>
      </c>
      <c r="B8790" s="4" t="s">
        <v>250</v>
      </c>
      <c r="C8790" s="38" t="s">
        <v>7366</v>
      </c>
      <c r="D8790" s="18">
        <v>2022</v>
      </c>
      <c r="E8790" s="18" t="s">
        <v>0</v>
      </c>
      <c r="F8790" s="42">
        <v>1</v>
      </c>
      <c r="G8790" s="4">
        <v>15</v>
      </c>
      <c r="H8790" s="18">
        <v>24.670670000000001</v>
      </c>
    </row>
    <row r="8791" spans="1:8" s="15" customFormat="1" ht="16.5" hidden="1" customHeight="1" outlineLevel="1" x14ac:dyDescent="0.25">
      <c r="A8791" s="18">
        <v>587</v>
      </c>
      <c r="B8791" s="4" t="s">
        <v>250</v>
      </c>
      <c r="C8791" s="38" t="s">
        <v>7367</v>
      </c>
      <c r="D8791" s="18">
        <v>2022</v>
      </c>
      <c r="E8791" s="18" t="s">
        <v>0</v>
      </c>
      <c r="F8791" s="42">
        <v>1</v>
      </c>
      <c r="G8791" s="4">
        <v>5</v>
      </c>
      <c r="H8791" s="18">
        <v>25.602039999999999</v>
      </c>
    </row>
    <row r="8792" spans="1:8" s="15" customFormat="1" ht="16.5" hidden="1" customHeight="1" outlineLevel="1" x14ac:dyDescent="0.25">
      <c r="A8792" s="18">
        <v>481</v>
      </c>
      <c r="B8792" s="4" t="s">
        <v>250</v>
      </c>
      <c r="C8792" s="38" t="s">
        <v>3526</v>
      </c>
      <c r="D8792" s="18">
        <v>2022</v>
      </c>
      <c r="E8792" s="18" t="s">
        <v>0</v>
      </c>
      <c r="F8792" s="42">
        <v>1</v>
      </c>
      <c r="G8792" s="4">
        <v>15</v>
      </c>
      <c r="H8792" s="18">
        <v>28.25591</v>
      </c>
    </row>
    <row r="8793" spans="1:8" s="15" customFormat="1" ht="16.5" hidden="1" customHeight="1" outlineLevel="1" x14ac:dyDescent="0.25">
      <c r="A8793" s="18">
        <v>641</v>
      </c>
      <c r="B8793" s="4" t="s">
        <v>250</v>
      </c>
      <c r="C8793" s="38" t="s">
        <v>7368</v>
      </c>
      <c r="D8793" s="18">
        <v>2022</v>
      </c>
      <c r="E8793" s="18" t="s">
        <v>0</v>
      </c>
      <c r="F8793" s="42">
        <v>1</v>
      </c>
      <c r="G8793" s="4">
        <v>15</v>
      </c>
      <c r="H8793" s="18">
        <v>31.000139999999998</v>
      </c>
    </row>
    <row r="8794" spans="1:8" s="15" customFormat="1" ht="16.5" hidden="1" customHeight="1" outlineLevel="1" x14ac:dyDescent="0.25">
      <c r="A8794" s="18">
        <v>550</v>
      </c>
      <c r="B8794" s="4" t="s">
        <v>250</v>
      </c>
      <c r="C8794" s="38" t="s">
        <v>7369</v>
      </c>
      <c r="D8794" s="18">
        <v>2022</v>
      </c>
      <c r="E8794" s="18" t="s">
        <v>0</v>
      </c>
      <c r="F8794" s="42">
        <v>1</v>
      </c>
      <c r="G8794" s="4">
        <v>10</v>
      </c>
      <c r="H8794" s="18">
        <v>76.880619999999993</v>
      </c>
    </row>
    <row r="8795" spans="1:8" s="15" customFormat="1" ht="16.5" hidden="1" customHeight="1" outlineLevel="1" x14ac:dyDescent="0.25">
      <c r="A8795" s="18">
        <v>551</v>
      </c>
      <c r="B8795" s="4" t="s">
        <v>250</v>
      </c>
      <c r="C8795" s="38" t="s">
        <v>3528</v>
      </c>
      <c r="D8795" s="18">
        <v>2022</v>
      </c>
      <c r="E8795" s="18" t="s">
        <v>0</v>
      </c>
      <c r="F8795" s="42">
        <v>1</v>
      </c>
      <c r="G8795" s="4">
        <v>15</v>
      </c>
      <c r="H8795" s="18">
        <v>70.327160000000006</v>
      </c>
    </row>
    <row r="8796" spans="1:8" s="15" customFormat="1" ht="16.5" hidden="1" customHeight="1" outlineLevel="1" x14ac:dyDescent="0.25">
      <c r="A8796" s="18">
        <v>552</v>
      </c>
      <c r="B8796" s="4" t="s">
        <v>250</v>
      </c>
      <c r="C8796" s="38" t="s">
        <v>3529</v>
      </c>
      <c r="D8796" s="18">
        <v>2022</v>
      </c>
      <c r="E8796" s="18" t="s">
        <v>0</v>
      </c>
      <c r="F8796" s="42">
        <v>1</v>
      </c>
      <c r="G8796" s="4">
        <v>15</v>
      </c>
      <c r="H8796" s="18">
        <v>75.851349999999996</v>
      </c>
    </row>
    <row r="8797" spans="1:8" s="15" customFormat="1" ht="16.5" hidden="1" customHeight="1" outlineLevel="1" x14ac:dyDescent="0.25">
      <c r="A8797" s="18">
        <v>453</v>
      </c>
      <c r="B8797" s="4" t="s">
        <v>250</v>
      </c>
      <c r="C8797" s="38" t="s">
        <v>3956</v>
      </c>
      <c r="D8797" s="18">
        <v>2022</v>
      </c>
      <c r="E8797" s="18" t="s">
        <v>0</v>
      </c>
      <c r="F8797" s="42">
        <v>2</v>
      </c>
      <c r="G8797" s="4">
        <v>15</v>
      </c>
      <c r="H8797" s="18">
        <v>141.04186000000001</v>
      </c>
    </row>
    <row r="8798" spans="1:8" s="15" customFormat="1" ht="16.5" hidden="1" customHeight="1" outlineLevel="1" x14ac:dyDescent="0.25">
      <c r="A8798" s="18">
        <v>698</v>
      </c>
      <c r="B8798" s="4" t="s">
        <v>250</v>
      </c>
      <c r="C8798" s="38" t="s">
        <v>7370</v>
      </c>
      <c r="D8798" s="18">
        <v>2022</v>
      </c>
      <c r="E8798" s="18" t="s">
        <v>0</v>
      </c>
      <c r="F8798" s="42">
        <v>1</v>
      </c>
      <c r="G8798" s="4">
        <v>15</v>
      </c>
      <c r="H8798" s="18">
        <v>23.252970000000001</v>
      </c>
    </row>
    <row r="8799" spans="1:8" s="15" customFormat="1" ht="16.5" hidden="1" customHeight="1" outlineLevel="1" x14ac:dyDescent="0.25">
      <c r="A8799" s="18">
        <v>762</v>
      </c>
      <c r="B8799" s="4" t="s">
        <v>250</v>
      </c>
      <c r="C8799" s="38" t="s">
        <v>7371</v>
      </c>
      <c r="D8799" s="18">
        <v>2022</v>
      </c>
      <c r="E8799" s="18" t="s">
        <v>0</v>
      </c>
      <c r="F8799" s="42">
        <v>1</v>
      </c>
      <c r="G8799" s="4">
        <v>15</v>
      </c>
      <c r="H8799" s="18">
        <v>26.932680000000001</v>
      </c>
    </row>
    <row r="8800" spans="1:8" s="15" customFormat="1" ht="16.5" hidden="1" customHeight="1" outlineLevel="1" x14ac:dyDescent="0.25">
      <c r="A8800" s="18">
        <v>701</v>
      </c>
      <c r="B8800" s="4" t="s">
        <v>250</v>
      </c>
      <c r="C8800" s="38" t="s">
        <v>7372</v>
      </c>
      <c r="D8800" s="18">
        <v>2022</v>
      </c>
      <c r="E8800" s="18" t="s">
        <v>0</v>
      </c>
      <c r="F8800" s="42">
        <v>1</v>
      </c>
      <c r="G8800" s="4">
        <v>15</v>
      </c>
      <c r="H8800" s="18">
        <v>23.426390000000001</v>
      </c>
    </row>
    <row r="8801" spans="1:8" s="15" customFormat="1" ht="16.5" hidden="1" customHeight="1" outlineLevel="1" x14ac:dyDescent="0.25">
      <c r="A8801" s="18">
        <v>786</v>
      </c>
      <c r="B8801" s="4" t="s">
        <v>250</v>
      </c>
      <c r="C8801" s="38" t="s">
        <v>7373</v>
      </c>
      <c r="D8801" s="18">
        <v>2022</v>
      </c>
      <c r="E8801" s="18" t="s">
        <v>0</v>
      </c>
      <c r="F8801" s="42">
        <v>1</v>
      </c>
      <c r="G8801" s="4">
        <v>15</v>
      </c>
      <c r="H8801" s="18">
        <v>25.246690000000001</v>
      </c>
    </row>
    <row r="8802" spans="1:8" s="15" customFormat="1" ht="16.5" hidden="1" customHeight="1" outlineLevel="1" x14ac:dyDescent="0.25">
      <c r="A8802" s="18">
        <v>618</v>
      </c>
      <c r="B8802" s="4" t="s">
        <v>250</v>
      </c>
      <c r="C8802" s="38" t="s">
        <v>7374</v>
      </c>
      <c r="D8802" s="18">
        <v>2022</v>
      </c>
      <c r="E8802" s="18" t="s">
        <v>0</v>
      </c>
      <c r="F8802" s="42">
        <v>1</v>
      </c>
      <c r="G8802" s="4">
        <v>15</v>
      </c>
      <c r="H8802" s="18">
        <v>27.052389999999999</v>
      </c>
    </row>
    <row r="8803" spans="1:8" s="15" customFormat="1" ht="16.5" hidden="1" customHeight="1" outlineLevel="1" x14ac:dyDescent="0.25">
      <c r="A8803" s="18">
        <v>744</v>
      </c>
      <c r="B8803" s="4" t="s">
        <v>250</v>
      </c>
      <c r="C8803" s="38" t="s">
        <v>7375</v>
      </c>
      <c r="D8803" s="18">
        <v>2022</v>
      </c>
      <c r="E8803" s="18" t="s">
        <v>0</v>
      </c>
      <c r="F8803" s="42">
        <v>1</v>
      </c>
      <c r="G8803" s="4">
        <v>15</v>
      </c>
      <c r="H8803" s="18">
        <v>24.990290000000002</v>
      </c>
    </row>
    <row r="8804" spans="1:8" s="15" customFormat="1" ht="16.5" hidden="1" customHeight="1" outlineLevel="1" x14ac:dyDescent="0.25">
      <c r="A8804" s="18">
        <v>745</v>
      </c>
      <c r="B8804" s="4" t="s">
        <v>250</v>
      </c>
      <c r="C8804" s="38" t="s">
        <v>7376</v>
      </c>
      <c r="D8804" s="18">
        <v>2022</v>
      </c>
      <c r="E8804" s="18" t="s">
        <v>0</v>
      </c>
      <c r="F8804" s="42">
        <v>1</v>
      </c>
      <c r="G8804" s="4">
        <v>15</v>
      </c>
      <c r="H8804" s="18">
        <v>26.65814</v>
      </c>
    </row>
    <row r="8805" spans="1:8" s="15" customFormat="1" ht="16.5" hidden="1" customHeight="1" outlineLevel="1" x14ac:dyDescent="0.25">
      <c r="A8805" s="18">
        <v>714</v>
      </c>
      <c r="B8805" s="4" t="s">
        <v>250</v>
      </c>
      <c r="C8805" s="38" t="s">
        <v>7377</v>
      </c>
      <c r="D8805" s="18">
        <v>2022</v>
      </c>
      <c r="E8805" s="18" t="s">
        <v>0</v>
      </c>
      <c r="F8805" s="42">
        <v>1</v>
      </c>
      <c r="G8805" s="4">
        <v>15</v>
      </c>
      <c r="H8805" s="18">
        <v>25.936610000000002</v>
      </c>
    </row>
    <row r="8806" spans="1:8" s="15" customFormat="1" ht="16.5" hidden="1" customHeight="1" outlineLevel="1" x14ac:dyDescent="0.25">
      <c r="A8806" s="18">
        <v>746</v>
      </c>
      <c r="B8806" s="4" t="s">
        <v>250</v>
      </c>
      <c r="C8806" s="38" t="s">
        <v>7378</v>
      </c>
      <c r="D8806" s="18">
        <v>2022</v>
      </c>
      <c r="E8806" s="18" t="s">
        <v>0</v>
      </c>
      <c r="F8806" s="42">
        <v>1</v>
      </c>
      <c r="G8806" s="4">
        <v>15</v>
      </c>
      <c r="H8806" s="18">
        <v>25.01398</v>
      </c>
    </row>
    <row r="8807" spans="1:8" s="15" customFormat="1" ht="16.5" hidden="1" customHeight="1" outlineLevel="1" x14ac:dyDescent="0.25">
      <c r="A8807" s="18">
        <v>661</v>
      </c>
      <c r="B8807" s="4" t="s">
        <v>250</v>
      </c>
      <c r="C8807" s="38" t="s">
        <v>7379</v>
      </c>
      <c r="D8807" s="18">
        <v>2022</v>
      </c>
      <c r="E8807" s="18" t="s">
        <v>0</v>
      </c>
      <c r="F8807" s="42">
        <v>1</v>
      </c>
      <c r="G8807" s="4">
        <v>15</v>
      </c>
      <c r="H8807" s="18">
        <v>24.526009999999999</v>
      </c>
    </row>
    <row r="8808" spans="1:8" s="15" customFormat="1" ht="16.5" hidden="1" customHeight="1" outlineLevel="1" x14ac:dyDescent="0.25">
      <c r="A8808" s="18">
        <v>660</v>
      </c>
      <c r="B8808" s="4" t="s">
        <v>250</v>
      </c>
      <c r="C8808" s="38" t="s">
        <v>7380</v>
      </c>
      <c r="D8808" s="18">
        <v>2022</v>
      </c>
      <c r="E8808" s="18" t="s">
        <v>0</v>
      </c>
      <c r="F8808" s="42">
        <v>1</v>
      </c>
      <c r="G8808" s="4">
        <v>15</v>
      </c>
      <c r="H8808" s="18">
        <v>24.699020000000001</v>
      </c>
    </row>
    <row r="8809" spans="1:8" s="15" customFormat="1" ht="16.5" hidden="1" customHeight="1" outlineLevel="1" x14ac:dyDescent="0.25">
      <c r="A8809" s="18">
        <v>720</v>
      </c>
      <c r="B8809" s="4" t="s">
        <v>250</v>
      </c>
      <c r="C8809" s="38" t="s">
        <v>7381</v>
      </c>
      <c r="D8809" s="18">
        <v>2022</v>
      </c>
      <c r="E8809" s="18" t="s">
        <v>0</v>
      </c>
      <c r="F8809" s="42">
        <v>1</v>
      </c>
      <c r="G8809" s="4">
        <v>15</v>
      </c>
      <c r="H8809" s="18">
        <v>25.12255</v>
      </c>
    </row>
    <row r="8810" spans="1:8" s="15" customFormat="1" ht="16.5" hidden="1" customHeight="1" outlineLevel="1" x14ac:dyDescent="0.25">
      <c r="A8810" s="18">
        <v>801</v>
      </c>
      <c r="B8810" s="4" t="s">
        <v>250</v>
      </c>
      <c r="C8810" s="38" t="s">
        <v>7382</v>
      </c>
      <c r="D8810" s="18">
        <v>2022</v>
      </c>
      <c r="E8810" s="18" t="s">
        <v>0</v>
      </c>
      <c r="F8810" s="42">
        <v>1</v>
      </c>
      <c r="G8810" s="4">
        <v>15</v>
      </c>
      <c r="H8810" s="18">
        <v>25.1206</v>
      </c>
    </row>
    <row r="8811" spans="1:8" s="15" customFormat="1" ht="16.5" hidden="1" customHeight="1" outlineLevel="1" x14ac:dyDescent="0.25">
      <c r="A8811" s="18">
        <v>686</v>
      </c>
      <c r="B8811" s="4" t="s">
        <v>250</v>
      </c>
      <c r="C8811" s="38" t="s">
        <v>7383</v>
      </c>
      <c r="D8811" s="18">
        <v>2022</v>
      </c>
      <c r="E8811" s="18" t="s">
        <v>0</v>
      </c>
      <c r="F8811" s="42">
        <v>1</v>
      </c>
      <c r="G8811" s="4">
        <v>15</v>
      </c>
      <c r="H8811" s="18">
        <v>24.84844</v>
      </c>
    </row>
    <row r="8812" spans="1:8" s="15" customFormat="1" ht="16.5" hidden="1" customHeight="1" outlineLevel="1" x14ac:dyDescent="0.25">
      <c r="A8812" s="18">
        <v>665</v>
      </c>
      <c r="B8812" s="4" t="s">
        <v>250</v>
      </c>
      <c r="C8812" s="38" t="s">
        <v>7384</v>
      </c>
      <c r="D8812" s="18">
        <v>2022</v>
      </c>
      <c r="E8812" s="18" t="s">
        <v>0</v>
      </c>
      <c r="F8812" s="42">
        <v>1</v>
      </c>
      <c r="G8812" s="4">
        <v>15</v>
      </c>
      <c r="H8812" s="18">
        <v>24.699000000000002</v>
      </c>
    </row>
    <row r="8813" spans="1:8" s="15" customFormat="1" ht="16.5" hidden="1" customHeight="1" outlineLevel="1" x14ac:dyDescent="0.25">
      <c r="A8813" s="18">
        <v>775</v>
      </c>
      <c r="B8813" s="4" t="s">
        <v>250</v>
      </c>
      <c r="C8813" s="38" t="s">
        <v>7385</v>
      </c>
      <c r="D8813" s="18">
        <v>2022</v>
      </c>
      <c r="E8813" s="18" t="s">
        <v>0</v>
      </c>
      <c r="F8813" s="42">
        <v>1</v>
      </c>
      <c r="G8813" s="4">
        <v>15</v>
      </c>
      <c r="H8813" s="18">
        <v>24.981729999999999</v>
      </c>
    </row>
    <row r="8814" spans="1:8" s="15" customFormat="1" ht="16.5" hidden="1" customHeight="1" outlineLevel="1" x14ac:dyDescent="0.25">
      <c r="A8814" s="18">
        <v>717</v>
      </c>
      <c r="B8814" s="4" t="s">
        <v>250</v>
      </c>
      <c r="C8814" s="38" t="s">
        <v>7386</v>
      </c>
      <c r="D8814" s="18">
        <v>2022</v>
      </c>
      <c r="E8814" s="18" t="s">
        <v>0</v>
      </c>
      <c r="F8814" s="42">
        <v>1</v>
      </c>
      <c r="G8814" s="4">
        <v>15</v>
      </c>
      <c r="H8814" s="18">
        <v>26.283370000000001</v>
      </c>
    </row>
    <row r="8815" spans="1:8" s="15" customFormat="1" ht="16.5" hidden="1" customHeight="1" outlineLevel="1" x14ac:dyDescent="0.25">
      <c r="A8815" s="18">
        <v>615</v>
      </c>
      <c r="B8815" s="4" t="s">
        <v>250</v>
      </c>
      <c r="C8815" s="38" t="s">
        <v>7387</v>
      </c>
      <c r="D8815" s="18">
        <v>2022</v>
      </c>
      <c r="E8815" s="18" t="s">
        <v>0</v>
      </c>
      <c r="F8815" s="42">
        <v>1</v>
      </c>
      <c r="G8815" s="4">
        <v>15</v>
      </c>
      <c r="H8815" s="18">
        <v>27.040109999999999</v>
      </c>
    </row>
    <row r="8816" spans="1:8" s="15" customFormat="1" ht="16.5" hidden="1" customHeight="1" outlineLevel="1" x14ac:dyDescent="0.25">
      <c r="A8816" s="18">
        <v>690</v>
      </c>
      <c r="B8816" s="4" t="s">
        <v>250</v>
      </c>
      <c r="C8816" s="38" t="s">
        <v>7388</v>
      </c>
      <c r="D8816" s="18">
        <v>2022</v>
      </c>
      <c r="E8816" s="18" t="s">
        <v>0</v>
      </c>
      <c r="F8816" s="42">
        <v>1</v>
      </c>
      <c r="G8816" s="4">
        <v>15</v>
      </c>
      <c r="H8816" s="18">
        <v>20.040389999999999</v>
      </c>
    </row>
    <row r="8817" spans="1:8" s="15" customFormat="1" ht="16.5" hidden="1" customHeight="1" outlineLevel="1" x14ac:dyDescent="0.25">
      <c r="A8817" s="18">
        <v>658</v>
      </c>
      <c r="B8817" s="4" t="s">
        <v>250</v>
      </c>
      <c r="C8817" s="38" t="s">
        <v>7389</v>
      </c>
      <c r="D8817" s="18">
        <v>2022</v>
      </c>
      <c r="E8817" s="18" t="s">
        <v>0</v>
      </c>
      <c r="F8817" s="42">
        <v>1</v>
      </c>
      <c r="G8817" s="4">
        <v>15</v>
      </c>
      <c r="H8817" s="18">
        <v>23.113240000000001</v>
      </c>
    </row>
    <row r="8818" spans="1:8" s="15" customFormat="1" ht="16.5" hidden="1" customHeight="1" outlineLevel="1" x14ac:dyDescent="0.25">
      <c r="A8818" s="18">
        <v>685</v>
      </c>
      <c r="B8818" s="4" t="s">
        <v>250</v>
      </c>
      <c r="C8818" s="38" t="s">
        <v>7390</v>
      </c>
      <c r="D8818" s="18">
        <v>2022</v>
      </c>
      <c r="E8818" s="18" t="s">
        <v>0</v>
      </c>
      <c r="F8818" s="42">
        <v>1</v>
      </c>
      <c r="G8818" s="4">
        <v>15</v>
      </c>
      <c r="H8818" s="18">
        <v>23.44875</v>
      </c>
    </row>
    <row r="8819" spans="1:8" s="15" customFormat="1" ht="16.5" hidden="1" customHeight="1" outlineLevel="1" x14ac:dyDescent="0.25">
      <c r="A8819" s="18">
        <v>820</v>
      </c>
      <c r="B8819" s="4" t="s">
        <v>250</v>
      </c>
      <c r="C8819" s="38" t="s">
        <v>7391</v>
      </c>
      <c r="D8819" s="18">
        <v>2022</v>
      </c>
      <c r="E8819" s="18" t="s">
        <v>0</v>
      </c>
      <c r="F8819" s="42">
        <v>1</v>
      </c>
      <c r="G8819" s="4">
        <v>15</v>
      </c>
      <c r="H8819" s="18">
        <v>24.889559999999999</v>
      </c>
    </row>
    <row r="8820" spans="1:8" s="15" customFormat="1" ht="16.5" hidden="1" customHeight="1" outlineLevel="1" x14ac:dyDescent="0.25">
      <c r="A8820" s="18">
        <v>688</v>
      </c>
      <c r="B8820" s="4" t="s">
        <v>250</v>
      </c>
      <c r="C8820" s="38" t="s">
        <v>7392</v>
      </c>
      <c r="D8820" s="18">
        <v>2022</v>
      </c>
      <c r="E8820" s="18" t="s">
        <v>0</v>
      </c>
      <c r="F8820" s="42">
        <v>1</v>
      </c>
      <c r="G8820" s="4">
        <v>15</v>
      </c>
      <c r="H8820" s="18">
        <v>23.11318</v>
      </c>
    </row>
    <row r="8821" spans="1:8" s="15" customFormat="1" ht="16.5" hidden="1" customHeight="1" outlineLevel="1" x14ac:dyDescent="0.25">
      <c r="A8821" s="18">
        <v>691</v>
      </c>
      <c r="B8821" s="4" t="s">
        <v>250</v>
      </c>
      <c r="C8821" s="38" t="s">
        <v>7393</v>
      </c>
      <c r="D8821" s="18">
        <v>2022</v>
      </c>
      <c r="E8821" s="18" t="s">
        <v>0</v>
      </c>
      <c r="F8821" s="42">
        <v>1</v>
      </c>
      <c r="G8821" s="4">
        <v>15</v>
      </c>
      <c r="H8821" s="18">
        <v>23.113240000000001</v>
      </c>
    </row>
    <row r="8822" spans="1:8" s="15" customFormat="1" ht="16.5" hidden="1" customHeight="1" outlineLevel="1" x14ac:dyDescent="0.25">
      <c r="A8822" s="18">
        <v>677</v>
      </c>
      <c r="B8822" s="4" t="s">
        <v>250</v>
      </c>
      <c r="C8822" s="38" t="s">
        <v>7394</v>
      </c>
      <c r="D8822" s="18">
        <v>2022</v>
      </c>
      <c r="E8822" s="18" t="s">
        <v>0</v>
      </c>
      <c r="F8822" s="42">
        <v>1</v>
      </c>
      <c r="G8822" s="4">
        <v>15</v>
      </c>
      <c r="H8822" s="18">
        <v>23.113240000000001</v>
      </c>
    </row>
    <row r="8823" spans="1:8" s="15" customFormat="1" ht="16.5" hidden="1" customHeight="1" outlineLevel="1" x14ac:dyDescent="0.25">
      <c r="A8823" s="18">
        <v>693</v>
      </c>
      <c r="B8823" s="4" t="s">
        <v>250</v>
      </c>
      <c r="C8823" s="38" t="s">
        <v>7395</v>
      </c>
      <c r="D8823" s="18">
        <v>2022</v>
      </c>
      <c r="E8823" s="18" t="s">
        <v>0</v>
      </c>
      <c r="F8823" s="42">
        <v>1</v>
      </c>
      <c r="G8823" s="4">
        <v>15</v>
      </c>
      <c r="H8823" s="18">
        <v>23.113240000000001</v>
      </c>
    </row>
    <row r="8824" spans="1:8" s="15" customFormat="1" ht="16.5" hidden="1" customHeight="1" outlineLevel="1" x14ac:dyDescent="0.25">
      <c r="A8824" s="18">
        <v>671</v>
      </c>
      <c r="B8824" s="4" t="s">
        <v>250</v>
      </c>
      <c r="C8824" s="38" t="s">
        <v>7396</v>
      </c>
      <c r="D8824" s="18">
        <v>2022</v>
      </c>
      <c r="E8824" s="18" t="s">
        <v>0</v>
      </c>
      <c r="F8824" s="42">
        <v>1</v>
      </c>
      <c r="G8824" s="4">
        <v>15</v>
      </c>
      <c r="H8824" s="18">
        <v>23.113219999999998</v>
      </c>
    </row>
    <row r="8825" spans="1:8" s="15" customFormat="1" ht="16.5" hidden="1" customHeight="1" outlineLevel="1" x14ac:dyDescent="0.25">
      <c r="A8825" s="18">
        <v>635</v>
      </c>
      <c r="B8825" s="4" t="s">
        <v>250</v>
      </c>
      <c r="C8825" s="38" t="s">
        <v>7397</v>
      </c>
      <c r="D8825" s="18">
        <v>2022</v>
      </c>
      <c r="E8825" s="18" t="s">
        <v>0</v>
      </c>
      <c r="F8825" s="42">
        <v>1</v>
      </c>
      <c r="G8825" s="4">
        <v>15</v>
      </c>
      <c r="H8825" s="18">
        <v>27.005990000000001</v>
      </c>
    </row>
    <row r="8826" spans="1:8" s="15" customFormat="1" ht="16.5" hidden="1" customHeight="1" outlineLevel="1" x14ac:dyDescent="0.25">
      <c r="A8826" s="18">
        <v>692</v>
      </c>
      <c r="B8826" s="4" t="s">
        <v>250</v>
      </c>
      <c r="C8826" s="38" t="s">
        <v>7398</v>
      </c>
      <c r="D8826" s="18">
        <v>2022</v>
      </c>
      <c r="E8826" s="18" t="s">
        <v>0</v>
      </c>
      <c r="F8826" s="42">
        <v>1</v>
      </c>
      <c r="G8826" s="4">
        <v>15</v>
      </c>
      <c r="H8826" s="18">
        <v>23.113199999999999</v>
      </c>
    </row>
    <row r="8827" spans="1:8" s="15" customFormat="1" ht="16.5" hidden="1" customHeight="1" outlineLevel="1" x14ac:dyDescent="0.25">
      <c r="A8827" s="18">
        <v>636</v>
      </c>
      <c r="B8827" s="4" t="s">
        <v>250</v>
      </c>
      <c r="C8827" s="38" t="s">
        <v>7399</v>
      </c>
      <c r="D8827" s="18">
        <v>2022</v>
      </c>
      <c r="E8827" s="18" t="s">
        <v>0</v>
      </c>
      <c r="F8827" s="42">
        <v>1</v>
      </c>
      <c r="G8827" s="4">
        <v>15</v>
      </c>
      <c r="H8827" s="18">
        <v>27.45336</v>
      </c>
    </row>
    <row r="8828" spans="1:8" s="15" customFormat="1" ht="16.5" hidden="1" customHeight="1" outlineLevel="1" x14ac:dyDescent="0.25">
      <c r="A8828" s="18">
        <v>594</v>
      </c>
      <c r="B8828" s="4" t="s">
        <v>250</v>
      </c>
      <c r="C8828" s="38" t="s">
        <v>7400</v>
      </c>
      <c r="D8828" s="18">
        <v>2022</v>
      </c>
      <c r="E8828" s="18" t="s">
        <v>0</v>
      </c>
      <c r="F8828" s="42">
        <v>1</v>
      </c>
      <c r="G8828" s="4">
        <v>15</v>
      </c>
      <c r="H8828" s="18">
        <v>25.655619999999999</v>
      </c>
    </row>
    <row r="8829" spans="1:8" s="15" customFormat="1" ht="16.5" hidden="1" customHeight="1" outlineLevel="1" x14ac:dyDescent="0.25">
      <c r="A8829" s="18">
        <v>687</v>
      </c>
      <c r="B8829" s="4" t="s">
        <v>250</v>
      </c>
      <c r="C8829" s="38" t="s">
        <v>7401</v>
      </c>
      <c r="D8829" s="18">
        <v>2022</v>
      </c>
      <c r="E8829" s="18" t="s">
        <v>0</v>
      </c>
      <c r="F8829" s="42">
        <v>1</v>
      </c>
      <c r="G8829" s="4">
        <v>15</v>
      </c>
      <c r="H8829" s="18">
        <v>24.231619999999999</v>
      </c>
    </row>
    <row r="8830" spans="1:8" s="15" customFormat="1" ht="16.5" hidden="1" customHeight="1" outlineLevel="1" x14ac:dyDescent="0.25">
      <c r="A8830" s="18">
        <v>626</v>
      </c>
      <c r="B8830" s="4" t="s">
        <v>250</v>
      </c>
      <c r="C8830" s="38" t="s">
        <v>7402</v>
      </c>
      <c r="D8830" s="18">
        <v>2022</v>
      </c>
      <c r="E8830" s="18" t="s">
        <v>0</v>
      </c>
      <c r="F8830" s="42">
        <v>1</v>
      </c>
      <c r="G8830" s="4">
        <v>15</v>
      </c>
      <c r="H8830" s="18">
        <v>27.32161</v>
      </c>
    </row>
    <row r="8831" spans="1:8" s="15" customFormat="1" ht="16.5" hidden="1" customHeight="1" outlineLevel="1" x14ac:dyDescent="0.25">
      <c r="A8831" s="18">
        <v>676</v>
      </c>
      <c r="B8831" s="4" t="s">
        <v>250</v>
      </c>
      <c r="C8831" s="38" t="s">
        <v>7403</v>
      </c>
      <c r="D8831" s="18">
        <v>2022</v>
      </c>
      <c r="E8831" s="18" t="s">
        <v>0</v>
      </c>
      <c r="F8831" s="42">
        <v>1</v>
      </c>
      <c r="G8831" s="4">
        <v>15</v>
      </c>
      <c r="H8831" s="18">
        <v>23.113240000000001</v>
      </c>
    </row>
    <row r="8832" spans="1:8" s="15" customFormat="1" ht="16.5" hidden="1" customHeight="1" outlineLevel="1" x14ac:dyDescent="0.25">
      <c r="A8832" s="18">
        <v>659</v>
      </c>
      <c r="B8832" s="4" t="s">
        <v>250</v>
      </c>
      <c r="C8832" s="38" t="s">
        <v>7404</v>
      </c>
      <c r="D8832" s="18">
        <v>2022</v>
      </c>
      <c r="E8832" s="18" t="s">
        <v>0</v>
      </c>
      <c r="F8832" s="42">
        <v>1</v>
      </c>
      <c r="G8832" s="4">
        <v>15</v>
      </c>
      <c r="H8832" s="18">
        <v>23.44875</v>
      </c>
    </row>
    <row r="8833" spans="1:8" s="15" customFormat="1" ht="16.5" hidden="1" customHeight="1" outlineLevel="1" x14ac:dyDescent="0.25">
      <c r="A8833" s="18">
        <v>652</v>
      </c>
      <c r="B8833" s="4" t="s">
        <v>250</v>
      </c>
      <c r="C8833" s="38" t="s">
        <v>7405</v>
      </c>
      <c r="D8833" s="18">
        <v>2022</v>
      </c>
      <c r="E8833" s="18" t="s">
        <v>0</v>
      </c>
      <c r="F8833" s="42">
        <v>1</v>
      </c>
      <c r="G8833" s="4">
        <v>15</v>
      </c>
      <c r="H8833" s="18">
        <v>23.11317</v>
      </c>
    </row>
    <row r="8834" spans="1:8" s="15" customFormat="1" ht="16.5" hidden="1" customHeight="1" outlineLevel="1" x14ac:dyDescent="0.25">
      <c r="A8834" s="18">
        <v>631</v>
      </c>
      <c r="B8834" s="4" t="s">
        <v>250</v>
      </c>
      <c r="C8834" s="38" t="s">
        <v>7406</v>
      </c>
      <c r="D8834" s="18">
        <v>2022</v>
      </c>
      <c r="E8834" s="18" t="s">
        <v>0</v>
      </c>
      <c r="F8834" s="42">
        <v>1</v>
      </c>
      <c r="G8834" s="4">
        <v>15</v>
      </c>
      <c r="H8834" s="18">
        <v>27.273060000000001</v>
      </c>
    </row>
    <row r="8835" spans="1:8" s="15" customFormat="1" ht="16.5" hidden="1" customHeight="1" outlineLevel="1" x14ac:dyDescent="0.25">
      <c r="A8835" s="18">
        <v>644</v>
      </c>
      <c r="B8835" s="4" t="s">
        <v>250</v>
      </c>
      <c r="C8835" s="38" t="s">
        <v>7407</v>
      </c>
      <c r="D8835" s="18">
        <v>2022</v>
      </c>
      <c r="E8835" s="18" t="s">
        <v>0</v>
      </c>
      <c r="F8835" s="42">
        <v>1</v>
      </c>
      <c r="G8835" s="4">
        <v>15</v>
      </c>
      <c r="H8835" s="18">
        <v>27.128409999999999</v>
      </c>
    </row>
    <row r="8836" spans="1:8" s="15" customFormat="1" ht="16.5" hidden="1" customHeight="1" outlineLevel="1" x14ac:dyDescent="0.25">
      <c r="A8836" s="18">
        <v>632</v>
      </c>
      <c r="B8836" s="4" t="s">
        <v>250</v>
      </c>
      <c r="C8836" s="38" t="s">
        <v>7408</v>
      </c>
      <c r="D8836" s="18">
        <v>2022</v>
      </c>
      <c r="E8836" s="18" t="s">
        <v>0</v>
      </c>
      <c r="F8836" s="42">
        <v>1</v>
      </c>
      <c r="G8836" s="4">
        <v>15</v>
      </c>
      <c r="H8836" s="18">
        <v>26.937529999999999</v>
      </c>
    </row>
    <row r="8837" spans="1:8" s="15" customFormat="1" ht="16.5" hidden="1" customHeight="1" outlineLevel="1" x14ac:dyDescent="0.25">
      <c r="A8837" s="18">
        <v>679</v>
      </c>
      <c r="B8837" s="4" t="s">
        <v>250</v>
      </c>
      <c r="C8837" s="38" t="s">
        <v>7409</v>
      </c>
      <c r="D8837" s="18">
        <v>2022</v>
      </c>
      <c r="E8837" s="18" t="s">
        <v>0</v>
      </c>
      <c r="F8837" s="42">
        <v>1</v>
      </c>
      <c r="G8837" s="4">
        <v>15</v>
      </c>
      <c r="H8837" s="18">
        <v>23.113240000000001</v>
      </c>
    </row>
    <row r="8838" spans="1:8" s="15" customFormat="1" ht="16.5" hidden="1" customHeight="1" outlineLevel="1" x14ac:dyDescent="0.25">
      <c r="A8838" s="18">
        <v>643</v>
      </c>
      <c r="B8838" s="4" t="s">
        <v>250</v>
      </c>
      <c r="C8838" s="38" t="s">
        <v>7410</v>
      </c>
      <c r="D8838" s="18">
        <v>2022</v>
      </c>
      <c r="E8838" s="18" t="s">
        <v>0</v>
      </c>
      <c r="F8838" s="42">
        <v>1</v>
      </c>
      <c r="G8838" s="4">
        <v>15</v>
      </c>
      <c r="H8838" s="18">
        <v>27.20722</v>
      </c>
    </row>
    <row r="8839" spans="1:8" s="15" customFormat="1" ht="16.5" hidden="1" customHeight="1" outlineLevel="1" x14ac:dyDescent="0.25">
      <c r="A8839" s="18">
        <v>680</v>
      </c>
      <c r="B8839" s="4" t="s">
        <v>250</v>
      </c>
      <c r="C8839" s="38" t="s">
        <v>7411</v>
      </c>
      <c r="D8839" s="18">
        <v>2022</v>
      </c>
      <c r="E8839" s="18" t="s">
        <v>0</v>
      </c>
      <c r="F8839" s="42">
        <v>1</v>
      </c>
      <c r="G8839" s="4">
        <v>15</v>
      </c>
      <c r="H8839" s="18">
        <v>23.113240000000001</v>
      </c>
    </row>
    <row r="8840" spans="1:8" s="15" customFormat="1" ht="16.5" hidden="1" customHeight="1" outlineLevel="1" x14ac:dyDescent="0.25">
      <c r="A8840" s="18">
        <v>662</v>
      </c>
      <c r="B8840" s="4" t="s">
        <v>250</v>
      </c>
      <c r="C8840" s="38" t="s">
        <v>7412</v>
      </c>
      <c r="D8840" s="18">
        <v>2022</v>
      </c>
      <c r="E8840" s="18" t="s">
        <v>0</v>
      </c>
      <c r="F8840" s="42">
        <v>1</v>
      </c>
      <c r="G8840" s="4">
        <v>15</v>
      </c>
      <c r="H8840" s="18">
        <v>23.560549999999999</v>
      </c>
    </row>
    <row r="8841" spans="1:8" s="15" customFormat="1" ht="16.5" hidden="1" customHeight="1" outlineLevel="1" x14ac:dyDescent="0.25">
      <c r="A8841" s="18">
        <v>640</v>
      </c>
      <c r="B8841" s="4" t="s">
        <v>250</v>
      </c>
      <c r="C8841" s="38" t="s">
        <v>7413</v>
      </c>
      <c r="D8841" s="18">
        <v>2022</v>
      </c>
      <c r="E8841" s="18" t="s">
        <v>0</v>
      </c>
      <c r="F8841" s="42">
        <v>1</v>
      </c>
      <c r="G8841" s="4">
        <v>15</v>
      </c>
      <c r="H8841" s="18">
        <v>26.795480000000001</v>
      </c>
    </row>
    <row r="8842" spans="1:8" s="15" customFormat="1" ht="16.5" hidden="1" customHeight="1" outlineLevel="1" x14ac:dyDescent="0.25">
      <c r="A8842" s="18">
        <v>796</v>
      </c>
      <c r="B8842" s="4" t="s">
        <v>250</v>
      </c>
      <c r="C8842" s="38" t="s">
        <v>7414</v>
      </c>
      <c r="D8842" s="18">
        <v>2022</v>
      </c>
      <c r="E8842" s="18" t="s">
        <v>0</v>
      </c>
      <c r="F8842" s="42">
        <v>1</v>
      </c>
      <c r="G8842" s="4">
        <v>10</v>
      </c>
      <c r="H8842" s="18">
        <v>24.880469999999999</v>
      </c>
    </row>
    <row r="8843" spans="1:8" s="15" customFormat="1" ht="16.5" hidden="1" customHeight="1" outlineLevel="1" x14ac:dyDescent="0.25">
      <c r="A8843" s="18">
        <v>799</v>
      </c>
      <c r="B8843" s="4" t="s">
        <v>250</v>
      </c>
      <c r="C8843" s="38" t="s">
        <v>7415</v>
      </c>
      <c r="D8843" s="18">
        <v>2022</v>
      </c>
      <c r="E8843" s="18" t="s">
        <v>0</v>
      </c>
      <c r="F8843" s="42">
        <v>1</v>
      </c>
      <c r="G8843" s="4">
        <v>15</v>
      </c>
      <c r="H8843" s="18">
        <v>24.99231</v>
      </c>
    </row>
    <row r="8844" spans="1:8" s="15" customFormat="1" ht="16.5" hidden="1" customHeight="1" outlineLevel="1" x14ac:dyDescent="0.25">
      <c r="A8844" s="18">
        <v>798</v>
      </c>
      <c r="B8844" s="4" t="s">
        <v>250</v>
      </c>
      <c r="C8844" s="38" t="s">
        <v>7416</v>
      </c>
      <c r="D8844" s="18">
        <v>2022</v>
      </c>
      <c r="E8844" s="18" t="s">
        <v>0</v>
      </c>
      <c r="F8844" s="42">
        <v>1</v>
      </c>
      <c r="G8844" s="4">
        <v>10</v>
      </c>
      <c r="H8844" s="18">
        <v>23.94727</v>
      </c>
    </row>
    <row r="8845" spans="1:8" s="15" customFormat="1" ht="16.5" hidden="1" customHeight="1" outlineLevel="1" x14ac:dyDescent="0.25">
      <c r="A8845" s="18">
        <v>610</v>
      </c>
      <c r="B8845" s="4" t="s">
        <v>250</v>
      </c>
      <c r="C8845" s="38" t="s">
        <v>7417</v>
      </c>
      <c r="D8845" s="18">
        <v>2022</v>
      </c>
      <c r="E8845" s="18" t="s">
        <v>0</v>
      </c>
      <c r="F8845" s="42">
        <v>1</v>
      </c>
      <c r="G8845" s="4">
        <v>15</v>
      </c>
      <c r="H8845" s="18">
        <v>26.270320000000002</v>
      </c>
    </row>
    <row r="8846" spans="1:8" s="15" customFormat="1" ht="16.5" hidden="1" customHeight="1" outlineLevel="1" x14ac:dyDescent="0.25">
      <c r="A8846" s="18">
        <v>619</v>
      </c>
      <c r="B8846" s="4" t="s">
        <v>250</v>
      </c>
      <c r="C8846" s="38" t="s">
        <v>7418</v>
      </c>
      <c r="D8846" s="18">
        <v>2022</v>
      </c>
      <c r="E8846" s="18" t="s">
        <v>0</v>
      </c>
      <c r="F8846" s="42">
        <v>1</v>
      </c>
      <c r="G8846" s="4">
        <v>15</v>
      </c>
      <c r="H8846" s="18">
        <v>26.668399999999998</v>
      </c>
    </row>
    <row r="8847" spans="1:8" s="15" customFormat="1" ht="16.5" hidden="1" customHeight="1" outlineLevel="1" x14ac:dyDescent="0.25">
      <c r="A8847" s="18">
        <v>620</v>
      </c>
      <c r="B8847" s="4" t="s">
        <v>250</v>
      </c>
      <c r="C8847" s="38" t="s">
        <v>7419</v>
      </c>
      <c r="D8847" s="18">
        <v>2022</v>
      </c>
      <c r="E8847" s="18" t="s">
        <v>0</v>
      </c>
      <c r="F8847" s="42">
        <v>1</v>
      </c>
      <c r="G8847" s="4">
        <v>15</v>
      </c>
      <c r="H8847" s="18">
        <v>26.58756</v>
      </c>
    </row>
    <row r="8848" spans="1:8" s="15" customFormat="1" ht="16.5" hidden="1" customHeight="1" outlineLevel="1" x14ac:dyDescent="0.25">
      <c r="A8848" s="18">
        <v>725</v>
      </c>
      <c r="B8848" s="4" t="s">
        <v>250</v>
      </c>
      <c r="C8848" s="38" t="s">
        <v>7420</v>
      </c>
      <c r="D8848" s="18">
        <v>2022</v>
      </c>
      <c r="E8848" s="18" t="s">
        <v>0</v>
      </c>
      <c r="F8848" s="42">
        <v>1</v>
      </c>
      <c r="G8848" s="4">
        <v>15</v>
      </c>
      <c r="H8848" s="18">
        <v>24.9803</v>
      </c>
    </row>
    <row r="8849" spans="1:8" s="15" customFormat="1" ht="16.5" hidden="1" customHeight="1" outlineLevel="1" x14ac:dyDescent="0.25">
      <c r="A8849" s="18">
        <v>625</v>
      </c>
      <c r="B8849" s="4" t="s">
        <v>250</v>
      </c>
      <c r="C8849" s="38" t="s">
        <v>7421</v>
      </c>
      <c r="D8849" s="18">
        <v>2022</v>
      </c>
      <c r="E8849" s="18" t="s">
        <v>0</v>
      </c>
      <c r="F8849" s="42">
        <v>1</v>
      </c>
      <c r="G8849" s="4">
        <v>15</v>
      </c>
      <c r="H8849" s="18">
        <v>27.832280000000001</v>
      </c>
    </row>
    <row r="8850" spans="1:8" s="15" customFormat="1" ht="16.5" hidden="1" customHeight="1" outlineLevel="1" x14ac:dyDescent="0.25">
      <c r="A8850" s="18">
        <v>779</v>
      </c>
      <c r="B8850" s="4" t="s">
        <v>250</v>
      </c>
      <c r="C8850" s="38" t="s">
        <v>7422</v>
      </c>
      <c r="D8850" s="18">
        <v>2022</v>
      </c>
      <c r="E8850" s="18" t="s">
        <v>0</v>
      </c>
      <c r="F8850" s="42">
        <v>1</v>
      </c>
      <c r="G8850" s="4">
        <v>15</v>
      </c>
      <c r="H8850" s="18">
        <v>27.39762</v>
      </c>
    </row>
    <row r="8851" spans="1:8" s="15" customFormat="1" ht="16.5" hidden="1" customHeight="1" outlineLevel="1" x14ac:dyDescent="0.25">
      <c r="A8851" s="18">
        <v>718</v>
      </c>
      <c r="B8851" s="4" t="s">
        <v>250</v>
      </c>
      <c r="C8851" s="38" t="s">
        <v>7423</v>
      </c>
      <c r="D8851" s="18">
        <v>2022</v>
      </c>
      <c r="E8851" s="18" t="s">
        <v>0</v>
      </c>
      <c r="F8851" s="42">
        <v>1</v>
      </c>
      <c r="G8851" s="4">
        <v>15</v>
      </c>
      <c r="H8851" s="18">
        <v>25.70354</v>
      </c>
    </row>
    <row r="8852" spans="1:8" s="15" customFormat="1" ht="16.5" hidden="1" customHeight="1" outlineLevel="1" x14ac:dyDescent="0.25">
      <c r="A8852" s="18">
        <v>757</v>
      </c>
      <c r="B8852" s="4" t="s">
        <v>250</v>
      </c>
      <c r="C8852" s="38" t="s">
        <v>7424</v>
      </c>
      <c r="D8852" s="18">
        <v>2022</v>
      </c>
      <c r="E8852" s="18" t="s">
        <v>0</v>
      </c>
      <c r="F8852" s="42">
        <v>1</v>
      </c>
      <c r="G8852" s="4">
        <v>15</v>
      </c>
      <c r="H8852" s="18">
        <v>25.119630000000001</v>
      </c>
    </row>
    <row r="8853" spans="1:8" s="15" customFormat="1" ht="16.5" hidden="1" customHeight="1" outlineLevel="1" x14ac:dyDescent="0.25">
      <c r="A8853" s="18">
        <v>599</v>
      </c>
      <c r="B8853" s="4" t="s">
        <v>250</v>
      </c>
      <c r="C8853" s="38" t="s">
        <v>7425</v>
      </c>
      <c r="D8853" s="18">
        <v>2022</v>
      </c>
      <c r="E8853" s="18" t="s">
        <v>0</v>
      </c>
      <c r="F8853" s="42">
        <v>1</v>
      </c>
      <c r="G8853" s="4">
        <v>15</v>
      </c>
      <c r="H8853" s="18">
        <v>24.21594</v>
      </c>
    </row>
    <row r="8854" spans="1:8" s="15" customFormat="1" ht="16.5" hidden="1" customHeight="1" outlineLevel="1" x14ac:dyDescent="0.25">
      <c r="A8854" s="18">
        <v>753</v>
      </c>
      <c r="B8854" s="4" t="s">
        <v>250</v>
      </c>
      <c r="C8854" s="38" t="s">
        <v>7426</v>
      </c>
      <c r="D8854" s="18">
        <v>2022</v>
      </c>
      <c r="E8854" s="18" t="s">
        <v>0</v>
      </c>
      <c r="F8854" s="42">
        <v>1</v>
      </c>
      <c r="G8854" s="4">
        <v>15</v>
      </c>
      <c r="H8854" s="18">
        <v>24.947019999999998</v>
      </c>
    </row>
    <row r="8855" spans="1:8" s="15" customFormat="1" ht="16.5" hidden="1" customHeight="1" outlineLevel="1" x14ac:dyDescent="0.25">
      <c r="A8855" s="18">
        <v>815</v>
      </c>
      <c r="B8855" s="4" t="s">
        <v>250</v>
      </c>
      <c r="C8855" s="38" t="s">
        <v>7427</v>
      </c>
      <c r="D8855" s="18">
        <v>2022</v>
      </c>
      <c r="E8855" s="18" t="s">
        <v>0</v>
      </c>
      <c r="F8855" s="42">
        <v>1</v>
      </c>
      <c r="G8855" s="4">
        <v>15</v>
      </c>
      <c r="H8855" s="18">
        <v>28.35802</v>
      </c>
    </row>
    <row r="8856" spans="1:8" s="15" customFormat="1" ht="16.5" hidden="1" customHeight="1" outlineLevel="1" x14ac:dyDescent="0.25">
      <c r="A8856" s="18">
        <v>794</v>
      </c>
      <c r="B8856" s="4" t="s">
        <v>250</v>
      </c>
      <c r="C8856" s="38" t="s">
        <v>7428</v>
      </c>
      <c r="D8856" s="18">
        <v>2022</v>
      </c>
      <c r="E8856" s="18" t="s">
        <v>0</v>
      </c>
      <c r="F8856" s="42">
        <v>1</v>
      </c>
      <c r="G8856" s="4">
        <v>15</v>
      </c>
      <c r="H8856" s="18">
        <v>25.053509999999999</v>
      </c>
    </row>
    <row r="8857" spans="1:8" s="15" customFormat="1" ht="16.5" hidden="1" customHeight="1" outlineLevel="1" x14ac:dyDescent="0.25">
      <c r="A8857" s="18">
        <v>810</v>
      </c>
      <c r="B8857" s="4" t="s">
        <v>250</v>
      </c>
      <c r="C8857" s="38" t="s">
        <v>7429</v>
      </c>
      <c r="D8857" s="18">
        <v>2022</v>
      </c>
      <c r="E8857" s="18" t="s">
        <v>0</v>
      </c>
      <c r="F8857" s="42">
        <v>1</v>
      </c>
      <c r="G8857" s="4">
        <v>15</v>
      </c>
      <c r="H8857" s="18">
        <v>25.241340000000001</v>
      </c>
    </row>
    <row r="8858" spans="1:8" s="15" customFormat="1" ht="16.5" hidden="1" customHeight="1" outlineLevel="1" x14ac:dyDescent="0.25">
      <c r="A8858" s="18">
        <v>616</v>
      </c>
      <c r="B8858" s="4" t="s">
        <v>250</v>
      </c>
      <c r="C8858" s="38" t="s">
        <v>7430</v>
      </c>
      <c r="D8858" s="18">
        <v>2022</v>
      </c>
      <c r="E8858" s="18" t="s">
        <v>0</v>
      </c>
      <c r="F8858" s="42">
        <v>1</v>
      </c>
      <c r="G8858" s="4">
        <v>15</v>
      </c>
      <c r="H8858" s="18">
        <v>26.137419999999999</v>
      </c>
    </row>
    <row r="8859" spans="1:8" s="15" customFormat="1" ht="16.5" hidden="1" customHeight="1" outlineLevel="1" x14ac:dyDescent="0.25">
      <c r="A8859" s="18">
        <v>617</v>
      </c>
      <c r="B8859" s="4" t="s">
        <v>250</v>
      </c>
      <c r="C8859" s="38" t="s">
        <v>7431</v>
      </c>
      <c r="D8859" s="18">
        <v>2022</v>
      </c>
      <c r="E8859" s="18" t="s">
        <v>0</v>
      </c>
      <c r="F8859" s="42">
        <v>1</v>
      </c>
      <c r="G8859" s="4">
        <v>15</v>
      </c>
      <c r="H8859" s="18">
        <v>26.399930000000001</v>
      </c>
    </row>
    <row r="8860" spans="1:8" s="15" customFormat="1" ht="16.5" hidden="1" customHeight="1" outlineLevel="1" x14ac:dyDescent="0.25">
      <c r="A8860" s="18">
        <v>628</v>
      </c>
      <c r="B8860" s="4" t="s">
        <v>250</v>
      </c>
      <c r="C8860" s="38" t="s">
        <v>7432</v>
      </c>
      <c r="D8860" s="18">
        <v>2022</v>
      </c>
      <c r="E8860" s="18" t="s">
        <v>0</v>
      </c>
      <c r="F8860" s="42">
        <v>1</v>
      </c>
      <c r="G8860" s="4">
        <v>15</v>
      </c>
      <c r="H8860" s="18">
        <v>28.019549999999999</v>
      </c>
    </row>
    <row r="8861" spans="1:8" s="15" customFormat="1" ht="16.5" hidden="1" customHeight="1" outlineLevel="1" x14ac:dyDescent="0.25">
      <c r="A8861" s="18">
        <v>715</v>
      </c>
      <c r="B8861" s="4" t="s">
        <v>250</v>
      </c>
      <c r="C8861" s="38" t="s">
        <v>7433</v>
      </c>
      <c r="D8861" s="18">
        <v>2022</v>
      </c>
      <c r="E8861" s="18" t="s">
        <v>0</v>
      </c>
      <c r="F8861" s="42">
        <v>1</v>
      </c>
      <c r="G8861" s="4">
        <v>15</v>
      </c>
      <c r="H8861" s="18">
        <v>26.000029999999999</v>
      </c>
    </row>
    <row r="8862" spans="1:8" s="15" customFormat="1" ht="16.5" hidden="1" customHeight="1" outlineLevel="1" x14ac:dyDescent="0.25">
      <c r="A8862" s="18">
        <v>760</v>
      </c>
      <c r="B8862" s="4" t="s">
        <v>250</v>
      </c>
      <c r="C8862" s="38" t="s">
        <v>7434</v>
      </c>
      <c r="D8862" s="18">
        <v>2022</v>
      </c>
      <c r="E8862" s="18" t="s">
        <v>0</v>
      </c>
      <c r="F8862" s="42">
        <v>1</v>
      </c>
      <c r="G8862" s="4">
        <v>15</v>
      </c>
      <c r="H8862" s="18">
        <v>24.947009999999999</v>
      </c>
    </row>
    <row r="8863" spans="1:8" s="15" customFormat="1" ht="16.5" hidden="1" customHeight="1" outlineLevel="1" x14ac:dyDescent="0.25">
      <c r="A8863" s="18">
        <v>589</v>
      </c>
      <c r="B8863" s="4" t="s">
        <v>250</v>
      </c>
      <c r="C8863" s="38" t="s">
        <v>7435</v>
      </c>
      <c r="D8863" s="18">
        <v>2022</v>
      </c>
      <c r="E8863" s="18" t="s">
        <v>0</v>
      </c>
      <c r="F8863" s="42">
        <v>1</v>
      </c>
      <c r="G8863" s="4">
        <v>15</v>
      </c>
      <c r="H8863" s="18">
        <v>24.225580000000001</v>
      </c>
    </row>
    <row r="8864" spans="1:8" s="15" customFormat="1" ht="16.5" hidden="1" customHeight="1" outlineLevel="1" x14ac:dyDescent="0.25">
      <c r="A8864" s="18">
        <v>593</v>
      </c>
      <c r="B8864" s="4" t="s">
        <v>250</v>
      </c>
      <c r="C8864" s="38" t="s">
        <v>7436</v>
      </c>
      <c r="D8864" s="18">
        <v>2022</v>
      </c>
      <c r="E8864" s="18" t="s">
        <v>0</v>
      </c>
      <c r="F8864" s="42">
        <v>1</v>
      </c>
      <c r="G8864" s="4">
        <v>15</v>
      </c>
      <c r="H8864" s="18">
        <v>23.912269999999999</v>
      </c>
    </row>
    <row r="8865" spans="1:8" s="15" customFormat="1" ht="16.5" hidden="1" customHeight="1" outlineLevel="1" x14ac:dyDescent="0.25">
      <c r="A8865" s="18">
        <v>609</v>
      </c>
      <c r="B8865" s="4" t="s">
        <v>250</v>
      </c>
      <c r="C8865" s="38" t="s">
        <v>7437</v>
      </c>
      <c r="D8865" s="18">
        <v>2022</v>
      </c>
      <c r="E8865" s="18" t="s">
        <v>0</v>
      </c>
      <c r="F8865" s="42">
        <v>1</v>
      </c>
      <c r="G8865" s="4">
        <v>15</v>
      </c>
      <c r="H8865" s="18">
        <v>26.39995</v>
      </c>
    </row>
    <row r="8866" spans="1:8" s="15" customFormat="1" ht="16.5" hidden="1" customHeight="1" outlineLevel="1" x14ac:dyDescent="0.25">
      <c r="A8866" s="18">
        <v>723</v>
      </c>
      <c r="B8866" s="4" t="s">
        <v>250</v>
      </c>
      <c r="C8866" s="38" t="s">
        <v>7438</v>
      </c>
      <c r="D8866" s="18">
        <v>2022</v>
      </c>
      <c r="E8866" s="18" t="s">
        <v>0</v>
      </c>
      <c r="F8866" s="42">
        <v>1</v>
      </c>
      <c r="G8866" s="4">
        <v>15</v>
      </c>
      <c r="H8866" s="18">
        <v>25.102689999999999</v>
      </c>
    </row>
    <row r="8867" spans="1:8" s="15" customFormat="1" ht="16.5" hidden="1" customHeight="1" outlineLevel="1" x14ac:dyDescent="0.25">
      <c r="A8867" s="18">
        <v>812</v>
      </c>
      <c r="B8867" s="4" t="s">
        <v>250</v>
      </c>
      <c r="C8867" s="38" t="s">
        <v>7439</v>
      </c>
      <c r="D8867" s="18">
        <v>2022</v>
      </c>
      <c r="E8867" s="18" t="s">
        <v>0</v>
      </c>
      <c r="F8867" s="42">
        <v>1</v>
      </c>
      <c r="G8867" s="4">
        <v>15</v>
      </c>
      <c r="H8867" s="18">
        <v>25.24136</v>
      </c>
    </row>
    <row r="8868" spans="1:8" s="15" customFormat="1" ht="16.5" hidden="1" customHeight="1" outlineLevel="1" x14ac:dyDescent="0.25">
      <c r="A8868" s="18">
        <v>863</v>
      </c>
      <c r="B8868" s="4" t="s">
        <v>250</v>
      </c>
      <c r="C8868" s="38" t="s">
        <v>7440</v>
      </c>
      <c r="D8868" s="18">
        <v>2022</v>
      </c>
      <c r="E8868" s="18" t="s">
        <v>0</v>
      </c>
      <c r="F8868" s="42">
        <v>1</v>
      </c>
      <c r="G8868" s="4">
        <v>15</v>
      </c>
      <c r="H8868" s="18">
        <v>25.830680000000001</v>
      </c>
    </row>
    <row r="8869" spans="1:8" s="15" customFormat="1" ht="16.5" hidden="1" customHeight="1" outlineLevel="1" x14ac:dyDescent="0.25">
      <c r="A8869" s="18">
        <v>511</v>
      </c>
      <c r="B8869" s="4" t="s">
        <v>250</v>
      </c>
      <c r="C8869" s="38" t="s">
        <v>3531</v>
      </c>
      <c r="D8869" s="18">
        <v>2022</v>
      </c>
      <c r="E8869" s="18" t="s">
        <v>0</v>
      </c>
      <c r="F8869" s="42">
        <v>1</v>
      </c>
      <c r="G8869" s="4">
        <v>15</v>
      </c>
      <c r="H8869" s="18">
        <v>30.327940000000002</v>
      </c>
    </row>
    <row r="8870" spans="1:8" s="15" customFormat="1" ht="16.5" hidden="1" customHeight="1" outlineLevel="1" x14ac:dyDescent="0.25">
      <c r="A8870" s="18">
        <v>491</v>
      </c>
      <c r="B8870" s="4" t="s">
        <v>250</v>
      </c>
      <c r="C8870" s="38" t="s">
        <v>3532</v>
      </c>
      <c r="D8870" s="18">
        <v>2022</v>
      </c>
      <c r="E8870" s="18" t="s">
        <v>0</v>
      </c>
      <c r="F8870" s="42">
        <v>1</v>
      </c>
      <c r="G8870" s="4">
        <v>15</v>
      </c>
      <c r="H8870" s="18">
        <v>27.26427</v>
      </c>
    </row>
    <row r="8871" spans="1:8" s="15" customFormat="1" ht="16.5" hidden="1" customHeight="1" outlineLevel="1" x14ac:dyDescent="0.25">
      <c r="A8871" s="18">
        <v>489</v>
      </c>
      <c r="B8871" s="4" t="s">
        <v>250</v>
      </c>
      <c r="C8871" s="38" t="s">
        <v>3533</v>
      </c>
      <c r="D8871" s="18">
        <v>2022</v>
      </c>
      <c r="E8871" s="18" t="s">
        <v>0</v>
      </c>
      <c r="F8871" s="42">
        <v>1</v>
      </c>
      <c r="G8871" s="4">
        <v>15</v>
      </c>
      <c r="H8871" s="18">
        <v>26.463329999999999</v>
      </c>
    </row>
    <row r="8872" spans="1:8" s="15" customFormat="1" ht="16.5" hidden="1" customHeight="1" outlineLevel="1" x14ac:dyDescent="0.25">
      <c r="A8872" s="18">
        <v>669</v>
      </c>
      <c r="B8872" s="4" t="s">
        <v>250</v>
      </c>
      <c r="C8872" s="38" t="s">
        <v>7441</v>
      </c>
      <c r="D8872" s="18">
        <v>2022</v>
      </c>
      <c r="E8872" s="18" t="s">
        <v>0</v>
      </c>
      <c r="F8872" s="42">
        <v>1</v>
      </c>
      <c r="G8872" s="4">
        <v>15</v>
      </c>
      <c r="H8872" s="18">
        <v>26.084350000000001</v>
      </c>
    </row>
    <row r="8873" spans="1:8" s="15" customFormat="1" ht="16.5" hidden="1" customHeight="1" outlineLevel="1" x14ac:dyDescent="0.25">
      <c r="A8873" s="18">
        <v>588</v>
      </c>
      <c r="B8873" s="4" t="s">
        <v>250</v>
      </c>
      <c r="C8873" s="38" t="s">
        <v>7442</v>
      </c>
      <c r="D8873" s="18">
        <v>2022</v>
      </c>
      <c r="E8873" s="18" t="s">
        <v>0</v>
      </c>
      <c r="F8873" s="42">
        <v>1</v>
      </c>
      <c r="G8873" s="4">
        <v>30</v>
      </c>
      <c r="H8873" s="18">
        <v>26.718979999999998</v>
      </c>
    </row>
    <row r="8874" spans="1:8" s="15" customFormat="1" ht="16.5" hidden="1" customHeight="1" outlineLevel="1" x14ac:dyDescent="0.25">
      <c r="A8874" s="18">
        <v>510</v>
      </c>
      <c r="B8874" s="4" t="s">
        <v>250</v>
      </c>
      <c r="C8874" s="38" t="s">
        <v>3534</v>
      </c>
      <c r="D8874" s="18">
        <v>2022</v>
      </c>
      <c r="E8874" s="18" t="s">
        <v>0</v>
      </c>
      <c r="F8874" s="42">
        <v>1</v>
      </c>
      <c r="G8874" s="4">
        <v>15</v>
      </c>
      <c r="H8874" s="18">
        <v>28.24474</v>
      </c>
    </row>
    <row r="8875" spans="1:8" s="15" customFormat="1" ht="16.5" hidden="1" customHeight="1" outlineLevel="1" x14ac:dyDescent="0.25">
      <c r="A8875" s="18">
        <v>510</v>
      </c>
      <c r="B8875" s="4" t="s">
        <v>250</v>
      </c>
      <c r="C8875" s="38" t="s">
        <v>3534</v>
      </c>
      <c r="D8875" s="18">
        <v>2022</v>
      </c>
      <c r="E8875" s="18" t="s">
        <v>0</v>
      </c>
      <c r="F8875" s="42">
        <v>1</v>
      </c>
      <c r="G8875" s="4">
        <v>15</v>
      </c>
      <c r="H8875" s="18">
        <v>28.24474</v>
      </c>
    </row>
    <row r="8876" spans="1:8" s="15" customFormat="1" ht="16.5" hidden="1" customHeight="1" outlineLevel="1" x14ac:dyDescent="0.25">
      <c r="A8876" s="18">
        <v>517</v>
      </c>
      <c r="B8876" s="4" t="s">
        <v>250</v>
      </c>
      <c r="C8876" s="38" t="s">
        <v>7443</v>
      </c>
      <c r="D8876" s="18">
        <v>2022</v>
      </c>
      <c r="E8876" s="18" t="s">
        <v>0</v>
      </c>
      <c r="F8876" s="42">
        <v>1</v>
      </c>
      <c r="G8876" s="4">
        <v>15</v>
      </c>
      <c r="H8876" s="18">
        <v>27.925989999999999</v>
      </c>
    </row>
    <row r="8877" spans="1:8" s="15" customFormat="1" ht="16.5" hidden="1" customHeight="1" outlineLevel="1" x14ac:dyDescent="0.25">
      <c r="A8877" s="18">
        <v>485</v>
      </c>
      <c r="B8877" s="4" t="s">
        <v>250</v>
      </c>
      <c r="C8877" s="38" t="s">
        <v>3536</v>
      </c>
      <c r="D8877" s="18">
        <v>2022</v>
      </c>
      <c r="E8877" s="18" t="s">
        <v>0</v>
      </c>
      <c r="F8877" s="42">
        <v>1</v>
      </c>
      <c r="G8877" s="4">
        <v>15</v>
      </c>
      <c r="H8877" s="18">
        <v>29.096699999999998</v>
      </c>
    </row>
    <row r="8878" spans="1:8" s="15" customFormat="1" ht="16.5" hidden="1" customHeight="1" outlineLevel="1" x14ac:dyDescent="0.25">
      <c r="A8878" s="18">
        <v>554</v>
      </c>
      <c r="B8878" s="4" t="s">
        <v>250</v>
      </c>
      <c r="C8878" s="38" t="s">
        <v>3537</v>
      </c>
      <c r="D8878" s="18">
        <v>2022</v>
      </c>
      <c r="E8878" s="18" t="s">
        <v>0</v>
      </c>
      <c r="F8878" s="42">
        <v>1</v>
      </c>
      <c r="G8878" s="4">
        <v>15</v>
      </c>
      <c r="H8878" s="18">
        <v>33.940539999999999</v>
      </c>
    </row>
    <row r="8879" spans="1:8" s="15" customFormat="1" ht="16.5" hidden="1" customHeight="1" outlineLevel="1" x14ac:dyDescent="0.25">
      <c r="A8879" s="18">
        <v>522</v>
      </c>
      <c r="B8879" s="4" t="s">
        <v>250</v>
      </c>
      <c r="C8879" s="38" t="s">
        <v>3539</v>
      </c>
      <c r="D8879" s="18">
        <v>2022</v>
      </c>
      <c r="E8879" s="18" t="s">
        <v>0</v>
      </c>
      <c r="F8879" s="42">
        <v>1</v>
      </c>
      <c r="G8879" s="4">
        <v>15</v>
      </c>
      <c r="H8879" s="18">
        <v>30.961819999999999</v>
      </c>
    </row>
    <row r="8880" spans="1:8" s="15" customFormat="1" ht="16.5" hidden="1" customHeight="1" outlineLevel="1" x14ac:dyDescent="0.25">
      <c r="A8880" s="18">
        <v>524</v>
      </c>
      <c r="B8880" s="4" t="s">
        <v>250</v>
      </c>
      <c r="C8880" s="38" t="s">
        <v>3540</v>
      </c>
      <c r="D8880" s="18">
        <v>2022</v>
      </c>
      <c r="E8880" s="18" t="s">
        <v>0</v>
      </c>
      <c r="F8880" s="42">
        <v>1</v>
      </c>
      <c r="G8880" s="4">
        <v>15</v>
      </c>
      <c r="H8880" s="18">
        <v>29.61347</v>
      </c>
    </row>
    <row r="8881" spans="1:8" s="15" customFormat="1" ht="16.5" hidden="1" customHeight="1" outlineLevel="1" x14ac:dyDescent="0.25">
      <c r="A8881" s="18">
        <v>869</v>
      </c>
      <c r="B8881" s="4" t="s">
        <v>250</v>
      </c>
      <c r="C8881" s="38" t="s">
        <v>7444</v>
      </c>
      <c r="D8881" s="18">
        <v>2022</v>
      </c>
      <c r="E8881" s="18" t="s">
        <v>0</v>
      </c>
      <c r="F8881" s="42">
        <v>1</v>
      </c>
      <c r="G8881" s="4">
        <v>15</v>
      </c>
      <c r="H8881" s="18">
        <v>27.824940000000002</v>
      </c>
    </row>
    <row r="8882" spans="1:8" s="15" customFormat="1" ht="16.5" hidden="1" customHeight="1" outlineLevel="1" x14ac:dyDescent="0.25">
      <c r="A8882" s="18">
        <v>656</v>
      </c>
      <c r="B8882" s="4" t="s">
        <v>249</v>
      </c>
      <c r="C8882" s="38" t="s">
        <v>7445</v>
      </c>
      <c r="D8882" s="18">
        <v>2022</v>
      </c>
      <c r="E8882" s="18" t="s">
        <v>0</v>
      </c>
      <c r="F8882" s="42">
        <v>1</v>
      </c>
      <c r="G8882" s="4">
        <v>15</v>
      </c>
      <c r="H8882" s="18">
        <v>34.346589999999999</v>
      </c>
    </row>
    <row r="8883" spans="1:8" s="15" customFormat="1" ht="16.5" hidden="1" customHeight="1" outlineLevel="1" x14ac:dyDescent="0.25">
      <c r="A8883" s="18">
        <v>776</v>
      </c>
      <c r="B8883" s="4" t="s">
        <v>249</v>
      </c>
      <c r="C8883" s="38" t="s">
        <v>7446</v>
      </c>
      <c r="D8883" s="18">
        <v>2022</v>
      </c>
      <c r="E8883" s="18" t="s">
        <v>0</v>
      </c>
      <c r="F8883" s="42">
        <v>1</v>
      </c>
      <c r="G8883" s="4">
        <v>15</v>
      </c>
      <c r="H8883" s="18">
        <v>27.973479999999999</v>
      </c>
    </row>
    <row r="8884" spans="1:8" s="15" customFormat="1" ht="16.5" hidden="1" customHeight="1" outlineLevel="1" x14ac:dyDescent="0.25">
      <c r="A8884" s="18">
        <v>730</v>
      </c>
      <c r="B8884" s="4" t="s">
        <v>250</v>
      </c>
      <c r="C8884" s="38" t="s">
        <v>7447</v>
      </c>
      <c r="D8884" s="18">
        <v>2022</v>
      </c>
      <c r="E8884" s="18" t="s">
        <v>0</v>
      </c>
      <c r="F8884" s="42">
        <v>1</v>
      </c>
      <c r="G8884" s="4">
        <v>15</v>
      </c>
      <c r="H8884" s="18">
        <v>29.119540000000001</v>
      </c>
    </row>
    <row r="8885" spans="1:8" s="15" customFormat="1" ht="16.5" hidden="1" customHeight="1" outlineLevel="1" x14ac:dyDescent="0.25">
      <c r="A8885" s="18">
        <v>603</v>
      </c>
      <c r="B8885" s="4" t="s">
        <v>250</v>
      </c>
      <c r="C8885" s="38" t="s">
        <v>7448</v>
      </c>
      <c r="D8885" s="18">
        <v>2022</v>
      </c>
      <c r="E8885" s="18" t="s">
        <v>0</v>
      </c>
      <c r="F8885" s="42">
        <v>1</v>
      </c>
      <c r="G8885" s="4">
        <v>15</v>
      </c>
      <c r="H8885" s="18">
        <v>24.922529999999998</v>
      </c>
    </row>
    <row r="8886" spans="1:8" s="15" customFormat="1" ht="16.5" hidden="1" customHeight="1" outlineLevel="1" x14ac:dyDescent="0.25">
      <c r="A8886" s="18">
        <v>684</v>
      </c>
      <c r="B8886" s="4" t="s">
        <v>250</v>
      </c>
      <c r="C8886" s="38" t="s">
        <v>7449</v>
      </c>
      <c r="D8886" s="18">
        <v>2022</v>
      </c>
      <c r="E8886" s="18" t="s">
        <v>0</v>
      </c>
      <c r="F8886" s="42">
        <v>1</v>
      </c>
      <c r="G8886" s="4">
        <v>15</v>
      </c>
      <c r="H8886" s="18">
        <v>24.28463</v>
      </c>
    </row>
    <row r="8887" spans="1:8" s="15" customFormat="1" ht="16.5" hidden="1" customHeight="1" outlineLevel="1" x14ac:dyDescent="0.25">
      <c r="A8887" s="18">
        <v>602</v>
      </c>
      <c r="B8887" s="4" t="s">
        <v>250</v>
      </c>
      <c r="C8887" s="38" t="s">
        <v>7450</v>
      </c>
      <c r="D8887" s="18">
        <v>2022</v>
      </c>
      <c r="E8887" s="18" t="s">
        <v>0</v>
      </c>
      <c r="F8887" s="42">
        <v>1</v>
      </c>
      <c r="G8887" s="4">
        <v>15</v>
      </c>
      <c r="H8887" s="18">
        <v>24.55735</v>
      </c>
    </row>
    <row r="8888" spans="1:8" s="15" customFormat="1" ht="16.5" hidden="1" customHeight="1" outlineLevel="1" x14ac:dyDescent="0.25">
      <c r="A8888" s="18">
        <v>807</v>
      </c>
      <c r="B8888" s="4" t="s">
        <v>250</v>
      </c>
      <c r="C8888" s="38" t="s">
        <v>7451</v>
      </c>
      <c r="D8888" s="18">
        <v>2022</v>
      </c>
      <c r="E8888" s="18" t="s">
        <v>0</v>
      </c>
      <c r="F8888" s="42">
        <v>1</v>
      </c>
      <c r="G8888" s="4">
        <v>15</v>
      </c>
      <c r="H8888" s="18">
        <v>24.671769999999999</v>
      </c>
    </row>
    <row r="8889" spans="1:8" s="15" customFormat="1" ht="16.5" hidden="1" customHeight="1" outlineLevel="1" x14ac:dyDescent="0.25">
      <c r="A8889" s="18">
        <v>743</v>
      </c>
      <c r="B8889" s="4" t="s">
        <v>250</v>
      </c>
      <c r="C8889" s="38" t="s">
        <v>7452</v>
      </c>
      <c r="D8889" s="18">
        <v>2022</v>
      </c>
      <c r="E8889" s="18" t="s">
        <v>0</v>
      </c>
      <c r="F8889" s="42">
        <v>1</v>
      </c>
      <c r="G8889" s="4">
        <v>10</v>
      </c>
      <c r="H8889" s="18">
        <v>17.353870000000001</v>
      </c>
    </row>
    <row r="8890" spans="1:8" s="15" customFormat="1" ht="16.5" hidden="1" customHeight="1" outlineLevel="1" x14ac:dyDescent="0.25">
      <c r="A8890" s="18">
        <v>740</v>
      </c>
      <c r="B8890" s="4" t="s">
        <v>250</v>
      </c>
      <c r="C8890" s="38" t="s">
        <v>7453</v>
      </c>
      <c r="D8890" s="18">
        <v>2022</v>
      </c>
      <c r="E8890" s="18" t="s">
        <v>0</v>
      </c>
      <c r="F8890" s="42">
        <v>1</v>
      </c>
      <c r="G8890" s="4">
        <v>15</v>
      </c>
      <c r="H8890" s="18">
        <v>24.675180000000001</v>
      </c>
    </row>
    <row r="8891" spans="1:8" s="15" customFormat="1" ht="16.5" hidden="1" customHeight="1" outlineLevel="1" x14ac:dyDescent="0.25">
      <c r="A8891" s="18">
        <v>731</v>
      </c>
      <c r="B8891" s="4" t="s">
        <v>250</v>
      </c>
      <c r="C8891" s="38" t="s">
        <v>7454</v>
      </c>
      <c r="D8891" s="18">
        <v>2022</v>
      </c>
      <c r="E8891" s="18" t="s">
        <v>0</v>
      </c>
      <c r="F8891" s="42">
        <v>1</v>
      </c>
      <c r="G8891" s="4">
        <v>15</v>
      </c>
      <c r="H8891" s="18">
        <v>24.552520000000001</v>
      </c>
    </row>
    <row r="8892" spans="1:8" s="15" customFormat="1" ht="16.5" hidden="1" customHeight="1" outlineLevel="1" x14ac:dyDescent="0.25">
      <c r="A8892" s="18">
        <v>777</v>
      </c>
      <c r="B8892" s="4" t="s">
        <v>250</v>
      </c>
      <c r="C8892" s="38" t="s">
        <v>7455</v>
      </c>
      <c r="D8892" s="18">
        <v>2022</v>
      </c>
      <c r="E8892" s="18" t="s">
        <v>0</v>
      </c>
      <c r="F8892" s="42">
        <v>1</v>
      </c>
      <c r="G8892" s="4">
        <v>15</v>
      </c>
      <c r="H8892" s="18">
        <v>24.569320000000001</v>
      </c>
    </row>
    <row r="8893" spans="1:8" s="15" customFormat="1" ht="16.5" hidden="1" customHeight="1" outlineLevel="1" x14ac:dyDescent="0.25">
      <c r="A8893" s="18">
        <v>759</v>
      </c>
      <c r="B8893" s="4" t="s">
        <v>250</v>
      </c>
      <c r="C8893" s="38" t="s">
        <v>7456</v>
      </c>
      <c r="D8893" s="18">
        <v>2022</v>
      </c>
      <c r="E8893" s="18" t="s">
        <v>0</v>
      </c>
      <c r="F8893" s="42">
        <v>1</v>
      </c>
      <c r="G8893" s="4">
        <v>15</v>
      </c>
      <c r="H8893" s="18">
        <v>25.12593</v>
      </c>
    </row>
    <row r="8894" spans="1:8" s="15" customFormat="1" ht="16.5" hidden="1" customHeight="1" outlineLevel="1" x14ac:dyDescent="0.25">
      <c r="A8894" s="18">
        <v>645</v>
      </c>
      <c r="B8894" s="4" t="s">
        <v>250</v>
      </c>
      <c r="C8894" s="38" t="s">
        <v>7457</v>
      </c>
      <c r="D8894" s="18">
        <v>2022</v>
      </c>
      <c r="E8894" s="18" t="s">
        <v>0</v>
      </c>
      <c r="F8894" s="42">
        <v>2</v>
      </c>
      <c r="G8894" s="4">
        <v>30</v>
      </c>
      <c r="H8894" s="18">
        <v>51.931849999999997</v>
      </c>
    </row>
    <row r="8895" spans="1:8" s="15" customFormat="1" ht="16.5" hidden="1" customHeight="1" outlineLevel="1" x14ac:dyDescent="0.25">
      <c r="A8895" s="18">
        <v>741</v>
      </c>
      <c r="B8895" s="4" t="s">
        <v>250</v>
      </c>
      <c r="C8895" s="38" t="s">
        <v>7458</v>
      </c>
      <c r="D8895" s="18">
        <v>2022</v>
      </c>
      <c r="E8895" s="18" t="s">
        <v>0</v>
      </c>
      <c r="F8895" s="42">
        <v>1</v>
      </c>
      <c r="G8895" s="4">
        <v>15</v>
      </c>
      <c r="H8895" s="18">
        <v>24.569330000000001</v>
      </c>
    </row>
    <row r="8896" spans="1:8" s="15" customFormat="1" ht="16.5" hidden="1" customHeight="1" outlineLevel="1" x14ac:dyDescent="0.25">
      <c r="A8896" s="18">
        <v>842</v>
      </c>
      <c r="B8896" s="4" t="s">
        <v>250</v>
      </c>
      <c r="C8896" s="38" t="s">
        <v>7459</v>
      </c>
      <c r="D8896" s="18">
        <v>2022</v>
      </c>
      <c r="E8896" s="18" t="s">
        <v>0</v>
      </c>
      <c r="F8896" s="42">
        <v>1</v>
      </c>
      <c r="G8896" s="4">
        <v>15</v>
      </c>
      <c r="H8896" s="18">
        <v>25.446449999999999</v>
      </c>
    </row>
    <row r="8897" spans="1:8" s="15" customFormat="1" ht="16.5" hidden="1" customHeight="1" outlineLevel="1" x14ac:dyDescent="0.25">
      <c r="A8897" s="18">
        <v>739</v>
      </c>
      <c r="B8897" s="4" t="s">
        <v>250</v>
      </c>
      <c r="C8897" s="38" t="s">
        <v>7460</v>
      </c>
      <c r="D8897" s="18">
        <v>2022</v>
      </c>
      <c r="E8897" s="18" t="s">
        <v>0</v>
      </c>
      <c r="F8897" s="42">
        <v>1</v>
      </c>
      <c r="G8897" s="4">
        <v>15</v>
      </c>
      <c r="H8897" s="18">
        <v>25.394850000000002</v>
      </c>
    </row>
    <row r="8898" spans="1:8" s="15" customFormat="1" ht="16.5" hidden="1" customHeight="1" outlineLevel="1" x14ac:dyDescent="0.25">
      <c r="A8898" s="18">
        <v>751</v>
      </c>
      <c r="B8898" s="4" t="s">
        <v>250</v>
      </c>
      <c r="C8898" s="38" t="s">
        <v>7461</v>
      </c>
      <c r="D8898" s="18">
        <v>2022</v>
      </c>
      <c r="E8898" s="18" t="s">
        <v>0</v>
      </c>
      <c r="F8898" s="42">
        <v>1</v>
      </c>
      <c r="G8898" s="4">
        <v>15</v>
      </c>
      <c r="H8898" s="18">
        <v>25.93084</v>
      </c>
    </row>
    <row r="8899" spans="1:8" s="15" customFormat="1" ht="16.5" hidden="1" customHeight="1" outlineLevel="1" x14ac:dyDescent="0.25">
      <c r="A8899" s="18">
        <v>781</v>
      </c>
      <c r="B8899" s="4" t="s">
        <v>250</v>
      </c>
      <c r="C8899" s="38" t="s">
        <v>7462</v>
      </c>
      <c r="D8899" s="18">
        <v>2022</v>
      </c>
      <c r="E8899" s="18" t="s">
        <v>0</v>
      </c>
      <c r="F8899" s="42">
        <v>1</v>
      </c>
      <c r="G8899" s="4">
        <v>15</v>
      </c>
      <c r="H8899" s="18">
        <v>24.569330000000001</v>
      </c>
    </row>
    <row r="8900" spans="1:8" s="15" customFormat="1" ht="16.5" hidden="1" customHeight="1" outlineLevel="1" x14ac:dyDescent="0.25">
      <c r="A8900" s="18">
        <v>729</v>
      </c>
      <c r="B8900" s="4" t="s">
        <v>250</v>
      </c>
      <c r="C8900" s="38" t="s">
        <v>7463</v>
      </c>
      <c r="D8900" s="18">
        <v>2022</v>
      </c>
      <c r="E8900" s="18" t="s">
        <v>0</v>
      </c>
      <c r="F8900" s="42">
        <v>1</v>
      </c>
      <c r="G8900" s="4">
        <v>15</v>
      </c>
      <c r="H8900" s="18">
        <v>24.552520000000001</v>
      </c>
    </row>
    <row r="8901" spans="1:8" s="15" customFormat="1" ht="16.5" hidden="1" customHeight="1" outlineLevel="1" x14ac:dyDescent="0.25">
      <c r="A8901" s="18">
        <v>742</v>
      </c>
      <c r="B8901" s="4" t="s">
        <v>250</v>
      </c>
      <c r="C8901" s="38" t="s">
        <v>7464</v>
      </c>
      <c r="D8901" s="18">
        <v>2022</v>
      </c>
      <c r="E8901" s="18" t="s">
        <v>0</v>
      </c>
      <c r="F8901" s="42">
        <v>1</v>
      </c>
      <c r="G8901" s="4">
        <v>15</v>
      </c>
      <c r="H8901" s="18">
        <v>25.38626</v>
      </c>
    </row>
    <row r="8902" spans="1:8" s="15" customFormat="1" ht="16.5" hidden="1" customHeight="1" outlineLevel="1" x14ac:dyDescent="0.25">
      <c r="A8902" s="18">
        <v>755</v>
      </c>
      <c r="B8902" s="4" t="s">
        <v>250</v>
      </c>
      <c r="C8902" s="38" t="s">
        <v>7465</v>
      </c>
      <c r="D8902" s="18">
        <v>2022</v>
      </c>
      <c r="E8902" s="18" t="s">
        <v>0</v>
      </c>
      <c r="F8902" s="42">
        <v>1</v>
      </c>
      <c r="G8902" s="4">
        <v>15</v>
      </c>
      <c r="H8902" s="18">
        <v>24.705549999999999</v>
      </c>
    </row>
    <row r="8903" spans="1:8" s="15" customFormat="1" ht="16.5" hidden="1" customHeight="1" outlineLevel="1" x14ac:dyDescent="0.25">
      <c r="A8903" s="18">
        <v>750</v>
      </c>
      <c r="B8903" s="4" t="s">
        <v>250</v>
      </c>
      <c r="C8903" s="38" t="s">
        <v>7466</v>
      </c>
      <c r="D8903" s="18">
        <v>2022</v>
      </c>
      <c r="E8903" s="18" t="s">
        <v>0</v>
      </c>
      <c r="F8903" s="42">
        <v>1</v>
      </c>
      <c r="G8903" s="4">
        <v>15</v>
      </c>
      <c r="H8903" s="18">
        <v>24.569299999999998</v>
      </c>
    </row>
    <row r="8904" spans="1:8" s="15" customFormat="1" ht="16.5" hidden="1" customHeight="1" outlineLevel="1" x14ac:dyDescent="0.25">
      <c r="A8904" s="18">
        <v>627</v>
      </c>
      <c r="B8904" s="4" t="s">
        <v>250</v>
      </c>
      <c r="C8904" s="38" t="s">
        <v>7467</v>
      </c>
      <c r="D8904" s="18">
        <v>2022</v>
      </c>
      <c r="E8904" s="18" t="s">
        <v>0</v>
      </c>
      <c r="F8904" s="42">
        <v>1</v>
      </c>
      <c r="G8904" s="4">
        <v>15</v>
      </c>
      <c r="H8904" s="18">
        <v>26.325140000000001</v>
      </c>
    </row>
    <row r="8905" spans="1:8" s="15" customFormat="1" ht="16.5" hidden="1" customHeight="1" outlineLevel="1" x14ac:dyDescent="0.25">
      <c r="A8905" s="18">
        <v>778</v>
      </c>
      <c r="B8905" s="4" t="s">
        <v>250</v>
      </c>
      <c r="C8905" s="38" t="s">
        <v>7468</v>
      </c>
      <c r="D8905" s="18">
        <v>2022</v>
      </c>
      <c r="E8905" s="18" t="s">
        <v>0</v>
      </c>
      <c r="F8905" s="42">
        <v>1</v>
      </c>
      <c r="G8905" s="4">
        <v>15</v>
      </c>
      <c r="H8905" s="18">
        <v>24.569330000000001</v>
      </c>
    </row>
    <row r="8906" spans="1:8" s="15" customFormat="1" ht="16.5" hidden="1" customHeight="1" outlineLevel="1" x14ac:dyDescent="0.25">
      <c r="A8906" s="18">
        <v>711</v>
      </c>
      <c r="B8906" s="4" t="s">
        <v>250</v>
      </c>
      <c r="C8906" s="38" t="s">
        <v>7469</v>
      </c>
      <c r="D8906" s="18">
        <v>2022</v>
      </c>
      <c r="E8906" s="18" t="s">
        <v>0</v>
      </c>
      <c r="F8906" s="42">
        <v>1</v>
      </c>
      <c r="G8906" s="4">
        <v>15</v>
      </c>
      <c r="H8906" s="18">
        <v>25.459250000000001</v>
      </c>
    </row>
    <row r="8907" spans="1:8" s="15" customFormat="1" ht="16.5" hidden="1" customHeight="1" outlineLevel="1" x14ac:dyDescent="0.25">
      <c r="A8907" s="18">
        <v>630</v>
      </c>
      <c r="B8907" s="4" t="s">
        <v>250</v>
      </c>
      <c r="C8907" s="38" t="s">
        <v>7470</v>
      </c>
      <c r="D8907" s="18">
        <v>2022</v>
      </c>
      <c r="E8907" s="18" t="s">
        <v>0</v>
      </c>
      <c r="F8907" s="42">
        <v>1</v>
      </c>
      <c r="G8907" s="4">
        <v>15</v>
      </c>
      <c r="H8907" s="18">
        <v>26.357610000000001</v>
      </c>
    </row>
    <row r="8908" spans="1:8" s="15" customFormat="1" ht="16.5" hidden="1" customHeight="1" outlineLevel="1" x14ac:dyDescent="0.25">
      <c r="A8908" s="18">
        <v>590</v>
      </c>
      <c r="B8908" s="4" t="s">
        <v>250</v>
      </c>
      <c r="C8908" s="38" t="s">
        <v>7471</v>
      </c>
      <c r="D8908" s="18">
        <v>2022</v>
      </c>
      <c r="E8908" s="18" t="s">
        <v>0</v>
      </c>
      <c r="F8908" s="42">
        <v>1</v>
      </c>
      <c r="G8908" s="4">
        <v>15</v>
      </c>
      <c r="H8908" s="18">
        <v>22.34158</v>
      </c>
    </row>
    <row r="8909" spans="1:8" s="15" customFormat="1" ht="16.5" hidden="1" customHeight="1" outlineLevel="1" x14ac:dyDescent="0.25">
      <c r="A8909" s="18">
        <v>633</v>
      </c>
      <c r="B8909" s="4" t="s">
        <v>250</v>
      </c>
      <c r="C8909" s="38" t="s">
        <v>7472</v>
      </c>
      <c r="D8909" s="18">
        <v>2022</v>
      </c>
      <c r="E8909" s="18" t="s">
        <v>0</v>
      </c>
      <c r="F8909" s="42">
        <v>1</v>
      </c>
      <c r="G8909" s="4">
        <v>15</v>
      </c>
      <c r="H8909" s="18">
        <v>26.387149999999998</v>
      </c>
    </row>
    <row r="8910" spans="1:8" s="15" customFormat="1" ht="16.5" hidden="1" customHeight="1" outlineLevel="1" x14ac:dyDescent="0.25">
      <c r="A8910" s="18">
        <v>673</v>
      </c>
      <c r="B8910" s="4" t="s">
        <v>250</v>
      </c>
      <c r="C8910" s="38" t="s">
        <v>7473</v>
      </c>
      <c r="D8910" s="18">
        <v>2022</v>
      </c>
      <c r="E8910" s="18" t="s">
        <v>0</v>
      </c>
      <c r="F8910" s="42">
        <v>1</v>
      </c>
      <c r="G8910" s="4">
        <v>15</v>
      </c>
      <c r="H8910" s="18">
        <v>23.198070000000001</v>
      </c>
    </row>
    <row r="8911" spans="1:8" s="15" customFormat="1" ht="16.5" hidden="1" customHeight="1" outlineLevel="1" x14ac:dyDescent="0.25">
      <c r="A8911" s="18">
        <v>761</v>
      </c>
      <c r="B8911" s="4" t="s">
        <v>250</v>
      </c>
      <c r="C8911" s="38" t="s">
        <v>7474</v>
      </c>
      <c r="D8911" s="18">
        <v>2022</v>
      </c>
      <c r="E8911" s="18" t="s">
        <v>0</v>
      </c>
      <c r="F8911" s="42">
        <v>1</v>
      </c>
      <c r="G8911" s="4">
        <v>15</v>
      </c>
      <c r="H8911" s="18">
        <v>24.56934</v>
      </c>
    </row>
    <row r="8912" spans="1:8" s="15" customFormat="1" ht="16.5" hidden="1" customHeight="1" outlineLevel="1" x14ac:dyDescent="0.25">
      <c r="A8912" s="18">
        <v>663</v>
      </c>
      <c r="B8912" s="4" t="s">
        <v>250</v>
      </c>
      <c r="C8912" s="38" t="s">
        <v>7475</v>
      </c>
      <c r="D8912" s="18">
        <v>2022</v>
      </c>
      <c r="E8912" s="18" t="s">
        <v>0</v>
      </c>
      <c r="F8912" s="42">
        <v>1</v>
      </c>
      <c r="G8912" s="4">
        <v>15</v>
      </c>
      <c r="H8912" s="18">
        <v>27.38937</v>
      </c>
    </row>
    <row r="8913" spans="1:8" s="15" customFormat="1" ht="16.5" hidden="1" customHeight="1" outlineLevel="1" x14ac:dyDescent="0.25">
      <c r="A8913" s="18">
        <v>722</v>
      </c>
      <c r="B8913" s="4" t="s">
        <v>250</v>
      </c>
      <c r="C8913" s="38" t="s">
        <v>7476</v>
      </c>
      <c r="D8913" s="18">
        <v>2022</v>
      </c>
      <c r="E8913" s="18" t="s">
        <v>0</v>
      </c>
      <c r="F8913" s="42">
        <v>1</v>
      </c>
      <c r="G8913" s="4">
        <v>15</v>
      </c>
      <c r="H8913" s="18">
        <v>24.68871</v>
      </c>
    </row>
    <row r="8914" spans="1:8" s="15" customFormat="1" ht="16.5" hidden="1" customHeight="1" outlineLevel="1" x14ac:dyDescent="0.25">
      <c r="A8914" s="18">
        <v>664</v>
      </c>
      <c r="B8914" s="4" t="s">
        <v>250</v>
      </c>
      <c r="C8914" s="38" t="s">
        <v>7477</v>
      </c>
      <c r="D8914" s="18">
        <v>2022</v>
      </c>
      <c r="E8914" s="18" t="s">
        <v>0</v>
      </c>
      <c r="F8914" s="42">
        <v>1</v>
      </c>
      <c r="G8914" s="4">
        <v>15</v>
      </c>
      <c r="H8914" s="18">
        <v>22.92305</v>
      </c>
    </row>
    <row r="8915" spans="1:8" s="15" customFormat="1" ht="16.5" hidden="1" customHeight="1" outlineLevel="1" x14ac:dyDescent="0.25">
      <c r="A8915" s="18">
        <v>704</v>
      </c>
      <c r="B8915" s="4" t="s">
        <v>250</v>
      </c>
      <c r="C8915" s="38" t="s">
        <v>7478</v>
      </c>
      <c r="D8915" s="18">
        <v>2022</v>
      </c>
      <c r="E8915" s="18" t="s">
        <v>0</v>
      </c>
      <c r="F8915" s="42">
        <v>1</v>
      </c>
      <c r="G8915" s="4">
        <v>15</v>
      </c>
      <c r="H8915" s="18">
        <v>22.936969999999999</v>
      </c>
    </row>
    <row r="8916" spans="1:8" s="15" customFormat="1" ht="16.5" hidden="1" customHeight="1" outlineLevel="1" x14ac:dyDescent="0.25">
      <c r="A8916" s="18">
        <v>707</v>
      </c>
      <c r="B8916" s="4" t="s">
        <v>250</v>
      </c>
      <c r="C8916" s="38" t="s">
        <v>7479</v>
      </c>
      <c r="D8916" s="18">
        <v>2022</v>
      </c>
      <c r="E8916" s="18" t="s">
        <v>0</v>
      </c>
      <c r="F8916" s="42">
        <v>1</v>
      </c>
      <c r="G8916" s="4">
        <v>15</v>
      </c>
      <c r="H8916" s="18">
        <v>22.937000000000001</v>
      </c>
    </row>
    <row r="8917" spans="1:8" s="15" customFormat="1" ht="16.5" hidden="1" customHeight="1" outlineLevel="1" x14ac:dyDescent="0.25">
      <c r="A8917" s="18">
        <v>605</v>
      </c>
      <c r="B8917" s="4" t="s">
        <v>250</v>
      </c>
      <c r="C8917" s="38" t="s">
        <v>7480</v>
      </c>
      <c r="D8917" s="18">
        <v>2022</v>
      </c>
      <c r="E8917" s="18" t="s">
        <v>0</v>
      </c>
      <c r="F8917" s="42">
        <v>1</v>
      </c>
      <c r="G8917" s="4">
        <v>15</v>
      </c>
      <c r="H8917" s="18">
        <v>22.371169999999999</v>
      </c>
    </row>
    <row r="8918" spans="1:8" s="15" customFormat="1" ht="16.5" hidden="1" customHeight="1" outlineLevel="1" x14ac:dyDescent="0.25">
      <c r="A8918" s="18">
        <v>756</v>
      </c>
      <c r="B8918" s="4" t="s">
        <v>250</v>
      </c>
      <c r="C8918" s="38" t="s">
        <v>7481</v>
      </c>
      <c r="D8918" s="18">
        <v>2022</v>
      </c>
      <c r="E8918" s="18" t="s">
        <v>0</v>
      </c>
      <c r="F8918" s="42">
        <v>1</v>
      </c>
      <c r="G8918" s="4">
        <v>15</v>
      </c>
      <c r="H8918" s="18">
        <v>24.569330000000001</v>
      </c>
    </row>
    <row r="8919" spans="1:8" s="15" customFormat="1" ht="16.5" hidden="1" customHeight="1" outlineLevel="1" x14ac:dyDescent="0.25">
      <c r="A8919" s="18">
        <v>853</v>
      </c>
      <c r="B8919" s="4" t="s">
        <v>250</v>
      </c>
      <c r="C8919" s="38" t="s">
        <v>7482</v>
      </c>
      <c r="D8919" s="18">
        <v>2022</v>
      </c>
      <c r="E8919" s="18" t="s">
        <v>0</v>
      </c>
      <c r="F8919" s="42">
        <v>1</v>
      </c>
      <c r="G8919" s="4">
        <v>15</v>
      </c>
      <c r="H8919" s="18">
        <v>25.446439999999999</v>
      </c>
    </row>
    <row r="8920" spans="1:8" s="15" customFormat="1" ht="16.5" hidden="1" customHeight="1" outlineLevel="1" x14ac:dyDescent="0.25">
      <c r="A8920" s="18">
        <v>674</v>
      </c>
      <c r="B8920" s="4" t="s">
        <v>250</v>
      </c>
      <c r="C8920" s="38" t="s">
        <v>7483</v>
      </c>
      <c r="D8920" s="18">
        <v>2022</v>
      </c>
      <c r="E8920" s="18" t="s">
        <v>0</v>
      </c>
      <c r="F8920" s="42">
        <v>1</v>
      </c>
      <c r="G8920" s="4">
        <v>15</v>
      </c>
      <c r="H8920" s="18">
        <v>22.92577</v>
      </c>
    </row>
    <row r="8921" spans="1:8" s="15" customFormat="1" ht="16.5" hidden="1" customHeight="1" outlineLevel="1" x14ac:dyDescent="0.25">
      <c r="A8921" s="18">
        <v>787</v>
      </c>
      <c r="B8921" s="4" t="s">
        <v>250</v>
      </c>
      <c r="C8921" s="38" t="s">
        <v>7484</v>
      </c>
      <c r="D8921" s="18">
        <v>2022</v>
      </c>
      <c r="E8921" s="18" t="s">
        <v>0</v>
      </c>
      <c r="F8921" s="42">
        <v>1</v>
      </c>
      <c r="G8921" s="4">
        <v>10</v>
      </c>
      <c r="H8921" s="18">
        <v>26.20317</v>
      </c>
    </row>
    <row r="8922" spans="1:8" s="15" customFormat="1" ht="16.5" hidden="1" customHeight="1" outlineLevel="1" x14ac:dyDescent="0.25">
      <c r="A8922" s="18">
        <v>791</v>
      </c>
      <c r="B8922" s="4" t="s">
        <v>250</v>
      </c>
      <c r="C8922" s="38" t="s">
        <v>7485</v>
      </c>
      <c r="D8922" s="18">
        <v>2022</v>
      </c>
      <c r="E8922" s="18" t="s">
        <v>0</v>
      </c>
      <c r="F8922" s="42">
        <v>1</v>
      </c>
      <c r="G8922" s="4">
        <v>15</v>
      </c>
      <c r="H8922" s="18">
        <v>25.522390000000001</v>
      </c>
    </row>
    <row r="8923" spans="1:8" s="15" customFormat="1" ht="16.5" hidden="1" customHeight="1" outlineLevel="1" x14ac:dyDescent="0.25">
      <c r="A8923" s="18">
        <v>838</v>
      </c>
      <c r="B8923" s="4" t="s">
        <v>250</v>
      </c>
      <c r="C8923" s="38" t="s">
        <v>7486</v>
      </c>
      <c r="D8923" s="18">
        <v>2022</v>
      </c>
      <c r="E8923" s="18" t="s">
        <v>0</v>
      </c>
      <c r="F8923" s="42">
        <v>1</v>
      </c>
      <c r="G8923" s="4">
        <v>13</v>
      </c>
      <c r="H8923" s="18">
        <v>25.99109</v>
      </c>
    </row>
    <row r="8924" spans="1:8" s="15" customFormat="1" ht="16.5" hidden="1" customHeight="1" outlineLevel="1" x14ac:dyDescent="0.25">
      <c r="A8924" s="18">
        <v>836</v>
      </c>
      <c r="B8924" s="4" t="s">
        <v>250</v>
      </c>
      <c r="C8924" s="38" t="s">
        <v>7487</v>
      </c>
      <c r="D8924" s="18">
        <v>2022</v>
      </c>
      <c r="E8924" s="18" t="s">
        <v>0</v>
      </c>
      <c r="F8924" s="42">
        <v>1</v>
      </c>
      <c r="G8924" s="4">
        <v>45</v>
      </c>
      <c r="H8924" s="18">
        <v>28.748619999999999</v>
      </c>
    </row>
    <row r="8925" spans="1:8" s="15" customFormat="1" ht="16.5" hidden="1" customHeight="1" outlineLevel="1" x14ac:dyDescent="0.25">
      <c r="A8925" s="18">
        <v>790</v>
      </c>
      <c r="B8925" s="4" t="s">
        <v>250</v>
      </c>
      <c r="C8925" s="38" t="s">
        <v>7488</v>
      </c>
      <c r="D8925" s="18">
        <v>2022</v>
      </c>
      <c r="E8925" s="18" t="s">
        <v>0</v>
      </c>
      <c r="F8925" s="42">
        <v>1</v>
      </c>
      <c r="G8925" s="4">
        <v>15</v>
      </c>
      <c r="H8925" s="18">
        <v>24.977779999999999</v>
      </c>
    </row>
    <row r="8926" spans="1:8" s="15" customFormat="1" ht="16.5" hidden="1" customHeight="1" outlineLevel="1" x14ac:dyDescent="0.25">
      <c r="A8926" s="18">
        <v>846</v>
      </c>
      <c r="B8926" s="4" t="s">
        <v>250</v>
      </c>
      <c r="C8926" s="38" t="s">
        <v>7489</v>
      </c>
      <c r="D8926" s="18">
        <v>2022</v>
      </c>
      <c r="E8926" s="18" t="s">
        <v>0</v>
      </c>
      <c r="F8926" s="42">
        <v>1</v>
      </c>
      <c r="G8926" s="4">
        <v>15</v>
      </c>
      <c r="H8926" s="18">
        <v>25.446449999999999</v>
      </c>
    </row>
    <row r="8927" spans="1:8" s="15" customFormat="1" ht="16.5" hidden="1" customHeight="1" outlineLevel="1" x14ac:dyDescent="0.25">
      <c r="A8927" s="18">
        <v>784</v>
      </c>
      <c r="B8927" s="4" t="s">
        <v>250</v>
      </c>
      <c r="C8927" s="38" t="s">
        <v>7490</v>
      </c>
      <c r="D8927" s="18">
        <v>2022</v>
      </c>
      <c r="E8927" s="18" t="s">
        <v>0</v>
      </c>
      <c r="F8927" s="42">
        <v>1</v>
      </c>
      <c r="G8927" s="4">
        <v>15</v>
      </c>
      <c r="H8927" s="18">
        <v>24.569330000000001</v>
      </c>
    </row>
    <row r="8928" spans="1:8" s="15" customFormat="1" ht="16.5" hidden="1" customHeight="1" outlineLevel="1" x14ac:dyDescent="0.25">
      <c r="A8928" s="18">
        <v>848</v>
      </c>
      <c r="B8928" s="4" t="s">
        <v>249</v>
      </c>
      <c r="C8928" s="38" t="s">
        <v>7491</v>
      </c>
      <c r="D8928" s="18">
        <v>2022</v>
      </c>
      <c r="E8928" s="18" t="s">
        <v>0</v>
      </c>
      <c r="F8928" s="42">
        <v>1</v>
      </c>
      <c r="G8928" s="4">
        <v>15</v>
      </c>
      <c r="H8928" s="18">
        <v>25.446459999999998</v>
      </c>
    </row>
    <row r="8929" spans="1:8" s="15" customFormat="1" ht="16.5" hidden="1" customHeight="1" outlineLevel="1" x14ac:dyDescent="0.25">
      <c r="A8929" s="18">
        <v>802</v>
      </c>
      <c r="B8929" s="4" t="s">
        <v>250</v>
      </c>
      <c r="C8929" s="38" t="s">
        <v>7492</v>
      </c>
      <c r="D8929" s="18">
        <v>2022</v>
      </c>
      <c r="E8929" s="18" t="s">
        <v>0</v>
      </c>
      <c r="F8929" s="42">
        <v>1</v>
      </c>
      <c r="G8929" s="4">
        <v>15</v>
      </c>
      <c r="H8929" s="18">
        <v>24.56598</v>
      </c>
    </row>
    <row r="8930" spans="1:8" s="15" customFormat="1" ht="16.5" hidden="1" customHeight="1" outlineLevel="1" x14ac:dyDescent="0.25">
      <c r="A8930" s="18">
        <v>803</v>
      </c>
      <c r="B8930" s="4" t="s">
        <v>250</v>
      </c>
      <c r="C8930" s="38" t="s">
        <v>7493</v>
      </c>
      <c r="D8930" s="18">
        <v>2022</v>
      </c>
      <c r="E8930" s="18" t="s">
        <v>0</v>
      </c>
      <c r="F8930" s="42">
        <v>1</v>
      </c>
      <c r="G8930" s="4">
        <v>15</v>
      </c>
      <c r="H8930" s="18">
        <v>24.56934</v>
      </c>
    </row>
    <row r="8931" spans="1:8" s="15" customFormat="1" ht="16.5" hidden="1" customHeight="1" outlineLevel="1" x14ac:dyDescent="0.25">
      <c r="A8931" s="18">
        <v>849</v>
      </c>
      <c r="B8931" s="4" t="s">
        <v>250</v>
      </c>
      <c r="C8931" s="38" t="s">
        <v>7494</v>
      </c>
      <c r="D8931" s="18">
        <v>2022</v>
      </c>
      <c r="E8931" s="18" t="s">
        <v>0</v>
      </c>
      <c r="F8931" s="42">
        <v>1</v>
      </c>
      <c r="G8931" s="4">
        <v>15</v>
      </c>
      <c r="H8931" s="18">
        <v>25.446439999999999</v>
      </c>
    </row>
    <row r="8932" spans="1:8" s="15" customFormat="1" ht="16.5" hidden="1" customHeight="1" outlineLevel="1" x14ac:dyDescent="0.25">
      <c r="A8932" s="18">
        <v>694</v>
      </c>
      <c r="B8932" s="4" t="s">
        <v>250</v>
      </c>
      <c r="C8932" s="38" t="s">
        <v>7495</v>
      </c>
      <c r="D8932" s="18">
        <v>2022</v>
      </c>
      <c r="E8932" s="18" t="s">
        <v>0</v>
      </c>
      <c r="F8932" s="42">
        <v>1</v>
      </c>
      <c r="G8932" s="4">
        <v>30</v>
      </c>
      <c r="H8932" s="18">
        <v>28.387560000000001</v>
      </c>
    </row>
    <row r="8933" spans="1:8" s="15" customFormat="1" ht="16.5" hidden="1" customHeight="1" outlineLevel="1" x14ac:dyDescent="0.25">
      <c r="A8933" s="18">
        <v>531</v>
      </c>
      <c r="B8933" s="4" t="s">
        <v>250</v>
      </c>
      <c r="C8933" s="38" t="s">
        <v>7496</v>
      </c>
      <c r="D8933" s="18">
        <v>2022</v>
      </c>
      <c r="E8933" s="18" t="s">
        <v>0</v>
      </c>
      <c r="F8933" s="42">
        <v>1</v>
      </c>
      <c r="G8933" s="4">
        <v>15</v>
      </c>
      <c r="H8933" s="18">
        <v>26.670200000000001</v>
      </c>
    </row>
    <row r="8934" spans="1:8" s="15" customFormat="1" ht="16.5" hidden="1" customHeight="1" outlineLevel="1" x14ac:dyDescent="0.25">
      <c r="A8934" s="18">
        <v>871</v>
      </c>
      <c r="B8934" s="4" t="s">
        <v>250</v>
      </c>
      <c r="C8934" s="38" t="s">
        <v>7497</v>
      </c>
      <c r="D8934" s="18">
        <v>2022</v>
      </c>
      <c r="E8934" s="18" t="s">
        <v>0</v>
      </c>
      <c r="F8934" s="42">
        <v>1</v>
      </c>
      <c r="G8934" s="4">
        <v>15</v>
      </c>
      <c r="H8934" s="18">
        <v>26.207100000000001</v>
      </c>
    </row>
    <row r="8935" spans="1:8" s="15" customFormat="1" ht="16.5" hidden="1" customHeight="1" outlineLevel="1" x14ac:dyDescent="0.25">
      <c r="A8935" s="18">
        <v>797</v>
      </c>
      <c r="B8935" s="4" t="s">
        <v>250</v>
      </c>
      <c r="C8935" s="38" t="s">
        <v>7498</v>
      </c>
      <c r="D8935" s="18">
        <v>2022</v>
      </c>
      <c r="E8935" s="18" t="s">
        <v>0</v>
      </c>
      <c r="F8935" s="42">
        <v>1</v>
      </c>
      <c r="G8935" s="4">
        <v>15</v>
      </c>
      <c r="H8935" s="18">
        <v>25.518190000000001</v>
      </c>
    </row>
    <row r="8936" spans="1:8" s="15" customFormat="1" ht="16.5" hidden="1" customHeight="1" outlineLevel="1" x14ac:dyDescent="0.25">
      <c r="A8936" s="18">
        <v>825</v>
      </c>
      <c r="B8936" s="4" t="s">
        <v>250</v>
      </c>
      <c r="C8936" s="38" t="s">
        <v>7499</v>
      </c>
      <c r="D8936" s="18">
        <v>2022</v>
      </c>
      <c r="E8936" s="18" t="s">
        <v>0</v>
      </c>
      <c r="F8936" s="42">
        <v>1</v>
      </c>
      <c r="G8936" s="4">
        <v>15</v>
      </c>
      <c r="H8936" s="18">
        <v>25.533149999999999</v>
      </c>
    </row>
    <row r="8937" spans="1:8" s="15" customFormat="1" ht="16.5" hidden="1" customHeight="1" outlineLevel="1" x14ac:dyDescent="0.25">
      <c r="A8937" s="18">
        <v>545</v>
      </c>
      <c r="B8937" s="4" t="s">
        <v>250</v>
      </c>
      <c r="C8937" s="38" t="s">
        <v>3545</v>
      </c>
      <c r="D8937" s="18">
        <v>2022</v>
      </c>
      <c r="E8937" s="18" t="s">
        <v>0</v>
      </c>
      <c r="F8937" s="42">
        <v>1</v>
      </c>
      <c r="G8937" s="4">
        <v>15</v>
      </c>
      <c r="H8937" s="18">
        <v>23.913060000000002</v>
      </c>
    </row>
    <row r="8938" spans="1:8" s="15" customFormat="1" ht="16.5" hidden="1" customHeight="1" outlineLevel="1" x14ac:dyDescent="0.25">
      <c r="A8938" s="18">
        <v>773</v>
      </c>
      <c r="B8938" s="4" t="s">
        <v>250</v>
      </c>
      <c r="C8938" s="38" t="s">
        <v>7500</v>
      </c>
      <c r="D8938" s="18">
        <v>2022</v>
      </c>
      <c r="E8938" s="18" t="s">
        <v>0</v>
      </c>
      <c r="F8938" s="42">
        <v>1</v>
      </c>
      <c r="G8938" s="4">
        <v>15</v>
      </c>
      <c r="H8938" s="18">
        <v>26.000779999999999</v>
      </c>
    </row>
    <row r="8939" spans="1:8" s="15" customFormat="1" ht="16.5" hidden="1" customHeight="1" outlineLevel="1" x14ac:dyDescent="0.25">
      <c r="A8939" s="18">
        <v>497</v>
      </c>
      <c r="B8939" s="4" t="s">
        <v>250</v>
      </c>
      <c r="C8939" s="38" t="s">
        <v>3546</v>
      </c>
      <c r="D8939" s="18">
        <v>2022</v>
      </c>
      <c r="E8939" s="18" t="s">
        <v>0</v>
      </c>
      <c r="F8939" s="42">
        <v>1</v>
      </c>
      <c r="G8939" s="4">
        <v>15</v>
      </c>
      <c r="H8939" s="18">
        <v>27.826350000000001</v>
      </c>
    </row>
    <row r="8940" spans="1:8" s="15" customFormat="1" ht="16.5" hidden="1" customHeight="1" outlineLevel="1" x14ac:dyDescent="0.25">
      <c r="A8940" s="18">
        <v>486</v>
      </c>
      <c r="B8940" s="4" t="s">
        <v>250</v>
      </c>
      <c r="C8940" s="38" t="s">
        <v>3548</v>
      </c>
      <c r="D8940" s="18">
        <v>2022</v>
      </c>
      <c r="E8940" s="18" t="s">
        <v>0</v>
      </c>
      <c r="F8940" s="42">
        <v>1</v>
      </c>
      <c r="G8940" s="4">
        <v>15</v>
      </c>
      <c r="H8940" s="18">
        <v>25.60351</v>
      </c>
    </row>
    <row r="8941" spans="1:8" s="15" customFormat="1" ht="16.5" hidden="1" customHeight="1" outlineLevel="1" x14ac:dyDescent="0.25">
      <c r="A8941" s="18">
        <v>833</v>
      </c>
      <c r="B8941" s="4" t="s">
        <v>250</v>
      </c>
      <c r="C8941" s="38" t="s">
        <v>7501</v>
      </c>
      <c r="D8941" s="18">
        <v>2022</v>
      </c>
      <c r="E8941" s="18" t="s">
        <v>0</v>
      </c>
      <c r="F8941" s="42">
        <v>1</v>
      </c>
      <c r="G8941" s="4">
        <v>15</v>
      </c>
      <c r="H8941" s="18">
        <v>26.70853</v>
      </c>
    </row>
    <row r="8942" spans="1:8" s="15" customFormat="1" ht="16.5" hidden="1" customHeight="1" outlineLevel="1" x14ac:dyDescent="0.25">
      <c r="A8942" s="18">
        <v>785</v>
      </c>
      <c r="B8942" s="4" t="s">
        <v>250</v>
      </c>
      <c r="C8942" s="38" t="s">
        <v>7502</v>
      </c>
      <c r="D8942" s="18">
        <v>2022</v>
      </c>
      <c r="E8942" s="18" t="s">
        <v>0</v>
      </c>
      <c r="F8942" s="42">
        <v>1</v>
      </c>
      <c r="G8942" s="4">
        <v>15</v>
      </c>
      <c r="H8942" s="18">
        <v>26.155940000000001</v>
      </c>
    </row>
    <row r="8943" spans="1:8" s="15" customFormat="1" ht="16.5" hidden="1" customHeight="1" outlineLevel="1" x14ac:dyDescent="0.25">
      <c r="A8943" s="18">
        <v>808</v>
      </c>
      <c r="B8943" s="4" t="s">
        <v>249</v>
      </c>
      <c r="C8943" s="38" t="s">
        <v>7503</v>
      </c>
      <c r="D8943" s="18">
        <v>2022</v>
      </c>
      <c r="E8943" s="18" t="s">
        <v>0</v>
      </c>
      <c r="F8943" s="42">
        <v>1</v>
      </c>
      <c r="G8943" s="4">
        <v>15</v>
      </c>
      <c r="H8943" s="18">
        <v>28.28407</v>
      </c>
    </row>
    <row r="8944" spans="1:8" s="15" customFormat="1" ht="16.5" hidden="1" customHeight="1" outlineLevel="1" x14ac:dyDescent="0.25">
      <c r="A8944" s="18">
        <v>818</v>
      </c>
      <c r="B8944" s="4" t="s">
        <v>250</v>
      </c>
      <c r="C8944" s="38" t="s">
        <v>7504</v>
      </c>
      <c r="D8944" s="18">
        <v>2022</v>
      </c>
      <c r="E8944" s="18" t="s">
        <v>0</v>
      </c>
      <c r="F8944" s="42">
        <v>1</v>
      </c>
      <c r="G8944" s="4">
        <v>15</v>
      </c>
      <c r="H8944" s="18">
        <v>26.880189999999999</v>
      </c>
    </row>
    <row r="8945" spans="1:8" s="15" customFormat="1" ht="16.5" hidden="1" customHeight="1" outlineLevel="1" x14ac:dyDescent="0.25">
      <c r="A8945" s="18">
        <v>879</v>
      </c>
      <c r="B8945" s="4" t="s">
        <v>250</v>
      </c>
      <c r="C8945" s="38" t="s">
        <v>7505</v>
      </c>
      <c r="D8945" s="18">
        <v>2022</v>
      </c>
      <c r="E8945" s="18" t="s">
        <v>0</v>
      </c>
      <c r="F8945" s="42">
        <v>1</v>
      </c>
      <c r="G8945" s="4">
        <v>15</v>
      </c>
      <c r="H8945" s="18">
        <v>17.12706</v>
      </c>
    </row>
    <row r="8946" spans="1:8" s="15" customFormat="1" ht="16.5" hidden="1" customHeight="1" outlineLevel="1" x14ac:dyDescent="0.25">
      <c r="A8946" s="18">
        <v>683</v>
      </c>
      <c r="B8946" s="4" t="s">
        <v>250</v>
      </c>
      <c r="C8946" s="38" t="s">
        <v>7506</v>
      </c>
      <c r="D8946" s="18">
        <v>2022</v>
      </c>
      <c r="E8946" s="18" t="s">
        <v>0</v>
      </c>
      <c r="F8946" s="42">
        <v>2</v>
      </c>
      <c r="G8946" s="4">
        <v>30</v>
      </c>
      <c r="H8946" s="18">
        <v>56.649929999999998</v>
      </c>
    </row>
    <row r="8947" spans="1:8" s="15" customFormat="1" ht="16.5" hidden="1" customHeight="1" outlineLevel="1" x14ac:dyDescent="0.25">
      <c r="A8947" s="18">
        <v>809</v>
      </c>
      <c r="B8947" s="4" t="s">
        <v>250</v>
      </c>
      <c r="C8947" s="38" t="s">
        <v>7507</v>
      </c>
      <c r="D8947" s="18">
        <v>2022</v>
      </c>
      <c r="E8947" s="18" t="s">
        <v>0</v>
      </c>
      <c r="F8947" s="42">
        <v>1</v>
      </c>
      <c r="G8947" s="4">
        <v>15</v>
      </c>
      <c r="H8947" s="18">
        <v>24.901399999999999</v>
      </c>
    </row>
    <row r="8948" spans="1:8" s="15" customFormat="1" ht="16.5" hidden="1" customHeight="1" outlineLevel="1" x14ac:dyDescent="0.25">
      <c r="A8948" s="18">
        <v>854</v>
      </c>
      <c r="B8948" s="4" t="s">
        <v>250</v>
      </c>
      <c r="C8948" s="38" t="s">
        <v>7508</v>
      </c>
      <c r="D8948" s="18">
        <v>2022</v>
      </c>
      <c r="E8948" s="18" t="s">
        <v>0</v>
      </c>
      <c r="F8948" s="42">
        <v>1</v>
      </c>
      <c r="G8948" s="4">
        <v>15</v>
      </c>
      <c r="H8948" s="18">
        <v>25.658000000000001</v>
      </c>
    </row>
    <row r="8949" spans="1:8" s="15" customFormat="1" ht="16.5" hidden="1" customHeight="1" outlineLevel="1" x14ac:dyDescent="0.25">
      <c r="A8949" s="18">
        <v>649</v>
      </c>
      <c r="B8949" s="4" t="s">
        <v>250</v>
      </c>
      <c r="C8949" s="38" t="s">
        <v>7509</v>
      </c>
      <c r="D8949" s="18">
        <v>2022</v>
      </c>
      <c r="E8949" s="18" t="s">
        <v>0</v>
      </c>
      <c r="F8949" s="42">
        <v>1</v>
      </c>
      <c r="G8949" s="4">
        <v>7.5</v>
      </c>
      <c r="H8949" s="18">
        <v>22.967210000000001</v>
      </c>
    </row>
    <row r="8950" spans="1:8" s="15" customFormat="1" ht="16.5" hidden="1" customHeight="1" outlineLevel="1" x14ac:dyDescent="0.25">
      <c r="A8950" s="18">
        <v>857</v>
      </c>
      <c r="B8950" s="4" t="s">
        <v>250</v>
      </c>
      <c r="C8950" s="38" t="s">
        <v>7510</v>
      </c>
      <c r="D8950" s="18">
        <v>2022</v>
      </c>
      <c r="E8950" s="18" t="s">
        <v>0</v>
      </c>
      <c r="F8950" s="42">
        <v>1</v>
      </c>
      <c r="G8950" s="4">
        <v>15</v>
      </c>
      <c r="H8950" s="18">
        <v>27.01726</v>
      </c>
    </row>
    <row r="8951" spans="1:8" s="15" customFormat="1" ht="16.5" hidden="1" customHeight="1" outlineLevel="1" x14ac:dyDescent="0.25">
      <c r="A8951" s="18">
        <v>860</v>
      </c>
      <c r="B8951" s="4" t="s">
        <v>249</v>
      </c>
      <c r="C8951" s="38" t="s">
        <v>7511</v>
      </c>
      <c r="D8951" s="18">
        <v>2022</v>
      </c>
      <c r="E8951" s="18" t="s">
        <v>0</v>
      </c>
      <c r="F8951" s="42">
        <v>1</v>
      </c>
      <c r="G8951" s="4">
        <v>15</v>
      </c>
      <c r="H8951" s="18">
        <v>25.487780000000001</v>
      </c>
    </row>
    <row r="8952" spans="1:8" s="15" customFormat="1" ht="16.5" hidden="1" customHeight="1" outlineLevel="1" x14ac:dyDescent="0.25">
      <c r="A8952" s="18">
        <v>506</v>
      </c>
      <c r="B8952" s="4" t="s">
        <v>250</v>
      </c>
      <c r="C8952" s="38" t="s">
        <v>3549</v>
      </c>
      <c r="D8952" s="18">
        <v>2022</v>
      </c>
      <c r="E8952" s="18" t="s">
        <v>0</v>
      </c>
      <c r="F8952" s="42">
        <v>1</v>
      </c>
      <c r="G8952" s="4">
        <v>15</v>
      </c>
      <c r="H8952" s="18">
        <v>29.35304</v>
      </c>
    </row>
    <row r="8953" spans="1:8" s="15" customFormat="1" ht="16.5" hidden="1" customHeight="1" outlineLevel="1" x14ac:dyDescent="0.25">
      <c r="A8953" s="18">
        <v>556</v>
      </c>
      <c r="B8953" s="4" t="s">
        <v>250</v>
      </c>
      <c r="C8953" s="38" t="s">
        <v>3550</v>
      </c>
      <c r="D8953" s="18">
        <v>2022</v>
      </c>
      <c r="E8953" s="18" t="s">
        <v>0</v>
      </c>
      <c r="F8953" s="42">
        <v>1</v>
      </c>
      <c r="G8953" s="4">
        <v>15</v>
      </c>
      <c r="H8953" s="18">
        <v>30.418230000000001</v>
      </c>
    </row>
    <row r="8954" spans="1:8" s="15" customFormat="1" ht="16.5" hidden="1" customHeight="1" outlineLevel="1" x14ac:dyDescent="0.25">
      <c r="A8954" s="18">
        <v>519</v>
      </c>
      <c r="B8954" s="4" t="s">
        <v>250</v>
      </c>
      <c r="C8954" s="38" t="s">
        <v>7512</v>
      </c>
      <c r="D8954" s="18">
        <v>2022</v>
      </c>
      <c r="E8954" s="18" t="s">
        <v>0</v>
      </c>
      <c r="F8954" s="42">
        <v>2</v>
      </c>
      <c r="G8954" s="4">
        <v>30</v>
      </c>
      <c r="H8954" s="18">
        <v>55.557380000000002</v>
      </c>
    </row>
    <row r="8955" spans="1:8" s="15" customFormat="1" ht="16.5" hidden="1" customHeight="1" outlineLevel="1" x14ac:dyDescent="0.25">
      <c r="A8955" s="18">
        <v>561</v>
      </c>
      <c r="B8955" s="4" t="s">
        <v>250</v>
      </c>
      <c r="C8955" s="38" t="s">
        <v>4029</v>
      </c>
      <c r="D8955" s="18">
        <v>2022</v>
      </c>
      <c r="E8955" s="18" t="s">
        <v>0</v>
      </c>
      <c r="F8955" s="42">
        <v>1</v>
      </c>
      <c r="G8955" s="4">
        <v>15</v>
      </c>
      <c r="H8955" s="18">
        <v>59.39002</v>
      </c>
    </row>
    <row r="8956" spans="1:8" s="15" customFormat="1" ht="16.5" hidden="1" customHeight="1" outlineLevel="1" x14ac:dyDescent="0.25">
      <c r="A8956" s="18">
        <v>856</v>
      </c>
      <c r="B8956" s="4" t="s">
        <v>250</v>
      </c>
      <c r="C8956" s="38" t="s">
        <v>7513</v>
      </c>
      <c r="D8956" s="18">
        <v>2022</v>
      </c>
      <c r="E8956" s="18" t="s">
        <v>0</v>
      </c>
      <c r="F8956" s="42">
        <v>1</v>
      </c>
      <c r="G8956" s="4">
        <v>15</v>
      </c>
      <c r="H8956" s="18">
        <v>25.98001</v>
      </c>
    </row>
    <row r="8957" spans="1:8" s="15" customFormat="1" ht="16.5" hidden="1" customHeight="1" outlineLevel="1" x14ac:dyDescent="0.25">
      <c r="A8957" s="18">
        <v>852</v>
      </c>
      <c r="B8957" s="4" t="s">
        <v>250</v>
      </c>
      <c r="C8957" s="38" t="s">
        <v>7514</v>
      </c>
      <c r="D8957" s="18">
        <v>2022</v>
      </c>
      <c r="E8957" s="18" t="s">
        <v>0</v>
      </c>
      <c r="F8957" s="42">
        <v>1</v>
      </c>
      <c r="G8957" s="4">
        <v>15</v>
      </c>
      <c r="H8957" s="18">
        <v>26.160150000000002</v>
      </c>
    </row>
    <row r="8958" spans="1:8" s="15" customFormat="1" ht="16.5" hidden="1" customHeight="1" outlineLevel="1" x14ac:dyDescent="0.25">
      <c r="A8958" s="18">
        <v>855</v>
      </c>
      <c r="B8958" s="4" t="s">
        <v>250</v>
      </c>
      <c r="C8958" s="38" t="s">
        <v>7515</v>
      </c>
      <c r="D8958" s="18">
        <v>2022</v>
      </c>
      <c r="E8958" s="18" t="s">
        <v>0</v>
      </c>
      <c r="F8958" s="42">
        <v>1</v>
      </c>
      <c r="G8958" s="4">
        <v>15</v>
      </c>
      <c r="H8958" s="18">
        <v>25.979990000000001</v>
      </c>
    </row>
    <row r="8959" spans="1:8" s="15" customFormat="1" ht="16.5" hidden="1" customHeight="1" outlineLevel="1" x14ac:dyDescent="0.25">
      <c r="A8959" s="18">
        <v>876</v>
      </c>
      <c r="B8959" s="4" t="s">
        <v>250</v>
      </c>
      <c r="C8959" s="38" t="s">
        <v>7516</v>
      </c>
      <c r="D8959" s="18">
        <v>2022</v>
      </c>
      <c r="E8959" s="18" t="s">
        <v>0</v>
      </c>
      <c r="F8959" s="42">
        <v>1</v>
      </c>
      <c r="G8959" s="4">
        <v>6</v>
      </c>
      <c r="H8959" s="18">
        <v>19.956050000000001</v>
      </c>
    </row>
    <row r="8960" spans="1:8" s="15" customFormat="1" ht="16.5" hidden="1" customHeight="1" outlineLevel="1" x14ac:dyDescent="0.25">
      <c r="A8960" s="18">
        <v>845</v>
      </c>
      <c r="B8960" s="4" t="s">
        <v>250</v>
      </c>
      <c r="C8960" s="38" t="s">
        <v>7517</v>
      </c>
      <c r="D8960" s="18">
        <v>2022</v>
      </c>
      <c r="E8960" s="18" t="s">
        <v>0</v>
      </c>
      <c r="F8960" s="42">
        <v>1</v>
      </c>
      <c r="G8960" s="4">
        <v>6</v>
      </c>
      <c r="H8960" s="18">
        <v>19.312059999999999</v>
      </c>
    </row>
    <row r="8961" spans="1:8" s="15" customFormat="1" ht="16.5" hidden="1" customHeight="1" outlineLevel="1" x14ac:dyDescent="0.25">
      <c r="A8961" s="18">
        <v>814</v>
      </c>
      <c r="B8961" s="4" t="s">
        <v>250</v>
      </c>
      <c r="C8961" s="38" t="s">
        <v>7518</v>
      </c>
      <c r="D8961" s="18">
        <v>2022</v>
      </c>
      <c r="E8961" s="18" t="s">
        <v>0</v>
      </c>
      <c r="F8961" s="42">
        <v>1</v>
      </c>
      <c r="G8961" s="4">
        <v>15</v>
      </c>
      <c r="H8961" s="18">
        <v>26.150269999999999</v>
      </c>
    </row>
    <row r="8962" spans="1:8" s="15" customFormat="1" ht="16.5" hidden="1" customHeight="1" outlineLevel="1" x14ac:dyDescent="0.25">
      <c r="A8962" s="18">
        <v>821</v>
      </c>
      <c r="B8962" s="4" t="s">
        <v>250</v>
      </c>
      <c r="C8962" s="38" t="s">
        <v>7519</v>
      </c>
      <c r="D8962" s="18">
        <v>2022</v>
      </c>
      <c r="E8962" s="18" t="s">
        <v>0</v>
      </c>
      <c r="F8962" s="42">
        <v>1</v>
      </c>
      <c r="G8962" s="4">
        <v>15</v>
      </c>
      <c r="H8962" s="18">
        <v>26.93196</v>
      </c>
    </row>
    <row r="8963" spans="1:8" s="15" customFormat="1" ht="16.5" hidden="1" customHeight="1" outlineLevel="1" x14ac:dyDescent="0.25">
      <c r="A8963" s="18">
        <v>499</v>
      </c>
      <c r="B8963" s="4" t="s">
        <v>250</v>
      </c>
      <c r="C8963" s="38" t="s">
        <v>3554</v>
      </c>
      <c r="D8963" s="18">
        <v>2022</v>
      </c>
      <c r="E8963" s="18" t="s">
        <v>0</v>
      </c>
      <c r="F8963" s="42">
        <v>1</v>
      </c>
      <c r="G8963" s="4">
        <v>15</v>
      </c>
      <c r="H8963" s="18">
        <v>26.45495</v>
      </c>
    </row>
    <row r="8964" spans="1:8" s="15" customFormat="1" ht="16.5" hidden="1" customHeight="1" outlineLevel="1" x14ac:dyDescent="0.25">
      <c r="A8964" s="18">
        <v>488</v>
      </c>
      <c r="B8964" s="4" t="s">
        <v>250</v>
      </c>
      <c r="C8964" s="38" t="s">
        <v>3555</v>
      </c>
      <c r="D8964" s="18">
        <v>2022</v>
      </c>
      <c r="E8964" s="18" t="s">
        <v>0</v>
      </c>
      <c r="F8964" s="42">
        <v>1</v>
      </c>
      <c r="G8964" s="4">
        <v>15</v>
      </c>
      <c r="H8964" s="18">
        <v>26.127050000000001</v>
      </c>
    </row>
    <row r="8965" spans="1:8" s="15" customFormat="1" ht="16.5" hidden="1" customHeight="1" outlineLevel="1" x14ac:dyDescent="0.25">
      <c r="A8965" s="18">
        <v>889</v>
      </c>
      <c r="B8965" s="4" t="s">
        <v>250</v>
      </c>
      <c r="C8965" s="38" t="s">
        <v>7520</v>
      </c>
      <c r="D8965" s="18">
        <v>2022</v>
      </c>
      <c r="E8965" s="18" t="s">
        <v>0</v>
      </c>
      <c r="F8965" s="42">
        <v>1</v>
      </c>
      <c r="G8965" s="4">
        <v>14.75</v>
      </c>
      <c r="H8965" s="18">
        <v>19.692679999999999</v>
      </c>
    </row>
    <row r="8966" spans="1:8" s="15" customFormat="1" ht="16.5" hidden="1" customHeight="1" outlineLevel="1" x14ac:dyDescent="0.25">
      <c r="A8966" s="18">
        <v>888</v>
      </c>
      <c r="B8966" s="4" t="s">
        <v>250</v>
      </c>
      <c r="C8966" s="38" t="s">
        <v>7521</v>
      </c>
      <c r="D8966" s="18">
        <v>2022</v>
      </c>
      <c r="E8966" s="18" t="s">
        <v>0</v>
      </c>
      <c r="F8966" s="42">
        <v>1</v>
      </c>
      <c r="G8966" s="4">
        <v>17</v>
      </c>
      <c r="H8966" s="18">
        <v>19.69267</v>
      </c>
    </row>
    <row r="8967" spans="1:8" s="15" customFormat="1" ht="16.5" hidden="1" customHeight="1" outlineLevel="1" x14ac:dyDescent="0.25">
      <c r="A8967" s="18">
        <v>887</v>
      </c>
      <c r="B8967" s="4" t="s">
        <v>250</v>
      </c>
      <c r="C8967" s="38" t="s">
        <v>7522</v>
      </c>
      <c r="D8967" s="18">
        <v>2022</v>
      </c>
      <c r="E8967" s="18" t="s">
        <v>0</v>
      </c>
      <c r="F8967" s="42">
        <v>1</v>
      </c>
      <c r="G8967" s="4">
        <v>17</v>
      </c>
      <c r="H8967" s="18">
        <v>19.69267</v>
      </c>
    </row>
    <row r="8968" spans="1:8" s="15" customFormat="1" ht="16.5" hidden="1" customHeight="1" outlineLevel="1" x14ac:dyDescent="0.25">
      <c r="A8968" s="18">
        <v>885</v>
      </c>
      <c r="B8968" s="4" t="s">
        <v>250</v>
      </c>
      <c r="C8968" s="38" t="s">
        <v>7523</v>
      </c>
      <c r="D8968" s="18">
        <v>2022</v>
      </c>
      <c r="E8968" s="18" t="s">
        <v>0</v>
      </c>
      <c r="F8968" s="42">
        <v>1</v>
      </c>
      <c r="G8968" s="4">
        <v>15</v>
      </c>
      <c r="H8968" s="18">
        <v>19.692699999999999</v>
      </c>
    </row>
    <row r="8969" spans="1:8" s="15" customFormat="1" ht="16.5" hidden="1" customHeight="1" outlineLevel="1" x14ac:dyDescent="0.25">
      <c r="A8969" s="18">
        <v>890</v>
      </c>
      <c r="B8969" s="4" t="s">
        <v>250</v>
      </c>
      <c r="C8969" s="38" t="s">
        <v>7524</v>
      </c>
      <c r="D8969" s="18">
        <v>2022</v>
      </c>
      <c r="E8969" s="18" t="s">
        <v>0</v>
      </c>
      <c r="F8969" s="42">
        <v>1</v>
      </c>
      <c r="G8969" s="4">
        <v>17</v>
      </c>
      <c r="H8969" s="18">
        <v>19.692599999999999</v>
      </c>
    </row>
    <row r="8970" spans="1:8" s="15" customFormat="1" ht="16.5" hidden="1" customHeight="1" outlineLevel="1" x14ac:dyDescent="0.25">
      <c r="A8970" s="18">
        <v>702</v>
      </c>
      <c r="B8970" s="4" t="s">
        <v>250</v>
      </c>
      <c r="C8970" s="38" t="s">
        <v>7525</v>
      </c>
      <c r="D8970" s="18">
        <v>2022</v>
      </c>
      <c r="E8970" s="18" t="s">
        <v>0</v>
      </c>
      <c r="F8970" s="42">
        <v>1</v>
      </c>
      <c r="G8970" s="4">
        <v>15</v>
      </c>
      <c r="H8970" s="18">
        <v>21.806560000000001</v>
      </c>
    </row>
    <row r="8971" spans="1:8" s="15" customFormat="1" ht="16.5" hidden="1" customHeight="1" outlineLevel="1" x14ac:dyDescent="0.25">
      <c r="A8971" s="18">
        <v>525</v>
      </c>
      <c r="B8971" s="4" t="s">
        <v>250</v>
      </c>
      <c r="C8971" s="38" t="s">
        <v>3557</v>
      </c>
      <c r="D8971" s="18">
        <v>2022</v>
      </c>
      <c r="E8971" s="18" t="s">
        <v>0</v>
      </c>
      <c r="F8971" s="42">
        <v>1</v>
      </c>
      <c r="G8971" s="4">
        <v>15</v>
      </c>
      <c r="H8971" s="18">
        <v>27.048349999999999</v>
      </c>
    </row>
    <row r="8972" spans="1:8" s="15" customFormat="1" ht="16.5" hidden="1" customHeight="1" outlineLevel="1" x14ac:dyDescent="0.25">
      <c r="A8972" s="18">
        <v>503</v>
      </c>
      <c r="B8972" s="4" t="s">
        <v>250</v>
      </c>
      <c r="C8972" s="38" t="s">
        <v>3558</v>
      </c>
      <c r="D8972" s="18">
        <v>2022</v>
      </c>
      <c r="E8972" s="18" t="s">
        <v>0</v>
      </c>
      <c r="F8972" s="42">
        <v>1</v>
      </c>
      <c r="G8972" s="4">
        <v>15</v>
      </c>
      <c r="H8972" s="18">
        <v>26.495200000000001</v>
      </c>
    </row>
    <row r="8973" spans="1:8" s="15" customFormat="1" ht="16.5" hidden="1" customHeight="1" outlineLevel="1" x14ac:dyDescent="0.25">
      <c r="A8973" s="18">
        <v>695</v>
      </c>
      <c r="B8973" s="4" t="s">
        <v>250</v>
      </c>
      <c r="C8973" s="38" t="s">
        <v>7526</v>
      </c>
      <c r="D8973" s="18">
        <v>2022</v>
      </c>
      <c r="E8973" s="18" t="s">
        <v>0</v>
      </c>
      <c r="F8973" s="42">
        <v>1</v>
      </c>
      <c r="G8973" s="4">
        <v>130</v>
      </c>
      <c r="H8973" s="18">
        <v>48.269460000000002</v>
      </c>
    </row>
    <row r="8974" spans="1:8" s="15" customFormat="1" ht="16.5" hidden="1" customHeight="1" outlineLevel="1" x14ac:dyDescent="0.25">
      <c r="A8974" s="18">
        <v>891</v>
      </c>
      <c r="B8974" s="4" t="s">
        <v>250</v>
      </c>
      <c r="C8974" s="38" t="s">
        <v>7527</v>
      </c>
      <c r="D8974" s="18">
        <v>2022</v>
      </c>
      <c r="E8974" s="18" t="s">
        <v>0</v>
      </c>
      <c r="F8974" s="42">
        <v>1</v>
      </c>
      <c r="G8974" s="4">
        <v>15</v>
      </c>
      <c r="H8974" s="18">
        <v>21.739319999999999</v>
      </c>
    </row>
    <row r="8975" spans="1:8" s="15" customFormat="1" ht="16.5" hidden="1" customHeight="1" outlineLevel="1" x14ac:dyDescent="0.25">
      <c r="A8975" s="18">
        <v>892</v>
      </c>
      <c r="B8975" s="4" t="s">
        <v>250</v>
      </c>
      <c r="C8975" s="38" t="s">
        <v>7528</v>
      </c>
      <c r="D8975" s="18">
        <v>2022</v>
      </c>
      <c r="E8975" s="18" t="s">
        <v>0</v>
      </c>
      <c r="F8975" s="42">
        <v>1</v>
      </c>
      <c r="G8975" s="4">
        <v>15</v>
      </c>
      <c r="H8975" s="18">
        <v>20.161059999999999</v>
      </c>
    </row>
    <row r="8976" spans="1:8" s="15" customFormat="1" ht="16.5" hidden="1" customHeight="1" outlineLevel="1" x14ac:dyDescent="0.25">
      <c r="A8976" s="18">
        <v>893</v>
      </c>
      <c r="B8976" s="4" t="s">
        <v>250</v>
      </c>
      <c r="C8976" s="38" t="s">
        <v>7529</v>
      </c>
      <c r="D8976" s="18">
        <v>2022</v>
      </c>
      <c r="E8976" s="18" t="s">
        <v>0</v>
      </c>
      <c r="F8976" s="42">
        <v>1</v>
      </c>
      <c r="G8976" s="4">
        <v>15</v>
      </c>
      <c r="H8976" s="18">
        <v>22.528449999999999</v>
      </c>
    </row>
    <row r="8977" spans="1:8" s="15" customFormat="1" ht="16.5" hidden="1" customHeight="1" outlineLevel="1" x14ac:dyDescent="0.25">
      <c r="A8977" s="18">
        <v>894</v>
      </c>
      <c r="B8977" s="4" t="s">
        <v>250</v>
      </c>
      <c r="C8977" s="38" t="s">
        <v>7530</v>
      </c>
      <c r="D8977" s="18">
        <v>2022</v>
      </c>
      <c r="E8977" s="18" t="s">
        <v>0</v>
      </c>
      <c r="F8977" s="42">
        <v>1</v>
      </c>
      <c r="G8977" s="4">
        <v>15</v>
      </c>
      <c r="H8977" s="18">
        <v>20.161069999999999</v>
      </c>
    </row>
    <row r="8978" spans="1:8" s="15" customFormat="1" ht="16.5" hidden="1" customHeight="1" outlineLevel="1" x14ac:dyDescent="0.25">
      <c r="A8978" s="18">
        <v>895</v>
      </c>
      <c r="B8978" s="4" t="s">
        <v>250</v>
      </c>
      <c r="C8978" s="38" t="s">
        <v>7531</v>
      </c>
      <c r="D8978" s="18">
        <v>2022</v>
      </c>
      <c r="E8978" s="18" t="s">
        <v>0</v>
      </c>
      <c r="F8978" s="42">
        <v>1</v>
      </c>
      <c r="G8978" s="4">
        <v>15</v>
      </c>
      <c r="H8978" s="18">
        <v>20.161049999999999</v>
      </c>
    </row>
    <row r="8979" spans="1:8" s="15" customFormat="1" ht="16.5" hidden="1" customHeight="1" outlineLevel="1" x14ac:dyDescent="0.25">
      <c r="A8979" s="18">
        <v>822</v>
      </c>
      <c r="B8979" s="4" t="s">
        <v>250</v>
      </c>
      <c r="C8979" s="38" t="s">
        <v>7532</v>
      </c>
      <c r="D8979" s="18">
        <v>2022</v>
      </c>
      <c r="E8979" s="18" t="s">
        <v>0</v>
      </c>
      <c r="F8979" s="42">
        <v>1</v>
      </c>
      <c r="G8979" s="4">
        <v>15</v>
      </c>
      <c r="H8979" s="18">
        <v>26.76211</v>
      </c>
    </row>
    <row r="8980" spans="1:8" s="15" customFormat="1" ht="16.5" hidden="1" customHeight="1" outlineLevel="1" x14ac:dyDescent="0.25">
      <c r="A8980" s="18">
        <v>898</v>
      </c>
      <c r="B8980" s="4" t="s">
        <v>250</v>
      </c>
      <c r="C8980" s="38" t="s">
        <v>7533</v>
      </c>
      <c r="D8980" s="18">
        <v>2022</v>
      </c>
      <c r="E8980" s="18" t="s">
        <v>0</v>
      </c>
      <c r="F8980" s="42">
        <v>1</v>
      </c>
      <c r="G8980" s="4">
        <v>15</v>
      </c>
      <c r="H8980" s="18">
        <v>19.164480000000001</v>
      </c>
    </row>
    <row r="8981" spans="1:8" s="15" customFormat="1" ht="16.5" hidden="1" customHeight="1" outlineLevel="1" x14ac:dyDescent="0.25">
      <c r="A8981" s="18">
        <v>899</v>
      </c>
      <c r="B8981" s="4" t="s">
        <v>250</v>
      </c>
      <c r="C8981" s="38" t="s">
        <v>7534</v>
      </c>
      <c r="D8981" s="18">
        <v>2022</v>
      </c>
      <c r="E8981" s="18" t="s">
        <v>0</v>
      </c>
      <c r="F8981" s="42">
        <v>1</v>
      </c>
      <c r="G8981" s="4">
        <v>15</v>
      </c>
      <c r="H8981" s="18">
        <v>19.308399999999999</v>
      </c>
    </row>
    <row r="8982" spans="1:8" s="15" customFormat="1" ht="16.5" hidden="1" customHeight="1" outlineLevel="1" x14ac:dyDescent="0.25">
      <c r="A8982" s="18">
        <v>900</v>
      </c>
      <c r="B8982" s="4" t="s">
        <v>250</v>
      </c>
      <c r="C8982" s="38" t="s">
        <v>7535</v>
      </c>
      <c r="D8982" s="18">
        <v>2022</v>
      </c>
      <c r="E8982" s="18" t="s">
        <v>0</v>
      </c>
      <c r="F8982" s="42">
        <v>1</v>
      </c>
      <c r="G8982" s="4">
        <v>13</v>
      </c>
      <c r="H8982" s="18">
        <v>19.308409999999999</v>
      </c>
    </row>
    <row r="8983" spans="1:8" s="15" customFormat="1" ht="16.5" hidden="1" customHeight="1" outlineLevel="1" x14ac:dyDescent="0.25">
      <c r="A8983" s="18">
        <v>901</v>
      </c>
      <c r="B8983" s="4" t="s">
        <v>250</v>
      </c>
      <c r="C8983" s="38" t="s">
        <v>7536</v>
      </c>
      <c r="D8983" s="18">
        <v>2022</v>
      </c>
      <c r="E8983" s="18" t="s">
        <v>0</v>
      </c>
      <c r="F8983" s="42">
        <v>1</v>
      </c>
      <c r="G8983" s="4">
        <v>15</v>
      </c>
      <c r="H8983" s="18">
        <v>19.308409999999999</v>
      </c>
    </row>
    <row r="8984" spans="1:8" s="15" customFormat="1" ht="16.5" hidden="1" customHeight="1" outlineLevel="1" x14ac:dyDescent="0.25">
      <c r="A8984" s="18">
        <v>902</v>
      </c>
      <c r="B8984" s="4" t="s">
        <v>250</v>
      </c>
      <c r="C8984" s="38" t="s">
        <v>7537</v>
      </c>
      <c r="D8984" s="18">
        <v>2022</v>
      </c>
      <c r="E8984" s="18" t="s">
        <v>0</v>
      </c>
      <c r="F8984" s="42">
        <v>1</v>
      </c>
      <c r="G8984" s="4">
        <v>15</v>
      </c>
      <c r="H8984" s="18">
        <v>19.30838</v>
      </c>
    </row>
    <row r="8985" spans="1:8" s="15" customFormat="1" ht="16.5" hidden="1" customHeight="1" outlineLevel="1" x14ac:dyDescent="0.25">
      <c r="A8985" s="18">
        <v>903</v>
      </c>
      <c r="B8985" s="4" t="s">
        <v>250</v>
      </c>
      <c r="C8985" s="38" t="s">
        <v>7538</v>
      </c>
      <c r="D8985" s="18">
        <v>2022</v>
      </c>
      <c r="E8985" s="18" t="s">
        <v>0</v>
      </c>
      <c r="F8985" s="42">
        <v>1</v>
      </c>
      <c r="G8985" s="4">
        <v>15</v>
      </c>
      <c r="H8985" s="18">
        <v>19.308389999999999</v>
      </c>
    </row>
    <row r="8986" spans="1:8" s="15" customFormat="1" ht="16.5" hidden="1" customHeight="1" outlineLevel="1" x14ac:dyDescent="0.25">
      <c r="A8986" s="18">
        <v>904</v>
      </c>
      <c r="B8986" s="4" t="s">
        <v>250</v>
      </c>
      <c r="C8986" s="38" t="s">
        <v>7539</v>
      </c>
      <c r="D8986" s="18">
        <v>2022</v>
      </c>
      <c r="E8986" s="18" t="s">
        <v>0</v>
      </c>
      <c r="F8986" s="42">
        <v>1</v>
      </c>
      <c r="G8986" s="4">
        <v>15</v>
      </c>
      <c r="H8986" s="18">
        <v>19.308409999999999</v>
      </c>
    </row>
    <row r="8987" spans="1:8" s="15" customFormat="1" ht="16.5" hidden="1" customHeight="1" outlineLevel="1" x14ac:dyDescent="0.25">
      <c r="A8987" s="18">
        <v>905</v>
      </c>
      <c r="B8987" s="4" t="s">
        <v>250</v>
      </c>
      <c r="C8987" s="38" t="s">
        <v>7540</v>
      </c>
      <c r="D8987" s="18">
        <v>2022</v>
      </c>
      <c r="E8987" s="18" t="s">
        <v>0</v>
      </c>
      <c r="F8987" s="42">
        <v>1</v>
      </c>
      <c r="G8987" s="4">
        <v>15</v>
      </c>
      <c r="H8987" s="18">
        <v>19.308389999999999</v>
      </c>
    </row>
    <row r="8988" spans="1:8" s="15" customFormat="1" ht="16.5" hidden="1" customHeight="1" outlineLevel="1" x14ac:dyDescent="0.25">
      <c r="A8988" s="18">
        <v>906</v>
      </c>
      <c r="B8988" s="4" t="s">
        <v>250</v>
      </c>
      <c r="C8988" s="38" t="s">
        <v>7541</v>
      </c>
      <c r="D8988" s="18">
        <v>2022</v>
      </c>
      <c r="E8988" s="18" t="s">
        <v>0</v>
      </c>
      <c r="F8988" s="42">
        <v>1</v>
      </c>
      <c r="G8988" s="4">
        <v>15</v>
      </c>
      <c r="H8988" s="18">
        <v>19.308409999999999</v>
      </c>
    </row>
    <row r="8989" spans="1:8" s="15" customFormat="1" ht="16.5" hidden="1" customHeight="1" outlineLevel="1" x14ac:dyDescent="0.25">
      <c r="A8989" s="18">
        <v>907</v>
      </c>
      <c r="B8989" s="4" t="s">
        <v>250</v>
      </c>
      <c r="C8989" s="38" t="s">
        <v>7542</v>
      </c>
      <c r="D8989" s="18">
        <v>2022</v>
      </c>
      <c r="E8989" s="18" t="s">
        <v>0</v>
      </c>
      <c r="F8989" s="42">
        <v>1</v>
      </c>
      <c r="G8989" s="4">
        <v>15</v>
      </c>
      <c r="H8989" s="18">
        <v>19.30828</v>
      </c>
    </row>
    <row r="8990" spans="1:8" s="15" customFormat="1" ht="16.5" hidden="1" customHeight="1" outlineLevel="1" x14ac:dyDescent="0.25">
      <c r="A8990" s="18">
        <v>828</v>
      </c>
      <c r="B8990" s="4" t="s">
        <v>250</v>
      </c>
      <c r="C8990" s="38" t="s">
        <v>7543</v>
      </c>
      <c r="D8990" s="18">
        <v>2022</v>
      </c>
      <c r="E8990" s="18" t="s">
        <v>0</v>
      </c>
      <c r="F8990" s="42">
        <v>1</v>
      </c>
      <c r="G8990" s="4">
        <v>15</v>
      </c>
      <c r="H8990" s="18">
        <v>24.445810000000002</v>
      </c>
    </row>
    <row r="8991" spans="1:8" s="15" customFormat="1" ht="16.5" hidden="1" customHeight="1" outlineLevel="1" x14ac:dyDescent="0.25">
      <c r="A8991" s="18">
        <v>877</v>
      </c>
      <c r="B8991" s="4" t="s">
        <v>250</v>
      </c>
      <c r="C8991" s="38" t="s">
        <v>7544</v>
      </c>
      <c r="D8991" s="18">
        <v>2022</v>
      </c>
      <c r="E8991" s="18" t="s">
        <v>0</v>
      </c>
      <c r="F8991" s="42">
        <v>1</v>
      </c>
      <c r="G8991" s="4">
        <v>15</v>
      </c>
      <c r="H8991" s="18">
        <v>25.445530000000002</v>
      </c>
    </row>
    <row r="8992" spans="1:8" s="15" customFormat="1" ht="16.5" hidden="1" customHeight="1" outlineLevel="1" x14ac:dyDescent="0.25">
      <c r="A8992" s="18">
        <v>811</v>
      </c>
      <c r="B8992" s="4" t="s">
        <v>250</v>
      </c>
      <c r="C8992" s="38" t="s">
        <v>7545</v>
      </c>
      <c r="D8992" s="18">
        <v>2022</v>
      </c>
      <c r="E8992" s="18" t="s">
        <v>0</v>
      </c>
      <c r="F8992" s="42">
        <v>1</v>
      </c>
      <c r="G8992" s="4">
        <v>15</v>
      </c>
      <c r="H8992" s="18">
        <v>24.445810000000002</v>
      </c>
    </row>
    <row r="8993" spans="1:8" s="15" customFormat="1" ht="16.5" hidden="1" customHeight="1" outlineLevel="1" x14ac:dyDescent="0.25">
      <c r="A8993" s="18">
        <v>823</v>
      </c>
      <c r="B8993" s="4" t="s">
        <v>250</v>
      </c>
      <c r="C8993" s="38" t="s">
        <v>7546</v>
      </c>
      <c r="D8993" s="18">
        <v>2022</v>
      </c>
      <c r="E8993" s="18" t="s">
        <v>0</v>
      </c>
      <c r="F8993" s="42">
        <v>1</v>
      </c>
      <c r="G8993" s="4">
        <v>15</v>
      </c>
      <c r="H8993" s="18">
        <v>24.851600000000001</v>
      </c>
    </row>
    <row r="8994" spans="1:8" s="15" customFormat="1" ht="16.5" hidden="1" customHeight="1" outlineLevel="1" x14ac:dyDescent="0.25">
      <c r="A8994" s="18">
        <v>824</v>
      </c>
      <c r="B8994" s="4" t="s">
        <v>250</v>
      </c>
      <c r="C8994" s="38" t="s">
        <v>7547</v>
      </c>
      <c r="D8994" s="18">
        <v>2022</v>
      </c>
      <c r="E8994" s="18" t="s">
        <v>0</v>
      </c>
      <c r="F8994" s="42">
        <v>1</v>
      </c>
      <c r="G8994" s="4">
        <v>15</v>
      </c>
      <c r="H8994" s="18">
        <v>24.445789999999999</v>
      </c>
    </row>
    <row r="8995" spans="1:8" s="15" customFormat="1" ht="16.5" hidden="1" customHeight="1" outlineLevel="1" x14ac:dyDescent="0.25">
      <c r="A8995" s="18">
        <v>859</v>
      </c>
      <c r="B8995" s="4" t="s">
        <v>250</v>
      </c>
      <c r="C8995" s="38" t="s">
        <v>7548</v>
      </c>
      <c r="D8995" s="18">
        <v>2022</v>
      </c>
      <c r="E8995" s="18" t="s">
        <v>0</v>
      </c>
      <c r="F8995" s="42">
        <v>1</v>
      </c>
      <c r="G8995" s="4">
        <v>15</v>
      </c>
      <c r="H8995" s="18">
        <v>25.229130000000001</v>
      </c>
    </row>
    <row r="8996" spans="1:8" s="15" customFormat="1" ht="16.5" hidden="1" customHeight="1" outlineLevel="1" x14ac:dyDescent="0.25">
      <c r="A8996" s="18">
        <v>832</v>
      </c>
      <c r="B8996" s="4" t="s">
        <v>250</v>
      </c>
      <c r="C8996" s="38" t="s">
        <v>7549</v>
      </c>
      <c r="D8996" s="18">
        <v>2022</v>
      </c>
      <c r="E8996" s="18" t="s">
        <v>0</v>
      </c>
      <c r="F8996" s="42">
        <v>1</v>
      </c>
      <c r="G8996" s="4">
        <v>15</v>
      </c>
      <c r="H8996" s="18">
        <v>24.445799999999998</v>
      </c>
    </row>
    <row r="8997" spans="1:8" s="15" customFormat="1" ht="16.5" hidden="1" customHeight="1" outlineLevel="1" x14ac:dyDescent="0.25">
      <c r="A8997" s="18">
        <v>562</v>
      </c>
      <c r="B8997" s="4" t="s">
        <v>250</v>
      </c>
      <c r="C8997" s="38" t="s">
        <v>4030</v>
      </c>
      <c r="D8997" s="18">
        <v>2022</v>
      </c>
      <c r="E8997" s="18" t="s">
        <v>0</v>
      </c>
      <c r="F8997" s="42">
        <v>1</v>
      </c>
      <c r="G8997" s="4">
        <v>15</v>
      </c>
      <c r="H8997" s="18">
        <v>99.165459999999996</v>
      </c>
    </row>
    <row r="8998" spans="1:8" s="15" customFormat="1" ht="16.5" hidden="1" customHeight="1" outlineLevel="1" x14ac:dyDescent="0.25">
      <c r="A8998" s="18">
        <v>563</v>
      </c>
      <c r="B8998" s="4" t="s">
        <v>250</v>
      </c>
      <c r="C8998" s="38" t="s">
        <v>3561</v>
      </c>
      <c r="D8998" s="18">
        <v>2022</v>
      </c>
      <c r="E8998" s="18" t="s">
        <v>0</v>
      </c>
      <c r="F8998" s="42">
        <v>3</v>
      </c>
      <c r="G8998" s="4">
        <v>33</v>
      </c>
      <c r="H8998" s="18">
        <v>139.89227</v>
      </c>
    </row>
    <row r="8999" spans="1:8" s="15" customFormat="1" ht="16.5" hidden="1" customHeight="1" outlineLevel="1" x14ac:dyDescent="0.25">
      <c r="A8999" s="18">
        <v>564</v>
      </c>
      <c r="B8999" s="4" t="s">
        <v>250</v>
      </c>
      <c r="C8999" s="38" t="s">
        <v>4031</v>
      </c>
      <c r="D8999" s="18">
        <v>2022</v>
      </c>
      <c r="E8999" s="18" t="s">
        <v>0</v>
      </c>
      <c r="F8999" s="42">
        <v>1</v>
      </c>
      <c r="G8999" s="4">
        <v>15</v>
      </c>
      <c r="H8999" s="18">
        <v>50.113990000000001</v>
      </c>
    </row>
    <row r="9000" spans="1:8" s="15" customFormat="1" ht="16.5" hidden="1" customHeight="1" outlineLevel="1" x14ac:dyDescent="0.25">
      <c r="A9000" s="18">
        <v>565</v>
      </c>
      <c r="B9000" s="4" t="s">
        <v>250</v>
      </c>
      <c r="C9000" s="38" t="s">
        <v>7550</v>
      </c>
      <c r="D9000" s="18">
        <v>2022</v>
      </c>
      <c r="E9000" s="18" t="s">
        <v>0</v>
      </c>
      <c r="F9000" s="42">
        <v>1</v>
      </c>
      <c r="G9000" s="4">
        <v>15</v>
      </c>
      <c r="H9000" s="18">
        <v>51.032589999999999</v>
      </c>
    </row>
    <row r="9001" spans="1:8" s="15" customFormat="1" ht="16.5" hidden="1" customHeight="1" outlineLevel="1" x14ac:dyDescent="0.25">
      <c r="A9001" s="18">
        <v>566</v>
      </c>
      <c r="B9001" s="4" t="s">
        <v>250</v>
      </c>
      <c r="C9001" s="38" t="s">
        <v>3563</v>
      </c>
      <c r="D9001" s="18">
        <v>2022</v>
      </c>
      <c r="E9001" s="18" t="s">
        <v>0</v>
      </c>
      <c r="F9001" s="42">
        <v>1</v>
      </c>
      <c r="G9001" s="4">
        <v>15</v>
      </c>
      <c r="H9001" s="18">
        <v>63.130009999999999</v>
      </c>
    </row>
    <row r="9002" spans="1:8" s="15" customFormat="1" ht="16.5" hidden="1" customHeight="1" outlineLevel="1" x14ac:dyDescent="0.25">
      <c r="A9002" s="18">
        <v>908</v>
      </c>
      <c r="B9002" s="4" t="s">
        <v>250</v>
      </c>
      <c r="C9002" s="38" t="s">
        <v>7551</v>
      </c>
      <c r="D9002" s="18">
        <v>2022</v>
      </c>
      <c r="E9002" s="18" t="s">
        <v>0</v>
      </c>
      <c r="F9002" s="42">
        <v>1</v>
      </c>
      <c r="G9002" s="4">
        <v>15</v>
      </c>
      <c r="H9002" s="18">
        <v>26.575089999999999</v>
      </c>
    </row>
    <row r="9003" spans="1:8" s="15" customFormat="1" ht="16.5" hidden="1" customHeight="1" outlineLevel="1" x14ac:dyDescent="0.25">
      <c r="A9003" s="18">
        <v>909</v>
      </c>
      <c r="B9003" s="4" t="s">
        <v>250</v>
      </c>
      <c r="C9003" s="38" t="s">
        <v>7552</v>
      </c>
      <c r="D9003" s="18">
        <v>2022</v>
      </c>
      <c r="E9003" s="18" t="s">
        <v>0</v>
      </c>
      <c r="F9003" s="42">
        <v>1</v>
      </c>
      <c r="G9003" s="4">
        <v>15</v>
      </c>
      <c r="H9003" s="18">
        <v>17.067450000000001</v>
      </c>
    </row>
    <row r="9004" spans="1:8" s="15" customFormat="1" ht="16.5" hidden="1" customHeight="1" outlineLevel="1" x14ac:dyDescent="0.25">
      <c r="A9004" s="18">
        <v>851</v>
      </c>
      <c r="B9004" s="4" t="s">
        <v>250</v>
      </c>
      <c r="C9004" s="38" t="s">
        <v>7553</v>
      </c>
      <c r="D9004" s="18">
        <v>2022</v>
      </c>
      <c r="E9004" s="18" t="s">
        <v>0</v>
      </c>
      <c r="F9004" s="42">
        <v>1</v>
      </c>
      <c r="G9004" s="4">
        <v>15</v>
      </c>
      <c r="H9004" s="18">
        <v>25.17285</v>
      </c>
    </row>
    <row r="9005" spans="1:8" s="15" customFormat="1" ht="16.5" hidden="1" customHeight="1" outlineLevel="1" x14ac:dyDescent="0.25">
      <c r="A9005" s="18">
        <v>847</v>
      </c>
      <c r="B9005" s="4" t="s">
        <v>250</v>
      </c>
      <c r="C9005" s="38" t="s">
        <v>7554</v>
      </c>
      <c r="D9005" s="18">
        <v>2022</v>
      </c>
      <c r="E9005" s="18" t="s">
        <v>0</v>
      </c>
      <c r="F9005" s="42">
        <v>1</v>
      </c>
      <c r="G9005" s="4">
        <v>15</v>
      </c>
      <c r="H9005" s="18">
        <v>25.172879999999999</v>
      </c>
    </row>
    <row r="9006" spans="1:8" s="15" customFormat="1" ht="16.5" hidden="1" customHeight="1" outlineLevel="1" x14ac:dyDescent="0.25">
      <c r="A9006" s="18">
        <v>873</v>
      </c>
      <c r="B9006" s="4" t="s">
        <v>250</v>
      </c>
      <c r="C9006" s="38" t="s">
        <v>7555</v>
      </c>
      <c r="D9006" s="18">
        <v>2022</v>
      </c>
      <c r="E9006" s="18" t="s">
        <v>0</v>
      </c>
      <c r="F9006" s="42">
        <v>1</v>
      </c>
      <c r="G9006" s="4">
        <v>15</v>
      </c>
      <c r="H9006" s="18">
        <v>25.17287</v>
      </c>
    </row>
    <row r="9007" spans="1:8" s="15" customFormat="1" ht="16.5" hidden="1" customHeight="1" outlineLevel="1" x14ac:dyDescent="0.25">
      <c r="A9007" s="18">
        <v>874</v>
      </c>
      <c r="B9007" s="4" t="s">
        <v>250</v>
      </c>
      <c r="C9007" s="38" t="s">
        <v>7556</v>
      </c>
      <c r="D9007" s="18">
        <v>2022</v>
      </c>
      <c r="E9007" s="18" t="s">
        <v>0</v>
      </c>
      <c r="F9007" s="42">
        <v>1</v>
      </c>
      <c r="G9007" s="4">
        <v>15</v>
      </c>
      <c r="H9007" s="18">
        <v>25.17287</v>
      </c>
    </row>
    <row r="9008" spans="1:8" s="15" customFormat="1" ht="16.5" hidden="1" customHeight="1" outlineLevel="1" x14ac:dyDescent="0.25">
      <c r="A9008" s="18">
        <v>864</v>
      </c>
      <c r="B9008" s="4" t="s">
        <v>250</v>
      </c>
      <c r="C9008" s="38" t="s">
        <v>7557</v>
      </c>
      <c r="D9008" s="18">
        <v>2022</v>
      </c>
      <c r="E9008" s="18" t="s">
        <v>0</v>
      </c>
      <c r="F9008" s="42">
        <v>1</v>
      </c>
      <c r="G9008" s="4">
        <v>15</v>
      </c>
      <c r="H9008" s="18">
        <v>25.17285</v>
      </c>
    </row>
    <row r="9009" spans="1:8" s="15" customFormat="1" ht="16.5" hidden="1" customHeight="1" outlineLevel="1" x14ac:dyDescent="0.25">
      <c r="A9009" s="18">
        <v>865</v>
      </c>
      <c r="B9009" s="4" t="s">
        <v>250</v>
      </c>
      <c r="C9009" s="38" t="s">
        <v>7558</v>
      </c>
      <c r="D9009" s="18">
        <v>2022</v>
      </c>
      <c r="E9009" s="18" t="s">
        <v>0</v>
      </c>
      <c r="F9009" s="42">
        <v>1</v>
      </c>
      <c r="G9009" s="4">
        <v>15</v>
      </c>
      <c r="H9009" s="18">
        <v>25.169250000000002</v>
      </c>
    </row>
    <row r="9010" spans="1:8" s="15" customFormat="1" ht="16.5" hidden="1" customHeight="1" outlineLevel="1" x14ac:dyDescent="0.25">
      <c r="A9010" s="18">
        <v>866</v>
      </c>
      <c r="B9010" s="4" t="s">
        <v>250</v>
      </c>
      <c r="C9010" s="38" t="s">
        <v>7559</v>
      </c>
      <c r="D9010" s="18">
        <v>2022</v>
      </c>
      <c r="E9010" s="18" t="s">
        <v>0</v>
      </c>
      <c r="F9010" s="42">
        <v>1</v>
      </c>
      <c r="G9010" s="4">
        <v>15</v>
      </c>
      <c r="H9010" s="18">
        <v>25.172820000000002</v>
      </c>
    </row>
    <row r="9011" spans="1:8" s="15" customFormat="1" ht="16.5" hidden="1" customHeight="1" outlineLevel="1" x14ac:dyDescent="0.25">
      <c r="A9011" s="18">
        <v>831</v>
      </c>
      <c r="B9011" s="4" t="s">
        <v>250</v>
      </c>
      <c r="C9011" s="38" t="s">
        <v>7560</v>
      </c>
      <c r="D9011" s="18">
        <v>2022</v>
      </c>
      <c r="E9011" s="18" t="s">
        <v>0</v>
      </c>
      <c r="F9011" s="42">
        <v>1</v>
      </c>
      <c r="G9011" s="4">
        <v>15</v>
      </c>
      <c r="H9011" s="18">
        <v>24.423190000000002</v>
      </c>
    </row>
    <row r="9012" spans="1:8" s="15" customFormat="1" ht="16.5" hidden="1" customHeight="1" outlineLevel="1" x14ac:dyDescent="0.25">
      <c r="A9012" s="18">
        <v>843</v>
      </c>
      <c r="B9012" s="4" t="s">
        <v>250</v>
      </c>
      <c r="C9012" s="38" t="s">
        <v>7561</v>
      </c>
      <c r="D9012" s="18">
        <v>2022</v>
      </c>
      <c r="E9012" s="18" t="s">
        <v>0</v>
      </c>
      <c r="F9012" s="42">
        <v>1</v>
      </c>
      <c r="G9012" s="4">
        <v>15</v>
      </c>
      <c r="H9012" s="18">
        <v>28.087140000000002</v>
      </c>
    </row>
    <row r="9013" spans="1:8" s="15" customFormat="1" ht="16.5" hidden="1" customHeight="1" outlineLevel="1" x14ac:dyDescent="0.25">
      <c r="A9013" s="18">
        <v>862</v>
      </c>
      <c r="B9013" s="4" t="s">
        <v>250</v>
      </c>
      <c r="C9013" s="38" t="s">
        <v>7562</v>
      </c>
      <c r="D9013" s="18">
        <v>2022</v>
      </c>
      <c r="E9013" s="18" t="s">
        <v>0</v>
      </c>
      <c r="F9013" s="42">
        <v>1</v>
      </c>
      <c r="G9013" s="4">
        <v>15</v>
      </c>
      <c r="H9013" s="18">
        <v>25.367149999999999</v>
      </c>
    </row>
    <row r="9014" spans="1:8" s="15" customFormat="1" ht="16.5" hidden="1" customHeight="1" outlineLevel="1" x14ac:dyDescent="0.25">
      <c r="A9014" s="18">
        <v>875</v>
      </c>
      <c r="B9014" s="4" t="s">
        <v>250</v>
      </c>
      <c r="C9014" s="38" t="s">
        <v>7563</v>
      </c>
      <c r="D9014" s="18">
        <v>2022</v>
      </c>
      <c r="E9014" s="18" t="s">
        <v>0</v>
      </c>
      <c r="F9014" s="42">
        <v>1</v>
      </c>
      <c r="G9014" s="4">
        <v>15</v>
      </c>
      <c r="H9014" s="18">
        <v>25.169250000000002</v>
      </c>
    </row>
    <row r="9015" spans="1:8" s="15" customFormat="1" ht="16.5" hidden="1" customHeight="1" outlineLevel="1" x14ac:dyDescent="0.25">
      <c r="A9015" s="18">
        <v>867</v>
      </c>
      <c r="B9015" s="4" t="s">
        <v>250</v>
      </c>
      <c r="C9015" s="38" t="s">
        <v>7564</v>
      </c>
      <c r="D9015" s="18">
        <v>2022</v>
      </c>
      <c r="E9015" s="18" t="s">
        <v>0</v>
      </c>
      <c r="F9015" s="42">
        <v>1</v>
      </c>
      <c r="G9015" s="4">
        <v>15</v>
      </c>
      <c r="H9015" s="18">
        <v>25.172820000000002</v>
      </c>
    </row>
    <row r="9016" spans="1:8" s="15" customFormat="1" ht="16.5" hidden="1" customHeight="1" outlineLevel="1" x14ac:dyDescent="0.25">
      <c r="A9016" s="18">
        <v>819</v>
      </c>
      <c r="B9016" s="4" t="s">
        <v>250</v>
      </c>
      <c r="C9016" s="38" t="s">
        <v>7565</v>
      </c>
      <c r="D9016" s="18">
        <v>2022</v>
      </c>
      <c r="E9016" s="18" t="s">
        <v>0</v>
      </c>
      <c r="F9016" s="42">
        <v>1</v>
      </c>
      <c r="G9016" s="4">
        <v>10</v>
      </c>
      <c r="H9016" s="18">
        <v>24.71463</v>
      </c>
    </row>
    <row r="9017" spans="1:8" s="15" customFormat="1" ht="16.5" hidden="1" customHeight="1" outlineLevel="1" x14ac:dyDescent="0.25">
      <c r="A9017" s="18">
        <v>914</v>
      </c>
      <c r="B9017" s="4" t="s">
        <v>250</v>
      </c>
      <c r="C9017" s="38" t="s">
        <v>7566</v>
      </c>
      <c r="D9017" s="18">
        <v>2022</v>
      </c>
      <c r="E9017" s="18" t="s">
        <v>0</v>
      </c>
      <c r="F9017" s="42">
        <v>1</v>
      </c>
      <c r="G9017" s="4">
        <v>5</v>
      </c>
      <c r="H9017" s="18">
        <v>16.53416</v>
      </c>
    </row>
    <row r="9018" spans="1:8" s="15" customFormat="1" ht="16.5" hidden="1" customHeight="1" outlineLevel="1" x14ac:dyDescent="0.25">
      <c r="A9018" s="18">
        <v>915</v>
      </c>
      <c r="B9018" s="4" t="s">
        <v>250</v>
      </c>
      <c r="C9018" s="38" t="s">
        <v>7567</v>
      </c>
      <c r="D9018" s="18">
        <v>2022</v>
      </c>
      <c r="E9018" s="18" t="s">
        <v>0</v>
      </c>
      <c r="F9018" s="42">
        <v>1</v>
      </c>
      <c r="G9018" s="4">
        <v>15</v>
      </c>
      <c r="H9018" s="18">
        <v>16.339169999999999</v>
      </c>
    </row>
    <row r="9019" spans="1:8" s="15" customFormat="1" ht="16.5" hidden="1" customHeight="1" outlineLevel="1" x14ac:dyDescent="0.25">
      <c r="A9019" s="18">
        <v>916</v>
      </c>
      <c r="B9019" s="4" t="s">
        <v>250</v>
      </c>
      <c r="C9019" s="38" t="s">
        <v>7568</v>
      </c>
      <c r="D9019" s="18">
        <v>2022</v>
      </c>
      <c r="E9019" s="18" t="s">
        <v>0</v>
      </c>
      <c r="F9019" s="42">
        <v>1</v>
      </c>
      <c r="G9019" s="4">
        <v>15</v>
      </c>
      <c r="H9019" s="18">
        <v>16.339169999999999</v>
      </c>
    </row>
    <row r="9020" spans="1:8" s="15" customFormat="1" ht="16.5" hidden="1" customHeight="1" outlineLevel="1" x14ac:dyDescent="0.25">
      <c r="A9020" s="18">
        <v>480</v>
      </c>
      <c r="B9020" s="4" t="s">
        <v>250</v>
      </c>
      <c r="C9020" s="38" t="s">
        <v>3565</v>
      </c>
      <c r="D9020" s="18">
        <v>2022</v>
      </c>
      <c r="E9020" s="18" t="s">
        <v>0</v>
      </c>
      <c r="F9020" s="42">
        <v>1</v>
      </c>
      <c r="G9020" s="4">
        <v>15</v>
      </c>
      <c r="H9020" s="18">
        <v>20.696750000000002</v>
      </c>
    </row>
    <row r="9021" spans="1:8" s="15" customFormat="1" ht="16.5" hidden="1" customHeight="1" outlineLevel="1" x14ac:dyDescent="0.25">
      <c r="A9021" s="18">
        <v>482</v>
      </c>
      <c r="B9021" s="4" t="s">
        <v>250</v>
      </c>
      <c r="C9021" s="38" t="s">
        <v>7569</v>
      </c>
      <c r="D9021" s="18">
        <v>2022</v>
      </c>
      <c r="E9021" s="18" t="s">
        <v>0</v>
      </c>
      <c r="F9021" s="42">
        <v>1</v>
      </c>
      <c r="G9021" s="4">
        <v>15</v>
      </c>
      <c r="H9021" s="18">
        <v>43.661349999999999</v>
      </c>
    </row>
    <row r="9022" spans="1:8" s="15" customFormat="1" ht="16.5" hidden="1" customHeight="1" outlineLevel="1" x14ac:dyDescent="0.25">
      <c r="A9022" s="18">
        <v>918</v>
      </c>
      <c r="B9022" s="4" t="s">
        <v>250</v>
      </c>
      <c r="C9022" s="38" t="s">
        <v>7570</v>
      </c>
      <c r="D9022" s="18">
        <v>2022</v>
      </c>
      <c r="E9022" s="18" t="s">
        <v>0</v>
      </c>
      <c r="F9022" s="42">
        <v>1</v>
      </c>
      <c r="G9022" s="4">
        <v>15</v>
      </c>
      <c r="H9022" s="18">
        <v>16.10999</v>
      </c>
    </row>
    <row r="9023" spans="1:8" s="15" customFormat="1" ht="16.5" hidden="1" customHeight="1" outlineLevel="1" x14ac:dyDescent="0.25">
      <c r="A9023" s="18">
        <v>923</v>
      </c>
      <c r="B9023" s="4" t="s">
        <v>250</v>
      </c>
      <c r="C9023" s="38" t="s">
        <v>7571</v>
      </c>
      <c r="D9023" s="18">
        <v>2022</v>
      </c>
      <c r="E9023" s="18" t="s">
        <v>0</v>
      </c>
      <c r="F9023" s="42">
        <v>1</v>
      </c>
      <c r="G9023" s="4">
        <v>15</v>
      </c>
      <c r="H9023" s="18">
        <v>16.109970000000001</v>
      </c>
    </row>
    <row r="9024" spans="1:8" s="15" customFormat="1" ht="16.5" hidden="1" customHeight="1" outlineLevel="1" x14ac:dyDescent="0.25">
      <c r="A9024" s="18">
        <v>567</v>
      </c>
      <c r="B9024" s="4" t="s">
        <v>250</v>
      </c>
      <c r="C9024" s="38" t="s">
        <v>3567</v>
      </c>
      <c r="D9024" s="18">
        <v>2022</v>
      </c>
      <c r="E9024" s="18" t="s">
        <v>0</v>
      </c>
      <c r="F9024" s="42">
        <v>1</v>
      </c>
      <c r="G9024" s="4">
        <v>15</v>
      </c>
      <c r="H9024" s="18">
        <v>53.72045</v>
      </c>
    </row>
    <row r="9025" spans="1:8" s="15" customFormat="1" ht="16.5" hidden="1" customHeight="1" outlineLevel="1" x14ac:dyDescent="0.25">
      <c r="A9025" s="18">
        <v>465</v>
      </c>
      <c r="B9025" s="4" t="s">
        <v>250</v>
      </c>
      <c r="C9025" s="38" t="s">
        <v>3568</v>
      </c>
      <c r="D9025" s="18">
        <v>2022</v>
      </c>
      <c r="E9025" s="18" t="s">
        <v>0</v>
      </c>
      <c r="F9025" s="42">
        <v>2</v>
      </c>
      <c r="G9025" s="4">
        <v>15</v>
      </c>
      <c r="H9025" s="18">
        <v>246.62709000000001</v>
      </c>
    </row>
    <row r="9026" spans="1:8" s="15" customFormat="1" ht="16.5" hidden="1" customHeight="1" outlineLevel="1" x14ac:dyDescent="0.25">
      <c r="A9026" s="18">
        <v>501</v>
      </c>
      <c r="B9026" s="4" t="s">
        <v>250</v>
      </c>
      <c r="C9026" s="38" t="s">
        <v>3570</v>
      </c>
      <c r="D9026" s="18">
        <v>2022</v>
      </c>
      <c r="E9026" s="18" t="s">
        <v>0</v>
      </c>
      <c r="F9026" s="42">
        <v>1</v>
      </c>
      <c r="G9026" s="4">
        <v>15</v>
      </c>
      <c r="H9026" s="18">
        <v>25.567029999999999</v>
      </c>
    </row>
    <row r="9027" spans="1:8" s="15" customFormat="1" ht="16.5" hidden="1" customHeight="1" outlineLevel="1" x14ac:dyDescent="0.25">
      <c r="A9027" s="18">
        <v>493</v>
      </c>
      <c r="B9027" s="4" t="s">
        <v>250</v>
      </c>
      <c r="C9027" s="38" t="s">
        <v>3571</v>
      </c>
      <c r="D9027" s="18">
        <v>2022</v>
      </c>
      <c r="E9027" s="18" t="s">
        <v>0</v>
      </c>
      <c r="F9027" s="42">
        <v>1</v>
      </c>
      <c r="G9027" s="4">
        <v>7.5</v>
      </c>
      <c r="H9027" s="18">
        <v>25.324770000000001</v>
      </c>
    </row>
    <row r="9028" spans="1:8" s="15" customFormat="1" ht="16.5" hidden="1" customHeight="1" outlineLevel="1" x14ac:dyDescent="0.25">
      <c r="A9028" s="18">
        <v>516</v>
      </c>
      <c r="B9028" s="4" t="s">
        <v>250</v>
      </c>
      <c r="C9028" s="38" t="s">
        <v>3574</v>
      </c>
      <c r="D9028" s="18">
        <v>2022</v>
      </c>
      <c r="E9028" s="18" t="s">
        <v>0</v>
      </c>
      <c r="F9028" s="42">
        <v>1</v>
      </c>
      <c r="G9028" s="4">
        <v>15</v>
      </c>
      <c r="H9028" s="18">
        <v>28.005289999999999</v>
      </c>
    </row>
    <row r="9029" spans="1:8" s="15" customFormat="1" ht="16.5" hidden="1" customHeight="1" outlineLevel="1" x14ac:dyDescent="0.25">
      <c r="A9029" s="18">
        <v>496</v>
      </c>
      <c r="B9029" s="4" t="s">
        <v>250</v>
      </c>
      <c r="C9029" s="38" t="s">
        <v>3575</v>
      </c>
      <c r="D9029" s="18">
        <v>2022</v>
      </c>
      <c r="E9029" s="18" t="s">
        <v>0</v>
      </c>
      <c r="F9029" s="42">
        <v>1</v>
      </c>
      <c r="G9029" s="4">
        <v>15</v>
      </c>
      <c r="H9029" s="18">
        <v>27.856169999999999</v>
      </c>
    </row>
    <row r="9030" spans="1:8" s="15" customFormat="1" ht="16.5" hidden="1" customHeight="1" outlineLevel="1" x14ac:dyDescent="0.25">
      <c r="A9030" s="18">
        <v>555</v>
      </c>
      <c r="B9030" s="4" t="s">
        <v>250</v>
      </c>
      <c r="C9030" s="38" t="s">
        <v>3576</v>
      </c>
      <c r="D9030" s="18">
        <v>2022</v>
      </c>
      <c r="E9030" s="18" t="s">
        <v>0</v>
      </c>
      <c r="F9030" s="42">
        <v>1</v>
      </c>
      <c r="G9030" s="4">
        <v>15</v>
      </c>
      <c r="H9030" s="18">
        <v>28.89068</v>
      </c>
    </row>
    <row r="9031" spans="1:8" s="15" customFormat="1" ht="16.5" hidden="1" customHeight="1" outlineLevel="1" x14ac:dyDescent="0.25">
      <c r="A9031" s="18">
        <v>526</v>
      </c>
      <c r="B9031" s="4" t="s">
        <v>250</v>
      </c>
      <c r="C9031" s="38" t="s">
        <v>3577</v>
      </c>
      <c r="D9031" s="18">
        <v>2022</v>
      </c>
      <c r="E9031" s="18" t="s">
        <v>0</v>
      </c>
      <c r="F9031" s="42">
        <v>1</v>
      </c>
      <c r="G9031" s="4">
        <v>15</v>
      </c>
      <c r="H9031" s="18">
        <v>25.392330000000001</v>
      </c>
    </row>
    <row r="9032" spans="1:8" s="15" customFormat="1" ht="16.5" hidden="1" customHeight="1" outlineLevel="1" x14ac:dyDescent="0.25">
      <c r="A9032" s="18">
        <v>523</v>
      </c>
      <c r="B9032" s="4" t="s">
        <v>250</v>
      </c>
      <c r="C9032" s="38" t="s">
        <v>3579</v>
      </c>
      <c r="D9032" s="18">
        <v>2022</v>
      </c>
      <c r="E9032" s="18" t="s">
        <v>0</v>
      </c>
      <c r="F9032" s="42">
        <v>1</v>
      </c>
      <c r="G9032" s="4">
        <v>15</v>
      </c>
      <c r="H9032" s="18">
        <v>29.918759999999999</v>
      </c>
    </row>
    <row r="9033" spans="1:8" s="15" customFormat="1" ht="16.5" hidden="1" customHeight="1" outlineLevel="1" x14ac:dyDescent="0.25">
      <c r="A9033" s="18">
        <v>926</v>
      </c>
      <c r="B9033" s="4" t="s">
        <v>250</v>
      </c>
      <c r="C9033" s="38" t="s">
        <v>7572</v>
      </c>
      <c r="D9033" s="18">
        <v>2022</v>
      </c>
      <c r="E9033" s="18" t="s">
        <v>0</v>
      </c>
      <c r="F9033" s="42">
        <v>1</v>
      </c>
      <c r="G9033" s="4">
        <v>15</v>
      </c>
      <c r="H9033" s="18">
        <v>16.786580000000001</v>
      </c>
    </row>
    <row r="9034" spans="1:8" s="15" customFormat="1" ht="16.5" hidden="1" customHeight="1" outlineLevel="1" x14ac:dyDescent="0.25">
      <c r="A9034" s="18">
        <v>929</v>
      </c>
      <c r="B9034" s="4" t="s">
        <v>250</v>
      </c>
      <c r="C9034" s="38" t="s">
        <v>7573</v>
      </c>
      <c r="D9034" s="18">
        <v>2022</v>
      </c>
      <c r="E9034" s="18" t="s">
        <v>0</v>
      </c>
      <c r="F9034" s="42">
        <v>1</v>
      </c>
      <c r="G9034" s="4">
        <v>15</v>
      </c>
      <c r="H9034" s="18">
        <v>16.78659</v>
      </c>
    </row>
    <row r="9035" spans="1:8" s="15" customFormat="1" ht="16.5" hidden="1" customHeight="1" outlineLevel="1" x14ac:dyDescent="0.25">
      <c r="A9035" s="18">
        <v>930</v>
      </c>
      <c r="B9035" s="4" t="s">
        <v>250</v>
      </c>
      <c r="C9035" s="38" t="s">
        <v>7574</v>
      </c>
      <c r="D9035" s="18">
        <v>2022</v>
      </c>
      <c r="E9035" s="18" t="s">
        <v>0</v>
      </c>
      <c r="F9035" s="42">
        <v>1</v>
      </c>
      <c r="G9035" s="4">
        <v>15</v>
      </c>
      <c r="H9035" s="18">
        <v>16.786570000000001</v>
      </c>
    </row>
    <row r="9036" spans="1:8" s="15" customFormat="1" ht="16.5" hidden="1" customHeight="1" outlineLevel="1" x14ac:dyDescent="0.25">
      <c r="A9036" s="18">
        <v>931</v>
      </c>
      <c r="B9036" s="4" t="s">
        <v>250</v>
      </c>
      <c r="C9036" s="38" t="s">
        <v>7575</v>
      </c>
      <c r="D9036" s="18">
        <v>2022</v>
      </c>
      <c r="E9036" s="18" t="s">
        <v>0</v>
      </c>
      <c r="F9036" s="42">
        <v>1</v>
      </c>
      <c r="G9036" s="4">
        <v>15</v>
      </c>
      <c r="H9036" s="18">
        <v>16.76587</v>
      </c>
    </row>
    <row r="9037" spans="1:8" s="15" customFormat="1" ht="16.5" hidden="1" customHeight="1" outlineLevel="1" x14ac:dyDescent="0.25">
      <c r="A9037" s="18">
        <v>932</v>
      </c>
      <c r="B9037" s="4" t="s">
        <v>250</v>
      </c>
      <c r="C9037" s="38" t="s">
        <v>7576</v>
      </c>
      <c r="D9037" s="18">
        <v>2022</v>
      </c>
      <c r="E9037" s="18" t="s">
        <v>0</v>
      </c>
      <c r="F9037" s="42">
        <v>1</v>
      </c>
      <c r="G9037" s="4">
        <v>15</v>
      </c>
      <c r="H9037" s="18">
        <v>16.765910000000002</v>
      </c>
    </row>
    <row r="9038" spans="1:8" s="15" customFormat="1" ht="16.5" hidden="1" customHeight="1" outlineLevel="1" x14ac:dyDescent="0.25">
      <c r="A9038" s="18">
        <v>933</v>
      </c>
      <c r="B9038" s="4" t="s">
        <v>250</v>
      </c>
      <c r="C9038" s="38" t="s">
        <v>7577</v>
      </c>
      <c r="D9038" s="18">
        <v>2022</v>
      </c>
      <c r="E9038" s="18" t="s">
        <v>0</v>
      </c>
      <c r="F9038" s="42">
        <v>1</v>
      </c>
      <c r="G9038" s="4">
        <v>15</v>
      </c>
      <c r="H9038" s="18">
        <v>17.052389999999999</v>
      </c>
    </row>
    <row r="9039" spans="1:8" s="15" customFormat="1" ht="16.5" hidden="1" customHeight="1" outlineLevel="1" x14ac:dyDescent="0.25">
      <c r="A9039" s="18">
        <v>934</v>
      </c>
      <c r="B9039" s="4" t="s">
        <v>250</v>
      </c>
      <c r="C9039" s="38" t="s">
        <v>7578</v>
      </c>
      <c r="D9039" s="18">
        <v>2022</v>
      </c>
      <c r="E9039" s="18" t="s">
        <v>0</v>
      </c>
      <c r="F9039" s="42">
        <v>1</v>
      </c>
      <c r="G9039" s="4">
        <v>15</v>
      </c>
      <c r="H9039" s="18">
        <v>17.052440000000001</v>
      </c>
    </row>
    <row r="9040" spans="1:8" s="15" customFormat="1" ht="16.5" hidden="1" customHeight="1" outlineLevel="1" x14ac:dyDescent="0.25">
      <c r="A9040" s="18">
        <v>935</v>
      </c>
      <c r="B9040" s="4" t="s">
        <v>250</v>
      </c>
      <c r="C9040" s="38" t="s">
        <v>7579</v>
      </c>
      <c r="D9040" s="18">
        <v>2022</v>
      </c>
      <c r="E9040" s="18" t="s">
        <v>0</v>
      </c>
      <c r="F9040" s="42">
        <v>1</v>
      </c>
      <c r="G9040" s="4">
        <v>15</v>
      </c>
      <c r="H9040" s="18">
        <v>17.05256</v>
      </c>
    </row>
    <row r="9041" spans="1:8" s="15" customFormat="1" ht="16.5" hidden="1" customHeight="1" outlineLevel="1" x14ac:dyDescent="0.25">
      <c r="A9041" s="18">
        <v>936</v>
      </c>
      <c r="B9041" s="4" t="s">
        <v>250</v>
      </c>
      <c r="C9041" s="38" t="s">
        <v>7580</v>
      </c>
      <c r="D9041" s="18">
        <v>2022</v>
      </c>
      <c r="E9041" s="18" t="s">
        <v>0</v>
      </c>
      <c r="F9041" s="42">
        <v>1</v>
      </c>
      <c r="G9041" s="4">
        <v>15</v>
      </c>
      <c r="H9041" s="18">
        <v>17.052299999999999</v>
      </c>
    </row>
    <row r="9042" spans="1:8" s="15" customFormat="1" ht="16.5" hidden="1" customHeight="1" outlineLevel="1" x14ac:dyDescent="0.25">
      <c r="A9042" s="18">
        <v>937</v>
      </c>
      <c r="B9042" s="4" t="s">
        <v>250</v>
      </c>
      <c r="C9042" s="38" t="s">
        <v>7581</v>
      </c>
      <c r="D9042" s="18">
        <v>2022</v>
      </c>
      <c r="E9042" s="18" t="s">
        <v>0</v>
      </c>
      <c r="F9042" s="42">
        <v>1</v>
      </c>
      <c r="G9042" s="4">
        <v>15</v>
      </c>
      <c r="H9042" s="18">
        <v>34.123669999999997</v>
      </c>
    </row>
    <row r="9043" spans="1:8" s="15" customFormat="1" ht="16.5" hidden="1" customHeight="1" outlineLevel="1" x14ac:dyDescent="0.25">
      <c r="A9043" s="18">
        <v>938</v>
      </c>
      <c r="B9043" s="4" t="s">
        <v>250</v>
      </c>
      <c r="C9043" s="38" t="s">
        <v>7582</v>
      </c>
      <c r="D9043" s="18">
        <v>2022</v>
      </c>
      <c r="E9043" s="18" t="s">
        <v>0</v>
      </c>
      <c r="F9043" s="42">
        <v>1</v>
      </c>
      <c r="G9043" s="4">
        <v>15</v>
      </c>
      <c r="H9043" s="18">
        <v>34.123060000000002</v>
      </c>
    </row>
    <row r="9044" spans="1:8" s="15" customFormat="1" ht="16.5" hidden="1" customHeight="1" outlineLevel="1" x14ac:dyDescent="0.25">
      <c r="A9044" s="18">
        <v>939</v>
      </c>
      <c r="B9044" s="4" t="s">
        <v>250</v>
      </c>
      <c r="C9044" s="38" t="s">
        <v>7583</v>
      </c>
      <c r="D9044" s="18">
        <v>2022</v>
      </c>
      <c r="E9044" s="18" t="s">
        <v>0</v>
      </c>
      <c r="F9044" s="42">
        <v>1</v>
      </c>
      <c r="G9044" s="4">
        <v>15</v>
      </c>
      <c r="H9044" s="18">
        <v>34.123060000000002</v>
      </c>
    </row>
    <row r="9045" spans="1:8" s="15" customFormat="1" ht="16.5" hidden="1" customHeight="1" outlineLevel="1" x14ac:dyDescent="0.25">
      <c r="A9045" s="18">
        <v>940</v>
      </c>
      <c r="B9045" s="4" t="s">
        <v>250</v>
      </c>
      <c r="C9045" s="38" t="s">
        <v>7584</v>
      </c>
      <c r="D9045" s="18">
        <v>2022</v>
      </c>
      <c r="E9045" s="18" t="s">
        <v>0</v>
      </c>
      <c r="F9045" s="42">
        <v>1</v>
      </c>
      <c r="G9045" s="4">
        <v>7.5</v>
      </c>
      <c r="H9045" s="18">
        <v>34.123040000000003</v>
      </c>
    </row>
    <row r="9046" spans="1:8" s="15" customFormat="1" ht="16.5" hidden="1" customHeight="1" outlineLevel="1" x14ac:dyDescent="0.25">
      <c r="A9046" s="18">
        <v>570</v>
      </c>
      <c r="B9046" s="4" t="s">
        <v>250</v>
      </c>
      <c r="C9046" s="38" t="s">
        <v>3580</v>
      </c>
      <c r="D9046" s="18">
        <v>2022</v>
      </c>
      <c r="E9046" s="18" t="s">
        <v>0</v>
      </c>
      <c r="F9046" s="42">
        <v>5</v>
      </c>
      <c r="G9046" s="4">
        <v>75</v>
      </c>
      <c r="H9046" s="18">
        <v>171.47869</v>
      </c>
    </row>
    <row r="9047" spans="1:8" s="15" customFormat="1" ht="16.5" hidden="1" customHeight="1" outlineLevel="1" x14ac:dyDescent="0.25">
      <c r="A9047" s="18">
        <v>571</v>
      </c>
      <c r="B9047" s="4" t="s">
        <v>250</v>
      </c>
      <c r="C9047" s="38" t="s">
        <v>3581</v>
      </c>
      <c r="D9047" s="18">
        <v>2022</v>
      </c>
      <c r="E9047" s="18" t="s">
        <v>0</v>
      </c>
      <c r="F9047" s="42">
        <v>1</v>
      </c>
      <c r="G9047" s="4">
        <v>15</v>
      </c>
      <c r="H9047" s="18">
        <v>62.249099999999999</v>
      </c>
    </row>
    <row r="9048" spans="1:8" s="15" customFormat="1" ht="16.5" hidden="1" customHeight="1" outlineLevel="1" x14ac:dyDescent="0.25">
      <c r="A9048" s="18">
        <v>572</v>
      </c>
      <c r="B9048" s="4" t="s">
        <v>250</v>
      </c>
      <c r="C9048" s="38" t="s">
        <v>3582</v>
      </c>
      <c r="D9048" s="18">
        <v>2022</v>
      </c>
      <c r="E9048" s="18" t="s">
        <v>0</v>
      </c>
      <c r="F9048" s="42">
        <v>1</v>
      </c>
      <c r="G9048" s="4">
        <v>15</v>
      </c>
      <c r="H9048" s="18">
        <v>49.20973</v>
      </c>
    </row>
    <row r="9049" spans="1:8" s="15" customFormat="1" ht="16.5" hidden="1" customHeight="1" outlineLevel="1" x14ac:dyDescent="0.25">
      <c r="A9049" s="18">
        <v>573</v>
      </c>
      <c r="B9049" s="4" t="s">
        <v>250</v>
      </c>
      <c r="C9049" s="38" t="s">
        <v>3583</v>
      </c>
      <c r="D9049" s="18">
        <v>2022</v>
      </c>
      <c r="E9049" s="18" t="s">
        <v>0</v>
      </c>
      <c r="F9049" s="42">
        <v>1</v>
      </c>
      <c r="G9049" s="4">
        <v>15</v>
      </c>
      <c r="H9049" s="18">
        <v>76.765270000000001</v>
      </c>
    </row>
    <row r="9050" spans="1:8" s="15" customFormat="1" ht="16.5" hidden="1" customHeight="1" outlineLevel="1" x14ac:dyDescent="0.25">
      <c r="A9050" s="18">
        <v>574</v>
      </c>
      <c r="B9050" s="4" t="s">
        <v>250</v>
      </c>
      <c r="C9050" s="38" t="s">
        <v>3584</v>
      </c>
      <c r="D9050" s="18">
        <v>2022</v>
      </c>
      <c r="E9050" s="18" t="s">
        <v>0</v>
      </c>
      <c r="F9050" s="42">
        <v>2</v>
      </c>
      <c r="G9050" s="4">
        <v>30</v>
      </c>
      <c r="H9050" s="18">
        <v>98.998689999999996</v>
      </c>
    </row>
    <row r="9051" spans="1:8" s="15" customFormat="1" ht="16.5" hidden="1" customHeight="1" outlineLevel="1" x14ac:dyDescent="0.25">
      <c r="A9051" s="18">
        <v>472</v>
      </c>
      <c r="B9051" s="4" t="s">
        <v>250</v>
      </c>
      <c r="C9051" s="38" t="s">
        <v>4034</v>
      </c>
      <c r="D9051" s="18">
        <v>2022</v>
      </c>
      <c r="E9051" s="18" t="s">
        <v>0</v>
      </c>
      <c r="F9051" s="42">
        <v>4</v>
      </c>
      <c r="G9051" s="4">
        <v>100</v>
      </c>
      <c r="H9051" s="18">
        <v>231.16892000000001</v>
      </c>
    </row>
    <row r="9052" spans="1:8" s="15" customFormat="1" ht="16.5" hidden="1" customHeight="1" outlineLevel="1" x14ac:dyDescent="0.25">
      <c r="A9052" s="18">
        <v>575</v>
      </c>
      <c r="B9052" s="4" t="s">
        <v>250</v>
      </c>
      <c r="C9052" s="38" t="s">
        <v>3586</v>
      </c>
      <c r="D9052" s="18">
        <v>2022</v>
      </c>
      <c r="E9052" s="18" t="s">
        <v>0</v>
      </c>
      <c r="F9052" s="42">
        <v>1</v>
      </c>
      <c r="G9052" s="4">
        <v>15</v>
      </c>
      <c r="H9052" s="18">
        <v>54.940570000000001</v>
      </c>
    </row>
    <row r="9053" spans="1:8" s="15" customFormat="1" ht="16.5" hidden="1" customHeight="1" outlineLevel="1" x14ac:dyDescent="0.25">
      <c r="A9053" s="18">
        <v>576</v>
      </c>
      <c r="B9053" s="4" t="s">
        <v>250</v>
      </c>
      <c r="C9053" s="38" t="s">
        <v>3587</v>
      </c>
      <c r="D9053" s="18">
        <v>2022</v>
      </c>
      <c r="E9053" s="18" t="s">
        <v>0</v>
      </c>
      <c r="F9053" s="42">
        <v>1</v>
      </c>
      <c r="G9053" s="4">
        <v>15</v>
      </c>
      <c r="H9053" s="18">
        <v>62.976579999999998</v>
      </c>
    </row>
    <row r="9054" spans="1:8" s="15" customFormat="1" ht="16.5" hidden="1" customHeight="1" outlineLevel="1" x14ac:dyDescent="0.25">
      <c r="A9054" s="18">
        <v>577</v>
      </c>
      <c r="B9054" s="4" t="s">
        <v>250</v>
      </c>
      <c r="C9054" s="38" t="s">
        <v>3588</v>
      </c>
      <c r="D9054" s="18">
        <v>2022</v>
      </c>
      <c r="E9054" s="18" t="s">
        <v>0</v>
      </c>
      <c r="F9054" s="42">
        <v>1</v>
      </c>
      <c r="G9054" s="4">
        <v>15</v>
      </c>
      <c r="H9054" s="18">
        <v>65.820350000000005</v>
      </c>
    </row>
    <row r="9055" spans="1:8" s="15" customFormat="1" ht="16.5" hidden="1" customHeight="1" outlineLevel="1" x14ac:dyDescent="0.25">
      <c r="A9055" s="18">
        <v>487</v>
      </c>
      <c r="B9055" s="4" t="s">
        <v>250</v>
      </c>
      <c r="C9055" s="38" t="s">
        <v>3589</v>
      </c>
      <c r="D9055" s="18">
        <v>2022</v>
      </c>
      <c r="E9055" s="18" t="s">
        <v>0</v>
      </c>
      <c r="F9055" s="42">
        <v>1</v>
      </c>
      <c r="G9055" s="4">
        <v>15</v>
      </c>
      <c r="H9055" s="18">
        <v>25.43317</v>
      </c>
    </row>
    <row r="9056" spans="1:8" s="15" customFormat="1" ht="16.5" hidden="1" customHeight="1" outlineLevel="1" x14ac:dyDescent="0.25">
      <c r="A9056" s="18">
        <v>946</v>
      </c>
      <c r="B9056" s="4" t="s">
        <v>250</v>
      </c>
      <c r="C9056" s="38" t="s">
        <v>7585</v>
      </c>
      <c r="D9056" s="18">
        <v>2022</v>
      </c>
      <c r="E9056" s="18" t="s">
        <v>0</v>
      </c>
      <c r="F9056" s="42">
        <v>1</v>
      </c>
      <c r="G9056" s="4">
        <v>15</v>
      </c>
      <c r="H9056" s="18">
        <v>16.36234</v>
      </c>
    </row>
    <row r="9057" spans="1:8" s="15" customFormat="1" ht="16.5" hidden="1" customHeight="1" outlineLevel="1" x14ac:dyDescent="0.25">
      <c r="A9057" s="18">
        <v>949</v>
      </c>
      <c r="B9057" s="4" t="s">
        <v>250</v>
      </c>
      <c r="C9057" s="38" t="s">
        <v>7586</v>
      </c>
      <c r="D9057" s="18">
        <v>2022</v>
      </c>
      <c r="E9057" s="18" t="s">
        <v>0</v>
      </c>
      <c r="F9057" s="42">
        <v>1</v>
      </c>
      <c r="G9057" s="4">
        <v>15</v>
      </c>
      <c r="H9057" s="18">
        <v>16.137450000000001</v>
      </c>
    </row>
    <row r="9058" spans="1:8" s="15" customFormat="1" ht="16.5" hidden="1" customHeight="1" outlineLevel="1" x14ac:dyDescent="0.25">
      <c r="A9058" s="18">
        <v>952</v>
      </c>
      <c r="B9058" s="4" t="s">
        <v>250</v>
      </c>
      <c r="C9058" s="38" t="s">
        <v>7587</v>
      </c>
      <c r="D9058" s="18">
        <v>2022</v>
      </c>
      <c r="E9058" s="18" t="s">
        <v>0</v>
      </c>
      <c r="F9058" s="42">
        <v>1</v>
      </c>
      <c r="G9058" s="4">
        <v>15</v>
      </c>
      <c r="H9058" s="18">
        <v>18.797509999999999</v>
      </c>
    </row>
    <row r="9059" spans="1:8" s="15" customFormat="1" ht="16.5" hidden="1" customHeight="1" outlineLevel="1" x14ac:dyDescent="0.25">
      <c r="A9059" s="18">
        <v>953</v>
      </c>
      <c r="B9059" s="4" t="s">
        <v>250</v>
      </c>
      <c r="C9059" s="38" t="s">
        <v>7588</v>
      </c>
      <c r="D9059" s="18">
        <v>2022</v>
      </c>
      <c r="E9059" s="18" t="s">
        <v>0</v>
      </c>
      <c r="F9059" s="42">
        <v>1</v>
      </c>
      <c r="G9059" s="4">
        <v>81</v>
      </c>
      <c r="H9059" s="18">
        <v>27.822679999999998</v>
      </c>
    </row>
    <row r="9060" spans="1:8" s="15" customFormat="1" ht="16.5" hidden="1" customHeight="1" outlineLevel="1" x14ac:dyDescent="0.25">
      <c r="A9060" s="18">
        <v>954</v>
      </c>
      <c r="B9060" s="4" t="s">
        <v>250</v>
      </c>
      <c r="C9060" s="38" t="s">
        <v>7589</v>
      </c>
      <c r="D9060" s="18">
        <v>2022</v>
      </c>
      <c r="E9060" s="18" t="s">
        <v>0</v>
      </c>
      <c r="F9060" s="42">
        <v>1</v>
      </c>
      <c r="G9060" s="4">
        <v>100</v>
      </c>
      <c r="H9060" s="18">
        <v>27.603000000000002</v>
      </c>
    </row>
    <row r="9061" spans="1:8" s="15" customFormat="1" ht="16.5" hidden="1" customHeight="1" outlineLevel="1" x14ac:dyDescent="0.25">
      <c r="A9061" s="18">
        <v>955</v>
      </c>
      <c r="B9061" s="4" t="s">
        <v>250</v>
      </c>
      <c r="C9061" s="38" t="s">
        <v>7590</v>
      </c>
      <c r="D9061" s="18">
        <v>2022</v>
      </c>
      <c r="E9061" s="18" t="s">
        <v>0</v>
      </c>
      <c r="F9061" s="42">
        <v>1</v>
      </c>
      <c r="G9061" s="4">
        <v>15</v>
      </c>
      <c r="H9061" s="18">
        <v>19.017219999999998</v>
      </c>
    </row>
    <row r="9062" spans="1:8" s="15" customFormat="1" ht="16.5" hidden="1" customHeight="1" outlineLevel="1" x14ac:dyDescent="0.25">
      <c r="A9062" s="18">
        <v>956</v>
      </c>
      <c r="B9062" s="4" t="s">
        <v>250</v>
      </c>
      <c r="C9062" s="38" t="s">
        <v>7591</v>
      </c>
      <c r="D9062" s="18">
        <v>2022</v>
      </c>
      <c r="E9062" s="18" t="s">
        <v>0</v>
      </c>
      <c r="F9062" s="42">
        <v>1</v>
      </c>
      <c r="G9062" s="4">
        <v>15</v>
      </c>
      <c r="H9062" s="18">
        <v>19.045259999999999</v>
      </c>
    </row>
    <row r="9063" spans="1:8" s="15" customFormat="1" ht="16.5" hidden="1" customHeight="1" outlineLevel="1" x14ac:dyDescent="0.25">
      <c r="A9063" s="18">
        <v>560</v>
      </c>
      <c r="B9063" s="4" t="s">
        <v>250</v>
      </c>
      <c r="C9063" s="38" t="s">
        <v>7592</v>
      </c>
      <c r="D9063" s="18">
        <v>2022</v>
      </c>
      <c r="E9063" s="18" t="s">
        <v>0</v>
      </c>
      <c r="F9063" s="42">
        <v>1</v>
      </c>
      <c r="G9063" s="4">
        <v>0</v>
      </c>
      <c r="H9063" s="18">
        <v>10.488149999999999</v>
      </c>
    </row>
    <row r="9064" spans="1:8" s="15" customFormat="1" ht="16.5" hidden="1" customHeight="1" outlineLevel="1" x14ac:dyDescent="0.25">
      <c r="A9064" s="18">
        <v>872</v>
      </c>
      <c r="B9064" s="4" t="s">
        <v>250</v>
      </c>
      <c r="C9064" s="38" t="s">
        <v>7593</v>
      </c>
      <c r="D9064" s="18">
        <v>2022</v>
      </c>
      <c r="E9064" s="18" t="s">
        <v>0</v>
      </c>
      <c r="F9064" s="42">
        <v>1</v>
      </c>
      <c r="G9064" s="4">
        <v>15</v>
      </c>
      <c r="H9064" s="18">
        <v>43.472799999999999</v>
      </c>
    </row>
    <row r="9065" spans="1:8" s="15" customFormat="1" ht="16.5" hidden="1" customHeight="1" outlineLevel="1" x14ac:dyDescent="0.25">
      <c r="A9065" s="18">
        <v>959</v>
      </c>
      <c r="B9065" s="4" t="s">
        <v>250</v>
      </c>
      <c r="C9065" s="38" t="s">
        <v>7594</v>
      </c>
      <c r="D9065" s="18">
        <v>2022</v>
      </c>
      <c r="E9065" s="18" t="s">
        <v>0</v>
      </c>
      <c r="F9065" s="42">
        <v>1</v>
      </c>
      <c r="G9065" s="4">
        <v>7.5</v>
      </c>
      <c r="H9065" s="18">
        <v>35.210619999999999</v>
      </c>
    </row>
    <row r="9066" spans="1:8" s="15" customFormat="1" ht="16.5" hidden="1" customHeight="1" outlineLevel="1" x14ac:dyDescent="0.25">
      <c r="A9066" s="18">
        <v>960</v>
      </c>
      <c r="B9066" s="4" t="s">
        <v>250</v>
      </c>
      <c r="C9066" s="38" t="s">
        <v>7595</v>
      </c>
      <c r="D9066" s="18">
        <v>2022</v>
      </c>
      <c r="E9066" s="18" t="s">
        <v>0</v>
      </c>
      <c r="F9066" s="42">
        <v>1</v>
      </c>
      <c r="G9066" s="4">
        <v>15</v>
      </c>
      <c r="H9066" s="18">
        <v>39.448329999999999</v>
      </c>
    </row>
    <row r="9067" spans="1:8" s="15" customFormat="1" ht="16.5" hidden="1" customHeight="1" outlineLevel="1" x14ac:dyDescent="0.25">
      <c r="A9067" s="18">
        <v>961</v>
      </c>
      <c r="B9067" s="4" t="s">
        <v>250</v>
      </c>
      <c r="C9067" s="38" t="s">
        <v>7596</v>
      </c>
      <c r="D9067" s="18">
        <v>2022</v>
      </c>
      <c r="E9067" s="18" t="s">
        <v>0</v>
      </c>
      <c r="F9067" s="42">
        <v>1</v>
      </c>
      <c r="G9067" s="4">
        <v>15</v>
      </c>
      <c r="H9067" s="18">
        <v>39.448369999999997</v>
      </c>
    </row>
    <row r="9068" spans="1:8" s="15" customFormat="1" ht="16.5" hidden="1" customHeight="1" outlineLevel="1" x14ac:dyDescent="0.25">
      <c r="A9068" s="18">
        <v>962</v>
      </c>
      <c r="B9068" s="4" t="s">
        <v>250</v>
      </c>
      <c r="C9068" s="38" t="s">
        <v>7597</v>
      </c>
      <c r="D9068" s="18">
        <v>2022</v>
      </c>
      <c r="E9068" s="18" t="s">
        <v>0</v>
      </c>
      <c r="F9068" s="42">
        <v>1</v>
      </c>
      <c r="G9068" s="4">
        <v>15</v>
      </c>
      <c r="H9068" s="18">
        <v>39.448419999999999</v>
      </c>
    </row>
    <row r="9069" spans="1:8" s="15" customFormat="1" ht="16.5" hidden="1" customHeight="1" outlineLevel="1" x14ac:dyDescent="0.25">
      <c r="A9069" s="18">
        <v>963</v>
      </c>
      <c r="B9069" s="4" t="s">
        <v>250</v>
      </c>
      <c r="C9069" s="38" t="s">
        <v>7598</v>
      </c>
      <c r="D9069" s="18">
        <v>2022</v>
      </c>
      <c r="E9069" s="18" t="s">
        <v>0</v>
      </c>
      <c r="F9069" s="42">
        <v>1</v>
      </c>
      <c r="G9069" s="4">
        <v>15</v>
      </c>
      <c r="H9069" s="18">
        <v>39.448219999999999</v>
      </c>
    </row>
    <row r="9070" spans="1:8" s="15" customFormat="1" ht="16.5" hidden="1" customHeight="1" outlineLevel="1" x14ac:dyDescent="0.25">
      <c r="A9070" s="18">
        <v>569</v>
      </c>
      <c r="B9070" s="4" t="s">
        <v>250</v>
      </c>
      <c r="C9070" s="38" t="s">
        <v>3590</v>
      </c>
      <c r="D9070" s="18">
        <v>2022</v>
      </c>
      <c r="E9070" s="18" t="s">
        <v>0</v>
      </c>
      <c r="F9070" s="42">
        <v>1</v>
      </c>
      <c r="G9070" s="4">
        <v>7.5</v>
      </c>
      <c r="H9070" s="18">
        <v>44.013280000000002</v>
      </c>
    </row>
    <row r="9071" spans="1:8" s="15" customFormat="1" ht="16.5" hidden="1" customHeight="1" outlineLevel="1" x14ac:dyDescent="0.25">
      <c r="A9071" s="18">
        <v>964</v>
      </c>
      <c r="B9071" s="4" t="s">
        <v>250</v>
      </c>
      <c r="C9071" s="38" t="s">
        <v>7599</v>
      </c>
      <c r="D9071" s="18">
        <v>2022</v>
      </c>
      <c r="E9071" s="18" t="s">
        <v>0</v>
      </c>
      <c r="F9071" s="42">
        <v>1</v>
      </c>
      <c r="G9071" s="4">
        <v>15</v>
      </c>
      <c r="H9071" s="18">
        <v>37.733150000000002</v>
      </c>
    </row>
    <row r="9072" spans="1:8" s="15" customFormat="1" ht="16.5" hidden="1" customHeight="1" outlineLevel="1" x14ac:dyDescent="0.25">
      <c r="A9072" s="18">
        <v>965</v>
      </c>
      <c r="B9072" s="4" t="s">
        <v>250</v>
      </c>
      <c r="C9072" s="38" t="s">
        <v>7600</v>
      </c>
      <c r="D9072" s="18">
        <v>2022</v>
      </c>
      <c r="E9072" s="18" t="s">
        <v>0</v>
      </c>
      <c r="F9072" s="42">
        <v>1</v>
      </c>
      <c r="G9072" s="4">
        <v>15</v>
      </c>
      <c r="H9072" s="18">
        <v>37.733139999999999</v>
      </c>
    </row>
    <row r="9073" spans="1:8" s="15" customFormat="1" ht="16.5" hidden="1" customHeight="1" outlineLevel="1" x14ac:dyDescent="0.25">
      <c r="A9073" s="18">
        <v>966</v>
      </c>
      <c r="B9073" s="4" t="s">
        <v>250</v>
      </c>
      <c r="C9073" s="38" t="s">
        <v>7601</v>
      </c>
      <c r="D9073" s="18">
        <v>2022</v>
      </c>
      <c r="E9073" s="18" t="s">
        <v>0</v>
      </c>
      <c r="F9073" s="42">
        <v>1</v>
      </c>
      <c r="G9073" s="4">
        <v>15</v>
      </c>
      <c r="H9073" s="18">
        <v>37.73319</v>
      </c>
    </row>
    <row r="9074" spans="1:8" s="15" customFormat="1" ht="16.5" hidden="1" customHeight="1" outlineLevel="1" x14ac:dyDescent="0.25">
      <c r="A9074" s="18">
        <v>967</v>
      </c>
      <c r="B9074" s="4" t="s">
        <v>250</v>
      </c>
      <c r="C9074" s="38" t="s">
        <v>7602</v>
      </c>
      <c r="D9074" s="18">
        <v>2022</v>
      </c>
      <c r="E9074" s="18" t="s">
        <v>0</v>
      </c>
      <c r="F9074" s="42">
        <v>1</v>
      </c>
      <c r="G9074" s="4">
        <v>15</v>
      </c>
      <c r="H9074" s="18">
        <v>37.733139999999999</v>
      </c>
    </row>
    <row r="9075" spans="1:8" s="15" customFormat="1" ht="16.5" hidden="1" customHeight="1" outlineLevel="1" x14ac:dyDescent="0.25">
      <c r="A9075" s="18">
        <v>509</v>
      </c>
      <c r="B9075" s="4" t="s">
        <v>250</v>
      </c>
      <c r="C9075" s="38" t="s">
        <v>3591</v>
      </c>
      <c r="D9075" s="18">
        <v>2022</v>
      </c>
      <c r="E9075" s="18" t="s">
        <v>0</v>
      </c>
      <c r="F9075" s="42">
        <v>1</v>
      </c>
      <c r="G9075" s="4">
        <v>15</v>
      </c>
      <c r="H9075" s="18">
        <v>45.301409999999997</v>
      </c>
    </row>
    <row r="9076" spans="1:8" s="15" customFormat="1" ht="16.5" hidden="1" customHeight="1" outlineLevel="1" x14ac:dyDescent="0.25">
      <c r="A9076" s="18">
        <v>520</v>
      </c>
      <c r="B9076" s="4" t="s">
        <v>250</v>
      </c>
      <c r="C9076" s="38" t="s">
        <v>3592</v>
      </c>
      <c r="D9076" s="18">
        <v>2022</v>
      </c>
      <c r="E9076" s="18" t="s">
        <v>0</v>
      </c>
      <c r="F9076" s="42">
        <v>1</v>
      </c>
      <c r="G9076" s="4">
        <v>6</v>
      </c>
      <c r="H9076" s="18">
        <v>47.394779999999997</v>
      </c>
    </row>
    <row r="9077" spans="1:8" s="15" customFormat="1" ht="16.5" hidden="1" customHeight="1" outlineLevel="1" x14ac:dyDescent="0.25">
      <c r="A9077" s="18">
        <v>500</v>
      </c>
      <c r="B9077" s="4" t="s">
        <v>250</v>
      </c>
      <c r="C9077" s="38" t="s">
        <v>3593</v>
      </c>
      <c r="D9077" s="18">
        <v>2022</v>
      </c>
      <c r="E9077" s="18" t="s">
        <v>0</v>
      </c>
      <c r="F9077" s="42">
        <v>1</v>
      </c>
      <c r="G9077" s="4">
        <v>15</v>
      </c>
      <c r="H9077" s="18">
        <v>45.3307</v>
      </c>
    </row>
    <row r="9078" spans="1:8" s="15" customFormat="1" ht="16.5" hidden="1" customHeight="1" outlineLevel="1" x14ac:dyDescent="0.25">
      <c r="A9078" s="18">
        <v>968</v>
      </c>
      <c r="B9078" s="4" t="s">
        <v>250</v>
      </c>
      <c r="C9078" s="38" t="s">
        <v>7603</v>
      </c>
      <c r="D9078" s="18">
        <v>2022</v>
      </c>
      <c r="E9078" s="18" t="s">
        <v>0</v>
      </c>
      <c r="F9078" s="42">
        <v>1</v>
      </c>
      <c r="G9078" s="4">
        <v>15</v>
      </c>
      <c r="H9078" s="18">
        <v>34.226550000000003</v>
      </c>
    </row>
    <row r="9079" spans="1:8" s="15" customFormat="1" ht="16.5" hidden="1" customHeight="1" outlineLevel="1" x14ac:dyDescent="0.25">
      <c r="A9079" s="18">
        <v>969</v>
      </c>
      <c r="B9079" s="4" t="s">
        <v>250</v>
      </c>
      <c r="C9079" s="38" t="s">
        <v>7604</v>
      </c>
      <c r="D9079" s="18">
        <v>2022</v>
      </c>
      <c r="E9079" s="18" t="s">
        <v>0</v>
      </c>
      <c r="F9079" s="42">
        <v>1</v>
      </c>
      <c r="G9079" s="4">
        <v>15</v>
      </c>
      <c r="H9079" s="18">
        <v>34.226559999999999</v>
      </c>
    </row>
    <row r="9080" spans="1:8" s="15" customFormat="1" ht="16.5" hidden="1" customHeight="1" outlineLevel="1" x14ac:dyDescent="0.25">
      <c r="A9080" s="18">
        <v>970</v>
      </c>
      <c r="B9080" s="4" t="s">
        <v>250</v>
      </c>
      <c r="C9080" s="38" t="s">
        <v>7605</v>
      </c>
      <c r="D9080" s="18">
        <v>2022</v>
      </c>
      <c r="E9080" s="18" t="s">
        <v>0</v>
      </c>
      <c r="F9080" s="42">
        <v>1</v>
      </c>
      <c r="G9080" s="4">
        <v>15</v>
      </c>
      <c r="H9080" s="18">
        <v>34.337220000000002</v>
      </c>
    </row>
    <row r="9081" spans="1:8" s="15" customFormat="1" ht="16.5" hidden="1" customHeight="1" outlineLevel="1" x14ac:dyDescent="0.25">
      <c r="A9081" s="18">
        <v>971</v>
      </c>
      <c r="B9081" s="4" t="s">
        <v>250</v>
      </c>
      <c r="C9081" s="38" t="s">
        <v>7606</v>
      </c>
      <c r="D9081" s="18">
        <v>2022</v>
      </c>
      <c r="E9081" s="18" t="s">
        <v>0</v>
      </c>
      <c r="F9081" s="42">
        <v>1</v>
      </c>
      <c r="G9081" s="4">
        <v>15</v>
      </c>
      <c r="H9081" s="18">
        <v>34.442230000000002</v>
      </c>
    </row>
    <row r="9082" spans="1:8" s="15" customFormat="1" ht="16.5" hidden="1" customHeight="1" outlineLevel="1" x14ac:dyDescent="0.25">
      <c r="A9082" s="18">
        <v>972</v>
      </c>
      <c r="B9082" s="4" t="s">
        <v>250</v>
      </c>
      <c r="C9082" s="38" t="s">
        <v>7607</v>
      </c>
      <c r="D9082" s="18">
        <v>2022</v>
      </c>
      <c r="E9082" s="18" t="s">
        <v>0</v>
      </c>
      <c r="F9082" s="42">
        <v>1</v>
      </c>
      <c r="G9082" s="4">
        <v>7.5</v>
      </c>
      <c r="H9082" s="18">
        <v>34.334389999999999</v>
      </c>
    </row>
    <row r="9083" spans="1:8" s="15" customFormat="1" ht="16.5" hidden="1" customHeight="1" outlineLevel="1" x14ac:dyDescent="0.25">
      <c r="A9083" s="18">
        <v>983</v>
      </c>
      <c r="B9083" s="4" t="s">
        <v>250</v>
      </c>
      <c r="C9083" s="38" t="s">
        <v>7608</v>
      </c>
      <c r="D9083" s="18">
        <v>2022</v>
      </c>
      <c r="E9083" s="18" t="s">
        <v>0</v>
      </c>
      <c r="F9083" s="42">
        <v>1</v>
      </c>
      <c r="G9083" s="4">
        <v>15</v>
      </c>
      <c r="H9083" s="18">
        <v>34.766210000000001</v>
      </c>
    </row>
    <row r="9084" spans="1:8" s="15" customFormat="1" ht="16.5" hidden="1" customHeight="1" outlineLevel="1" x14ac:dyDescent="0.25">
      <c r="A9084" s="18">
        <v>984</v>
      </c>
      <c r="B9084" s="4" t="s">
        <v>250</v>
      </c>
      <c r="C9084" s="38" t="s">
        <v>7609</v>
      </c>
      <c r="D9084" s="18">
        <v>2022</v>
      </c>
      <c r="E9084" s="18" t="s">
        <v>0</v>
      </c>
      <c r="F9084" s="42">
        <v>1</v>
      </c>
      <c r="G9084" s="4">
        <v>15</v>
      </c>
      <c r="H9084" s="18">
        <v>34.766210000000001</v>
      </c>
    </row>
    <row r="9085" spans="1:8" s="15" customFormat="1" ht="16.5" hidden="1" customHeight="1" outlineLevel="1" x14ac:dyDescent="0.25">
      <c r="A9085" s="18">
        <v>985</v>
      </c>
      <c r="B9085" s="4" t="s">
        <v>250</v>
      </c>
      <c r="C9085" s="38" t="s">
        <v>7610</v>
      </c>
      <c r="D9085" s="18">
        <v>2022</v>
      </c>
      <c r="E9085" s="18" t="s">
        <v>0</v>
      </c>
      <c r="F9085" s="42">
        <v>1</v>
      </c>
      <c r="G9085" s="4">
        <v>22</v>
      </c>
      <c r="H9085" s="18">
        <v>34.766210000000001</v>
      </c>
    </row>
    <row r="9086" spans="1:8" s="15" customFormat="1" ht="16.5" hidden="1" customHeight="1" outlineLevel="1" x14ac:dyDescent="0.25">
      <c r="A9086" s="18">
        <v>986</v>
      </c>
      <c r="B9086" s="4" t="s">
        <v>250</v>
      </c>
      <c r="C9086" s="38" t="s">
        <v>7611</v>
      </c>
      <c r="D9086" s="18">
        <v>2022</v>
      </c>
      <c r="E9086" s="18" t="s">
        <v>0</v>
      </c>
      <c r="F9086" s="42">
        <v>1</v>
      </c>
      <c r="G9086" s="4">
        <v>15</v>
      </c>
      <c r="H9086" s="18">
        <v>34.227060000000002</v>
      </c>
    </row>
    <row r="9087" spans="1:8" s="15" customFormat="1" ht="16.5" hidden="1" customHeight="1" outlineLevel="1" x14ac:dyDescent="0.25">
      <c r="A9087" s="18">
        <v>987</v>
      </c>
      <c r="B9087" s="4" t="s">
        <v>250</v>
      </c>
      <c r="C9087" s="38" t="s">
        <v>7612</v>
      </c>
      <c r="D9087" s="18">
        <v>2022</v>
      </c>
      <c r="E9087" s="18" t="s">
        <v>0</v>
      </c>
      <c r="F9087" s="42">
        <v>1</v>
      </c>
      <c r="G9087" s="4">
        <v>15</v>
      </c>
      <c r="H9087" s="18">
        <v>34.227060000000002</v>
      </c>
    </row>
    <row r="9088" spans="1:8" s="15" customFormat="1" ht="16.5" hidden="1" customHeight="1" outlineLevel="1" x14ac:dyDescent="0.25">
      <c r="A9088" s="18">
        <v>988</v>
      </c>
      <c r="B9088" s="4" t="s">
        <v>250</v>
      </c>
      <c r="C9088" s="38" t="s">
        <v>7613</v>
      </c>
      <c r="D9088" s="18">
        <v>2022</v>
      </c>
      <c r="E9088" s="18" t="s">
        <v>0</v>
      </c>
      <c r="F9088" s="42">
        <v>1</v>
      </c>
      <c r="G9088" s="4">
        <v>15</v>
      </c>
      <c r="H9088" s="18">
        <v>34.334870000000002</v>
      </c>
    </row>
    <row r="9089" spans="1:8" s="15" customFormat="1" ht="16.5" hidden="1" customHeight="1" outlineLevel="1" x14ac:dyDescent="0.25">
      <c r="A9089" s="18">
        <v>989</v>
      </c>
      <c r="B9089" s="4" t="s">
        <v>250</v>
      </c>
      <c r="C9089" s="38" t="s">
        <v>7614</v>
      </c>
      <c r="D9089" s="18">
        <v>2022</v>
      </c>
      <c r="E9089" s="18" t="s">
        <v>0</v>
      </c>
      <c r="F9089" s="42">
        <v>1</v>
      </c>
      <c r="G9089" s="4">
        <v>15</v>
      </c>
      <c r="H9089" s="18">
        <v>34.334870000000002</v>
      </c>
    </row>
    <row r="9090" spans="1:8" s="15" customFormat="1" ht="16.5" hidden="1" customHeight="1" outlineLevel="1" x14ac:dyDescent="0.25">
      <c r="A9090" s="18">
        <v>568</v>
      </c>
      <c r="B9090" s="4" t="s">
        <v>250</v>
      </c>
      <c r="C9090" s="38" t="s">
        <v>7615</v>
      </c>
      <c r="D9090" s="18">
        <v>2022</v>
      </c>
      <c r="E9090" s="18" t="s">
        <v>0</v>
      </c>
      <c r="F9090" s="42">
        <v>1</v>
      </c>
      <c r="G9090" s="4">
        <v>15</v>
      </c>
      <c r="H9090" s="18">
        <v>66.299779999999998</v>
      </c>
    </row>
    <row r="9091" spans="1:8" s="15" customFormat="1" ht="16.5" hidden="1" customHeight="1" outlineLevel="1" x14ac:dyDescent="0.25">
      <c r="A9091" s="18">
        <v>990</v>
      </c>
      <c r="B9091" s="4" t="s">
        <v>250</v>
      </c>
      <c r="C9091" s="38" t="s">
        <v>7616</v>
      </c>
      <c r="D9091" s="18">
        <v>2022</v>
      </c>
      <c r="E9091" s="18" t="s">
        <v>0</v>
      </c>
      <c r="F9091" s="42">
        <v>1</v>
      </c>
      <c r="G9091" s="4">
        <v>15</v>
      </c>
      <c r="H9091" s="18">
        <v>34.73762</v>
      </c>
    </row>
    <row r="9092" spans="1:8" s="15" customFormat="1" ht="16.5" hidden="1" customHeight="1" outlineLevel="1" x14ac:dyDescent="0.25">
      <c r="A9092" s="18">
        <v>992</v>
      </c>
      <c r="B9092" s="4" t="s">
        <v>250</v>
      </c>
      <c r="C9092" s="38" t="s">
        <v>7617</v>
      </c>
      <c r="D9092" s="18">
        <v>2022</v>
      </c>
      <c r="E9092" s="18" t="s">
        <v>0</v>
      </c>
      <c r="F9092" s="42">
        <v>1</v>
      </c>
      <c r="G9092" s="4">
        <v>15</v>
      </c>
      <c r="H9092" s="18">
        <v>34.737670000000001</v>
      </c>
    </row>
    <row r="9093" spans="1:8" s="15" customFormat="1" ht="16.5" hidden="1" customHeight="1" outlineLevel="1" x14ac:dyDescent="0.25">
      <c r="A9093" s="18">
        <v>993</v>
      </c>
      <c r="B9093" s="4" t="s">
        <v>250</v>
      </c>
      <c r="C9093" s="38" t="s">
        <v>7618</v>
      </c>
      <c r="D9093" s="18">
        <v>2022</v>
      </c>
      <c r="E9093" s="18" t="s">
        <v>0</v>
      </c>
      <c r="F9093" s="42">
        <v>1</v>
      </c>
      <c r="G9093" s="4">
        <v>15</v>
      </c>
      <c r="H9093" s="18">
        <v>35.408659999999998</v>
      </c>
    </row>
    <row r="9094" spans="1:8" s="15" customFormat="1" ht="16.5" hidden="1" customHeight="1" outlineLevel="1" x14ac:dyDescent="0.25">
      <c r="A9094" s="18">
        <v>997</v>
      </c>
      <c r="B9094" s="4" t="s">
        <v>250</v>
      </c>
      <c r="C9094" s="38" t="s">
        <v>7619</v>
      </c>
      <c r="D9094" s="18">
        <v>2022</v>
      </c>
      <c r="E9094" s="18" t="s">
        <v>0</v>
      </c>
      <c r="F9094" s="42">
        <v>1</v>
      </c>
      <c r="G9094" s="4">
        <v>15</v>
      </c>
      <c r="H9094" s="18">
        <v>34.737740000000002</v>
      </c>
    </row>
    <row r="9095" spans="1:8" s="15" customFormat="1" ht="16.5" hidden="1" customHeight="1" outlineLevel="1" x14ac:dyDescent="0.25">
      <c r="A9095" s="18">
        <v>998</v>
      </c>
      <c r="B9095" s="4" t="s">
        <v>250</v>
      </c>
      <c r="C9095" s="38" t="s">
        <v>7620</v>
      </c>
      <c r="D9095" s="18">
        <v>2022</v>
      </c>
      <c r="E9095" s="18" t="s">
        <v>0</v>
      </c>
      <c r="F9095" s="42">
        <v>1</v>
      </c>
      <c r="G9095" s="4">
        <v>15</v>
      </c>
      <c r="H9095" s="18">
        <v>34.737659999999998</v>
      </c>
    </row>
    <row r="9096" spans="1:8" s="15" customFormat="1" ht="16.5" hidden="1" customHeight="1" outlineLevel="1" x14ac:dyDescent="0.25">
      <c r="A9096" s="18">
        <v>999</v>
      </c>
      <c r="B9096" s="4" t="s">
        <v>250</v>
      </c>
      <c r="C9096" s="38" t="s">
        <v>7621</v>
      </c>
      <c r="D9096" s="18">
        <v>2022</v>
      </c>
      <c r="E9096" s="18" t="s">
        <v>0</v>
      </c>
      <c r="F9096" s="42">
        <v>1</v>
      </c>
      <c r="G9096" s="4">
        <v>15</v>
      </c>
      <c r="H9096" s="18">
        <v>34.737639999999999</v>
      </c>
    </row>
    <row r="9097" spans="1:8" s="15" customFormat="1" ht="16.5" hidden="1" customHeight="1" outlineLevel="1" x14ac:dyDescent="0.25">
      <c r="A9097" s="18">
        <v>1001</v>
      </c>
      <c r="B9097" s="4" t="s">
        <v>250</v>
      </c>
      <c r="C9097" s="38" t="s">
        <v>7622</v>
      </c>
      <c r="D9097" s="18">
        <v>2022</v>
      </c>
      <c r="E9097" s="18" t="s">
        <v>0</v>
      </c>
      <c r="F9097" s="42">
        <v>1</v>
      </c>
      <c r="G9097" s="4">
        <v>15</v>
      </c>
      <c r="H9097" s="18">
        <v>34.737580000000001</v>
      </c>
    </row>
    <row r="9098" spans="1:8" s="15" customFormat="1" ht="16.5" hidden="1" customHeight="1" outlineLevel="1" x14ac:dyDescent="0.25">
      <c r="A9098" s="18">
        <v>1003</v>
      </c>
      <c r="B9098" s="4" t="s">
        <v>250</v>
      </c>
      <c r="C9098" s="38" t="s">
        <v>7623</v>
      </c>
      <c r="D9098" s="18">
        <v>2022</v>
      </c>
      <c r="E9098" s="18" t="s">
        <v>0</v>
      </c>
      <c r="F9098" s="42">
        <v>1</v>
      </c>
      <c r="G9098" s="4">
        <v>15</v>
      </c>
      <c r="H9098" s="18">
        <v>34.737650000000002</v>
      </c>
    </row>
    <row r="9099" spans="1:8" s="15" customFormat="1" ht="16.5" hidden="1" customHeight="1" outlineLevel="1" x14ac:dyDescent="0.25">
      <c r="A9099" s="18">
        <v>578</v>
      </c>
      <c r="B9099" s="4" t="s">
        <v>250</v>
      </c>
      <c r="C9099" s="38" t="s">
        <v>3595</v>
      </c>
      <c r="D9099" s="18">
        <v>2022</v>
      </c>
      <c r="E9099" s="18" t="s">
        <v>0</v>
      </c>
      <c r="F9099" s="42">
        <v>1</v>
      </c>
      <c r="G9099" s="4">
        <v>15</v>
      </c>
      <c r="H9099" s="18">
        <v>41.817120000000003</v>
      </c>
    </row>
    <row r="9100" spans="1:8" s="15" customFormat="1" ht="16.5" hidden="1" customHeight="1" outlineLevel="1" x14ac:dyDescent="0.25">
      <c r="A9100" s="18">
        <v>579</v>
      </c>
      <c r="B9100" s="4" t="s">
        <v>250</v>
      </c>
      <c r="C9100" s="38" t="s">
        <v>4035</v>
      </c>
      <c r="D9100" s="18">
        <v>2022</v>
      </c>
      <c r="E9100" s="18" t="s">
        <v>0</v>
      </c>
      <c r="F9100" s="42">
        <v>1</v>
      </c>
      <c r="G9100" s="4">
        <v>15</v>
      </c>
      <c r="H9100" s="18">
        <v>69.016810000000007</v>
      </c>
    </row>
    <row r="9101" spans="1:8" s="15" customFormat="1" ht="16.5" hidden="1" customHeight="1" outlineLevel="1" x14ac:dyDescent="0.25">
      <c r="A9101" s="18">
        <v>581</v>
      </c>
      <c r="B9101" s="4" t="s">
        <v>250</v>
      </c>
      <c r="C9101" s="38" t="s">
        <v>3597</v>
      </c>
      <c r="D9101" s="18">
        <v>2022</v>
      </c>
      <c r="E9101" s="18" t="s">
        <v>0</v>
      </c>
      <c r="F9101" s="42">
        <v>1</v>
      </c>
      <c r="G9101" s="4">
        <v>15</v>
      </c>
      <c r="H9101" s="18">
        <v>49.983319999999999</v>
      </c>
    </row>
    <row r="9102" spans="1:8" s="15" customFormat="1" ht="16.5" hidden="1" customHeight="1" outlineLevel="1" x14ac:dyDescent="0.25">
      <c r="A9102" s="18">
        <v>582</v>
      </c>
      <c r="B9102" s="4" t="s">
        <v>250</v>
      </c>
      <c r="C9102" s="38" t="s">
        <v>3598</v>
      </c>
      <c r="D9102" s="18">
        <v>2022</v>
      </c>
      <c r="E9102" s="18" t="s">
        <v>0</v>
      </c>
      <c r="F9102" s="42">
        <v>1</v>
      </c>
      <c r="G9102" s="4">
        <v>15</v>
      </c>
      <c r="H9102" s="18">
        <v>46.31597</v>
      </c>
    </row>
    <row r="9103" spans="1:8" s="15" customFormat="1" ht="16.5" hidden="1" customHeight="1" outlineLevel="1" x14ac:dyDescent="0.25">
      <c r="A9103" s="18">
        <v>514</v>
      </c>
      <c r="B9103" s="4" t="s">
        <v>250</v>
      </c>
      <c r="C9103" s="38" t="s">
        <v>3599</v>
      </c>
      <c r="D9103" s="18">
        <v>2022</v>
      </c>
      <c r="E9103" s="18" t="s">
        <v>0</v>
      </c>
      <c r="F9103" s="42">
        <v>1</v>
      </c>
      <c r="G9103" s="4">
        <v>15</v>
      </c>
      <c r="H9103" s="18">
        <v>49.343359999999997</v>
      </c>
    </row>
    <row r="9104" spans="1:8" s="15" customFormat="1" ht="16.5" hidden="1" customHeight="1" outlineLevel="1" x14ac:dyDescent="0.25">
      <c r="A9104" s="18">
        <v>553</v>
      </c>
      <c r="B9104" s="4" t="s">
        <v>250</v>
      </c>
      <c r="C9104" s="38" t="s">
        <v>3600</v>
      </c>
      <c r="D9104" s="18">
        <v>2022</v>
      </c>
      <c r="E9104" s="18" t="s">
        <v>0</v>
      </c>
      <c r="F9104" s="42">
        <v>1</v>
      </c>
      <c r="G9104" s="4">
        <v>15</v>
      </c>
      <c r="H9104" s="18">
        <v>29.662109999999998</v>
      </c>
    </row>
    <row r="9105" spans="1:8" s="15" customFormat="1" ht="16.5" hidden="1" customHeight="1" outlineLevel="1" x14ac:dyDescent="0.25">
      <c r="A9105" s="18">
        <v>518</v>
      </c>
      <c r="B9105" s="4" t="s">
        <v>250</v>
      </c>
      <c r="C9105" s="38" t="s">
        <v>3601</v>
      </c>
      <c r="D9105" s="18">
        <v>2022</v>
      </c>
      <c r="E9105" s="18" t="s">
        <v>0</v>
      </c>
      <c r="F9105" s="42">
        <v>1</v>
      </c>
      <c r="G9105" s="4">
        <v>15</v>
      </c>
      <c r="H9105" s="18">
        <v>45.7166</v>
      </c>
    </row>
    <row r="9106" spans="1:8" s="15" customFormat="1" ht="16.5" hidden="1" customHeight="1" outlineLevel="1" x14ac:dyDescent="0.25">
      <c r="A9106" s="18">
        <v>530</v>
      </c>
      <c r="B9106" s="4" t="s">
        <v>250</v>
      </c>
      <c r="C9106" s="38" t="s">
        <v>3602</v>
      </c>
      <c r="D9106" s="18">
        <v>2022</v>
      </c>
      <c r="E9106" s="18" t="s">
        <v>0</v>
      </c>
      <c r="F9106" s="42">
        <v>1</v>
      </c>
      <c r="G9106" s="4">
        <v>15</v>
      </c>
      <c r="H9106" s="18">
        <v>25.284289999999999</v>
      </c>
    </row>
    <row r="9107" spans="1:8" s="15" customFormat="1" ht="16.5" hidden="1" customHeight="1" outlineLevel="1" x14ac:dyDescent="0.25">
      <c r="A9107" s="18">
        <v>508</v>
      </c>
      <c r="B9107" s="4" t="s">
        <v>250</v>
      </c>
      <c r="C9107" s="38" t="s">
        <v>3603</v>
      </c>
      <c r="D9107" s="18">
        <v>2022</v>
      </c>
      <c r="E9107" s="18" t="s">
        <v>0</v>
      </c>
      <c r="F9107" s="42">
        <v>1</v>
      </c>
      <c r="G9107" s="4">
        <v>15</v>
      </c>
      <c r="H9107" s="18">
        <v>47.10951</v>
      </c>
    </row>
    <row r="9108" spans="1:8" s="15" customFormat="1" ht="16.5" hidden="1" customHeight="1" outlineLevel="1" x14ac:dyDescent="0.25">
      <c r="A9108" s="18">
        <v>557</v>
      </c>
      <c r="B9108" s="4" t="s">
        <v>250</v>
      </c>
      <c r="C9108" s="38" t="s">
        <v>3604</v>
      </c>
      <c r="D9108" s="18">
        <v>2022</v>
      </c>
      <c r="E9108" s="18" t="s">
        <v>0</v>
      </c>
      <c r="F9108" s="42">
        <v>1</v>
      </c>
      <c r="G9108" s="4">
        <v>15</v>
      </c>
      <c r="H9108" s="18">
        <v>49.04627</v>
      </c>
    </row>
    <row r="9109" spans="1:8" s="15" customFormat="1" ht="16.5" hidden="1" customHeight="1" outlineLevel="1" x14ac:dyDescent="0.25">
      <c r="A9109" s="18">
        <v>502</v>
      </c>
      <c r="B9109" s="4" t="s">
        <v>250</v>
      </c>
      <c r="C9109" s="38" t="s">
        <v>7624</v>
      </c>
      <c r="D9109" s="18">
        <v>2022</v>
      </c>
      <c r="E9109" s="18" t="s">
        <v>0</v>
      </c>
      <c r="F9109" s="42">
        <v>1</v>
      </c>
      <c r="G9109" s="4">
        <v>15</v>
      </c>
      <c r="H9109" s="18">
        <v>47.806519999999999</v>
      </c>
    </row>
    <row r="9110" spans="1:8" s="15" customFormat="1" ht="16.5" hidden="1" customHeight="1" outlineLevel="1" x14ac:dyDescent="0.25">
      <c r="A9110" s="18">
        <v>1032</v>
      </c>
      <c r="B9110" s="4" t="s">
        <v>250</v>
      </c>
      <c r="C9110" s="38" t="s">
        <v>7625</v>
      </c>
      <c r="D9110" s="18">
        <v>2022</v>
      </c>
      <c r="E9110" s="18" t="s">
        <v>0</v>
      </c>
      <c r="F9110" s="42">
        <v>1</v>
      </c>
      <c r="G9110" s="4">
        <v>15</v>
      </c>
      <c r="H9110" s="18">
        <v>34.411349999999999</v>
      </c>
    </row>
    <row r="9111" spans="1:8" s="15" customFormat="1" ht="16.5" hidden="1" customHeight="1" outlineLevel="1" x14ac:dyDescent="0.25">
      <c r="A9111" s="18">
        <v>1033</v>
      </c>
      <c r="B9111" s="4" t="s">
        <v>250</v>
      </c>
      <c r="C9111" s="38" t="s">
        <v>7626</v>
      </c>
      <c r="D9111" s="18">
        <v>2022</v>
      </c>
      <c r="E9111" s="18" t="s">
        <v>0</v>
      </c>
      <c r="F9111" s="42">
        <v>1</v>
      </c>
      <c r="G9111" s="4">
        <v>15</v>
      </c>
      <c r="H9111" s="18">
        <v>34.631369999999997</v>
      </c>
    </row>
    <row r="9112" spans="1:8" s="15" customFormat="1" ht="16.5" hidden="1" customHeight="1" outlineLevel="1" x14ac:dyDescent="0.25">
      <c r="A9112" s="18">
        <v>1034</v>
      </c>
      <c r="B9112" s="4" t="s">
        <v>250</v>
      </c>
      <c r="C9112" s="38" t="s">
        <v>7627</v>
      </c>
      <c r="D9112" s="18">
        <v>2022</v>
      </c>
      <c r="E9112" s="18" t="s">
        <v>0</v>
      </c>
      <c r="F9112" s="42">
        <v>1</v>
      </c>
      <c r="G9112" s="4">
        <v>15</v>
      </c>
      <c r="H9112" s="18">
        <v>34.411349999999999</v>
      </c>
    </row>
    <row r="9113" spans="1:8" s="15" customFormat="1" ht="16.5" hidden="1" customHeight="1" outlineLevel="1" x14ac:dyDescent="0.25">
      <c r="A9113" s="18">
        <v>1035</v>
      </c>
      <c r="B9113" s="4" t="s">
        <v>250</v>
      </c>
      <c r="C9113" s="38" t="s">
        <v>7628</v>
      </c>
      <c r="D9113" s="18">
        <v>2022</v>
      </c>
      <c r="E9113" s="18" t="s">
        <v>0</v>
      </c>
      <c r="F9113" s="42">
        <v>1</v>
      </c>
      <c r="G9113" s="4">
        <v>15</v>
      </c>
      <c r="H9113" s="18">
        <v>34.411369999999998</v>
      </c>
    </row>
    <row r="9114" spans="1:8" s="15" customFormat="1" ht="16.5" hidden="1" customHeight="1" outlineLevel="1" x14ac:dyDescent="0.25">
      <c r="A9114" s="18">
        <v>1036</v>
      </c>
      <c r="B9114" s="4" t="s">
        <v>250</v>
      </c>
      <c r="C9114" s="38" t="s">
        <v>7629</v>
      </c>
      <c r="D9114" s="18">
        <v>2022</v>
      </c>
      <c r="E9114" s="18" t="s">
        <v>0</v>
      </c>
      <c r="F9114" s="42">
        <v>1</v>
      </c>
      <c r="G9114" s="4">
        <v>15</v>
      </c>
      <c r="H9114" s="18">
        <v>34.631360000000001</v>
      </c>
    </row>
    <row r="9115" spans="1:8" s="15" customFormat="1" ht="16.5" hidden="1" customHeight="1" outlineLevel="1" x14ac:dyDescent="0.25">
      <c r="A9115" s="18">
        <v>583</v>
      </c>
      <c r="B9115" s="4" t="s">
        <v>250</v>
      </c>
      <c r="C9115" s="38" t="s">
        <v>3607</v>
      </c>
      <c r="D9115" s="18">
        <v>2022</v>
      </c>
      <c r="E9115" s="18" t="s">
        <v>0</v>
      </c>
      <c r="F9115" s="42">
        <v>1</v>
      </c>
      <c r="G9115" s="4">
        <v>15</v>
      </c>
      <c r="H9115" s="18">
        <v>88.477760000000004</v>
      </c>
    </row>
    <row r="9116" spans="1:8" s="15" customFormat="1" ht="16.5" hidden="1" customHeight="1" outlineLevel="1" x14ac:dyDescent="0.25">
      <c r="A9116" s="18">
        <v>584</v>
      </c>
      <c r="B9116" s="4" t="s">
        <v>250</v>
      </c>
      <c r="C9116" s="38" t="s">
        <v>3608</v>
      </c>
      <c r="D9116" s="18">
        <v>2022</v>
      </c>
      <c r="E9116" s="18" t="s">
        <v>0</v>
      </c>
      <c r="F9116" s="42">
        <v>1</v>
      </c>
      <c r="G9116" s="4">
        <v>15</v>
      </c>
      <c r="H9116" s="18">
        <v>60.515360000000001</v>
      </c>
    </row>
    <row r="9117" spans="1:8" s="15" customFormat="1" ht="16.5" hidden="1" customHeight="1" outlineLevel="1" x14ac:dyDescent="0.25">
      <c r="A9117" s="18">
        <v>585</v>
      </c>
      <c r="B9117" s="4" t="s">
        <v>250</v>
      </c>
      <c r="C9117" s="38" t="s">
        <v>3609</v>
      </c>
      <c r="D9117" s="18">
        <v>2022</v>
      </c>
      <c r="E9117" s="18" t="s">
        <v>0</v>
      </c>
      <c r="F9117" s="42">
        <v>1</v>
      </c>
      <c r="G9117" s="4">
        <v>15</v>
      </c>
      <c r="H9117" s="18">
        <v>62.448929999999997</v>
      </c>
    </row>
    <row r="9118" spans="1:8" s="15" customFormat="1" ht="16.5" hidden="1" customHeight="1" outlineLevel="1" x14ac:dyDescent="0.25">
      <c r="A9118" s="18">
        <v>586</v>
      </c>
      <c r="B9118" s="4" t="s">
        <v>250</v>
      </c>
      <c r="C9118" s="38" t="s">
        <v>3610</v>
      </c>
      <c r="D9118" s="18">
        <v>2022</v>
      </c>
      <c r="E9118" s="18" t="s">
        <v>0</v>
      </c>
      <c r="F9118" s="42">
        <v>1</v>
      </c>
      <c r="G9118" s="4">
        <v>15</v>
      </c>
      <c r="H9118" s="18">
        <v>65.958960000000005</v>
      </c>
    </row>
    <row r="9119" spans="1:8" s="15" customFormat="1" ht="16.5" hidden="1" customHeight="1" outlineLevel="1" x14ac:dyDescent="0.25">
      <c r="A9119" s="18">
        <v>1015</v>
      </c>
      <c r="B9119" s="4" t="s">
        <v>250</v>
      </c>
      <c r="C9119" s="38" t="s">
        <v>7630</v>
      </c>
      <c r="D9119" s="18">
        <v>2022</v>
      </c>
      <c r="E9119" s="18" t="s">
        <v>0</v>
      </c>
      <c r="F9119" s="42">
        <v>1</v>
      </c>
      <c r="G9119" s="4">
        <v>15</v>
      </c>
      <c r="H9119" s="18">
        <v>34.24512</v>
      </c>
    </row>
    <row r="9120" spans="1:8" s="15" customFormat="1" ht="16.5" hidden="1" customHeight="1" outlineLevel="1" x14ac:dyDescent="0.25">
      <c r="A9120" s="18">
        <v>1016</v>
      </c>
      <c r="B9120" s="4" t="s">
        <v>250</v>
      </c>
      <c r="C9120" s="38" t="s">
        <v>7631</v>
      </c>
      <c r="D9120" s="18">
        <v>2022</v>
      </c>
      <c r="E9120" s="18" t="s">
        <v>0</v>
      </c>
      <c r="F9120" s="42">
        <v>1</v>
      </c>
      <c r="G9120" s="4">
        <v>15</v>
      </c>
      <c r="H9120" s="18">
        <v>34.242600000000003</v>
      </c>
    </row>
    <row r="9121" spans="1:8" s="15" customFormat="1" ht="16.5" hidden="1" customHeight="1" outlineLevel="1" x14ac:dyDescent="0.25">
      <c r="A9121" s="18">
        <v>1017</v>
      </c>
      <c r="B9121" s="4" t="s">
        <v>250</v>
      </c>
      <c r="C9121" s="38" t="s">
        <v>7632</v>
      </c>
      <c r="D9121" s="18">
        <v>2022</v>
      </c>
      <c r="E9121" s="18" t="s">
        <v>0</v>
      </c>
      <c r="F9121" s="42">
        <v>1</v>
      </c>
      <c r="G9121" s="4">
        <v>15</v>
      </c>
      <c r="H9121" s="18">
        <v>34.243859999999998</v>
      </c>
    </row>
    <row r="9122" spans="1:8" s="15" customFormat="1" ht="16.5" hidden="1" customHeight="1" outlineLevel="1" x14ac:dyDescent="0.25">
      <c r="A9122" s="18">
        <v>1018</v>
      </c>
      <c r="B9122" s="4" t="s">
        <v>250</v>
      </c>
      <c r="C9122" s="38" t="s">
        <v>7633</v>
      </c>
      <c r="D9122" s="18">
        <v>2022</v>
      </c>
      <c r="E9122" s="18" t="s">
        <v>0</v>
      </c>
      <c r="F9122" s="42">
        <v>1</v>
      </c>
      <c r="G9122" s="4">
        <v>15</v>
      </c>
      <c r="H9122" s="18">
        <v>34.245100000000001</v>
      </c>
    </row>
    <row r="9123" spans="1:8" s="15" customFormat="1" ht="16.5" hidden="1" customHeight="1" outlineLevel="1" x14ac:dyDescent="0.25">
      <c r="A9123" s="18">
        <v>4792</v>
      </c>
      <c r="B9123" s="4" t="s">
        <v>250</v>
      </c>
      <c r="C9123" s="38" t="s">
        <v>3960</v>
      </c>
      <c r="D9123" s="18">
        <v>2022</v>
      </c>
      <c r="E9123" s="18" t="s">
        <v>0</v>
      </c>
      <c r="F9123" s="42">
        <v>1</v>
      </c>
      <c r="G9123" s="4">
        <v>30.3</v>
      </c>
      <c r="H9123" s="18">
        <v>101</v>
      </c>
    </row>
    <row r="9124" spans="1:8" s="15" customFormat="1" ht="16.5" hidden="1" customHeight="1" outlineLevel="1" x14ac:dyDescent="0.25">
      <c r="A9124" s="18">
        <v>4793</v>
      </c>
      <c r="B9124" s="4" t="s">
        <v>250</v>
      </c>
      <c r="C9124" s="38" t="s">
        <v>4054</v>
      </c>
      <c r="D9124" s="18">
        <v>2022</v>
      </c>
      <c r="E9124" s="18" t="s">
        <v>0</v>
      </c>
      <c r="F9124" s="42">
        <v>1</v>
      </c>
      <c r="G9124" s="4">
        <v>15</v>
      </c>
      <c r="H9124" s="18">
        <v>54</v>
      </c>
    </row>
    <row r="9125" spans="1:8" s="15" customFormat="1" ht="16.5" hidden="1" customHeight="1" outlineLevel="1" x14ac:dyDescent="0.25">
      <c r="A9125" s="18">
        <v>4579</v>
      </c>
      <c r="B9125" s="4" t="s">
        <v>250</v>
      </c>
      <c r="C9125" s="38" t="s">
        <v>4055</v>
      </c>
      <c r="D9125" s="18">
        <v>2022</v>
      </c>
      <c r="E9125" s="18" t="s">
        <v>0</v>
      </c>
      <c r="F9125" s="42">
        <v>1</v>
      </c>
      <c r="G9125" s="4">
        <v>15</v>
      </c>
      <c r="H9125" s="18">
        <v>65</v>
      </c>
    </row>
    <row r="9126" spans="1:8" s="15" customFormat="1" ht="16.5" hidden="1" customHeight="1" outlineLevel="1" x14ac:dyDescent="0.25">
      <c r="A9126" s="18">
        <v>4581</v>
      </c>
      <c r="B9126" s="4" t="s">
        <v>250</v>
      </c>
      <c r="C9126" s="38" t="s">
        <v>4056</v>
      </c>
      <c r="D9126" s="18">
        <v>2022</v>
      </c>
      <c r="E9126" s="18" t="s">
        <v>0</v>
      </c>
      <c r="F9126" s="42">
        <v>1</v>
      </c>
      <c r="G9126" s="4">
        <v>15</v>
      </c>
      <c r="H9126" s="18">
        <v>77</v>
      </c>
    </row>
    <row r="9127" spans="1:8" s="15" customFormat="1" ht="16.5" hidden="1" customHeight="1" outlineLevel="1" x14ac:dyDescent="0.25">
      <c r="A9127" s="18">
        <v>4794</v>
      </c>
      <c r="B9127" s="4" t="s">
        <v>250</v>
      </c>
      <c r="C9127" s="38" t="s">
        <v>4057</v>
      </c>
      <c r="D9127" s="18">
        <v>2022</v>
      </c>
      <c r="E9127" s="18" t="s">
        <v>0</v>
      </c>
      <c r="F9127" s="42">
        <v>1</v>
      </c>
      <c r="G9127" s="4">
        <v>15</v>
      </c>
      <c r="H9127" s="18">
        <v>77</v>
      </c>
    </row>
    <row r="9128" spans="1:8" s="15" customFormat="1" ht="16.5" hidden="1" customHeight="1" outlineLevel="1" x14ac:dyDescent="0.25">
      <c r="A9128" s="18">
        <v>4798</v>
      </c>
      <c r="B9128" s="4" t="s">
        <v>250</v>
      </c>
      <c r="C9128" s="38" t="s">
        <v>4217</v>
      </c>
      <c r="D9128" s="18">
        <v>2022</v>
      </c>
      <c r="E9128" s="18" t="s">
        <v>0</v>
      </c>
      <c r="F9128" s="42">
        <v>1</v>
      </c>
      <c r="G9128" s="4">
        <v>15</v>
      </c>
      <c r="H9128" s="18">
        <v>67</v>
      </c>
    </row>
    <row r="9129" spans="1:8" s="15" customFormat="1" ht="16.5" hidden="1" customHeight="1" outlineLevel="1" x14ac:dyDescent="0.25">
      <c r="A9129" s="18">
        <v>4795</v>
      </c>
      <c r="B9129" s="4" t="s">
        <v>250</v>
      </c>
      <c r="C9129" s="38" t="s">
        <v>4058</v>
      </c>
      <c r="D9129" s="18">
        <v>2022</v>
      </c>
      <c r="E9129" s="18" t="s">
        <v>0</v>
      </c>
      <c r="F9129" s="42">
        <v>1</v>
      </c>
      <c r="G9129" s="4">
        <v>15</v>
      </c>
      <c r="H9129" s="18">
        <v>70</v>
      </c>
    </row>
    <row r="9130" spans="1:8" s="15" customFormat="1" ht="16.5" hidden="1" customHeight="1" outlineLevel="1" x14ac:dyDescent="0.25">
      <c r="A9130" s="18">
        <v>4796</v>
      </c>
      <c r="B9130" s="4" t="s">
        <v>250</v>
      </c>
      <c r="C9130" s="38" t="s">
        <v>4218</v>
      </c>
      <c r="D9130" s="18">
        <v>2022</v>
      </c>
      <c r="E9130" s="18" t="s">
        <v>0</v>
      </c>
      <c r="F9130" s="42">
        <v>1</v>
      </c>
      <c r="G9130" s="4">
        <v>15</v>
      </c>
      <c r="H9130" s="18">
        <v>87</v>
      </c>
    </row>
    <row r="9131" spans="1:8" s="15" customFormat="1" ht="16.5" hidden="1" customHeight="1" outlineLevel="1" x14ac:dyDescent="0.25">
      <c r="A9131" s="18">
        <v>4797</v>
      </c>
      <c r="B9131" s="4" t="s">
        <v>250</v>
      </c>
      <c r="C9131" s="38" t="s">
        <v>4059</v>
      </c>
      <c r="D9131" s="18">
        <v>2022</v>
      </c>
      <c r="E9131" s="18" t="s">
        <v>0</v>
      </c>
      <c r="F9131" s="42">
        <v>1</v>
      </c>
      <c r="G9131" s="4">
        <v>15</v>
      </c>
      <c r="H9131" s="18">
        <v>73</v>
      </c>
    </row>
    <row r="9132" spans="1:8" s="15" customFormat="1" ht="16.5" hidden="1" customHeight="1" outlineLevel="1" x14ac:dyDescent="0.25">
      <c r="A9132" s="18">
        <v>4655</v>
      </c>
      <c r="B9132" s="4" t="s">
        <v>250</v>
      </c>
      <c r="C9132" s="38" t="s">
        <v>7634</v>
      </c>
      <c r="D9132" s="18">
        <v>2022</v>
      </c>
      <c r="E9132" s="18" t="s">
        <v>0</v>
      </c>
      <c r="F9132" s="42">
        <v>1</v>
      </c>
      <c r="G9132" s="4">
        <v>15</v>
      </c>
      <c r="H9132" s="18">
        <v>98</v>
      </c>
    </row>
    <row r="9133" spans="1:8" s="15" customFormat="1" ht="16.5" hidden="1" customHeight="1" outlineLevel="1" x14ac:dyDescent="0.25">
      <c r="A9133" s="18">
        <v>4563</v>
      </c>
      <c r="B9133" s="4" t="s">
        <v>250</v>
      </c>
      <c r="C9133" s="38" t="s">
        <v>7635</v>
      </c>
      <c r="D9133" s="18">
        <v>2022</v>
      </c>
      <c r="E9133" s="18" t="s">
        <v>0</v>
      </c>
      <c r="F9133" s="42">
        <v>1</v>
      </c>
      <c r="G9133" s="4">
        <v>15</v>
      </c>
      <c r="H9133" s="18">
        <v>58</v>
      </c>
    </row>
    <row r="9134" spans="1:8" s="15" customFormat="1" ht="16.5" hidden="1" customHeight="1" outlineLevel="1" x14ac:dyDescent="0.25">
      <c r="A9134" s="18">
        <v>4564</v>
      </c>
      <c r="B9134" s="4" t="s">
        <v>250</v>
      </c>
      <c r="C9134" s="38" t="s">
        <v>7636</v>
      </c>
      <c r="D9134" s="18">
        <v>2022</v>
      </c>
      <c r="E9134" s="18" t="s">
        <v>0</v>
      </c>
      <c r="F9134" s="42">
        <v>1</v>
      </c>
      <c r="G9134" s="4">
        <v>15</v>
      </c>
      <c r="H9134" s="18">
        <v>63</v>
      </c>
    </row>
    <row r="9135" spans="1:8" s="15" customFormat="1" ht="16.5" hidden="1" customHeight="1" outlineLevel="1" x14ac:dyDescent="0.25">
      <c r="A9135" s="18">
        <v>4827</v>
      </c>
      <c r="B9135" s="4" t="s">
        <v>250</v>
      </c>
      <c r="C9135" s="38" t="s">
        <v>4060</v>
      </c>
      <c r="D9135" s="18">
        <v>2022</v>
      </c>
      <c r="E9135" s="18" t="s">
        <v>0</v>
      </c>
      <c r="F9135" s="42">
        <v>1</v>
      </c>
      <c r="G9135" s="4">
        <v>15</v>
      </c>
      <c r="H9135" s="18">
        <v>52</v>
      </c>
    </row>
    <row r="9136" spans="1:8" s="15" customFormat="1" ht="16.5" hidden="1" customHeight="1" outlineLevel="1" x14ac:dyDescent="0.25">
      <c r="A9136" s="18">
        <v>4725</v>
      </c>
      <c r="B9136" s="4" t="s">
        <v>250</v>
      </c>
      <c r="C9136" s="38" t="s">
        <v>7637</v>
      </c>
      <c r="D9136" s="18">
        <v>2022</v>
      </c>
      <c r="E9136" s="18" t="s">
        <v>0</v>
      </c>
      <c r="F9136" s="42">
        <v>1</v>
      </c>
      <c r="G9136" s="4">
        <v>14</v>
      </c>
      <c r="H9136" s="18">
        <v>98</v>
      </c>
    </row>
    <row r="9137" spans="1:8" s="15" customFormat="1" ht="16.5" hidden="1" customHeight="1" outlineLevel="1" x14ac:dyDescent="0.25">
      <c r="A9137" s="18">
        <v>4815</v>
      </c>
      <c r="B9137" s="4" t="s">
        <v>250</v>
      </c>
      <c r="C9137" s="38" t="s">
        <v>7638</v>
      </c>
      <c r="D9137" s="18">
        <v>2022</v>
      </c>
      <c r="E9137" s="18" t="s">
        <v>0</v>
      </c>
      <c r="F9137" s="42">
        <v>1</v>
      </c>
      <c r="G9137" s="4">
        <v>14</v>
      </c>
      <c r="H9137" s="18">
        <v>86</v>
      </c>
    </row>
    <row r="9138" spans="1:8" s="15" customFormat="1" ht="16.5" hidden="1" customHeight="1" outlineLevel="1" x14ac:dyDescent="0.25">
      <c r="A9138" s="18">
        <v>4816</v>
      </c>
      <c r="B9138" s="4" t="s">
        <v>250</v>
      </c>
      <c r="C9138" s="38" t="s">
        <v>7639</v>
      </c>
      <c r="D9138" s="18">
        <v>2022</v>
      </c>
      <c r="E9138" s="18" t="s">
        <v>0</v>
      </c>
      <c r="F9138" s="42">
        <v>1</v>
      </c>
      <c r="G9138" s="4">
        <v>14</v>
      </c>
      <c r="H9138" s="18">
        <v>86</v>
      </c>
    </row>
    <row r="9139" spans="1:8" s="15" customFormat="1" ht="16.5" hidden="1" customHeight="1" outlineLevel="1" x14ac:dyDescent="0.25">
      <c r="A9139" s="18">
        <v>4603</v>
      </c>
      <c r="B9139" s="4" t="s">
        <v>250</v>
      </c>
      <c r="C9139" s="38" t="s">
        <v>3964</v>
      </c>
      <c r="D9139" s="18">
        <v>2022</v>
      </c>
      <c r="E9139" s="18" t="s">
        <v>0</v>
      </c>
      <c r="F9139" s="42">
        <v>1</v>
      </c>
      <c r="G9139" s="4">
        <v>16</v>
      </c>
      <c r="H9139" s="18">
        <v>72</v>
      </c>
    </row>
    <row r="9140" spans="1:8" s="15" customFormat="1" ht="16.5" hidden="1" customHeight="1" outlineLevel="1" x14ac:dyDescent="0.25">
      <c r="A9140" s="18">
        <v>4604</v>
      </c>
      <c r="B9140" s="4" t="s">
        <v>250</v>
      </c>
      <c r="C9140" s="38" t="s">
        <v>3967</v>
      </c>
      <c r="D9140" s="18">
        <v>2022</v>
      </c>
      <c r="E9140" s="18" t="s">
        <v>0</v>
      </c>
      <c r="F9140" s="42">
        <v>1</v>
      </c>
      <c r="G9140" s="4">
        <v>25</v>
      </c>
      <c r="H9140" s="18">
        <v>64</v>
      </c>
    </row>
    <row r="9141" spans="1:8" s="15" customFormat="1" ht="16.5" hidden="1" customHeight="1" outlineLevel="1" x14ac:dyDescent="0.25">
      <c r="A9141" s="18">
        <v>4828</v>
      </c>
      <c r="B9141" s="4" t="s">
        <v>250</v>
      </c>
      <c r="C9141" s="38" t="s">
        <v>4061</v>
      </c>
      <c r="D9141" s="18">
        <v>2022</v>
      </c>
      <c r="E9141" s="18" t="s">
        <v>0</v>
      </c>
      <c r="F9141" s="42">
        <v>1</v>
      </c>
      <c r="G9141" s="4">
        <v>15</v>
      </c>
      <c r="H9141" s="18">
        <v>60</v>
      </c>
    </row>
    <row r="9142" spans="1:8" s="15" customFormat="1" ht="16.5" hidden="1" customHeight="1" outlineLevel="1" x14ac:dyDescent="0.25">
      <c r="A9142" s="18">
        <v>4576</v>
      </c>
      <c r="B9142" s="4" t="s">
        <v>250</v>
      </c>
      <c r="C9142" s="38" t="s">
        <v>7640</v>
      </c>
      <c r="D9142" s="18">
        <v>2022</v>
      </c>
      <c r="E9142" s="18" t="s">
        <v>0</v>
      </c>
      <c r="F9142" s="42">
        <v>1</v>
      </c>
      <c r="G9142" s="4">
        <v>15</v>
      </c>
      <c r="H9142" s="18">
        <v>106</v>
      </c>
    </row>
    <row r="9143" spans="1:8" s="15" customFormat="1" ht="16.5" hidden="1" customHeight="1" outlineLevel="1" x14ac:dyDescent="0.25">
      <c r="A9143" s="18">
        <v>4588</v>
      </c>
      <c r="B9143" s="4" t="s">
        <v>250</v>
      </c>
      <c r="C9143" s="38" t="s">
        <v>7641</v>
      </c>
      <c r="D9143" s="18">
        <v>2022</v>
      </c>
      <c r="E9143" s="18" t="s">
        <v>0</v>
      </c>
      <c r="F9143" s="42">
        <v>1</v>
      </c>
      <c r="G9143" s="4">
        <v>15</v>
      </c>
      <c r="H9143" s="18">
        <v>98</v>
      </c>
    </row>
    <row r="9144" spans="1:8" s="15" customFormat="1" ht="16.5" hidden="1" customHeight="1" outlineLevel="1" x14ac:dyDescent="0.25">
      <c r="A9144" s="18">
        <v>4852</v>
      </c>
      <c r="B9144" s="4" t="s">
        <v>250</v>
      </c>
      <c r="C9144" s="38" t="s">
        <v>4062</v>
      </c>
      <c r="D9144" s="18">
        <v>2022</v>
      </c>
      <c r="E9144" s="18" t="s">
        <v>0</v>
      </c>
      <c r="F9144" s="42">
        <v>1</v>
      </c>
      <c r="G9144" s="4">
        <v>15</v>
      </c>
      <c r="H9144" s="18">
        <v>47</v>
      </c>
    </row>
    <row r="9145" spans="1:8" s="15" customFormat="1" ht="16.5" hidden="1" customHeight="1" outlineLevel="1" x14ac:dyDescent="0.25">
      <c r="A9145" s="18">
        <v>4558</v>
      </c>
      <c r="B9145" s="4" t="s">
        <v>250</v>
      </c>
      <c r="C9145" s="38" t="s">
        <v>7642</v>
      </c>
      <c r="D9145" s="18">
        <v>2022</v>
      </c>
      <c r="E9145" s="18" t="s">
        <v>0</v>
      </c>
      <c r="F9145" s="42">
        <v>1</v>
      </c>
      <c r="G9145" s="4">
        <v>15</v>
      </c>
      <c r="H9145" s="18">
        <v>41</v>
      </c>
    </row>
    <row r="9146" spans="1:8" s="15" customFormat="1" ht="16.5" hidden="1" customHeight="1" outlineLevel="1" x14ac:dyDescent="0.25">
      <c r="A9146" s="18">
        <v>4585</v>
      </c>
      <c r="B9146" s="4" t="s">
        <v>250</v>
      </c>
      <c r="C9146" s="38" t="s">
        <v>7643</v>
      </c>
      <c r="D9146" s="18">
        <v>2022</v>
      </c>
      <c r="E9146" s="18" t="s">
        <v>0</v>
      </c>
      <c r="F9146" s="42">
        <v>1</v>
      </c>
      <c r="G9146" s="4">
        <v>15</v>
      </c>
      <c r="H9146" s="18">
        <v>36</v>
      </c>
    </row>
    <row r="9147" spans="1:8" s="15" customFormat="1" ht="16.5" hidden="1" customHeight="1" outlineLevel="1" x14ac:dyDescent="0.25">
      <c r="A9147" s="18">
        <v>4748</v>
      </c>
      <c r="B9147" s="4" t="s">
        <v>250</v>
      </c>
      <c r="C9147" s="38" t="s">
        <v>7644</v>
      </c>
      <c r="D9147" s="18">
        <v>2022</v>
      </c>
      <c r="E9147" s="18" t="s">
        <v>0</v>
      </c>
      <c r="F9147" s="42">
        <v>1</v>
      </c>
      <c r="G9147" s="4">
        <v>15</v>
      </c>
      <c r="H9147" s="18">
        <v>42</v>
      </c>
    </row>
    <row r="9148" spans="1:8" s="15" customFormat="1" ht="16.5" hidden="1" customHeight="1" outlineLevel="1" x14ac:dyDescent="0.25">
      <c r="A9148" s="18">
        <v>4749</v>
      </c>
      <c r="B9148" s="4" t="s">
        <v>250</v>
      </c>
      <c r="C9148" s="38" t="s">
        <v>7645</v>
      </c>
      <c r="D9148" s="18">
        <v>2022</v>
      </c>
      <c r="E9148" s="18" t="s">
        <v>0</v>
      </c>
      <c r="F9148" s="42">
        <v>1</v>
      </c>
      <c r="G9148" s="4">
        <v>15</v>
      </c>
      <c r="H9148" s="18">
        <v>41</v>
      </c>
    </row>
    <row r="9149" spans="1:8" s="15" customFormat="1" ht="16.5" hidden="1" customHeight="1" outlineLevel="1" x14ac:dyDescent="0.25">
      <c r="A9149" s="18">
        <v>4876</v>
      </c>
      <c r="B9149" s="4" t="s">
        <v>250</v>
      </c>
      <c r="C9149" s="38" t="s">
        <v>4063</v>
      </c>
      <c r="D9149" s="18">
        <v>2022</v>
      </c>
      <c r="E9149" s="18" t="s">
        <v>0</v>
      </c>
      <c r="F9149" s="42">
        <v>1</v>
      </c>
      <c r="G9149" s="4">
        <v>15</v>
      </c>
      <c r="H9149" s="18">
        <v>63</v>
      </c>
    </row>
    <row r="9150" spans="1:8" s="15" customFormat="1" ht="16.5" hidden="1" customHeight="1" outlineLevel="1" x14ac:dyDescent="0.25">
      <c r="A9150" s="18">
        <v>4877</v>
      </c>
      <c r="B9150" s="4" t="s">
        <v>250</v>
      </c>
      <c r="C9150" s="38" t="s">
        <v>3969</v>
      </c>
      <c r="D9150" s="18">
        <v>2022</v>
      </c>
      <c r="E9150" s="18" t="s">
        <v>0</v>
      </c>
      <c r="F9150" s="42">
        <v>1</v>
      </c>
      <c r="G9150" s="4">
        <v>40</v>
      </c>
      <c r="H9150" s="18">
        <v>103</v>
      </c>
    </row>
    <row r="9151" spans="1:8" s="15" customFormat="1" ht="16.5" hidden="1" customHeight="1" outlineLevel="1" x14ac:dyDescent="0.25">
      <c r="A9151" s="18">
        <v>4641</v>
      </c>
      <c r="B9151" s="4" t="s">
        <v>250</v>
      </c>
      <c r="C9151" s="38" t="s">
        <v>4064</v>
      </c>
      <c r="D9151" s="18">
        <v>2022</v>
      </c>
      <c r="E9151" s="18" t="s">
        <v>0</v>
      </c>
      <c r="F9151" s="42">
        <v>1</v>
      </c>
      <c r="G9151" s="4">
        <v>15</v>
      </c>
      <c r="H9151" s="18">
        <v>58</v>
      </c>
    </row>
    <row r="9152" spans="1:8" s="15" customFormat="1" ht="16.5" hidden="1" customHeight="1" outlineLevel="1" x14ac:dyDescent="0.25">
      <c r="A9152" s="18">
        <v>4615</v>
      </c>
      <c r="B9152" s="4" t="s">
        <v>250</v>
      </c>
      <c r="C9152" s="38" t="s">
        <v>4065</v>
      </c>
      <c r="D9152" s="18">
        <v>2022</v>
      </c>
      <c r="E9152" s="18" t="s">
        <v>0</v>
      </c>
      <c r="F9152" s="42">
        <v>1</v>
      </c>
      <c r="G9152" s="4">
        <v>15</v>
      </c>
      <c r="H9152" s="18">
        <v>70</v>
      </c>
    </row>
    <row r="9153" spans="1:8" s="15" customFormat="1" ht="16.5" hidden="1" customHeight="1" outlineLevel="1" x14ac:dyDescent="0.25">
      <c r="A9153" s="18">
        <v>4554</v>
      </c>
      <c r="B9153" s="4" t="s">
        <v>250</v>
      </c>
      <c r="C9153" s="38" t="s">
        <v>7646</v>
      </c>
      <c r="D9153" s="18">
        <v>2022</v>
      </c>
      <c r="E9153" s="18" t="s">
        <v>0</v>
      </c>
      <c r="F9153" s="42">
        <v>1</v>
      </c>
      <c r="G9153" s="4">
        <v>15</v>
      </c>
      <c r="H9153" s="18">
        <v>34</v>
      </c>
    </row>
    <row r="9154" spans="1:8" s="15" customFormat="1" ht="16.5" hidden="1" customHeight="1" outlineLevel="1" x14ac:dyDescent="0.25">
      <c r="A9154" s="18">
        <v>4555</v>
      </c>
      <c r="B9154" s="4" t="s">
        <v>250</v>
      </c>
      <c r="C9154" s="38" t="s">
        <v>7647</v>
      </c>
      <c r="D9154" s="18">
        <v>2022</v>
      </c>
      <c r="E9154" s="18" t="s">
        <v>0</v>
      </c>
      <c r="F9154" s="42">
        <v>1</v>
      </c>
      <c r="G9154" s="4">
        <v>15</v>
      </c>
      <c r="H9154" s="18">
        <v>34</v>
      </c>
    </row>
    <row r="9155" spans="1:8" s="15" customFormat="1" ht="16.5" hidden="1" customHeight="1" outlineLevel="1" x14ac:dyDescent="0.25">
      <c r="A9155" s="18">
        <v>4571</v>
      </c>
      <c r="B9155" s="4" t="s">
        <v>250</v>
      </c>
      <c r="C9155" s="38" t="s">
        <v>7648</v>
      </c>
      <c r="D9155" s="18">
        <v>2022</v>
      </c>
      <c r="E9155" s="18" t="s">
        <v>0</v>
      </c>
      <c r="F9155" s="42">
        <v>1</v>
      </c>
      <c r="G9155" s="4">
        <v>15</v>
      </c>
      <c r="H9155" s="18">
        <v>45</v>
      </c>
    </row>
    <row r="9156" spans="1:8" s="15" customFormat="1" ht="16.5" hidden="1" customHeight="1" outlineLevel="1" x14ac:dyDescent="0.25">
      <c r="A9156" s="18">
        <v>4575</v>
      </c>
      <c r="B9156" s="4" t="s">
        <v>250</v>
      </c>
      <c r="C9156" s="38" t="s">
        <v>7649</v>
      </c>
      <c r="D9156" s="18">
        <v>2022</v>
      </c>
      <c r="E9156" s="18" t="s">
        <v>0</v>
      </c>
      <c r="F9156" s="42">
        <v>1</v>
      </c>
      <c r="G9156" s="4">
        <v>15</v>
      </c>
      <c r="H9156" s="18">
        <v>45</v>
      </c>
    </row>
    <row r="9157" spans="1:8" s="15" customFormat="1" ht="16.5" hidden="1" customHeight="1" outlineLevel="1" x14ac:dyDescent="0.25">
      <c r="A9157" s="18">
        <v>4661</v>
      </c>
      <c r="B9157" s="4" t="s">
        <v>250</v>
      </c>
      <c r="C9157" s="38" t="s">
        <v>7650</v>
      </c>
      <c r="D9157" s="18">
        <v>2022</v>
      </c>
      <c r="E9157" s="18" t="s">
        <v>0</v>
      </c>
      <c r="F9157" s="42">
        <v>1</v>
      </c>
      <c r="G9157" s="4">
        <v>15</v>
      </c>
      <c r="H9157" s="18">
        <v>26</v>
      </c>
    </row>
    <row r="9158" spans="1:8" s="15" customFormat="1" ht="16.5" hidden="1" customHeight="1" outlineLevel="1" x14ac:dyDescent="0.25">
      <c r="A9158" s="18">
        <v>4664</v>
      </c>
      <c r="B9158" s="4" t="s">
        <v>250</v>
      </c>
      <c r="C9158" s="38" t="s">
        <v>7651</v>
      </c>
      <c r="D9158" s="18">
        <v>2022</v>
      </c>
      <c r="E9158" s="18" t="s">
        <v>0</v>
      </c>
      <c r="F9158" s="42">
        <v>1</v>
      </c>
      <c r="G9158" s="4">
        <v>15</v>
      </c>
      <c r="H9158" s="18">
        <v>26</v>
      </c>
    </row>
    <row r="9159" spans="1:8" s="15" customFormat="1" ht="16.5" hidden="1" customHeight="1" outlineLevel="1" x14ac:dyDescent="0.25">
      <c r="A9159" s="18">
        <v>4572</v>
      </c>
      <c r="B9159" s="4" t="s">
        <v>250</v>
      </c>
      <c r="C9159" s="38" t="s">
        <v>7652</v>
      </c>
      <c r="D9159" s="18">
        <v>2022</v>
      </c>
      <c r="E9159" s="18" t="s">
        <v>0</v>
      </c>
      <c r="F9159" s="42">
        <v>1</v>
      </c>
      <c r="G9159" s="4">
        <v>15</v>
      </c>
      <c r="H9159" s="18">
        <v>70</v>
      </c>
    </row>
    <row r="9160" spans="1:8" s="15" customFormat="1" ht="16.5" hidden="1" customHeight="1" outlineLevel="1" x14ac:dyDescent="0.25">
      <c r="A9160" s="18">
        <v>4622</v>
      </c>
      <c r="B9160" s="4" t="s">
        <v>250</v>
      </c>
      <c r="C9160" s="38" t="s">
        <v>7653</v>
      </c>
      <c r="D9160" s="18">
        <v>2022</v>
      </c>
      <c r="E9160" s="18" t="s">
        <v>0</v>
      </c>
      <c r="F9160" s="42">
        <v>1</v>
      </c>
      <c r="G9160" s="4">
        <v>15</v>
      </c>
      <c r="H9160" s="18">
        <v>54</v>
      </c>
    </row>
    <row r="9161" spans="1:8" s="15" customFormat="1" ht="16.5" hidden="1" customHeight="1" outlineLevel="1" x14ac:dyDescent="0.25">
      <c r="A9161" s="18">
        <v>4644</v>
      </c>
      <c r="B9161" s="4" t="s">
        <v>250</v>
      </c>
      <c r="C9161" s="38" t="s">
        <v>7654</v>
      </c>
      <c r="D9161" s="18">
        <v>2022</v>
      </c>
      <c r="E9161" s="18" t="s">
        <v>0</v>
      </c>
      <c r="F9161" s="42">
        <v>1</v>
      </c>
      <c r="G9161" s="4">
        <v>15</v>
      </c>
      <c r="H9161" s="18">
        <v>54</v>
      </c>
    </row>
    <row r="9162" spans="1:8" s="15" customFormat="1" ht="16.5" hidden="1" customHeight="1" outlineLevel="1" x14ac:dyDescent="0.25">
      <c r="A9162" s="18">
        <v>4728</v>
      </c>
      <c r="B9162" s="4" t="s">
        <v>250</v>
      </c>
      <c r="C9162" s="38" t="s">
        <v>7655</v>
      </c>
      <c r="D9162" s="18">
        <v>2022</v>
      </c>
      <c r="E9162" s="18" t="s">
        <v>0</v>
      </c>
      <c r="F9162" s="42">
        <v>1</v>
      </c>
      <c r="G9162" s="4">
        <v>15</v>
      </c>
      <c r="H9162" s="18">
        <v>43</v>
      </c>
    </row>
    <row r="9163" spans="1:8" s="15" customFormat="1" ht="16.5" hidden="1" customHeight="1" outlineLevel="1" x14ac:dyDescent="0.25">
      <c r="A9163" s="18">
        <v>4727</v>
      </c>
      <c r="B9163" s="4" t="s">
        <v>250</v>
      </c>
      <c r="C9163" s="38" t="s">
        <v>7656</v>
      </c>
      <c r="D9163" s="18">
        <v>2022</v>
      </c>
      <c r="E9163" s="18" t="s">
        <v>0</v>
      </c>
      <c r="F9163" s="42">
        <v>1</v>
      </c>
      <c r="G9163" s="4">
        <v>15</v>
      </c>
      <c r="H9163" s="18">
        <v>37</v>
      </c>
    </row>
    <row r="9164" spans="1:8" s="15" customFormat="1" ht="16.5" hidden="1" customHeight="1" outlineLevel="1" x14ac:dyDescent="0.25">
      <c r="A9164" s="18">
        <v>4750</v>
      </c>
      <c r="B9164" s="4" t="s">
        <v>250</v>
      </c>
      <c r="C9164" s="38" t="s">
        <v>7657</v>
      </c>
      <c r="D9164" s="18">
        <v>2022</v>
      </c>
      <c r="E9164" s="18" t="s">
        <v>0</v>
      </c>
      <c r="F9164" s="42">
        <v>1</v>
      </c>
      <c r="G9164" s="4">
        <v>15</v>
      </c>
      <c r="H9164" s="18">
        <v>37</v>
      </c>
    </row>
    <row r="9165" spans="1:8" s="15" customFormat="1" ht="16.5" hidden="1" customHeight="1" outlineLevel="1" x14ac:dyDescent="0.25">
      <c r="A9165" s="18">
        <v>4814</v>
      </c>
      <c r="B9165" s="4" t="s">
        <v>250</v>
      </c>
      <c r="C9165" s="38" t="s">
        <v>7658</v>
      </c>
      <c r="D9165" s="18">
        <v>2022</v>
      </c>
      <c r="E9165" s="18" t="s">
        <v>0</v>
      </c>
      <c r="F9165" s="42">
        <v>1</v>
      </c>
      <c r="G9165" s="4">
        <v>14</v>
      </c>
      <c r="H9165" s="18">
        <v>27</v>
      </c>
    </row>
    <row r="9166" spans="1:8" s="15" customFormat="1" ht="16.5" hidden="1" customHeight="1" outlineLevel="1" x14ac:dyDescent="0.25">
      <c r="A9166" s="18">
        <v>4562</v>
      </c>
      <c r="B9166" s="4" t="s">
        <v>250</v>
      </c>
      <c r="C9166" s="38" t="s">
        <v>7659</v>
      </c>
      <c r="D9166" s="18">
        <v>2022</v>
      </c>
      <c r="E9166" s="18" t="s">
        <v>0</v>
      </c>
      <c r="F9166" s="42">
        <v>1</v>
      </c>
      <c r="G9166" s="4">
        <v>12</v>
      </c>
      <c r="H9166" s="18">
        <v>35</v>
      </c>
    </row>
    <row r="9167" spans="1:8" s="15" customFormat="1" ht="16.5" hidden="1" customHeight="1" outlineLevel="1" x14ac:dyDescent="0.25">
      <c r="A9167" s="18">
        <v>4566</v>
      </c>
      <c r="B9167" s="4" t="s">
        <v>250</v>
      </c>
      <c r="C9167" s="38" t="s">
        <v>7660</v>
      </c>
      <c r="D9167" s="18">
        <v>2022</v>
      </c>
      <c r="E9167" s="18" t="s">
        <v>0</v>
      </c>
      <c r="F9167" s="42">
        <v>1</v>
      </c>
      <c r="G9167" s="4">
        <v>15</v>
      </c>
      <c r="H9167" s="18">
        <v>37</v>
      </c>
    </row>
    <row r="9168" spans="1:8" s="15" customFormat="1" ht="16.5" hidden="1" customHeight="1" outlineLevel="1" x14ac:dyDescent="0.25">
      <c r="A9168" s="18">
        <v>4573</v>
      </c>
      <c r="B9168" s="4" t="s">
        <v>250</v>
      </c>
      <c r="C9168" s="38" t="s">
        <v>7661</v>
      </c>
      <c r="D9168" s="18">
        <v>2022</v>
      </c>
      <c r="E9168" s="18" t="s">
        <v>0</v>
      </c>
      <c r="F9168" s="42">
        <v>1</v>
      </c>
      <c r="G9168" s="4">
        <v>15</v>
      </c>
      <c r="H9168" s="18">
        <v>36</v>
      </c>
    </row>
    <row r="9169" spans="1:8" s="15" customFormat="1" ht="16.5" hidden="1" customHeight="1" outlineLevel="1" x14ac:dyDescent="0.25">
      <c r="A9169" s="18">
        <v>4577</v>
      </c>
      <c r="B9169" s="4" t="s">
        <v>250</v>
      </c>
      <c r="C9169" s="38" t="s">
        <v>7662</v>
      </c>
      <c r="D9169" s="18">
        <v>2022</v>
      </c>
      <c r="E9169" s="18" t="s">
        <v>0</v>
      </c>
      <c r="F9169" s="42">
        <v>1</v>
      </c>
      <c r="G9169" s="4">
        <v>15</v>
      </c>
      <c r="H9169" s="18">
        <v>30</v>
      </c>
    </row>
    <row r="9170" spans="1:8" s="15" customFormat="1" ht="16.5" hidden="1" customHeight="1" outlineLevel="1" x14ac:dyDescent="0.25">
      <c r="A9170" s="18">
        <v>4587</v>
      </c>
      <c r="B9170" s="4" t="s">
        <v>250</v>
      </c>
      <c r="C9170" s="38" t="s">
        <v>7663</v>
      </c>
      <c r="D9170" s="18">
        <v>2022</v>
      </c>
      <c r="E9170" s="18" t="s">
        <v>0</v>
      </c>
      <c r="F9170" s="42">
        <v>1</v>
      </c>
      <c r="G9170" s="4">
        <v>14</v>
      </c>
      <c r="H9170" s="18">
        <v>24.65</v>
      </c>
    </row>
    <row r="9171" spans="1:8" s="15" customFormat="1" ht="16.5" hidden="1" customHeight="1" outlineLevel="1" x14ac:dyDescent="0.25">
      <c r="A9171" s="18">
        <v>4607</v>
      </c>
      <c r="B9171" s="4" t="s">
        <v>250</v>
      </c>
      <c r="C9171" s="38" t="s">
        <v>7664</v>
      </c>
      <c r="D9171" s="18">
        <v>2022</v>
      </c>
      <c r="E9171" s="18" t="s">
        <v>0</v>
      </c>
      <c r="F9171" s="42">
        <v>1</v>
      </c>
      <c r="G9171" s="4">
        <v>15</v>
      </c>
      <c r="H9171" s="18">
        <v>27.400000000000002</v>
      </c>
    </row>
    <row r="9172" spans="1:8" s="15" customFormat="1" ht="16.5" hidden="1" customHeight="1" outlineLevel="1" x14ac:dyDescent="0.25">
      <c r="A9172" s="18">
        <v>4640</v>
      </c>
      <c r="B9172" s="4" t="s">
        <v>250</v>
      </c>
      <c r="C9172" s="38" t="s">
        <v>7665</v>
      </c>
      <c r="D9172" s="18">
        <v>2022</v>
      </c>
      <c r="E9172" s="18" t="s">
        <v>0</v>
      </c>
      <c r="F9172" s="42">
        <v>1</v>
      </c>
      <c r="G9172" s="4">
        <v>40</v>
      </c>
      <c r="H9172" s="18">
        <v>28.740000000000002</v>
      </c>
    </row>
    <row r="9173" spans="1:8" s="15" customFormat="1" ht="16.5" hidden="1" customHeight="1" outlineLevel="1" x14ac:dyDescent="0.25">
      <c r="A9173" s="18">
        <v>4898</v>
      </c>
      <c r="B9173" s="4" t="s">
        <v>250</v>
      </c>
      <c r="C9173" s="38" t="s">
        <v>4067</v>
      </c>
      <c r="D9173" s="18">
        <v>2022</v>
      </c>
      <c r="E9173" s="18" t="s">
        <v>0</v>
      </c>
      <c r="F9173" s="42">
        <v>1</v>
      </c>
      <c r="G9173" s="4">
        <v>15</v>
      </c>
      <c r="H9173" s="18">
        <v>93</v>
      </c>
    </row>
    <row r="9174" spans="1:8" s="15" customFormat="1" ht="16.5" hidden="1" customHeight="1" outlineLevel="1" x14ac:dyDescent="0.25">
      <c r="A9174" s="18">
        <v>4601</v>
      </c>
      <c r="B9174" s="4" t="s">
        <v>250</v>
      </c>
      <c r="C9174" s="38" t="s">
        <v>7666</v>
      </c>
      <c r="D9174" s="18">
        <v>2022</v>
      </c>
      <c r="E9174" s="18" t="s">
        <v>0</v>
      </c>
      <c r="F9174" s="42">
        <v>1</v>
      </c>
      <c r="G9174" s="4">
        <v>15</v>
      </c>
      <c r="H9174" s="18">
        <v>23</v>
      </c>
    </row>
    <row r="9175" spans="1:8" s="15" customFormat="1" ht="16.5" hidden="1" customHeight="1" outlineLevel="1" x14ac:dyDescent="0.25">
      <c r="A9175" s="18">
        <v>4652</v>
      </c>
      <c r="B9175" s="4" t="s">
        <v>250</v>
      </c>
      <c r="C9175" s="38" t="s">
        <v>7667</v>
      </c>
      <c r="D9175" s="18">
        <v>2022</v>
      </c>
      <c r="E9175" s="18" t="s">
        <v>0</v>
      </c>
      <c r="F9175" s="42">
        <v>1</v>
      </c>
      <c r="G9175" s="4">
        <v>15</v>
      </c>
      <c r="H9175" s="18">
        <v>27</v>
      </c>
    </row>
    <row r="9176" spans="1:8" s="15" customFormat="1" ht="16.5" hidden="1" customHeight="1" outlineLevel="1" x14ac:dyDescent="0.25">
      <c r="A9176" s="18">
        <v>4659</v>
      </c>
      <c r="B9176" s="4" t="s">
        <v>250</v>
      </c>
      <c r="C9176" s="38" t="s">
        <v>7668</v>
      </c>
      <c r="D9176" s="18">
        <v>2022</v>
      </c>
      <c r="E9176" s="18" t="s">
        <v>0</v>
      </c>
      <c r="F9176" s="42">
        <v>1</v>
      </c>
      <c r="G9176" s="4">
        <v>15</v>
      </c>
      <c r="H9176" s="18">
        <v>27</v>
      </c>
    </row>
    <row r="9177" spans="1:8" s="15" customFormat="1" ht="16.5" hidden="1" customHeight="1" outlineLevel="1" x14ac:dyDescent="0.25">
      <c r="A9177" s="18">
        <v>4662</v>
      </c>
      <c r="B9177" s="4" t="s">
        <v>250</v>
      </c>
      <c r="C9177" s="38" t="s">
        <v>7669</v>
      </c>
      <c r="D9177" s="18">
        <v>2022</v>
      </c>
      <c r="E9177" s="18" t="s">
        <v>0</v>
      </c>
      <c r="F9177" s="42">
        <v>1</v>
      </c>
      <c r="G9177" s="4">
        <v>15</v>
      </c>
      <c r="H9177" s="18">
        <v>26</v>
      </c>
    </row>
    <row r="9178" spans="1:8" s="15" customFormat="1" ht="16.5" hidden="1" customHeight="1" outlineLevel="1" x14ac:dyDescent="0.25">
      <c r="A9178" s="18">
        <v>4682</v>
      </c>
      <c r="B9178" s="4" t="s">
        <v>250</v>
      </c>
      <c r="C9178" s="38" t="s">
        <v>7670</v>
      </c>
      <c r="D9178" s="18">
        <v>2022</v>
      </c>
      <c r="E9178" s="18" t="s">
        <v>0</v>
      </c>
      <c r="F9178" s="42">
        <v>1</v>
      </c>
      <c r="G9178" s="4">
        <v>45</v>
      </c>
      <c r="H9178" s="18">
        <v>28</v>
      </c>
    </row>
    <row r="9179" spans="1:8" s="15" customFormat="1" ht="16.5" hidden="1" customHeight="1" outlineLevel="1" x14ac:dyDescent="0.25">
      <c r="A9179" s="18">
        <v>4685</v>
      </c>
      <c r="B9179" s="4" t="s">
        <v>250</v>
      </c>
      <c r="C9179" s="38" t="s">
        <v>7671</v>
      </c>
      <c r="D9179" s="18">
        <v>2022</v>
      </c>
      <c r="E9179" s="18" t="s">
        <v>0</v>
      </c>
      <c r="F9179" s="42">
        <v>1</v>
      </c>
      <c r="G9179" s="4">
        <v>15</v>
      </c>
      <c r="H9179" s="18">
        <v>28</v>
      </c>
    </row>
    <row r="9180" spans="1:8" s="15" customFormat="1" ht="16.5" hidden="1" customHeight="1" outlineLevel="1" x14ac:dyDescent="0.25">
      <c r="A9180" s="18">
        <v>4686</v>
      </c>
      <c r="B9180" s="4" t="s">
        <v>250</v>
      </c>
      <c r="C9180" s="38" t="s">
        <v>7672</v>
      </c>
      <c r="D9180" s="18">
        <v>2022</v>
      </c>
      <c r="E9180" s="18" t="s">
        <v>0</v>
      </c>
      <c r="F9180" s="42">
        <v>1</v>
      </c>
      <c r="G9180" s="4">
        <v>15</v>
      </c>
      <c r="H9180" s="18">
        <v>26</v>
      </c>
    </row>
    <row r="9181" spans="1:8" s="15" customFormat="1" ht="16.5" hidden="1" customHeight="1" outlineLevel="1" x14ac:dyDescent="0.25">
      <c r="A9181" s="18">
        <v>4687</v>
      </c>
      <c r="B9181" s="4" t="s">
        <v>250</v>
      </c>
      <c r="C9181" s="38" t="s">
        <v>7673</v>
      </c>
      <c r="D9181" s="18">
        <v>2022</v>
      </c>
      <c r="E9181" s="18" t="s">
        <v>0</v>
      </c>
      <c r="F9181" s="42">
        <v>1</v>
      </c>
      <c r="G9181" s="4">
        <v>15</v>
      </c>
      <c r="H9181" s="18">
        <v>26</v>
      </c>
    </row>
    <row r="9182" spans="1:8" s="15" customFormat="1" ht="16.5" hidden="1" customHeight="1" outlineLevel="1" x14ac:dyDescent="0.25">
      <c r="A9182" s="18">
        <v>4695</v>
      </c>
      <c r="B9182" s="4" t="s">
        <v>250</v>
      </c>
      <c r="C9182" s="38" t="s">
        <v>7674</v>
      </c>
      <c r="D9182" s="18">
        <v>2022</v>
      </c>
      <c r="E9182" s="18" t="s">
        <v>0</v>
      </c>
      <c r="F9182" s="42">
        <v>1</v>
      </c>
      <c r="G9182" s="4">
        <v>15</v>
      </c>
      <c r="H9182" s="18">
        <v>26</v>
      </c>
    </row>
    <row r="9183" spans="1:8" s="15" customFormat="1" ht="16.5" hidden="1" customHeight="1" outlineLevel="1" x14ac:dyDescent="0.25">
      <c r="A9183" s="18">
        <v>4700</v>
      </c>
      <c r="B9183" s="4" t="s">
        <v>250</v>
      </c>
      <c r="C9183" s="38" t="s">
        <v>7675</v>
      </c>
      <c r="D9183" s="18">
        <v>2022</v>
      </c>
      <c r="E9183" s="18" t="s">
        <v>0</v>
      </c>
      <c r="F9183" s="42">
        <v>1</v>
      </c>
      <c r="G9183" s="4">
        <v>15</v>
      </c>
      <c r="H9183" s="18">
        <v>28</v>
      </c>
    </row>
    <row r="9184" spans="1:8" s="15" customFormat="1" ht="16.5" hidden="1" customHeight="1" outlineLevel="1" x14ac:dyDescent="0.25">
      <c r="A9184" s="18">
        <v>4643</v>
      </c>
      <c r="B9184" s="4" t="s">
        <v>250</v>
      </c>
      <c r="C9184" s="38" t="s">
        <v>7676</v>
      </c>
      <c r="D9184" s="18">
        <v>2022</v>
      </c>
      <c r="E9184" s="18" t="s">
        <v>0</v>
      </c>
      <c r="F9184" s="42">
        <v>1</v>
      </c>
      <c r="G9184" s="4">
        <v>15</v>
      </c>
      <c r="H9184" s="18">
        <v>31</v>
      </c>
    </row>
    <row r="9185" spans="1:8" s="15" customFormat="1" ht="16.5" hidden="1" customHeight="1" outlineLevel="1" x14ac:dyDescent="0.25">
      <c r="A9185" s="18">
        <v>4710</v>
      </c>
      <c r="B9185" s="4" t="s">
        <v>250</v>
      </c>
      <c r="C9185" s="38" t="s">
        <v>7677</v>
      </c>
      <c r="D9185" s="18">
        <v>2022</v>
      </c>
      <c r="E9185" s="18" t="s">
        <v>0</v>
      </c>
      <c r="F9185" s="42">
        <v>1</v>
      </c>
      <c r="G9185" s="4">
        <v>15</v>
      </c>
      <c r="H9185" s="18">
        <v>31</v>
      </c>
    </row>
    <row r="9186" spans="1:8" s="15" customFormat="1" ht="16.5" hidden="1" customHeight="1" outlineLevel="1" x14ac:dyDescent="0.25">
      <c r="A9186" s="18">
        <v>4711</v>
      </c>
      <c r="B9186" s="4" t="s">
        <v>250</v>
      </c>
      <c r="C9186" s="38" t="s">
        <v>7678</v>
      </c>
      <c r="D9186" s="18">
        <v>2022</v>
      </c>
      <c r="E9186" s="18" t="s">
        <v>0</v>
      </c>
      <c r="F9186" s="42">
        <v>1</v>
      </c>
      <c r="G9186" s="4">
        <v>15</v>
      </c>
      <c r="H9186" s="18">
        <v>31</v>
      </c>
    </row>
    <row r="9187" spans="1:8" s="15" customFormat="1" ht="16.5" hidden="1" customHeight="1" outlineLevel="1" x14ac:dyDescent="0.25">
      <c r="A9187" s="18">
        <v>4722</v>
      </c>
      <c r="B9187" s="4" t="s">
        <v>250</v>
      </c>
      <c r="C9187" s="38" t="s">
        <v>7679</v>
      </c>
      <c r="D9187" s="18">
        <v>2022</v>
      </c>
      <c r="E9187" s="18" t="s">
        <v>0</v>
      </c>
      <c r="F9187" s="42">
        <v>1</v>
      </c>
      <c r="G9187" s="4">
        <v>14</v>
      </c>
      <c r="H9187" s="18">
        <v>33</v>
      </c>
    </row>
    <row r="9188" spans="1:8" s="15" customFormat="1" ht="16.5" hidden="1" customHeight="1" outlineLevel="1" x14ac:dyDescent="0.25">
      <c r="A9188" s="18">
        <v>4840</v>
      </c>
      <c r="B9188" s="4" t="s">
        <v>250</v>
      </c>
      <c r="C9188" s="38" t="s">
        <v>7680</v>
      </c>
      <c r="D9188" s="18">
        <v>2022</v>
      </c>
      <c r="E9188" s="18" t="s">
        <v>0</v>
      </c>
      <c r="F9188" s="42">
        <v>1</v>
      </c>
      <c r="G9188" s="4">
        <v>15</v>
      </c>
      <c r="H9188" s="18">
        <v>27</v>
      </c>
    </row>
    <row r="9189" spans="1:8" s="15" customFormat="1" ht="16.5" hidden="1" customHeight="1" outlineLevel="1" x14ac:dyDescent="0.25">
      <c r="A9189" s="18">
        <v>4841</v>
      </c>
      <c r="B9189" s="4" t="s">
        <v>250</v>
      </c>
      <c r="C9189" s="38" t="s">
        <v>7681</v>
      </c>
      <c r="D9189" s="18">
        <v>2022</v>
      </c>
      <c r="E9189" s="18" t="s">
        <v>0</v>
      </c>
      <c r="F9189" s="42">
        <v>1</v>
      </c>
      <c r="G9189" s="4">
        <v>14</v>
      </c>
      <c r="H9189" s="18">
        <v>25</v>
      </c>
    </row>
    <row r="9190" spans="1:8" s="15" customFormat="1" ht="16.5" hidden="1" customHeight="1" outlineLevel="1" x14ac:dyDescent="0.25">
      <c r="A9190" s="18">
        <v>4844</v>
      </c>
      <c r="B9190" s="4" t="s">
        <v>250</v>
      </c>
      <c r="C9190" s="38" t="s">
        <v>7682</v>
      </c>
      <c r="D9190" s="18">
        <v>2022</v>
      </c>
      <c r="E9190" s="18" t="s">
        <v>0</v>
      </c>
      <c r="F9190" s="42">
        <v>1</v>
      </c>
      <c r="G9190" s="4">
        <v>15</v>
      </c>
      <c r="H9190" s="18">
        <v>28</v>
      </c>
    </row>
    <row r="9191" spans="1:8" s="15" customFormat="1" ht="16.5" hidden="1" customHeight="1" outlineLevel="1" x14ac:dyDescent="0.25">
      <c r="A9191" s="18">
        <v>4869</v>
      </c>
      <c r="B9191" s="4" t="s">
        <v>250</v>
      </c>
      <c r="C9191" s="38" t="s">
        <v>7683</v>
      </c>
      <c r="D9191" s="18">
        <v>2022</v>
      </c>
      <c r="E9191" s="18" t="s">
        <v>0</v>
      </c>
      <c r="F9191" s="42">
        <v>1</v>
      </c>
      <c r="G9191" s="4">
        <v>15</v>
      </c>
      <c r="H9191" s="18">
        <v>27</v>
      </c>
    </row>
    <row r="9192" spans="1:8" s="15" customFormat="1" ht="16.5" hidden="1" customHeight="1" outlineLevel="1" x14ac:dyDescent="0.25">
      <c r="A9192" s="18">
        <v>4870</v>
      </c>
      <c r="B9192" s="4" t="s">
        <v>250</v>
      </c>
      <c r="C9192" s="38" t="s">
        <v>7684</v>
      </c>
      <c r="D9192" s="18">
        <v>2022</v>
      </c>
      <c r="E9192" s="18" t="s">
        <v>0</v>
      </c>
      <c r="F9192" s="42">
        <v>1</v>
      </c>
      <c r="G9192" s="4">
        <v>15</v>
      </c>
      <c r="H9192" s="18">
        <v>28</v>
      </c>
    </row>
    <row r="9193" spans="1:8" s="15" customFormat="1" ht="16.5" hidden="1" customHeight="1" outlineLevel="1" x14ac:dyDescent="0.25">
      <c r="A9193" s="18">
        <v>4871</v>
      </c>
      <c r="B9193" s="4" t="s">
        <v>250</v>
      </c>
      <c r="C9193" s="38" t="s">
        <v>7685</v>
      </c>
      <c r="D9193" s="18">
        <v>2022</v>
      </c>
      <c r="E9193" s="18" t="s">
        <v>0</v>
      </c>
      <c r="F9193" s="42">
        <v>1</v>
      </c>
      <c r="G9193" s="4">
        <v>15</v>
      </c>
      <c r="H9193" s="18">
        <v>28</v>
      </c>
    </row>
    <row r="9194" spans="1:8" s="15" customFormat="1" ht="16.5" hidden="1" customHeight="1" outlineLevel="1" x14ac:dyDescent="0.25">
      <c r="A9194" s="18">
        <v>4872</v>
      </c>
      <c r="B9194" s="4" t="s">
        <v>250</v>
      </c>
      <c r="C9194" s="38" t="s">
        <v>7686</v>
      </c>
      <c r="D9194" s="18">
        <v>2022</v>
      </c>
      <c r="E9194" s="18" t="s">
        <v>0</v>
      </c>
      <c r="F9194" s="42">
        <v>1</v>
      </c>
      <c r="G9194" s="4">
        <v>15</v>
      </c>
      <c r="H9194" s="18">
        <v>25</v>
      </c>
    </row>
    <row r="9195" spans="1:8" s="15" customFormat="1" ht="16.5" hidden="1" customHeight="1" outlineLevel="1" x14ac:dyDescent="0.25">
      <c r="A9195" s="18">
        <v>4901</v>
      </c>
      <c r="B9195" s="4" t="s">
        <v>250</v>
      </c>
      <c r="C9195" s="38" t="s">
        <v>4068</v>
      </c>
      <c r="D9195" s="18">
        <v>2022</v>
      </c>
      <c r="E9195" s="18" t="s">
        <v>0</v>
      </c>
      <c r="F9195" s="42">
        <v>1</v>
      </c>
      <c r="G9195" s="4">
        <v>15</v>
      </c>
      <c r="H9195" s="18">
        <v>61</v>
      </c>
    </row>
    <row r="9196" spans="1:8" s="15" customFormat="1" ht="16.5" hidden="1" customHeight="1" outlineLevel="1" x14ac:dyDescent="0.25">
      <c r="A9196" s="18">
        <v>4568</v>
      </c>
      <c r="B9196" s="4" t="s">
        <v>250</v>
      </c>
      <c r="C9196" s="38" t="s">
        <v>7687</v>
      </c>
      <c r="D9196" s="18">
        <v>2022</v>
      </c>
      <c r="E9196" s="18" t="s">
        <v>0</v>
      </c>
      <c r="F9196" s="42">
        <v>1</v>
      </c>
      <c r="G9196" s="4">
        <v>15</v>
      </c>
      <c r="H9196" s="18">
        <v>36</v>
      </c>
    </row>
    <row r="9197" spans="1:8" s="15" customFormat="1" ht="16.5" hidden="1" customHeight="1" outlineLevel="1" x14ac:dyDescent="0.25">
      <c r="A9197" s="18">
        <v>4582</v>
      </c>
      <c r="B9197" s="4" t="s">
        <v>250</v>
      </c>
      <c r="C9197" s="38" t="s">
        <v>7688</v>
      </c>
      <c r="D9197" s="18">
        <v>2022</v>
      </c>
      <c r="E9197" s="18" t="s">
        <v>0</v>
      </c>
      <c r="F9197" s="42">
        <v>1</v>
      </c>
      <c r="G9197" s="4">
        <v>15</v>
      </c>
      <c r="H9197" s="18">
        <v>28</v>
      </c>
    </row>
    <row r="9198" spans="1:8" s="15" customFormat="1" ht="16.5" hidden="1" customHeight="1" outlineLevel="1" x14ac:dyDescent="0.25">
      <c r="A9198" s="18">
        <v>4597</v>
      </c>
      <c r="B9198" s="4" t="s">
        <v>250</v>
      </c>
      <c r="C9198" s="38" t="s">
        <v>7689</v>
      </c>
      <c r="D9198" s="18">
        <v>2022</v>
      </c>
      <c r="E9198" s="18" t="s">
        <v>0</v>
      </c>
      <c r="F9198" s="42">
        <v>1</v>
      </c>
      <c r="G9198" s="4">
        <v>15</v>
      </c>
      <c r="H9198" s="18">
        <v>32</v>
      </c>
    </row>
    <row r="9199" spans="1:8" s="15" customFormat="1" ht="16.5" hidden="1" customHeight="1" outlineLevel="1" x14ac:dyDescent="0.25">
      <c r="A9199" s="18">
        <v>4599</v>
      </c>
      <c r="B9199" s="4" t="s">
        <v>250</v>
      </c>
      <c r="C9199" s="38" t="s">
        <v>7690</v>
      </c>
      <c r="D9199" s="18">
        <v>2022</v>
      </c>
      <c r="E9199" s="18" t="s">
        <v>0</v>
      </c>
      <c r="F9199" s="42">
        <v>1</v>
      </c>
      <c r="G9199" s="4">
        <v>15</v>
      </c>
      <c r="H9199" s="18">
        <v>28</v>
      </c>
    </row>
    <row r="9200" spans="1:8" s="15" customFormat="1" ht="16.5" hidden="1" customHeight="1" outlineLevel="1" x14ac:dyDescent="0.25">
      <c r="A9200" s="18">
        <v>4631</v>
      </c>
      <c r="B9200" s="4" t="s">
        <v>250</v>
      </c>
      <c r="C9200" s="38" t="s">
        <v>7691</v>
      </c>
      <c r="D9200" s="18">
        <v>2022</v>
      </c>
      <c r="E9200" s="18" t="s">
        <v>0</v>
      </c>
      <c r="F9200" s="42">
        <v>1</v>
      </c>
      <c r="G9200" s="4">
        <v>15</v>
      </c>
      <c r="H9200" s="18">
        <v>28</v>
      </c>
    </row>
    <row r="9201" spans="1:8" s="15" customFormat="1" ht="16.5" hidden="1" customHeight="1" outlineLevel="1" x14ac:dyDescent="0.25">
      <c r="A9201" s="18">
        <v>4690</v>
      </c>
      <c r="B9201" s="4" t="s">
        <v>250</v>
      </c>
      <c r="C9201" s="38" t="s">
        <v>7692</v>
      </c>
      <c r="D9201" s="18">
        <v>2022</v>
      </c>
      <c r="E9201" s="18" t="s">
        <v>0</v>
      </c>
      <c r="F9201" s="42">
        <v>1</v>
      </c>
      <c r="G9201" s="4">
        <v>15</v>
      </c>
      <c r="H9201" s="18">
        <v>32</v>
      </c>
    </row>
    <row r="9202" spans="1:8" s="15" customFormat="1" ht="16.5" hidden="1" customHeight="1" outlineLevel="1" x14ac:dyDescent="0.25">
      <c r="A9202" s="18">
        <v>4693</v>
      </c>
      <c r="B9202" s="4" t="s">
        <v>250</v>
      </c>
      <c r="C9202" s="38" t="s">
        <v>7693</v>
      </c>
      <c r="D9202" s="18">
        <v>2022</v>
      </c>
      <c r="E9202" s="18" t="s">
        <v>0</v>
      </c>
      <c r="F9202" s="42">
        <v>1</v>
      </c>
      <c r="G9202" s="4">
        <v>15</v>
      </c>
      <c r="H9202" s="18">
        <v>27</v>
      </c>
    </row>
    <row r="9203" spans="1:8" s="15" customFormat="1" ht="16.5" hidden="1" customHeight="1" outlineLevel="1" x14ac:dyDescent="0.25">
      <c r="A9203" s="18">
        <v>4835</v>
      </c>
      <c r="B9203" s="4" t="s">
        <v>250</v>
      </c>
      <c r="C9203" s="38" t="s">
        <v>7694</v>
      </c>
      <c r="D9203" s="18">
        <v>2022</v>
      </c>
      <c r="E9203" s="18" t="s">
        <v>0</v>
      </c>
      <c r="F9203" s="42">
        <v>1</v>
      </c>
      <c r="G9203" s="4">
        <v>14</v>
      </c>
      <c r="H9203" s="18">
        <v>23</v>
      </c>
    </row>
    <row r="9204" spans="1:8" s="15" customFormat="1" ht="16.5" hidden="1" customHeight="1" outlineLevel="1" x14ac:dyDescent="0.25">
      <c r="A9204" s="18">
        <v>4904</v>
      </c>
      <c r="B9204" s="4" t="s">
        <v>250</v>
      </c>
      <c r="C9204" s="38" t="s">
        <v>4069</v>
      </c>
      <c r="D9204" s="18">
        <v>2022</v>
      </c>
      <c r="E9204" s="18" t="s">
        <v>0</v>
      </c>
      <c r="F9204" s="42">
        <v>1</v>
      </c>
      <c r="G9204" s="4">
        <v>15</v>
      </c>
      <c r="H9204" s="18">
        <v>126</v>
      </c>
    </row>
    <row r="9205" spans="1:8" s="15" customFormat="1" ht="16.5" hidden="1" customHeight="1" outlineLevel="1" x14ac:dyDescent="0.25">
      <c r="A9205" s="18">
        <v>4596</v>
      </c>
      <c r="B9205" s="4" t="s">
        <v>250</v>
      </c>
      <c r="C9205" s="38" t="s">
        <v>7695</v>
      </c>
      <c r="D9205" s="18">
        <v>2022</v>
      </c>
      <c r="E9205" s="18" t="s">
        <v>0</v>
      </c>
      <c r="F9205" s="42">
        <v>1</v>
      </c>
      <c r="G9205" s="4">
        <v>15</v>
      </c>
      <c r="H9205" s="18">
        <v>36</v>
      </c>
    </row>
    <row r="9206" spans="1:8" s="15" customFormat="1" ht="16.5" hidden="1" customHeight="1" outlineLevel="1" x14ac:dyDescent="0.25">
      <c r="A9206" s="18">
        <v>4598</v>
      </c>
      <c r="B9206" s="4" t="s">
        <v>250</v>
      </c>
      <c r="C9206" s="38" t="s">
        <v>7696</v>
      </c>
      <c r="D9206" s="18">
        <v>2022</v>
      </c>
      <c r="E9206" s="18" t="s">
        <v>0</v>
      </c>
      <c r="F9206" s="42">
        <v>1</v>
      </c>
      <c r="G9206" s="4">
        <v>15</v>
      </c>
      <c r="H9206" s="18">
        <v>37</v>
      </c>
    </row>
    <row r="9207" spans="1:8" s="15" customFormat="1" ht="16.5" hidden="1" customHeight="1" outlineLevel="1" x14ac:dyDescent="0.25">
      <c r="A9207" s="18">
        <v>4610</v>
      </c>
      <c r="B9207" s="4" t="s">
        <v>250</v>
      </c>
      <c r="C9207" s="38" t="s">
        <v>7697</v>
      </c>
      <c r="D9207" s="18">
        <v>2022</v>
      </c>
      <c r="E9207" s="18" t="s">
        <v>0</v>
      </c>
      <c r="F9207" s="42">
        <v>1</v>
      </c>
      <c r="G9207" s="4">
        <v>15</v>
      </c>
      <c r="H9207" s="18">
        <v>35</v>
      </c>
    </row>
    <row r="9208" spans="1:8" s="15" customFormat="1" ht="16.5" hidden="1" customHeight="1" outlineLevel="1" x14ac:dyDescent="0.25">
      <c r="A9208" s="18">
        <v>4611</v>
      </c>
      <c r="B9208" s="4" t="s">
        <v>250</v>
      </c>
      <c r="C9208" s="38" t="s">
        <v>7698</v>
      </c>
      <c r="D9208" s="18">
        <v>2022</v>
      </c>
      <c r="E9208" s="18" t="s">
        <v>0</v>
      </c>
      <c r="F9208" s="42">
        <v>1</v>
      </c>
      <c r="G9208" s="4">
        <v>15</v>
      </c>
      <c r="H9208" s="18">
        <v>34</v>
      </c>
    </row>
    <row r="9209" spans="1:8" s="15" customFormat="1" ht="16.5" hidden="1" customHeight="1" outlineLevel="1" x14ac:dyDescent="0.25">
      <c r="A9209" s="18">
        <v>4612</v>
      </c>
      <c r="B9209" s="4" t="s">
        <v>250</v>
      </c>
      <c r="C9209" s="38" t="s">
        <v>7699</v>
      </c>
      <c r="D9209" s="18">
        <v>2022</v>
      </c>
      <c r="E9209" s="18" t="s">
        <v>0</v>
      </c>
      <c r="F9209" s="42">
        <v>1</v>
      </c>
      <c r="G9209" s="4">
        <v>15</v>
      </c>
      <c r="H9209" s="18">
        <v>35</v>
      </c>
    </row>
    <row r="9210" spans="1:8" s="15" customFormat="1" ht="16.5" hidden="1" customHeight="1" outlineLevel="1" x14ac:dyDescent="0.25">
      <c r="A9210" s="18">
        <v>4613</v>
      </c>
      <c r="B9210" s="4" t="s">
        <v>250</v>
      </c>
      <c r="C9210" s="38" t="s">
        <v>7700</v>
      </c>
      <c r="D9210" s="18">
        <v>2022</v>
      </c>
      <c r="E9210" s="18" t="s">
        <v>0</v>
      </c>
      <c r="F9210" s="42">
        <v>1</v>
      </c>
      <c r="G9210" s="4">
        <v>15</v>
      </c>
      <c r="H9210" s="18">
        <v>34</v>
      </c>
    </row>
    <row r="9211" spans="1:8" s="15" customFormat="1" ht="16.5" hidden="1" customHeight="1" outlineLevel="1" x14ac:dyDescent="0.25">
      <c r="A9211" s="18">
        <v>4642</v>
      </c>
      <c r="B9211" s="4" t="s">
        <v>250</v>
      </c>
      <c r="C9211" s="38" t="s">
        <v>7701</v>
      </c>
      <c r="D9211" s="18">
        <v>2022</v>
      </c>
      <c r="E9211" s="18" t="s">
        <v>0</v>
      </c>
      <c r="F9211" s="42">
        <v>1</v>
      </c>
      <c r="G9211" s="4">
        <v>15</v>
      </c>
      <c r="H9211" s="18">
        <v>37</v>
      </c>
    </row>
    <row r="9212" spans="1:8" s="15" customFormat="1" ht="16.5" hidden="1" customHeight="1" outlineLevel="1" x14ac:dyDescent="0.25">
      <c r="A9212" s="18">
        <v>4649</v>
      </c>
      <c r="B9212" s="4" t="s">
        <v>250</v>
      </c>
      <c r="C9212" s="38" t="s">
        <v>7702</v>
      </c>
      <c r="D9212" s="18">
        <v>2022</v>
      </c>
      <c r="E9212" s="18" t="s">
        <v>0</v>
      </c>
      <c r="F9212" s="42">
        <v>1</v>
      </c>
      <c r="G9212" s="4">
        <v>15</v>
      </c>
      <c r="H9212" s="18">
        <v>37</v>
      </c>
    </row>
    <row r="9213" spans="1:8" s="15" customFormat="1" ht="16.5" hidden="1" customHeight="1" outlineLevel="1" x14ac:dyDescent="0.25">
      <c r="A9213" s="18">
        <v>4903</v>
      </c>
      <c r="B9213" s="4" t="s">
        <v>250</v>
      </c>
      <c r="C9213" s="38" t="s">
        <v>4070</v>
      </c>
      <c r="D9213" s="18">
        <v>2022</v>
      </c>
      <c r="E9213" s="18" t="s">
        <v>0</v>
      </c>
      <c r="F9213" s="42">
        <v>1</v>
      </c>
      <c r="G9213" s="4">
        <v>15</v>
      </c>
      <c r="H9213" s="18">
        <v>107</v>
      </c>
    </row>
    <row r="9214" spans="1:8" s="15" customFormat="1" ht="16.5" hidden="1" customHeight="1" outlineLevel="1" x14ac:dyDescent="0.25">
      <c r="A9214" s="18">
        <v>4592</v>
      </c>
      <c r="B9214" s="4" t="s">
        <v>250</v>
      </c>
      <c r="C9214" s="38" t="s">
        <v>7703</v>
      </c>
      <c r="D9214" s="18">
        <v>2022</v>
      </c>
      <c r="E9214" s="18" t="s">
        <v>0</v>
      </c>
      <c r="F9214" s="42">
        <v>1</v>
      </c>
      <c r="G9214" s="4">
        <v>15</v>
      </c>
      <c r="H9214" s="18">
        <v>26</v>
      </c>
    </row>
    <row r="9215" spans="1:8" s="15" customFormat="1" ht="16.5" hidden="1" customHeight="1" outlineLevel="1" x14ac:dyDescent="0.25">
      <c r="A9215" s="18">
        <v>4594</v>
      </c>
      <c r="B9215" s="4" t="s">
        <v>250</v>
      </c>
      <c r="C9215" s="38" t="s">
        <v>7704</v>
      </c>
      <c r="D9215" s="18">
        <v>2022</v>
      </c>
      <c r="E9215" s="18" t="s">
        <v>0</v>
      </c>
      <c r="F9215" s="42">
        <v>1</v>
      </c>
      <c r="G9215" s="4">
        <v>15</v>
      </c>
      <c r="H9215" s="18">
        <v>26</v>
      </c>
    </row>
    <row r="9216" spans="1:8" s="15" customFormat="1" ht="16.5" hidden="1" customHeight="1" outlineLevel="1" x14ac:dyDescent="0.25">
      <c r="A9216" s="18">
        <v>4606</v>
      </c>
      <c r="B9216" s="4" t="s">
        <v>250</v>
      </c>
      <c r="C9216" s="38" t="s">
        <v>7705</v>
      </c>
      <c r="D9216" s="18">
        <v>2022</v>
      </c>
      <c r="E9216" s="18" t="s">
        <v>0</v>
      </c>
      <c r="F9216" s="42">
        <v>1</v>
      </c>
      <c r="G9216" s="4">
        <v>15</v>
      </c>
      <c r="H9216" s="18">
        <v>25</v>
      </c>
    </row>
    <row r="9217" spans="1:8" s="15" customFormat="1" ht="16.5" hidden="1" customHeight="1" outlineLevel="1" x14ac:dyDescent="0.25">
      <c r="A9217" s="18">
        <v>4618</v>
      </c>
      <c r="B9217" s="4" t="s">
        <v>250</v>
      </c>
      <c r="C9217" s="38" t="s">
        <v>7706</v>
      </c>
      <c r="D9217" s="18">
        <v>2022</v>
      </c>
      <c r="E9217" s="18" t="s">
        <v>0</v>
      </c>
      <c r="F9217" s="42">
        <v>1</v>
      </c>
      <c r="G9217" s="4">
        <v>15</v>
      </c>
      <c r="H9217" s="18">
        <v>26</v>
      </c>
    </row>
    <row r="9218" spans="1:8" s="15" customFormat="1" ht="16.5" hidden="1" customHeight="1" outlineLevel="1" x14ac:dyDescent="0.25">
      <c r="A9218" s="18">
        <v>4619</v>
      </c>
      <c r="B9218" s="4" t="s">
        <v>250</v>
      </c>
      <c r="C9218" s="38" t="s">
        <v>7707</v>
      </c>
      <c r="D9218" s="18">
        <v>2022</v>
      </c>
      <c r="E9218" s="18" t="s">
        <v>0</v>
      </c>
      <c r="F9218" s="42">
        <v>1</v>
      </c>
      <c r="G9218" s="4">
        <v>15</v>
      </c>
      <c r="H9218" s="18">
        <v>26</v>
      </c>
    </row>
    <row r="9219" spans="1:8" s="15" customFormat="1" ht="16.5" hidden="1" customHeight="1" outlineLevel="1" x14ac:dyDescent="0.25">
      <c r="A9219" s="18">
        <v>4636</v>
      </c>
      <c r="B9219" s="4" t="s">
        <v>250</v>
      </c>
      <c r="C9219" s="38" t="s">
        <v>7708</v>
      </c>
      <c r="D9219" s="18">
        <v>2022</v>
      </c>
      <c r="E9219" s="18" t="s">
        <v>0</v>
      </c>
      <c r="F9219" s="42">
        <v>1</v>
      </c>
      <c r="G9219" s="4">
        <v>15</v>
      </c>
      <c r="H9219" s="18">
        <v>27</v>
      </c>
    </row>
    <row r="9220" spans="1:8" s="15" customFormat="1" ht="16.5" hidden="1" customHeight="1" outlineLevel="1" x14ac:dyDescent="0.25">
      <c r="A9220" s="18">
        <v>4899</v>
      </c>
      <c r="B9220" s="4" t="s">
        <v>250</v>
      </c>
      <c r="C9220" s="38" t="s">
        <v>3973</v>
      </c>
      <c r="D9220" s="18">
        <v>2022</v>
      </c>
      <c r="E9220" s="18" t="s">
        <v>0</v>
      </c>
      <c r="F9220" s="42">
        <v>4</v>
      </c>
      <c r="G9220" s="4">
        <v>47</v>
      </c>
      <c r="H9220" s="18">
        <v>151</v>
      </c>
    </row>
    <row r="9221" spans="1:8" s="15" customFormat="1" ht="16.5" hidden="1" customHeight="1" outlineLevel="1" x14ac:dyDescent="0.25">
      <c r="A9221" s="18">
        <v>4648</v>
      </c>
      <c r="B9221" s="4" t="s">
        <v>250</v>
      </c>
      <c r="C9221" s="38" t="s">
        <v>7709</v>
      </c>
      <c r="D9221" s="18">
        <v>2022</v>
      </c>
      <c r="E9221" s="18" t="s">
        <v>0</v>
      </c>
      <c r="F9221" s="42">
        <v>1</v>
      </c>
      <c r="G9221" s="4">
        <v>15</v>
      </c>
      <c r="H9221" s="18">
        <v>29</v>
      </c>
    </row>
    <row r="9222" spans="1:8" s="15" customFormat="1" ht="16.5" hidden="1" customHeight="1" outlineLevel="1" x14ac:dyDescent="0.25">
      <c r="A9222" s="18">
        <v>4650</v>
      </c>
      <c r="B9222" s="4" t="s">
        <v>250</v>
      </c>
      <c r="C9222" s="38" t="s">
        <v>7710</v>
      </c>
      <c r="D9222" s="18">
        <v>2022</v>
      </c>
      <c r="E9222" s="18" t="s">
        <v>0</v>
      </c>
      <c r="F9222" s="42">
        <v>1</v>
      </c>
      <c r="G9222" s="4">
        <v>15</v>
      </c>
      <c r="H9222" s="18">
        <v>29</v>
      </c>
    </row>
    <row r="9223" spans="1:8" s="15" customFormat="1" ht="16.5" hidden="1" customHeight="1" outlineLevel="1" x14ac:dyDescent="0.25">
      <c r="A9223" s="18">
        <v>4651</v>
      </c>
      <c r="B9223" s="4" t="s">
        <v>250</v>
      </c>
      <c r="C9223" s="38" t="s">
        <v>7711</v>
      </c>
      <c r="D9223" s="18">
        <v>2022</v>
      </c>
      <c r="E9223" s="18" t="s">
        <v>0</v>
      </c>
      <c r="F9223" s="42">
        <v>1</v>
      </c>
      <c r="G9223" s="4">
        <v>7</v>
      </c>
      <c r="H9223" s="18">
        <v>27</v>
      </c>
    </row>
    <row r="9224" spans="1:8" s="15" customFormat="1" ht="16.5" hidden="1" customHeight="1" outlineLevel="1" x14ac:dyDescent="0.25">
      <c r="A9224" s="18">
        <v>4724</v>
      </c>
      <c r="B9224" s="4" t="s">
        <v>250</v>
      </c>
      <c r="C9224" s="38" t="s">
        <v>7712</v>
      </c>
      <c r="D9224" s="18">
        <v>2022</v>
      </c>
      <c r="E9224" s="18" t="s">
        <v>0</v>
      </c>
      <c r="F9224" s="42">
        <v>1</v>
      </c>
      <c r="G9224" s="4">
        <v>15</v>
      </c>
      <c r="H9224" s="18">
        <v>26</v>
      </c>
    </row>
    <row r="9225" spans="1:8" s="15" customFormat="1" ht="16.5" hidden="1" customHeight="1" outlineLevel="1" x14ac:dyDescent="0.25">
      <c r="A9225" s="18">
        <v>4726</v>
      </c>
      <c r="B9225" s="4" t="s">
        <v>250</v>
      </c>
      <c r="C9225" s="38" t="s">
        <v>7713</v>
      </c>
      <c r="D9225" s="18">
        <v>2022</v>
      </c>
      <c r="E9225" s="18" t="s">
        <v>0</v>
      </c>
      <c r="F9225" s="42">
        <v>1</v>
      </c>
      <c r="G9225" s="4">
        <v>15</v>
      </c>
      <c r="H9225" s="18">
        <v>26</v>
      </c>
    </row>
    <row r="9226" spans="1:8" s="15" customFormat="1" ht="16.5" hidden="1" customHeight="1" outlineLevel="1" x14ac:dyDescent="0.25">
      <c r="A9226" s="18">
        <v>4729</v>
      </c>
      <c r="B9226" s="4" t="s">
        <v>250</v>
      </c>
      <c r="C9226" s="38" t="s">
        <v>7714</v>
      </c>
      <c r="D9226" s="18">
        <v>2022</v>
      </c>
      <c r="E9226" s="18" t="s">
        <v>0</v>
      </c>
      <c r="F9226" s="42">
        <v>1</v>
      </c>
      <c r="G9226" s="4">
        <v>15</v>
      </c>
      <c r="H9226" s="18">
        <v>27</v>
      </c>
    </row>
    <row r="9227" spans="1:8" s="15" customFormat="1" ht="16.5" hidden="1" customHeight="1" outlineLevel="1" x14ac:dyDescent="0.25">
      <c r="A9227" s="18">
        <v>4735</v>
      </c>
      <c r="B9227" s="4" t="s">
        <v>250</v>
      </c>
      <c r="C9227" s="38" t="s">
        <v>7715</v>
      </c>
      <c r="D9227" s="18">
        <v>2022</v>
      </c>
      <c r="E9227" s="18" t="s">
        <v>0</v>
      </c>
      <c r="F9227" s="42">
        <v>1</v>
      </c>
      <c r="G9227" s="4">
        <v>15</v>
      </c>
      <c r="H9227" s="18">
        <v>25</v>
      </c>
    </row>
    <row r="9228" spans="1:8" s="15" customFormat="1" ht="16.5" hidden="1" customHeight="1" outlineLevel="1" x14ac:dyDescent="0.25">
      <c r="A9228" s="18">
        <v>4743</v>
      </c>
      <c r="B9228" s="4" t="s">
        <v>250</v>
      </c>
      <c r="C9228" s="38" t="s">
        <v>7716</v>
      </c>
      <c r="D9228" s="18">
        <v>2022</v>
      </c>
      <c r="E9228" s="18" t="s">
        <v>0</v>
      </c>
      <c r="F9228" s="42">
        <v>1</v>
      </c>
      <c r="G9228" s="4">
        <v>15</v>
      </c>
      <c r="H9228" s="18">
        <v>26</v>
      </c>
    </row>
    <row r="9229" spans="1:8" s="15" customFormat="1" ht="16.5" hidden="1" customHeight="1" outlineLevel="1" x14ac:dyDescent="0.25">
      <c r="A9229" s="18">
        <v>4777</v>
      </c>
      <c r="B9229" s="4" t="s">
        <v>250</v>
      </c>
      <c r="C9229" s="38" t="s">
        <v>7717</v>
      </c>
      <c r="D9229" s="18">
        <v>2022</v>
      </c>
      <c r="E9229" s="18" t="s">
        <v>0</v>
      </c>
      <c r="F9229" s="42">
        <v>1</v>
      </c>
      <c r="G9229" s="4">
        <v>14</v>
      </c>
      <c r="H9229" s="18">
        <v>27</v>
      </c>
    </row>
    <row r="9230" spans="1:8" s="15" customFormat="1" ht="16.5" hidden="1" customHeight="1" outlineLevel="1" x14ac:dyDescent="0.25">
      <c r="A9230" s="18">
        <v>4779</v>
      </c>
      <c r="B9230" s="4" t="s">
        <v>250</v>
      </c>
      <c r="C9230" s="38" t="s">
        <v>7718</v>
      </c>
      <c r="D9230" s="18">
        <v>2022</v>
      </c>
      <c r="E9230" s="18" t="s">
        <v>0</v>
      </c>
      <c r="F9230" s="42">
        <v>1</v>
      </c>
      <c r="G9230" s="4">
        <v>15</v>
      </c>
      <c r="H9230" s="18">
        <v>26</v>
      </c>
    </row>
    <row r="9231" spans="1:8" s="15" customFormat="1" ht="16.5" hidden="1" customHeight="1" outlineLevel="1" x14ac:dyDescent="0.25">
      <c r="A9231" s="18">
        <v>4780</v>
      </c>
      <c r="B9231" s="4" t="s">
        <v>250</v>
      </c>
      <c r="C9231" s="38" t="s">
        <v>7719</v>
      </c>
      <c r="D9231" s="18">
        <v>2022</v>
      </c>
      <c r="E9231" s="18" t="s">
        <v>0</v>
      </c>
      <c r="F9231" s="42">
        <v>1</v>
      </c>
      <c r="G9231" s="4">
        <v>15</v>
      </c>
      <c r="H9231" s="18">
        <v>26</v>
      </c>
    </row>
    <row r="9232" spans="1:8" s="15" customFormat="1" ht="16.5" hidden="1" customHeight="1" outlineLevel="1" x14ac:dyDescent="0.25">
      <c r="A9232" s="18">
        <v>4783</v>
      </c>
      <c r="B9232" s="4" t="s">
        <v>250</v>
      </c>
      <c r="C9232" s="38" t="s">
        <v>7720</v>
      </c>
      <c r="D9232" s="18">
        <v>2022</v>
      </c>
      <c r="E9232" s="18" t="s">
        <v>0</v>
      </c>
      <c r="F9232" s="42">
        <v>1</v>
      </c>
      <c r="G9232" s="4">
        <v>15</v>
      </c>
      <c r="H9232" s="18">
        <v>25</v>
      </c>
    </row>
    <row r="9233" spans="1:8" s="15" customFormat="1" ht="16.5" hidden="1" customHeight="1" outlineLevel="1" x14ac:dyDescent="0.25">
      <c r="A9233" s="18">
        <v>4817</v>
      </c>
      <c r="B9233" s="4" t="s">
        <v>250</v>
      </c>
      <c r="C9233" s="38" t="s">
        <v>7721</v>
      </c>
      <c r="D9233" s="18">
        <v>2022</v>
      </c>
      <c r="E9233" s="18" t="s">
        <v>0</v>
      </c>
      <c r="F9233" s="42">
        <v>1</v>
      </c>
      <c r="G9233" s="4">
        <v>14</v>
      </c>
      <c r="H9233" s="18">
        <v>24</v>
      </c>
    </row>
    <row r="9234" spans="1:8" s="15" customFormat="1" ht="16.5" hidden="1" customHeight="1" outlineLevel="1" x14ac:dyDescent="0.25">
      <c r="A9234" s="18">
        <v>4818</v>
      </c>
      <c r="B9234" s="4" t="s">
        <v>250</v>
      </c>
      <c r="C9234" s="38" t="s">
        <v>7722</v>
      </c>
      <c r="D9234" s="18">
        <v>2022</v>
      </c>
      <c r="E9234" s="18" t="s">
        <v>0</v>
      </c>
      <c r="F9234" s="42">
        <v>1</v>
      </c>
      <c r="G9234" s="4">
        <v>14</v>
      </c>
      <c r="H9234" s="18">
        <v>24</v>
      </c>
    </row>
    <row r="9235" spans="1:8" s="15" customFormat="1" ht="16.5" hidden="1" customHeight="1" outlineLevel="1" x14ac:dyDescent="0.25">
      <c r="A9235" s="18">
        <v>4821</v>
      </c>
      <c r="B9235" s="4" t="s">
        <v>250</v>
      </c>
      <c r="C9235" s="38" t="s">
        <v>7723</v>
      </c>
      <c r="D9235" s="18">
        <v>2022</v>
      </c>
      <c r="E9235" s="18" t="s">
        <v>0</v>
      </c>
      <c r="F9235" s="42">
        <v>1</v>
      </c>
      <c r="G9235" s="4">
        <v>15</v>
      </c>
      <c r="H9235" s="18">
        <v>23</v>
      </c>
    </row>
    <row r="9236" spans="1:8" s="15" customFormat="1" ht="16.5" hidden="1" customHeight="1" outlineLevel="1" x14ac:dyDescent="0.25">
      <c r="A9236" s="18">
        <v>4900</v>
      </c>
      <c r="B9236" s="4" t="s">
        <v>250</v>
      </c>
      <c r="C9236" s="38" t="s">
        <v>4073</v>
      </c>
      <c r="D9236" s="18">
        <v>2022</v>
      </c>
      <c r="E9236" s="18" t="s">
        <v>0</v>
      </c>
      <c r="F9236" s="42">
        <v>1</v>
      </c>
      <c r="G9236" s="4">
        <v>15</v>
      </c>
      <c r="H9236" s="18">
        <v>90</v>
      </c>
    </row>
    <row r="9237" spans="1:8" s="15" customFormat="1" ht="16.5" hidden="1" customHeight="1" outlineLevel="1" x14ac:dyDescent="0.25">
      <c r="A9237" s="18">
        <v>4902</v>
      </c>
      <c r="B9237" s="4" t="s">
        <v>250</v>
      </c>
      <c r="C9237" s="38" t="s">
        <v>4074</v>
      </c>
      <c r="D9237" s="18">
        <v>2022</v>
      </c>
      <c r="E9237" s="18" t="s">
        <v>0</v>
      </c>
      <c r="F9237" s="42">
        <v>1</v>
      </c>
      <c r="G9237" s="4">
        <v>15</v>
      </c>
      <c r="H9237" s="18">
        <v>66</v>
      </c>
    </row>
    <row r="9238" spans="1:8" s="15" customFormat="1" ht="16.5" hidden="1" customHeight="1" outlineLevel="1" x14ac:dyDescent="0.25">
      <c r="A9238" s="18">
        <v>4617</v>
      </c>
      <c r="B9238" s="4" t="s">
        <v>250</v>
      </c>
      <c r="C9238" s="38" t="s">
        <v>4075</v>
      </c>
      <c r="D9238" s="18">
        <v>2022</v>
      </c>
      <c r="E9238" s="18" t="s">
        <v>0</v>
      </c>
      <c r="F9238" s="42">
        <v>1</v>
      </c>
      <c r="G9238" s="4">
        <v>15</v>
      </c>
      <c r="H9238" s="18">
        <v>72</v>
      </c>
    </row>
    <row r="9239" spans="1:8" s="15" customFormat="1" ht="16.5" hidden="1" customHeight="1" outlineLevel="1" x14ac:dyDescent="0.25">
      <c r="A9239" s="18">
        <v>4691</v>
      </c>
      <c r="B9239" s="4" t="s">
        <v>250</v>
      </c>
      <c r="C9239" s="38" t="s">
        <v>7724</v>
      </c>
      <c r="D9239" s="18">
        <v>2022</v>
      </c>
      <c r="E9239" s="18" t="s">
        <v>0</v>
      </c>
      <c r="F9239" s="42">
        <v>1</v>
      </c>
      <c r="G9239" s="4">
        <v>15</v>
      </c>
      <c r="H9239" s="18">
        <v>25</v>
      </c>
    </row>
    <row r="9240" spans="1:8" s="15" customFormat="1" ht="16.5" hidden="1" customHeight="1" outlineLevel="1" x14ac:dyDescent="0.25">
      <c r="A9240" s="18">
        <v>4692</v>
      </c>
      <c r="B9240" s="4" t="s">
        <v>250</v>
      </c>
      <c r="C9240" s="38" t="s">
        <v>7725</v>
      </c>
      <c r="D9240" s="18">
        <v>2022</v>
      </c>
      <c r="E9240" s="18" t="s">
        <v>0</v>
      </c>
      <c r="F9240" s="42">
        <v>1</v>
      </c>
      <c r="G9240" s="4">
        <v>15</v>
      </c>
      <c r="H9240" s="18">
        <v>25</v>
      </c>
    </row>
    <row r="9241" spans="1:8" s="15" customFormat="1" ht="16.5" hidden="1" customHeight="1" outlineLevel="1" x14ac:dyDescent="0.25">
      <c r="A9241" s="18">
        <v>4704</v>
      </c>
      <c r="B9241" s="4" t="s">
        <v>250</v>
      </c>
      <c r="C9241" s="38" t="s">
        <v>7726</v>
      </c>
      <c r="D9241" s="18">
        <v>2022</v>
      </c>
      <c r="E9241" s="18" t="s">
        <v>0</v>
      </c>
      <c r="F9241" s="42">
        <v>1</v>
      </c>
      <c r="G9241" s="4">
        <v>15</v>
      </c>
      <c r="H9241" s="18">
        <v>25</v>
      </c>
    </row>
    <row r="9242" spans="1:8" s="15" customFormat="1" ht="16.5" hidden="1" customHeight="1" outlineLevel="1" x14ac:dyDescent="0.25">
      <c r="A9242" s="18">
        <v>4731</v>
      </c>
      <c r="B9242" s="4" t="s">
        <v>250</v>
      </c>
      <c r="C9242" s="38" t="s">
        <v>7727</v>
      </c>
      <c r="D9242" s="18">
        <v>2022</v>
      </c>
      <c r="E9242" s="18" t="s">
        <v>0</v>
      </c>
      <c r="F9242" s="42">
        <v>1</v>
      </c>
      <c r="G9242" s="4">
        <v>15</v>
      </c>
      <c r="H9242" s="18">
        <v>26</v>
      </c>
    </row>
    <row r="9243" spans="1:8" s="15" customFormat="1" ht="16.5" hidden="1" customHeight="1" outlineLevel="1" x14ac:dyDescent="0.25">
      <c r="A9243" s="18">
        <v>4736</v>
      </c>
      <c r="B9243" s="4" t="s">
        <v>250</v>
      </c>
      <c r="C9243" s="38" t="s">
        <v>7728</v>
      </c>
      <c r="D9243" s="18">
        <v>2022</v>
      </c>
      <c r="E9243" s="18" t="s">
        <v>0</v>
      </c>
      <c r="F9243" s="42">
        <v>1</v>
      </c>
      <c r="G9243" s="4">
        <v>15</v>
      </c>
      <c r="H9243" s="18">
        <v>26</v>
      </c>
    </row>
    <row r="9244" spans="1:8" s="15" customFormat="1" ht="16.5" hidden="1" customHeight="1" outlineLevel="1" x14ac:dyDescent="0.25">
      <c r="A9244" s="18">
        <v>4737</v>
      </c>
      <c r="B9244" s="4" t="s">
        <v>250</v>
      </c>
      <c r="C9244" s="38" t="s">
        <v>7729</v>
      </c>
      <c r="D9244" s="18">
        <v>2022</v>
      </c>
      <c r="E9244" s="18" t="s">
        <v>0</v>
      </c>
      <c r="F9244" s="42">
        <v>1</v>
      </c>
      <c r="G9244" s="4">
        <v>15</v>
      </c>
      <c r="H9244" s="18">
        <v>25</v>
      </c>
    </row>
    <row r="9245" spans="1:8" s="15" customFormat="1" ht="16.5" hidden="1" customHeight="1" outlineLevel="1" x14ac:dyDescent="0.25">
      <c r="A9245" s="18">
        <v>4602</v>
      </c>
      <c r="B9245" s="4" t="s">
        <v>250</v>
      </c>
      <c r="C9245" s="38" t="s">
        <v>7730</v>
      </c>
      <c r="D9245" s="18">
        <v>2022</v>
      </c>
      <c r="E9245" s="18" t="s">
        <v>0</v>
      </c>
      <c r="F9245" s="42">
        <v>1</v>
      </c>
      <c r="G9245" s="4">
        <v>15</v>
      </c>
      <c r="H9245" s="18">
        <v>25</v>
      </c>
    </row>
    <row r="9246" spans="1:8" s="15" customFormat="1" ht="16.5" hidden="1" customHeight="1" outlineLevel="1" x14ac:dyDescent="0.25">
      <c r="A9246" s="18">
        <v>4626</v>
      </c>
      <c r="B9246" s="4" t="s">
        <v>250</v>
      </c>
      <c r="C9246" s="38" t="s">
        <v>7731</v>
      </c>
      <c r="D9246" s="18">
        <v>2022</v>
      </c>
      <c r="E9246" s="18" t="s">
        <v>0</v>
      </c>
      <c r="F9246" s="42">
        <v>1</v>
      </c>
      <c r="G9246" s="4">
        <v>15</v>
      </c>
      <c r="H9246" s="18">
        <v>26</v>
      </c>
    </row>
    <row r="9247" spans="1:8" s="15" customFormat="1" ht="16.5" hidden="1" customHeight="1" outlineLevel="1" x14ac:dyDescent="0.25">
      <c r="A9247" s="18">
        <v>4646</v>
      </c>
      <c r="B9247" s="4" t="s">
        <v>250</v>
      </c>
      <c r="C9247" s="38" t="s">
        <v>7732</v>
      </c>
      <c r="D9247" s="18">
        <v>2022</v>
      </c>
      <c r="E9247" s="18" t="s">
        <v>0</v>
      </c>
      <c r="F9247" s="42">
        <v>1</v>
      </c>
      <c r="G9247" s="4">
        <v>15</v>
      </c>
      <c r="H9247" s="18">
        <v>37</v>
      </c>
    </row>
    <row r="9248" spans="1:8" s="15" customFormat="1" ht="16.5" hidden="1" customHeight="1" outlineLevel="1" x14ac:dyDescent="0.25">
      <c r="A9248" s="18">
        <v>4609</v>
      </c>
      <c r="B9248" s="4" t="s">
        <v>250</v>
      </c>
      <c r="C9248" s="38" t="s">
        <v>7733</v>
      </c>
      <c r="D9248" s="18">
        <v>2022</v>
      </c>
      <c r="E9248" s="18" t="s">
        <v>0</v>
      </c>
      <c r="F9248" s="42">
        <v>1</v>
      </c>
      <c r="G9248" s="4">
        <v>15</v>
      </c>
      <c r="H9248" s="18">
        <v>34</v>
      </c>
    </row>
    <row r="9249" spans="1:8" s="15" customFormat="1" ht="16.5" hidden="1" customHeight="1" outlineLevel="1" x14ac:dyDescent="0.25">
      <c r="A9249" s="18">
        <v>4810</v>
      </c>
      <c r="B9249" s="4" t="s">
        <v>250</v>
      </c>
      <c r="C9249" s="38" t="s">
        <v>7734</v>
      </c>
      <c r="D9249" s="18">
        <v>2022</v>
      </c>
      <c r="E9249" s="18" t="s">
        <v>0</v>
      </c>
      <c r="F9249" s="42">
        <v>1</v>
      </c>
      <c r="G9249" s="4">
        <v>7.5</v>
      </c>
      <c r="H9249" s="18">
        <v>26</v>
      </c>
    </row>
    <row r="9250" spans="1:8" s="15" customFormat="1" ht="16.5" hidden="1" customHeight="1" outlineLevel="1" x14ac:dyDescent="0.25">
      <c r="A9250" s="18">
        <v>4578</v>
      </c>
      <c r="B9250" s="4" t="s">
        <v>250</v>
      </c>
      <c r="C9250" s="38" t="s">
        <v>7735</v>
      </c>
      <c r="D9250" s="18">
        <v>2022</v>
      </c>
      <c r="E9250" s="18" t="s">
        <v>0</v>
      </c>
      <c r="F9250" s="42">
        <v>1</v>
      </c>
      <c r="G9250" s="4">
        <v>15</v>
      </c>
      <c r="H9250" s="18">
        <v>24.8</v>
      </c>
    </row>
    <row r="9251" spans="1:8" s="15" customFormat="1" ht="16.5" hidden="1" customHeight="1" outlineLevel="1" x14ac:dyDescent="0.25">
      <c r="A9251" s="18">
        <v>4591</v>
      </c>
      <c r="B9251" s="4" t="s">
        <v>250</v>
      </c>
      <c r="C9251" s="38" t="s">
        <v>7736</v>
      </c>
      <c r="D9251" s="18">
        <v>2022</v>
      </c>
      <c r="E9251" s="18" t="s">
        <v>0</v>
      </c>
      <c r="F9251" s="42">
        <v>1</v>
      </c>
      <c r="G9251" s="4">
        <v>15</v>
      </c>
      <c r="H9251" s="18">
        <v>24</v>
      </c>
    </row>
    <row r="9252" spans="1:8" s="15" customFormat="1" ht="16.5" hidden="1" customHeight="1" outlineLevel="1" x14ac:dyDescent="0.25">
      <c r="A9252" s="18">
        <v>4600</v>
      </c>
      <c r="B9252" s="4" t="s">
        <v>250</v>
      </c>
      <c r="C9252" s="38" t="s">
        <v>7737</v>
      </c>
      <c r="D9252" s="18">
        <v>2022</v>
      </c>
      <c r="E9252" s="18" t="s">
        <v>0</v>
      </c>
      <c r="F9252" s="42">
        <v>1</v>
      </c>
      <c r="G9252" s="4">
        <v>15</v>
      </c>
      <c r="H9252" s="18">
        <v>24.5</v>
      </c>
    </row>
    <row r="9253" spans="1:8" s="15" customFormat="1" ht="16.5" hidden="1" customHeight="1" outlineLevel="1" x14ac:dyDescent="0.25">
      <c r="A9253" s="18">
        <v>4701</v>
      </c>
      <c r="B9253" s="4" t="s">
        <v>250</v>
      </c>
      <c r="C9253" s="38" t="s">
        <v>4076</v>
      </c>
      <c r="D9253" s="18">
        <v>2022</v>
      </c>
      <c r="E9253" s="18" t="s">
        <v>0</v>
      </c>
      <c r="F9253" s="42">
        <v>1</v>
      </c>
      <c r="G9253" s="4">
        <v>15</v>
      </c>
      <c r="H9253" s="18">
        <v>58.8</v>
      </c>
    </row>
    <row r="9254" spans="1:8" s="15" customFormat="1" ht="16.5" hidden="1" customHeight="1" outlineLevel="1" x14ac:dyDescent="0.25">
      <c r="A9254" s="18">
        <v>4707</v>
      </c>
      <c r="B9254" s="4" t="s">
        <v>250</v>
      </c>
      <c r="C9254" s="38" t="s">
        <v>7738</v>
      </c>
      <c r="D9254" s="18">
        <v>2022</v>
      </c>
      <c r="E9254" s="18" t="s">
        <v>0</v>
      </c>
      <c r="F9254" s="42">
        <v>1</v>
      </c>
      <c r="G9254" s="4">
        <v>14</v>
      </c>
      <c r="H9254" s="18">
        <v>27.400000000000002</v>
      </c>
    </row>
    <row r="9255" spans="1:8" s="15" customFormat="1" ht="16.5" hidden="1" customHeight="1" outlineLevel="1" x14ac:dyDescent="0.25">
      <c r="A9255" s="18">
        <v>4708</v>
      </c>
      <c r="B9255" s="4" t="s">
        <v>250</v>
      </c>
      <c r="C9255" s="38" t="s">
        <v>7739</v>
      </c>
      <c r="D9255" s="18">
        <v>2022</v>
      </c>
      <c r="E9255" s="18" t="s">
        <v>0</v>
      </c>
      <c r="F9255" s="42">
        <v>1</v>
      </c>
      <c r="G9255" s="4">
        <v>14</v>
      </c>
      <c r="H9255" s="18">
        <v>27.400000000000002</v>
      </c>
    </row>
    <row r="9256" spans="1:8" s="15" customFormat="1" ht="16.5" hidden="1" customHeight="1" outlineLevel="1" x14ac:dyDescent="0.25">
      <c r="A9256" s="18">
        <v>4802</v>
      </c>
      <c r="B9256" s="4" t="s">
        <v>250</v>
      </c>
      <c r="C9256" s="38" t="s">
        <v>7740</v>
      </c>
      <c r="D9256" s="18">
        <v>2022</v>
      </c>
      <c r="E9256" s="18" t="s">
        <v>0</v>
      </c>
      <c r="F9256" s="42">
        <v>1</v>
      </c>
      <c r="G9256" s="4">
        <v>15</v>
      </c>
      <c r="H9256" s="18">
        <v>27.2</v>
      </c>
    </row>
    <row r="9257" spans="1:8" s="15" customFormat="1" ht="16.5" hidden="1" customHeight="1" outlineLevel="1" x14ac:dyDescent="0.25">
      <c r="A9257" s="18">
        <v>4803</v>
      </c>
      <c r="B9257" s="4" t="s">
        <v>250</v>
      </c>
      <c r="C9257" s="38" t="s">
        <v>7741</v>
      </c>
      <c r="D9257" s="18">
        <v>2022</v>
      </c>
      <c r="E9257" s="18" t="s">
        <v>0</v>
      </c>
      <c r="F9257" s="42">
        <v>1</v>
      </c>
      <c r="G9257" s="4">
        <v>15</v>
      </c>
      <c r="H9257" s="18">
        <v>28.2</v>
      </c>
    </row>
    <row r="9258" spans="1:8" s="15" customFormat="1" ht="16.5" hidden="1" customHeight="1" outlineLevel="1" x14ac:dyDescent="0.25">
      <c r="A9258" s="18">
        <v>4804</v>
      </c>
      <c r="B9258" s="4" t="s">
        <v>250</v>
      </c>
      <c r="C9258" s="38" t="s">
        <v>7742</v>
      </c>
      <c r="D9258" s="18">
        <v>2022</v>
      </c>
      <c r="E9258" s="18" t="s">
        <v>0</v>
      </c>
      <c r="F9258" s="42">
        <v>1</v>
      </c>
      <c r="G9258" s="4">
        <v>15</v>
      </c>
      <c r="H9258" s="18">
        <v>28.400000000000002</v>
      </c>
    </row>
    <row r="9259" spans="1:8" s="15" customFormat="1" ht="16.5" hidden="1" customHeight="1" outlineLevel="1" x14ac:dyDescent="0.25">
      <c r="A9259" s="18">
        <v>4806</v>
      </c>
      <c r="B9259" s="4" t="s">
        <v>250</v>
      </c>
      <c r="C9259" s="38" t="s">
        <v>7743</v>
      </c>
      <c r="D9259" s="18">
        <v>2022</v>
      </c>
      <c r="E9259" s="18" t="s">
        <v>0</v>
      </c>
      <c r="F9259" s="42">
        <v>1</v>
      </c>
      <c r="G9259" s="4">
        <v>14</v>
      </c>
      <c r="H9259" s="18">
        <v>28.400000000000002</v>
      </c>
    </row>
    <row r="9260" spans="1:8" s="15" customFormat="1" ht="16.5" hidden="1" customHeight="1" outlineLevel="1" x14ac:dyDescent="0.25">
      <c r="A9260" s="18">
        <v>4807</v>
      </c>
      <c r="B9260" s="4" t="s">
        <v>250</v>
      </c>
      <c r="C9260" s="38" t="s">
        <v>7744</v>
      </c>
      <c r="D9260" s="18">
        <v>2022</v>
      </c>
      <c r="E9260" s="18" t="s">
        <v>0</v>
      </c>
      <c r="F9260" s="42">
        <v>1</v>
      </c>
      <c r="G9260" s="4">
        <v>14</v>
      </c>
      <c r="H9260" s="18">
        <v>27.799999999999997</v>
      </c>
    </row>
    <row r="9261" spans="1:8" s="15" customFormat="1" ht="16.5" hidden="1" customHeight="1" outlineLevel="1" x14ac:dyDescent="0.25">
      <c r="A9261" s="18">
        <v>4808</v>
      </c>
      <c r="B9261" s="4" t="s">
        <v>250</v>
      </c>
      <c r="C9261" s="38" t="s">
        <v>7745</v>
      </c>
      <c r="D9261" s="18">
        <v>2022</v>
      </c>
      <c r="E9261" s="18" t="s">
        <v>0</v>
      </c>
      <c r="F9261" s="42">
        <v>1</v>
      </c>
      <c r="G9261" s="4">
        <v>14</v>
      </c>
      <c r="H9261" s="18">
        <v>28.400000000000002</v>
      </c>
    </row>
    <row r="9262" spans="1:8" s="15" customFormat="1" ht="16.5" hidden="1" customHeight="1" outlineLevel="1" x14ac:dyDescent="0.25">
      <c r="A9262" s="18">
        <v>4833</v>
      </c>
      <c r="B9262" s="4" t="s">
        <v>250</v>
      </c>
      <c r="C9262" s="38" t="s">
        <v>4077</v>
      </c>
      <c r="D9262" s="18">
        <v>2022</v>
      </c>
      <c r="E9262" s="18" t="s">
        <v>0</v>
      </c>
      <c r="F9262" s="42">
        <v>1</v>
      </c>
      <c r="G9262" s="4">
        <v>15</v>
      </c>
      <c r="H9262" s="18">
        <v>63.4</v>
      </c>
    </row>
    <row r="9263" spans="1:8" s="15" customFormat="1" ht="16.5" hidden="1" customHeight="1" outlineLevel="1" x14ac:dyDescent="0.25">
      <c r="A9263" s="18">
        <v>4834</v>
      </c>
      <c r="B9263" s="4" t="s">
        <v>250</v>
      </c>
      <c r="C9263" s="38" t="s">
        <v>4078</v>
      </c>
      <c r="D9263" s="18">
        <v>2022</v>
      </c>
      <c r="E9263" s="18" t="s">
        <v>0</v>
      </c>
      <c r="F9263" s="42">
        <v>1</v>
      </c>
      <c r="G9263" s="4">
        <v>15</v>
      </c>
      <c r="H9263" s="18">
        <v>64</v>
      </c>
    </row>
    <row r="9264" spans="1:8" s="15" customFormat="1" ht="16.5" hidden="1" customHeight="1" outlineLevel="1" x14ac:dyDescent="0.25">
      <c r="A9264" s="18">
        <v>4630</v>
      </c>
      <c r="B9264" s="4" t="s">
        <v>250</v>
      </c>
      <c r="C9264" s="38" t="s">
        <v>7746</v>
      </c>
      <c r="D9264" s="18">
        <v>2022</v>
      </c>
      <c r="E9264" s="18" t="s">
        <v>0</v>
      </c>
      <c r="F9264" s="42">
        <v>1</v>
      </c>
      <c r="G9264" s="4">
        <v>15</v>
      </c>
      <c r="H9264" s="18">
        <v>26.200000000000003</v>
      </c>
    </row>
    <row r="9265" spans="1:8" s="15" customFormat="1" ht="16.5" hidden="1" customHeight="1" outlineLevel="1" x14ac:dyDescent="0.25">
      <c r="A9265" s="18">
        <v>4632</v>
      </c>
      <c r="B9265" s="4" t="s">
        <v>250</v>
      </c>
      <c r="C9265" s="38" t="s">
        <v>7747</v>
      </c>
      <c r="D9265" s="18">
        <v>2022</v>
      </c>
      <c r="E9265" s="18" t="s">
        <v>0</v>
      </c>
      <c r="F9265" s="42">
        <v>1</v>
      </c>
      <c r="G9265" s="4">
        <v>15</v>
      </c>
      <c r="H9265" s="18">
        <v>28.1</v>
      </c>
    </row>
    <row r="9266" spans="1:8" s="15" customFormat="1" ht="16.5" hidden="1" customHeight="1" outlineLevel="1" x14ac:dyDescent="0.25">
      <c r="A9266" s="18">
        <v>4633</v>
      </c>
      <c r="B9266" s="4" t="s">
        <v>250</v>
      </c>
      <c r="C9266" s="38" t="s">
        <v>7748</v>
      </c>
      <c r="D9266" s="18">
        <v>2022</v>
      </c>
      <c r="E9266" s="18" t="s">
        <v>0</v>
      </c>
      <c r="F9266" s="42">
        <v>1</v>
      </c>
      <c r="G9266" s="4">
        <v>15</v>
      </c>
      <c r="H9266" s="18">
        <v>36.299999999999997</v>
      </c>
    </row>
    <row r="9267" spans="1:8" s="15" customFormat="1" ht="16.5" hidden="1" customHeight="1" outlineLevel="1" x14ac:dyDescent="0.25">
      <c r="A9267" s="18">
        <v>4635</v>
      </c>
      <c r="B9267" s="4" t="s">
        <v>250</v>
      </c>
      <c r="C9267" s="38" t="s">
        <v>7749</v>
      </c>
      <c r="D9267" s="18">
        <v>2022</v>
      </c>
      <c r="E9267" s="18" t="s">
        <v>0</v>
      </c>
      <c r="F9267" s="42">
        <v>1</v>
      </c>
      <c r="G9267" s="4">
        <v>15</v>
      </c>
      <c r="H9267" s="18">
        <v>26</v>
      </c>
    </row>
    <row r="9268" spans="1:8" s="15" customFormat="1" ht="16.5" hidden="1" customHeight="1" outlineLevel="1" x14ac:dyDescent="0.25">
      <c r="A9268" s="18">
        <v>4638</v>
      </c>
      <c r="B9268" s="4" t="s">
        <v>250</v>
      </c>
      <c r="C9268" s="38" t="s">
        <v>7750</v>
      </c>
      <c r="D9268" s="18">
        <v>2022</v>
      </c>
      <c r="E9268" s="18" t="s">
        <v>0</v>
      </c>
      <c r="F9268" s="42">
        <v>1</v>
      </c>
      <c r="G9268" s="4">
        <v>15</v>
      </c>
      <c r="H9268" s="18">
        <v>25</v>
      </c>
    </row>
    <row r="9269" spans="1:8" s="15" customFormat="1" ht="16.5" hidden="1" customHeight="1" outlineLevel="1" x14ac:dyDescent="0.25">
      <c r="A9269" s="18">
        <v>4656</v>
      </c>
      <c r="B9269" s="4" t="s">
        <v>250</v>
      </c>
      <c r="C9269" s="38" t="s">
        <v>7751</v>
      </c>
      <c r="D9269" s="18">
        <v>2022</v>
      </c>
      <c r="E9269" s="18" t="s">
        <v>0</v>
      </c>
      <c r="F9269" s="42">
        <v>1</v>
      </c>
      <c r="G9269" s="4">
        <v>15</v>
      </c>
      <c r="H9269" s="18">
        <v>41.099999999999994</v>
      </c>
    </row>
    <row r="9270" spans="1:8" s="15" customFormat="1" ht="16.5" hidden="1" customHeight="1" outlineLevel="1" x14ac:dyDescent="0.25">
      <c r="A9270" s="18">
        <v>4657</v>
      </c>
      <c r="B9270" s="4" t="s">
        <v>250</v>
      </c>
      <c r="C9270" s="38" t="s">
        <v>7752</v>
      </c>
      <c r="D9270" s="18">
        <v>2022</v>
      </c>
      <c r="E9270" s="18" t="s">
        <v>0</v>
      </c>
      <c r="F9270" s="42">
        <v>1</v>
      </c>
      <c r="G9270" s="4">
        <v>15</v>
      </c>
      <c r="H9270" s="18">
        <v>46</v>
      </c>
    </row>
    <row r="9271" spans="1:8" s="15" customFormat="1" ht="16.5" hidden="1" customHeight="1" outlineLevel="1" x14ac:dyDescent="0.25">
      <c r="A9271" s="18">
        <v>4706</v>
      </c>
      <c r="B9271" s="4" t="s">
        <v>250</v>
      </c>
      <c r="C9271" s="38" t="s">
        <v>7753</v>
      </c>
      <c r="D9271" s="18">
        <v>2022</v>
      </c>
      <c r="E9271" s="18" t="s">
        <v>0</v>
      </c>
      <c r="F9271" s="42">
        <v>1</v>
      </c>
      <c r="G9271" s="4">
        <v>15</v>
      </c>
      <c r="H9271" s="18">
        <v>29.8</v>
      </c>
    </row>
    <row r="9272" spans="1:8" s="15" customFormat="1" ht="16.5" hidden="1" customHeight="1" outlineLevel="1" x14ac:dyDescent="0.25">
      <c r="A9272" s="18">
        <v>4713</v>
      </c>
      <c r="B9272" s="4" t="s">
        <v>250</v>
      </c>
      <c r="C9272" s="38" t="s">
        <v>7754</v>
      </c>
      <c r="D9272" s="18">
        <v>2022</v>
      </c>
      <c r="E9272" s="18" t="s">
        <v>0</v>
      </c>
      <c r="F9272" s="42">
        <v>1</v>
      </c>
      <c r="G9272" s="4">
        <v>10</v>
      </c>
      <c r="H9272" s="18">
        <v>29.23</v>
      </c>
    </row>
    <row r="9273" spans="1:8" s="15" customFormat="1" ht="16.5" hidden="1" customHeight="1" outlineLevel="1" x14ac:dyDescent="0.25">
      <c r="A9273" s="18">
        <v>4740</v>
      </c>
      <c r="B9273" s="4" t="s">
        <v>250</v>
      </c>
      <c r="C9273" s="38" t="s">
        <v>7755</v>
      </c>
      <c r="D9273" s="18">
        <v>2022</v>
      </c>
      <c r="E9273" s="18" t="s">
        <v>0</v>
      </c>
      <c r="F9273" s="42">
        <v>1</v>
      </c>
      <c r="G9273" s="4">
        <v>15</v>
      </c>
      <c r="H9273" s="18">
        <v>27</v>
      </c>
    </row>
    <row r="9274" spans="1:8" s="15" customFormat="1" ht="16.5" hidden="1" customHeight="1" outlineLevel="1" x14ac:dyDescent="0.25">
      <c r="A9274" s="18">
        <v>4759</v>
      </c>
      <c r="B9274" s="4" t="s">
        <v>250</v>
      </c>
      <c r="C9274" s="38" t="s">
        <v>7756</v>
      </c>
      <c r="D9274" s="18">
        <v>2022</v>
      </c>
      <c r="E9274" s="18" t="s">
        <v>0</v>
      </c>
      <c r="F9274" s="42">
        <v>1</v>
      </c>
      <c r="G9274" s="4">
        <v>15</v>
      </c>
      <c r="H9274" s="18">
        <v>27.7</v>
      </c>
    </row>
    <row r="9275" spans="1:8" s="15" customFormat="1" ht="16.5" hidden="1" customHeight="1" outlineLevel="1" x14ac:dyDescent="0.25">
      <c r="A9275" s="18">
        <v>4760</v>
      </c>
      <c r="B9275" s="4" t="s">
        <v>250</v>
      </c>
      <c r="C9275" s="38" t="s">
        <v>7757</v>
      </c>
      <c r="D9275" s="18">
        <v>2022</v>
      </c>
      <c r="E9275" s="18" t="s">
        <v>0</v>
      </c>
      <c r="F9275" s="42">
        <v>1</v>
      </c>
      <c r="G9275" s="4">
        <v>15</v>
      </c>
      <c r="H9275" s="18">
        <v>27.619999999999997</v>
      </c>
    </row>
    <row r="9276" spans="1:8" s="15" customFormat="1" ht="16.5" hidden="1" customHeight="1" outlineLevel="1" x14ac:dyDescent="0.25">
      <c r="A9276" s="18">
        <v>4784</v>
      </c>
      <c r="B9276" s="4" t="s">
        <v>250</v>
      </c>
      <c r="C9276" s="38" t="s">
        <v>7758</v>
      </c>
      <c r="D9276" s="18">
        <v>2022</v>
      </c>
      <c r="E9276" s="18" t="s">
        <v>0</v>
      </c>
      <c r="F9276" s="42">
        <v>1</v>
      </c>
      <c r="G9276" s="4">
        <v>15</v>
      </c>
      <c r="H9276" s="18">
        <v>27.099999999999998</v>
      </c>
    </row>
    <row r="9277" spans="1:8" s="15" customFormat="1" ht="16.5" hidden="1" customHeight="1" outlineLevel="1" x14ac:dyDescent="0.25">
      <c r="A9277" s="18">
        <v>4788</v>
      </c>
      <c r="B9277" s="4" t="s">
        <v>250</v>
      </c>
      <c r="C9277" s="38" t="s">
        <v>7759</v>
      </c>
      <c r="D9277" s="18">
        <v>2022</v>
      </c>
      <c r="E9277" s="18" t="s">
        <v>0</v>
      </c>
      <c r="F9277" s="42">
        <v>1</v>
      </c>
      <c r="G9277" s="4">
        <v>15</v>
      </c>
      <c r="H9277" s="18">
        <v>26.200000000000003</v>
      </c>
    </row>
    <row r="9278" spans="1:8" s="15" customFormat="1" ht="16.5" hidden="1" customHeight="1" outlineLevel="1" x14ac:dyDescent="0.25">
      <c r="A9278" s="18">
        <v>4809</v>
      </c>
      <c r="B9278" s="4" t="s">
        <v>250</v>
      </c>
      <c r="C9278" s="38" t="s">
        <v>7760</v>
      </c>
      <c r="D9278" s="18">
        <v>2022</v>
      </c>
      <c r="E9278" s="18" t="s">
        <v>0</v>
      </c>
      <c r="F9278" s="42">
        <v>1</v>
      </c>
      <c r="G9278" s="4">
        <v>14</v>
      </c>
      <c r="H9278" s="18">
        <v>27</v>
      </c>
    </row>
    <row r="9279" spans="1:8" s="15" customFormat="1" ht="16.5" hidden="1" customHeight="1" outlineLevel="1" x14ac:dyDescent="0.25">
      <c r="A9279" s="18">
        <v>4824</v>
      </c>
      <c r="B9279" s="4" t="s">
        <v>250</v>
      </c>
      <c r="C9279" s="38" t="s">
        <v>7761</v>
      </c>
      <c r="D9279" s="18">
        <v>2022</v>
      </c>
      <c r="E9279" s="18" t="s">
        <v>0</v>
      </c>
      <c r="F9279" s="42">
        <v>1</v>
      </c>
      <c r="G9279" s="4">
        <v>15</v>
      </c>
      <c r="H9279" s="18">
        <v>26.98</v>
      </c>
    </row>
    <row r="9280" spans="1:8" s="15" customFormat="1" ht="16.5" hidden="1" customHeight="1" outlineLevel="1" x14ac:dyDescent="0.25">
      <c r="A9280" s="18">
        <v>4915</v>
      </c>
      <c r="B9280" s="4" t="s">
        <v>250</v>
      </c>
      <c r="C9280" s="38" t="s">
        <v>4079</v>
      </c>
      <c r="D9280" s="18">
        <v>2022</v>
      </c>
      <c r="E9280" s="18" t="s">
        <v>0</v>
      </c>
      <c r="F9280" s="42">
        <v>1</v>
      </c>
      <c r="G9280" s="4">
        <v>15</v>
      </c>
      <c r="H9280" s="18">
        <v>81.199999999999989</v>
      </c>
    </row>
    <row r="9281" spans="1:8" s="15" customFormat="1" ht="16.5" hidden="1" customHeight="1" outlineLevel="1" x14ac:dyDescent="0.25">
      <c r="A9281" s="18">
        <v>4820</v>
      </c>
      <c r="B9281" s="4" t="s">
        <v>250</v>
      </c>
      <c r="C9281" s="38" t="s">
        <v>7762</v>
      </c>
      <c r="D9281" s="18">
        <v>2022</v>
      </c>
      <c r="E9281" s="18" t="s">
        <v>0</v>
      </c>
      <c r="F9281" s="42">
        <v>1</v>
      </c>
      <c r="G9281" s="4">
        <v>15</v>
      </c>
      <c r="H9281" s="18">
        <v>25.07</v>
      </c>
    </row>
    <row r="9282" spans="1:8" s="15" customFormat="1" ht="16.5" hidden="1" customHeight="1" outlineLevel="1" x14ac:dyDescent="0.25">
      <c r="A9282" s="18">
        <v>4826</v>
      </c>
      <c r="B9282" s="4" t="s">
        <v>250</v>
      </c>
      <c r="C9282" s="38" t="s">
        <v>4129</v>
      </c>
      <c r="D9282" s="18">
        <v>2022</v>
      </c>
      <c r="E9282" s="18" t="s">
        <v>0</v>
      </c>
      <c r="F9282" s="42">
        <v>5</v>
      </c>
      <c r="G9282" s="4">
        <v>55</v>
      </c>
      <c r="H9282" s="18">
        <v>287.2</v>
      </c>
    </row>
    <row r="9283" spans="1:8" s="15" customFormat="1" ht="16.5" hidden="1" customHeight="1" outlineLevel="1" x14ac:dyDescent="0.25">
      <c r="A9283" s="18">
        <v>4912</v>
      </c>
      <c r="B9283" s="4" t="s">
        <v>250</v>
      </c>
      <c r="C9283" s="38" t="s">
        <v>7763</v>
      </c>
      <c r="D9283" s="18">
        <v>2022</v>
      </c>
      <c r="E9283" s="18" t="s">
        <v>0</v>
      </c>
      <c r="F9283" s="42">
        <v>1</v>
      </c>
      <c r="G9283" s="4">
        <v>15</v>
      </c>
      <c r="H9283" s="18">
        <v>29.47</v>
      </c>
    </row>
    <row r="9284" spans="1:8" s="15" customFormat="1" ht="16.5" hidden="1" customHeight="1" outlineLevel="1" x14ac:dyDescent="0.25">
      <c r="A9284" s="18">
        <v>4751</v>
      </c>
      <c r="B9284" s="4" t="s">
        <v>250</v>
      </c>
      <c r="C9284" s="38" t="s">
        <v>7764</v>
      </c>
      <c r="D9284" s="18">
        <v>2022</v>
      </c>
      <c r="E9284" s="18" t="s">
        <v>0</v>
      </c>
      <c r="F9284" s="42">
        <v>1</v>
      </c>
      <c r="G9284" s="4">
        <v>15</v>
      </c>
      <c r="H9284" s="18">
        <v>28.97</v>
      </c>
    </row>
    <row r="9285" spans="1:8" s="15" customFormat="1" ht="16.5" hidden="1" customHeight="1" outlineLevel="1" x14ac:dyDescent="0.25">
      <c r="A9285" s="18">
        <v>4752</v>
      </c>
      <c r="B9285" s="4" t="s">
        <v>250</v>
      </c>
      <c r="C9285" s="38" t="s">
        <v>7765</v>
      </c>
      <c r="D9285" s="18">
        <v>2022</v>
      </c>
      <c r="E9285" s="18" t="s">
        <v>0</v>
      </c>
      <c r="F9285" s="42">
        <v>1</v>
      </c>
      <c r="G9285" s="4">
        <v>15</v>
      </c>
      <c r="H9285" s="18">
        <v>29.04</v>
      </c>
    </row>
    <row r="9286" spans="1:8" s="15" customFormat="1" ht="16.5" hidden="1" customHeight="1" outlineLevel="1" x14ac:dyDescent="0.25">
      <c r="A9286" s="18">
        <v>4753</v>
      </c>
      <c r="B9286" s="4" t="s">
        <v>250</v>
      </c>
      <c r="C9286" s="38" t="s">
        <v>7766</v>
      </c>
      <c r="D9286" s="18">
        <v>2022</v>
      </c>
      <c r="E9286" s="18" t="s">
        <v>0</v>
      </c>
      <c r="F9286" s="42">
        <v>1</v>
      </c>
      <c r="G9286" s="4">
        <v>150</v>
      </c>
      <c r="H9286" s="18">
        <v>29.5</v>
      </c>
    </row>
    <row r="9287" spans="1:8" s="15" customFormat="1" ht="16.5" hidden="1" customHeight="1" outlineLevel="1" x14ac:dyDescent="0.25">
      <c r="A9287" s="18">
        <v>4756</v>
      </c>
      <c r="B9287" s="4" t="s">
        <v>250</v>
      </c>
      <c r="C9287" s="38" t="s">
        <v>7767</v>
      </c>
      <c r="D9287" s="18">
        <v>2022</v>
      </c>
      <c r="E9287" s="18" t="s">
        <v>0</v>
      </c>
      <c r="F9287" s="42">
        <v>1</v>
      </c>
      <c r="G9287" s="4">
        <v>15</v>
      </c>
      <c r="H9287" s="18">
        <v>29.4</v>
      </c>
    </row>
    <row r="9288" spans="1:8" s="15" customFormat="1" ht="16.5" hidden="1" customHeight="1" outlineLevel="1" x14ac:dyDescent="0.25">
      <c r="A9288" s="18">
        <v>4758</v>
      </c>
      <c r="B9288" s="4" t="s">
        <v>250</v>
      </c>
      <c r="C9288" s="38" t="s">
        <v>7768</v>
      </c>
      <c r="D9288" s="18">
        <v>2022</v>
      </c>
      <c r="E9288" s="18" t="s">
        <v>0</v>
      </c>
      <c r="F9288" s="42">
        <v>1</v>
      </c>
      <c r="G9288" s="4">
        <v>15</v>
      </c>
      <c r="H9288" s="18">
        <v>28.97</v>
      </c>
    </row>
    <row r="9289" spans="1:8" s="15" customFormat="1" ht="16.5" hidden="1" customHeight="1" outlineLevel="1" x14ac:dyDescent="0.25">
      <c r="A9289" s="18">
        <v>4593</v>
      </c>
      <c r="B9289" s="4" t="s">
        <v>250</v>
      </c>
      <c r="C9289" s="38" t="s">
        <v>7769</v>
      </c>
      <c r="D9289" s="18">
        <v>2022</v>
      </c>
      <c r="E9289" s="18" t="s">
        <v>0</v>
      </c>
      <c r="F9289" s="42">
        <v>1</v>
      </c>
      <c r="G9289" s="4">
        <v>15</v>
      </c>
      <c r="H9289" s="18">
        <v>25.38</v>
      </c>
    </row>
    <row r="9290" spans="1:8" s="15" customFormat="1" ht="16.5" hidden="1" customHeight="1" outlineLevel="1" x14ac:dyDescent="0.25">
      <c r="A9290" s="18">
        <v>4628</v>
      </c>
      <c r="B9290" s="4" t="s">
        <v>250</v>
      </c>
      <c r="C9290" s="38" t="s">
        <v>7770</v>
      </c>
      <c r="D9290" s="18">
        <v>2022</v>
      </c>
      <c r="E9290" s="18" t="s">
        <v>0</v>
      </c>
      <c r="F9290" s="42">
        <v>1</v>
      </c>
      <c r="G9290" s="4">
        <v>15</v>
      </c>
      <c r="H9290" s="18">
        <v>31.150000000000002</v>
      </c>
    </row>
    <row r="9291" spans="1:8" s="15" customFormat="1" ht="16.5" hidden="1" customHeight="1" outlineLevel="1" x14ac:dyDescent="0.25">
      <c r="A9291" s="18">
        <v>4684</v>
      </c>
      <c r="B9291" s="4" t="s">
        <v>250</v>
      </c>
      <c r="C9291" s="38" t="s">
        <v>7771</v>
      </c>
      <c r="D9291" s="18">
        <v>2022</v>
      </c>
      <c r="E9291" s="18" t="s">
        <v>0</v>
      </c>
      <c r="F9291" s="42">
        <v>1</v>
      </c>
      <c r="G9291" s="4">
        <v>15</v>
      </c>
      <c r="H9291" s="18">
        <v>30.439999999999998</v>
      </c>
    </row>
    <row r="9292" spans="1:8" s="15" customFormat="1" ht="16.5" hidden="1" customHeight="1" outlineLevel="1" x14ac:dyDescent="0.25">
      <c r="A9292" s="18">
        <v>4688</v>
      </c>
      <c r="B9292" s="4" t="s">
        <v>250</v>
      </c>
      <c r="C9292" s="38" t="s">
        <v>7772</v>
      </c>
      <c r="D9292" s="18">
        <v>2022</v>
      </c>
      <c r="E9292" s="18" t="s">
        <v>0</v>
      </c>
      <c r="F9292" s="42">
        <v>1</v>
      </c>
      <c r="G9292" s="4">
        <v>15</v>
      </c>
      <c r="H9292" s="18">
        <v>30.43</v>
      </c>
    </row>
    <row r="9293" spans="1:8" s="15" customFormat="1" ht="16.5" hidden="1" customHeight="1" outlineLevel="1" x14ac:dyDescent="0.25">
      <c r="A9293" s="18">
        <v>4721</v>
      </c>
      <c r="B9293" s="4" t="s">
        <v>250</v>
      </c>
      <c r="C9293" s="38" t="s">
        <v>7773</v>
      </c>
      <c r="D9293" s="18">
        <v>2022</v>
      </c>
      <c r="E9293" s="18" t="s">
        <v>0</v>
      </c>
      <c r="F9293" s="42">
        <v>1</v>
      </c>
      <c r="G9293" s="4">
        <v>15</v>
      </c>
      <c r="H9293" s="18">
        <v>24.819999999999997</v>
      </c>
    </row>
    <row r="9294" spans="1:8" s="15" customFormat="1" ht="16.5" hidden="1" customHeight="1" outlineLevel="1" x14ac:dyDescent="0.25">
      <c r="A9294" s="18">
        <v>4730</v>
      </c>
      <c r="B9294" s="4" t="s">
        <v>250</v>
      </c>
      <c r="C9294" s="38" t="s">
        <v>7774</v>
      </c>
      <c r="D9294" s="18">
        <v>2022</v>
      </c>
      <c r="E9294" s="18" t="s">
        <v>0</v>
      </c>
      <c r="F9294" s="42">
        <v>1</v>
      </c>
      <c r="G9294" s="4">
        <v>15</v>
      </c>
      <c r="H9294" s="18">
        <v>25.14</v>
      </c>
    </row>
    <row r="9295" spans="1:8" s="15" customFormat="1" ht="16.5" hidden="1" customHeight="1" outlineLevel="1" x14ac:dyDescent="0.25">
      <c r="A9295" s="18">
        <v>4732</v>
      </c>
      <c r="B9295" s="4" t="s">
        <v>250</v>
      </c>
      <c r="C9295" s="38" t="s">
        <v>7775</v>
      </c>
      <c r="D9295" s="18">
        <v>2022</v>
      </c>
      <c r="E9295" s="18" t="s">
        <v>0</v>
      </c>
      <c r="F9295" s="42">
        <v>1</v>
      </c>
      <c r="G9295" s="4">
        <v>15</v>
      </c>
      <c r="H9295" s="18">
        <v>24.580000000000002</v>
      </c>
    </row>
    <row r="9296" spans="1:8" s="15" customFormat="1" ht="16.5" hidden="1" customHeight="1" outlineLevel="1" x14ac:dyDescent="0.25">
      <c r="A9296" s="18">
        <v>4734</v>
      </c>
      <c r="B9296" s="4" t="s">
        <v>250</v>
      </c>
      <c r="C9296" s="38" t="s">
        <v>7776</v>
      </c>
      <c r="D9296" s="18">
        <v>2022</v>
      </c>
      <c r="E9296" s="18" t="s">
        <v>0</v>
      </c>
      <c r="F9296" s="42">
        <v>1</v>
      </c>
      <c r="G9296" s="4">
        <v>14.8</v>
      </c>
      <c r="H9296" s="18">
        <v>24.98</v>
      </c>
    </row>
    <row r="9297" spans="1:8" s="15" customFormat="1" ht="16.5" hidden="1" customHeight="1" outlineLevel="1" x14ac:dyDescent="0.25">
      <c r="A9297" s="18">
        <v>4747</v>
      </c>
      <c r="B9297" s="4" t="s">
        <v>250</v>
      </c>
      <c r="C9297" s="38" t="s">
        <v>4080</v>
      </c>
      <c r="D9297" s="18">
        <v>2022</v>
      </c>
      <c r="E9297" s="18" t="s">
        <v>0</v>
      </c>
      <c r="F9297" s="42">
        <v>1</v>
      </c>
      <c r="G9297" s="4">
        <v>15</v>
      </c>
      <c r="H9297" s="18">
        <v>38</v>
      </c>
    </row>
    <row r="9298" spans="1:8" s="15" customFormat="1" ht="16.5" hidden="1" customHeight="1" outlineLevel="1" x14ac:dyDescent="0.25">
      <c r="A9298" s="18">
        <v>4754</v>
      </c>
      <c r="B9298" s="4" t="s">
        <v>250</v>
      </c>
      <c r="C9298" s="38" t="s">
        <v>7777</v>
      </c>
      <c r="D9298" s="18">
        <v>2022</v>
      </c>
      <c r="E9298" s="18" t="s">
        <v>0</v>
      </c>
      <c r="F9298" s="42">
        <v>1</v>
      </c>
      <c r="G9298" s="4">
        <v>15</v>
      </c>
      <c r="H9298" s="18">
        <v>23.93</v>
      </c>
    </row>
    <row r="9299" spans="1:8" s="15" customFormat="1" ht="16.5" hidden="1" customHeight="1" outlineLevel="1" x14ac:dyDescent="0.25">
      <c r="A9299" s="18">
        <v>4755</v>
      </c>
      <c r="B9299" s="4" t="s">
        <v>250</v>
      </c>
      <c r="C9299" s="38" t="s">
        <v>7778</v>
      </c>
      <c r="D9299" s="18">
        <v>2022</v>
      </c>
      <c r="E9299" s="18" t="s">
        <v>0</v>
      </c>
      <c r="F9299" s="42">
        <v>1</v>
      </c>
      <c r="G9299" s="4">
        <v>15</v>
      </c>
      <c r="H9299" s="18">
        <v>25.06</v>
      </c>
    </row>
    <row r="9300" spans="1:8" s="15" customFormat="1" ht="16.5" hidden="1" customHeight="1" outlineLevel="1" x14ac:dyDescent="0.25">
      <c r="A9300" s="18">
        <v>4765</v>
      </c>
      <c r="B9300" s="4" t="s">
        <v>250</v>
      </c>
      <c r="C9300" s="38" t="s">
        <v>7779</v>
      </c>
      <c r="D9300" s="18">
        <v>2022</v>
      </c>
      <c r="E9300" s="18" t="s">
        <v>0</v>
      </c>
      <c r="F9300" s="42">
        <v>1</v>
      </c>
      <c r="G9300" s="4">
        <v>15</v>
      </c>
      <c r="H9300" s="18">
        <v>26</v>
      </c>
    </row>
    <row r="9301" spans="1:8" s="15" customFormat="1" ht="16.5" hidden="1" customHeight="1" outlineLevel="1" x14ac:dyDescent="0.25">
      <c r="A9301" s="18">
        <v>4766</v>
      </c>
      <c r="B9301" s="4" t="s">
        <v>250</v>
      </c>
      <c r="C9301" s="38" t="s">
        <v>7780</v>
      </c>
      <c r="D9301" s="18">
        <v>2022</v>
      </c>
      <c r="E9301" s="18" t="s">
        <v>0</v>
      </c>
      <c r="F9301" s="42">
        <v>1</v>
      </c>
      <c r="G9301" s="4">
        <v>15</v>
      </c>
      <c r="H9301" s="18">
        <v>25.17</v>
      </c>
    </row>
    <row r="9302" spans="1:8" s="15" customFormat="1" ht="16.5" hidden="1" customHeight="1" outlineLevel="1" x14ac:dyDescent="0.25">
      <c r="A9302" s="18">
        <v>4786</v>
      </c>
      <c r="B9302" s="4" t="s">
        <v>250</v>
      </c>
      <c r="C9302" s="38" t="s">
        <v>7781</v>
      </c>
      <c r="D9302" s="18">
        <v>2022</v>
      </c>
      <c r="E9302" s="18" t="s">
        <v>0</v>
      </c>
      <c r="F9302" s="42">
        <v>1</v>
      </c>
      <c r="G9302" s="4">
        <v>15</v>
      </c>
      <c r="H9302" s="18">
        <v>24.72</v>
      </c>
    </row>
    <row r="9303" spans="1:8" s="15" customFormat="1" ht="16.5" hidden="1" customHeight="1" outlineLevel="1" x14ac:dyDescent="0.25">
      <c r="A9303" s="18">
        <v>4789</v>
      </c>
      <c r="B9303" s="4" t="s">
        <v>250</v>
      </c>
      <c r="C9303" s="38" t="s">
        <v>7782</v>
      </c>
      <c r="D9303" s="18">
        <v>2022</v>
      </c>
      <c r="E9303" s="18" t="s">
        <v>0</v>
      </c>
      <c r="F9303" s="42">
        <v>1</v>
      </c>
      <c r="G9303" s="4">
        <v>15</v>
      </c>
      <c r="H9303" s="18">
        <v>25.077999999999999</v>
      </c>
    </row>
    <row r="9304" spans="1:8" s="15" customFormat="1" ht="16.5" hidden="1" customHeight="1" outlineLevel="1" x14ac:dyDescent="0.25">
      <c r="A9304" s="18">
        <v>4801</v>
      </c>
      <c r="B9304" s="4" t="s">
        <v>250</v>
      </c>
      <c r="C9304" s="38" t="s">
        <v>7783</v>
      </c>
      <c r="D9304" s="18">
        <v>2022</v>
      </c>
      <c r="E9304" s="18" t="s">
        <v>0</v>
      </c>
      <c r="F9304" s="42">
        <v>1</v>
      </c>
      <c r="G9304" s="4">
        <v>14</v>
      </c>
      <c r="H9304" s="18">
        <v>26.93</v>
      </c>
    </row>
    <row r="9305" spans="1:8" s="15" customFormat="1" ht="16.5" hidden="1" customHeight="1" outlineLevel="1" x14ac:dyDescent="0.25">
      <c r="A9305" s="18">
        <v>4805</v>
      </c>
      <c r="B9305" s="4" t="s">
        <v>250</v>
      </c>
      <c r="C9305" s="38" t="s">
        <v>7784</v>
      </c>
      <c r="D9305" s="18">
        <v>2022</v>
      </c>
      <c r="E9305" s="18" t="s">
        <v>0</v>
      </c>
      <c r="F9305" s="42">
        <v>1</v>
      </c>
      <c r="G9305" s="4">
        <v>14</v>
      </c>
      <c r="H9305" s="18">
        <v>25.4</v>
      </c>
    </row>
    <row r="9306" spans="1:8" s="15" customFormat="1" ht="16.5" hidden="1" customHeight="1" outlineLevel="1" x14ac:dyDescent="0.25">
      <c r="A9306" s="18">
        <v>4811</v>
      </c>
      <c r="B9306" s="4" t="s">
        <v>250</v>
      </c>
      <c r="C9306" s="38" t="s">
        <v>7785</v>
      </c>
      <c r="D9306" s="18">
        <v>2022</v>
      </c>
      <c r="E9306" s="18" t="s">
        <v>0</v>
      </c>
      <c r="F9306" s="42">
        <v>1</v>
      </c>
      <c r="G9306" s="4">
        <v>14</v>
      </c>
      <c r="H9306" s="18">
        <v>24.277000000000001</v>
      </c>
    </row>
    <row r="9307" spans="1:8" s="15" customFormat="1" ht="16.5" hidden="1" customHeight="1" outlineLevel="1" x14ac:dyDescent="0.25">
      <c r="A9307" s="18">
        <v>4812</v>
      </c>
      <c r="B9307" s="4" t="s">
        <v>250</v>
      </c>
      <c r="C9307" s="38" t="s">
        <v>7786</v>
      </c>
      <c r="D9307" s="18">
        <v>2022</v>
      </c>
      <c r="E9307" s="18" t="s">
        <v>0</v>
      </c>
      <c r="F9307" s="42">
        <v>1</v>
      </c>
      <c r="G9307" s="4">
        <v>14</v>
      </c>
      <c r="H9307" s="18">
        <v>24.155999999999999</v>
      </c>
    </row>
    <row r="9308" spans="1:8" s="15" customFormat="1" ht="16.5" hidden="1" customHeight="1" outlineLevel="1" x14ac:dyDescent="0.25">
      <c r="A9308" s="18">
        <v>4848</v>
      </c>
      <c r="B9308" s="4" t="s">
        <v>250</v>
      </c>
      <c r="C9308" s="38" t="s">
        <v>7787</v>
      </c>
      <c r="D9308" s="18">
        <v>2022</v>
      </c>
      <c r="E9308" s="18" t="s">
        <v>0</v>
      </c>
      <c r="F9308" s="42">
        <v>1</v>
      </c>
      <c r="G9308" s="4">
        <v>13</v>
      </c>
      <c r="H9308" s="18">
        <v>25.298999999999999</v>
      </c>
    </row>
    <row r="9309" spans="1:8" s="15" customFormat="1" ht="16.5" hidden="1" customHeight="1" outlineLevel="1" x14ac:dyDescent="0.25">
      <c r="A9309" s="18">
        <v>4909</v>
      </c>
      <c r="B9309" s="4" t="s">
        <v>250</v>
      </c>
      <c r="C9309" s="38" t="s">
        <v>7788</v>
      </c>
      <c r="D9309" s="18">
        <v>2022</v>
      </c>
      <c r="E9309" s="18" t="s">
        <v>0</v>
      </c>
      <c r="F9309" s="42">
        <v>1</v>
      </c>
      <c r="G9309" s="4">
        <v>15</v>
      </c>
      <c r="H9309" s="18">
        <v>18.105</v>
      </c>
    </row>
    <row r="9310" spans="1:8" s="15" customFormat="1" ht="16.5" hidden="1" customHeight="1" outlineLevel="1" x14ac:dyDescent="0.25">
      <c r="A9310" s="18">
        <v>4910</v>
      </c>
      <c r="B9310" s="4" t="s">
        <v>250</v>
      </c>
      <c r="C9310" s="38" t="s">
        <v>7789</v>
      </c>
      <c r="D9310" s="18">
        <v>2022</v>
      </c>
      <c r="E9310" s="18" t="s">
        <v>0</v>
      </c>
      <c r="F9310" s="42">
        <v>1</v>
      </c>
      <c r="G9310" s="4">
        <v>15</v>
      </c>
      <c r="H9310" s="18">
        <v>19.830000000000002</v>
      </c>
    </row>
    <row r="9311" spans="1:8" s="15" customFormat="1" ht="16.5" hidden="1" customHeight="1" outlineLevel="1" x14ac:dyDescent="0.25">
      <c r="A9311" s="18">
        <v>4647</v>
      </c>
      <c r="B9311" s="4" t="s">
        <v>250</v>
      </c>
      <c r="C9311" s="38" t="s">
        <v>7790</v>
      </c>
      <c r="D9311" s="18">
        <v>2022</v>
      </c>
      <c r="E9311" s="18" t="s">
        <v>0</v>
      </c>
      <c r="F9311" s="42">
        <v>1</v>
      </c>
      <c r="G9311" s="4">
        <v>15</v>
      </c>
      <c r="H9311" s="18">
        <v>34.35</v>
      </c>
    </row>
    <row r="9312" spans="1:8" s="15" customFormat="1" ht="16.5" hidden="1" customHeight="1" outlineLevel="1" x14ac:dyDescent="0.25">
      <c r="A9312" s="18">
        <v>4739</v>
      </c>
      <c r="B9312" s="4" t="s">
        <v>250</v>
      </c>
      <c r="C9312" s="38" t="s">
        <v>7791</v>
      </c>
      <c r="D9312" s="18">
        <v>2022</v>
      </c>
      <c r="E9312" s="18" t="s">
        <v>0</v>
      </c>
      <c r="F9312" s="42">
        <v>1</v>
      </c>
      <c r="G9312" s="4">
        <v>15</v>
      </c>
      <c r="H9312" s="18">
        <v>27.137999999999998</v>
      </c>
    </row>
    <row r="9313" spans="1:8" s="15" customFormat="1" ht="16.5" hidden="1" customHeight="1" outlineLevel="1" x14ac:dyDescent="0.25">
      <c r="A9313" s="18">
        <v>4819</v>
      </c>
      <c r="B9313" s="4" t="s">
        <v>250</v>
      </c>
      <c r="C9313" s="38" t="s">
        <v>7792</v>
      </c>
      <c r="D9313" s="18">
        <v>2022</v>
      </c>
      <c r="E9313" s="18" t="s">
        <v>0</v>
      </c>
      <c r="F9313" s="42">
        <v>1</v>
      </c>
      <c r="G9313" s="4">
        <v>15</v>
      </c>
      <c r="H9313" s="18">
        <v>33.601999999999997</v>
      </c>
    </row>
    <row r="9314" spans="1:8" s="15" customFormat="1" ht="16.5" hidden="1" customHeight="1" outlineLevel="1" x14ac:dyDescent="0.25">
      <c r="A9314" s="18">
        <v>4914</v>
      </c>
      <c r="B9314" s="4" t="s">
        <v>250</v>
      </c>
      <c r="C9314" s="38" t="s">
        <v>4081</v>
      </c>
      <c r="D9314" s="18">
        <v>2022</v>
      </c>
      <c r="E9314" s="18" t="s">
        <v>0</v>
      </c>
      <c r="F9314" s="42">
        <v>1</v>
      </c>
      <c r="G9314" s="4">
        <v>15</v>
      </c>
      <c r="H9314" s="18">
        <v>80</v>
      </c>
    </row>
    <row r="9315" spans="1:8" s="15" customFormat="1" ht="16.5" hidden="1" customHeight="1" outlineLevel="1" x14ac:dyDescent="0.25">
      <c r="A9315" s="18">
        <v>4589</v>
      </c>
      <c r="B9315" s="4" t="s">
        <v>250</v>
      </c>
      <c r="C9315" s="38" t="s">
        <v>4082</v>
      </c>
      <c r="D9315" s="18">
        <v>2022</v>
      </c>
      <c r="E9315" s="18" t="s">
        <v>0</v>
      </c>
      <c r="F9315" s="42">
        <v>1</v>
      </c>
      <c r="G9315" s="4">
        <v>20</v>
      </c>
      <c r="H9315" s="18">
        <v>59.5</v>
      </c>
    </row>
    <row r="9316" spans="1:8" s="15" customFormat="1" ht="16.5" hidden="1" customHeight="1" outlineLevel="1" x14ac:dyDescent="0.25">
      <c r="A9316" s="18">
        <v>4746</v>
      </c>
      <c r="B9316" s="4" t="s">
        <v>250</v>
      </c>
      <c r="C9316" s="38" t="s">
        <v>4083</v>
      </c>
      <c r="D9316" s="18">
        <v>2022</v>
      </c>
      <c r="E9316" s="18" t="s">
        <v>0</v>
      </c>
      <c r="F9316" s="42">
        <v>1</v>
      </c>
      <c r="G9316" s="4">
        <v>15</v>
      </c>
      <c r="H9316" s="18">
        <v>38.851999999999997</v>
      </c>
    </row>
    <row r="9317" spans="1:8" s="15" customFormat="1" ht="16.5" hidden="1" customHeight="1" outlineLevel="1" x14ac:dyDescent="0.25">
      <c r="A9317" s="18">
        <v>4832</v>
      </c>
      <c r="B9317" s="4" t="s">
        <v>250</v>
      </c>
      <c r="C9317" s="38" t="s">
        <v>4219</v>
      </c>
      <c r="D9317" s="18">
        <v>2022</v>
      </c>
      <c r="E9317" s="18" t="s">
        <v>0</v>
      </c>
      <c r="F9317" s="42">
        <v>1</v>
      </c>
      <c r="G9317" s="4">
        <v>15</v>
      </c>
      <c r="H9317" s="18">
        <v>81.426999999999992</v>
      </c>
    </row>
    <row r="9318" spans="1:8" s="15" customFormat="1" ht="16.5" hidden="1" customHeight="1" outlineLevel="1" x14ac:dyDescent="0.25">
      <c r="A9318" s="18">
        <v>4895</v>
      </c>
      <c r="B9318" s="4" t="s">
        <v>250</v>
      </c>
      <c r="C9318" s="38" t="s">
        <v>7793</v>
      </c>
      <c r="D9318" s="18">
        <v>2022</v>
      </c>
      <c r="E9318" s="18" t="s">
        <v>0</v>
      </c>
      <c r="F9318" s="42">
        <v>1</v>
      </c>
      <c r="G9318" s="4">
        <v>15</v>
      </c>
      <c r="H9318" s="18">
        <v>32.36</v>
      </c>
    </row>
    <row r="9319" spans="1:8" s="15" customFormat="1" ht="16.5" hidden="1" customHeight="1" outlineLevel="1" x14ac:dyDescent="0.25">
      <c r="A9319" s="18">
        <v>4627</v>
      </c>
      <c r="B9319" s="4" t="s">
        <v>250</v>
      </c>
      <c r="C9319" s="38" t="s">
        <v>7794</v>
      </c>
      <c r="D9319" s="18">
        <v>2022</v>
      </c>
      <c r="E9319" s="18" t="s">
        <v>0</v>
      </c>
      <c r="F9319" s="42">
        <v>1</v>
      </c>
      <c r="G9319" s="4">
        <v>15</v>
      </c>
      <c r="H9319" s="18">
        <v>29.23</v>
      </c>
    </row>
    <row r="9320" spans="1:8" s="15" customFormat="1" ht="16.5" hidden="1" customHeight="1" outlineLevel="1" x14ac:dyDescent="0.25">
      <c r="A9320" s="18">
        <v>4653</v>
      </c>
      <c r="B9320" s="4" t="s">
        <v>250</v>
      </c>
      <c r="C9320" s="38" t="s">
        <v>7795</v>
      </c>
      <c r="D9320" s="18">
        <v>2022</v>
      </c>
      <c r="E9320" s="18" t="s">
        <v>0</v>
      </c>
      <c r="F9320" s="42">
        <v>1</v>
      </c>
      <c r="G9320" s="4">
        <v>15</v>
      </c>
      <c r="H9320" s="18">
        <v>29.43</v>
      </c>
    </row>
    <row r="9321" spans="1:8" s="15" customFormat="1" ht="16.5" hidden="1" customHeight="1" outlineLevel="1" x14ac:dyDescent="0.25">
      <c r="A9321" s="18">
        <v>4675</v>
      </c>
      <c r="B9321" s="4" t="s">
        <v>250</v>
      </c>
      <c r="C9321" s="38" t="s">
        <v>4085</v>
      </c>
      <c r="D9321" s="18">
        <v>2022</v>
      </c>
      <c r="E9321" s="18" t="s">
        <v>0</v>
      </c>
      <c r="F9321" s="42">
        <v>1</v>
      </c>
      <c r="G9321" s="4">
        <v>7.5</v>
      </c>
      <c r="H9321" s="18">
        <v>59.839000000000006</v>
      </c>
    </row>
    <row r="9322" spans="1:8" s="15" customFormat="1" ht="16.5" hidden="1" customHeight="1" outlineLevel="1" x14ac:dyDescent="0.25">
      <c r="A9322" s="18">
        <v>4676</v>
      </c>
      <c r="B9322" s="4" t="s">
        <v>250</v>
      </c>
      <c r="C9322" s="38" t="s">
        <v>4086</v>
      </c>
      <c r="D9322" s="18">
        <v>2022</v>
      </c>
      <c r="E9322" s="18" t="s">
        <v>0</v>
      </c>
      <c r="F9322" s="42">
        <v>1</v>
      </c>
      <c r="G9322" s="4">
        <v>15</v>
      </c>
      <c r="H9322" s="18">
        <v>42.174000000000007</v>
      </c>
    </row>
    <row r="9323" spans="1:8" s="15" customFormat="1" ht="16.5" hidden="1" customHeight="1" outlineLevel="1" x14ac:dyDescent="0.25">
      <c r="A9323" s="18">
        <v>4677</v>
      </c>
      <c r="B9323" s="4" t="s">
        <v>250</v>
      </c>
      <c r="C9323" s="38" t="s">
        <v>4087</v>
      </c>
      <c r="D9323" s="18">
        <v>2022</v>
      </c>
      <c r="E9323" s="18" t="s">
        <v>0</v>
      </c>
      <c r="F9323" s="42">
        <v>1</v>
      </c>
      <c r="G9323" s="4">
        <v>15</v>
      </c>
      <c r="H9323" s="18">
        <v>63.932000000000002</v>
      </c>
    </row>
    <row r="9324" spans="1:8" s="15" customFormat="1" ht="16.5" hidden="1" customHeight="1" outlineLevel="1" x14ac:dyDescent="0.25">
      <c r="A9324" s="18">
        <v>4879</v>
      </c>
      <c r="B9324" s="4" t="s">
        <v>250</v>
      </c>
      <c r="C9324" s="38" t="s">
        <v>4088</v>
      </c>
      <c r="D9324" s="18">
        <v>2022</v>
      </c>
      <c r="E9324" s="18" t="s">
        <v>0</v>
      </c>
      <c r="F9324" s="42">
        <v>1</v>
      </c>
      <c r="G9324" s="4">
        <v>15</v>
      </c>
      <c r="H9324" s="18">
        <v>63.672999999999995</v>
      </c>
    </row>
    <row r="9325" spans="1:8" s="15" customFormat="1" ht="16.5" hidden="1" customHeight="1" outlineLevel="1" x14ac:dyDescent="0.25">
      <c r="A9325" s="18">
        <v>4921</v>
      </c>
      <c r="B9325" s="4" t="s">
        <v>250</v>
      </c>
      <c r="C9325" s="38" t="s">
        <v>4089</v>
      </c>
      <c r="D9325" s="18">
        <v>2022</v>
      </c>
      <c r="E9325" s="18" t="s">
        <v>0</v>
      </c>
      <c r="F9325" s="42">
        <v>1</v>
      </c>
      <c r="G9325" s="4">
        <v>15</v>
      </c>
      <c r="H9325" s="18">
        <v>92.174000000000007</v>
      </c>
    </row>
    <row r="9326" spans="1:8" s="15" customFormat="1" ht="16.5" hidden="1" customHeight="1" outlineLevel="1" x14ac:dyDescent="0.25">
      <c r="A9326" s="18">
        <v>4856</v>
      </c>
      <c r="B9326" s="4" t="s">
        <v>250</v>
      </c>
      <c r="C9326" s="38" t="s">
        <v>4090</v>
      </c>
      <c r="D9326" s="18">
        <v>2022</v>
      </c>
      <c r="E9326" s="18" t="s">
        <v>0</v>
      </c>
      <c r="F9326" s="42">
        <v>1</v>
      </c>
      <c r="G9326" s="4">
        <v>15</v>
      </c>
      <c r="H9326" s="18">
        <v>75.054000000000002</v>
      </c>
    </row>
    <row r="9327" spans="1:8" s="15" customFormat="1" ht="16.5" hidden="1" customHeight="1" outlineLevel="1" x14ac:dyDescent="0.25">
      <c r="A9327" s="18">
        <v>4906</v>
      </c>
      <c r="B9327" s="4" t="s">
        <v>250</v>
      </c>
      <c r="C9327" s="38" t="s">
        <v>4091</v>
      </c>
      <c r="D9327" s="18">
        <v>2022</v>
      </c>
      <c r="E9327" s="18" t="s">
        <v>0</v>
      </c>
      <c r="F9327" s="42">
        <v>1</v>
      </c>
      <c r="G9327" s="4">
        <v>15</v>
      </c>
      <c r="H9327" s="18">
        <v>56.160000000000004</v>
      </c>
    </row>
    <row r="9328" spans="1:8" s="15" customFormat="1" ht="16.5" hidden="1" customHeight="1" outlineLevel="1" x14ac:dyDescent="0.25">
      <c r="A9328" s="18">
        <v>4762</v>
      </c>
      <c r="B9328" s="4" t="s">
        <v>250</v>
      </c>
      <c r="C9328" s="38" t="s">
        <v>4093</v>
      </c>
      <c r="D9328" s="18">
        <v>2022</v>
      </c>
      <c r="E9328" s="18" t="s">
        <v>0</v>
      </c>
      <c r="F9328" s="42">
        <v>1</v>
      </c>
      <c r="G9328" s="4">
        <v>15</v>
      </c>
      <c r="H9328" s="18">
        <v>62.51</v>
      </c>
    </row>
    <row r="9329" spans="1:8" s="15" customFormat="1" ht="16.5" hidden="1" customHeight="1" outlineLevel="1" x14ac:dyDescent="0.25">
      <c r="A9329" s="18">
        <v>4763</v>
      </c>
      <c r="B9329" s="4" t="s">
        <v>250</v>
      </c>
      <c r="C9329" s="38" t="s">
        <v>4094</v>
      </c>
      <c r="D9329" s="18">
        <v>2022</v>
      </c>
      <c r="E9329" s="18" t="s">
        <v>0</v>
      </c>
      <c r="F9329" s="42">
        <v>1</v>
      </c>
      <c r="G9329" s="4">
        <v>10</v>
      </c>
      <c r="H9329" s="18">
        <v>50.533000000000001</v>
      </c>
    </row>
    <row r="9330" spans="1:8" s="15" customFormat="1" ht="16.5" hidden="1" customHeight="1" outlineLevel="1" x14ac:dyDescent="0.25">
      <c r="A9330" s="18">
        <v>4893</v>
      </c>
      <c r="B9330" s="4" t="s">
        <v>250</v>
      </c>
      <c r="C9330" s="38" t="s">
        <v>7796</v>
      </c>
      <c r="D9330" s="18">
        <v>2022</v>
      </c>
      <c r="E9330" s="18" t="s">
        <v>0</v>
      </c>
      <c r="F9330" s="42">
        <v>1</v>
      </c>
      <c r="G9330" s="4">
        <v>15</v>
      </c>
      <c r="H9330" s="18">
        <v>29.16</v>
      </c>
    </row>
    <row r="9331" spans="1:8" s="15" customFormat="1" ht="16.5" hidden="1" customHeight="1" outlineLevel="1" x14ac:dyDescent="0.25">
      <c r="A9331" s="18">
        <v>4829</v>
      </c>
      <c r="B9331" s="4" t="s">
        <v>250</v>
      </c>
      <c r="C9331" s="38" t="s">
        <v>4095</v>
      </c>
      <c r="D9331" s="18">
        <v>2022</v>
      </c>
      <c r="E9331" s="18" t="s">
        <v>0</v>
      </c>
      <c r="F9331" s="42">
        <v>1</v>
      </c>
      <c r="G9331" s="4">
        <v>15</v>
      </c>
      <c r="H9331" s="18">
        <v>48.62</v>
      </c>
    </row>
    <row r="9332" spans="1:8" s="15" customFormat="1" ht="16.5" hidden="1" customHeight="1" outlineLevel="1" x14ac:dyDescent="0.25">
      <c r="A9332" s="18">
        <v>4778</v>
      </c>
      <c r="B9332" s="4" t="s">
        <v>250</v>
      </c>
      <c r="C9332" s="38" t="s">
        <v>7797</v>
      </c>
      <c r="D9332" s="18">
        <v>2022</v>
      </c>
      <c r="E9332" s="18" t="s">
        <v>0</v>
      </c>
      <c r="F9332" s="42">
        <v>1</v>
      </c>
      <c r="G9332" s="4">
        <v>15</v>
      </c>
      <c r="H9332" s="18">
        <v>28.62</v>
      </c>
    </row>
    <row r="9333" spans="1:8" s="15" customFormat="1" ht="16.5" hidden="1" customHeight="1" outlineLevel="1" x14ac:dyDescent="0.25">
      <c r="A9333" s="18">
        <v>4781</v>
      </c>
      <c r="B9333" s="4" t="s">
        <v>250</v>
      </c>
      <c r="C9333" s="38" t="s">
        <v>7798</v>
      </c>
      <c r="D9333" s="18">
        <v>2022</v>
      </c>
      <c r="E9333" s="18" t="s">
        <v>0</v>
      </c>
      <c r="F9333" s="42">
        <v>1</v>
      </c>
      <c r="G9333" s="4">
        <v>15</v>
      </c>
      <c r="H9333" s="18">
        <v>38.89</v>
      </c>
    </row>
    <row r="9334" spans="1:8" s="15" customFormat="1" ht="16.5" hidden="1" customHeight="1" outlineLevel="1" x14ac:dyDescent="0.25">
      <c r="A9334" s="18">
        <v>4782</v>
      </c>
      <c r="B9334" s="4" t="s">
        <v>250</v>
      </c>
      <c r="C9334" s="38" t="s">
        <v>7799</v>
      </c>
      <c r="D9334" s="18">
        <v>2022</v>
      </c>
      <c r="E9334" s="18" t="s">
        <v>0</v>
      </c>
      <c r="F9334" s="42">
        <v>1</v>
      </c>
      <c r="G9334" s="4">
        <v>15</v>
      </c>
      <c r="H9334" s="18">
        <v>28.62</v>
      </c>
    </row>
    <row r="9335" spans="1:8" s="15" customFormat="1" ht="16.5" hidden="1" customHeight="1" outlineLevel="1" x14ac:dyDescent="0.25">
      <c r="A9335" s="18">
        <v>4891</v>
      </c>
      <c r="B9335" s="4" t="s">
        <v>250</v>
      </c>
      <c r="C9335" s="38" t="s">
        <v>7800</v>
      </c>
      <c r="D9335" s="18">
        <v>2022</v>
      </c>
      <c r="E9335" s="18" t="s">
        <v>0</v>
      </c>
      <c r="F9335" s="42">
        <v>1</v>
      </c>
      <c r="G9335" s="4">
        <v>15</v>
      </c>
      <c r="H9335" s="18">
        <v>38.371000000000002</v>
      </c>
    </row>
    <row r="9336" spans="1:8" s="15" customFormat="1" ht="16.5" hidden="1" customHeight="1" outlineLevel="1" x14ac:dyDescent="0.25">
      <c r="A9336" s="18">
        <v>4865</v>
      </c>
      <c r="B9336" s="4" t="s">
        <v>250</v>
      </c>
      <c r="C9336" s="38" t="s">
        <v>7801</v>
      </c>
      <c r="D9336" s="18">
        <v>2022</v>
      </c>
      <c r="E9336" s="18" t="s">
        <v>0</v>
      </c>
      <c r="F9336" s="42">
        <v>1</v>
      </c>
      <c r="G9336" s="4">
        <v>15</v>
      </c>
      <c r="H9336" s="18">
        <v>25.164999999999999</v>
      </c>
    </row>
    <row r="9337" spans="1:8" s="15" customFormat="1" ht="16.5" hidden="1" customHeight="1" outlineLevel="1" x14ac:dyDescent="0.25">
      <c r="A9337" s="18">
        <v>4868</v>
      </c>
      <c r="B9337" s="4" t="s">
        <v>250</v>
      </c>
      <c r="C9337" s="38" t="s">
        <v>7802</v>
      </c>
      <c r="D9337" s="18">
        <v>2022</v>
      </c>
      <c r="E9337" s="18" t="s">
        <v>0</v>
      </c>
      <c r="F9337" s="42">
        <v>1</v>
      </c>
      <c r="G9337" s="4">
        <v>15</v>
      </c>
      <c r="H9337" s="18">
        <v>26.061999999999998</v>
      </c>
    </row>
    <row r="9338" spans="1:8" s="15" customFormat="1" ht="16.5" hidden="1" customHeight="1" outlineLevel="1" x14ac:dyDescent="0.25">
      <c r="A9338" s="18">
        <v>4920</v>
      </c>
      <c r="B9338" s="4" t="s">
        <v>250</v>
      </c>
      <c r="C9338" s="38" t="s">
        <v>4096</v>
      </c>
      <c r="D9338" s="18">
        <v>2022</v>
      </c>
      <c r="E9338" s="18" t="s">
        <v>0</v>
      </c>
      <c r="F9338" s="42">
        <v>1</v>
      </c>
      <c r="G9338" s="4">
        <v>15</v>
      </c>
      <c r="H9338" s="18">
        <v>85.902999999999992</v>
      </c>
    </row>
    <row r="9339" spans="1:8" s="15" customFormat="1" ht="16.5" hidden="1" customHeight="1" outlineLevel="1" x14ac:dyDescent="0.25">
      <c r="A9339" s="18">
        <v>4926</v>
      </c>
      <c r="B9339" s="4" t="s">
        <v>250</v>
      </c>
      <c r="C9339" s="38" t="s">
        <v>7803</v>
      </c>
      <c r="D9339" s="18">
        <v>2022</v>
      </c>
      <c r="E9339" s="18" t="s">
        <v>0</v>
      </c>
      <c r="F9339" s="42">
        <v>1</v>
      </c>
      <c r="G9339" s="4">
        <v>15</v>
      </c>
      <c r="H9339" s="18">
        <v>21.526</v>
      </c>
    </row>
    <row r="9340" spans="1:8" s="15" customFormat="1" ht="16.5" hidden="1" customHeight="1" outlineLevel="1" x14ac:dyDescent="0.25">
      <c r="A9340" s="18">
        <v>4927</v>
      </c>
      <c r="B9340" s="4" t="s">
        <v>250</v>
      </c>
      <c r="C9340" s="38" t="s">
        <v>7804</v>
      </c>
      <c r="D9340" s="18">
        <v>2022</v>
      </c>
      <c r="E9340" s="18" t="s">
        <v>0</v>
      </c>
      <c r="F9340" s="42">
        <v>1</v>
      </c>
      <c r="G9340" s="4">
        <v>15</v>
      </c>
      <c r="H9340" s="18">
        <v>19.010999999999999</v>
      </c>
    </row>
    <row r="9341" spans="1:8" s="15" customFormat="1" ht="16.5" hidden="1" customHeight="1" outlineLevel="1" x14ac:dyDescent="0.25">
      <c r="A9341" s="18">
        <v>4918</v>
      </c>
      <c r="B9341" s="4" t="s">
        <v>250</v>
      </c>
      <c r="C9341" s="38" t="s">
        <v>4130</v>
      </c>
      <c r="D9341" s="18">
        <v>2022</v>
      </c>
      <c r="E9341" s="18" t="s">
        <v>0</v>
      </c>
      <c r="F9341" s="42">
        <v>1</v>
      </c>
      <c r="G9341" s="4">
        <v>15</v>
      </c>
      <c r="H9341" s="18">
        <v>80.631999999999991</v>
      </c>
    </row>
    <row r="9342" spans="1:8" s="15" customFormat="1" ht="16.5" hidden="1" customHeight="1" outlineLevel="1" x14ac:dyDescent="0.25">
      <c r="A9342" s="18">
        <v>4919</v>
      </c>
      <c r="B9342" s="4" t="s">
        <v>250</v>
      </c>
      <c r="C9342" s="38" t="s">
        <v>4131</v>
      </c>
      <c r="D9342" s="18">
        <v>2022</v>
      </c>
      <c r="E9342" s="18" t="s">
        <v>0</v>
      </c>
      <c r="F9342" s="42">
        <v>1</v>
      </c>
      <c r="G9342" s="4">
        <v>15</v>
      </c>
      <c r="H9342" s="18">
        <v>63.36</v>
      </c>
    </row>
    <row r="9343" spans="1:8" s="15" customFormat="1" ht="16.5" hidden="1" customHeight="1" outlineLevel="1" x14ac:dyDescent="0.25">
      <c r="A9343" s="18">
        <v>4831</v>
      </c>
      <c r="B9343" s="4" t="s">
        <v>250</v>
      </c>
      <c r="C9343" s="38" t="s">
        <v>4220</v>
      </c>
      <c r="D9343" s="18">
        <v>2022</v>
      </c>
      <c r="E9343" s="18" t="s">
        <v>0</v>
      </c>
      <c r="F9343" s="42">
        <v>1</v>
      </c>
      <c r="G9343" s="4">
        <v>15</v>
      </c>
      <c r="H9343" s="18">
        <v>78</v>
      </c>
    </row>
    <row r="9344" spans="1:8" s="15" customFormat="1" ht="16.5" hidden="1" customHeight="1" outlineLevel="1" x14ac:dyDescent="0.25">
      <c r="A9344" s="18">
        <v>4860</v>
      </c>
      <c r="B9344" s="4" t="s">
        <v>250</v>
      </c>
      <c r="C9344" s="38" t="s">
        <v>7805</v>
      </c>
      <c r="D9344" s="18">
        <v>2022</v>
      </c>
      <c r="E9344" s="18" t="s">
        <v>0</v>
      </c>
      <c r="F9344" s="42">
        <v>1</v>
      </c>
      <c r="G9344" s="4">
        <v>15</v>
      </c>
      <c r="H9344" s="18">
        <v>37</v>
      </c>
    </row>
    <row r="9345" spans="1:8" s="15" customFormat="1" ht="16.5" hidden="1" customHeight="1" outlineLevel="1" x14ac:dyDescent="0.25">
      <c r="A9345" s="18">
        <v>4863</v>
      </c>
      <c r="B9345" s="4" t="s">
        <v>250</v>
      </c>
      <c r="C9345" s="38" t="s">
        <v>7806</v>
      </c>
      <c r="D9345" s="18">
        <v>2022</v>
      </c>
      <c r="E9345" s="18" t="s">
        <v>0</v>
      </c>
      <c r="F9345" s="42">
        <v>1</v>
      </c>
      <c r="G9345" s="4">
        <v>15</v>
      </c>
      <c r="H9345" s="18">
        <v>28</v>
      </c>
    </row>
    <row r="9346" spans="1:8" s="15" customFormat="1" ht="16.5" hidden="1" customHeight="1" outlineLevel="1" x14ac:dyDescent="0.25">
      <c r="A9346" s="18">
        <v>4864</v>
      </c>
      <c r="B9346" s="4" t="s">
        <v>250</v>
      </c>
      <c r="C9346" s="38" t="s">
        <v>7807</v>
      </c>
      <c r="D9346" s="18">
        <v>2022</v>
      </c>
      <c r="E9346" s="18" t="s">
        <v>0</v>
      </c>
      <c r="F9346" s="42">
        <v>1</v>
      </c>
      <c r="G9346" s="4">
        <v>15</v>
      </c>
      <c r="H9346" s="18">
        <v>37.449999999999996</v>
      </c>
    </row>
    <row r="9347" spans="1:8" s="15" customFormat="1" ht="16.5" hidden="1" customHeight="1" outlineLevel="1" x14ac:dyDescent="0.25">
      <c r="A9347" s="18">
        <v>4928</v>
      </c>
      <c r="B9347" s="4" t="s">
        <v>250</v>
      </c>
      <c r="C9347" s="38" t="s">
        <v>4097</v>
      </c>
      <c r="D9347" s="18">
        <v>2022</v>
      </c>
      <c r="E9347" s="18" t="s">
        <v>0</v>
      </c>
      <c r="F9347" s="42">
        <v>1</v>
      </c>
      <c r="G9347" s="4">
        <v>15</v>
      </c>
      <c r="H9347" s="18">
        <v>74</v>
      </c>
    </row>
    <row r="9348" spans="1:8" s="15" customFormat="1" ht="16.5" hidden="1" customHeight="1" outlineLevel="1" x14ac:dyDescent="0.25">
      <c r="A9348" s="18">
        <v>4929</v>
      </c>
      <c r="B9348" s="4" t="s">
        <v>250</v>
      </c>
      <c r="C9348" s="38" t="s">
        <v>4098</v>
      </c>
      <c r="D9348" s="18">
        <v>2022</v>
      </c>
      <c r="E9348" s="18" t="s">
        <v>0</v>
      </c>
      <c r="F9348" s="42">
        <v>1</v>
      </c>
      <c r="G9348" s="4">
        <v>15</v>
      </c>
      <c r="H9348" s="18">
        <v>76</v>
      </c>
    </row>
    <row r="9349" spans="1:8" s="15" customFormat="1" ht="16.5" hidden="1" customHeight="1" outlineLevel="1" x14ac:dyDescent="0.25">
      <c r="A9349" s="18">
        <v>4559</v>
      </c>
      <c r="B9349" s="4" t="s">
        <v>250</v>
      </c>
      <c r="C9349" s="38" t="s">
        <v>7808</v>
      </c>
      <c r="D9349" s="18">
        <v>2022</v>
      </c>
      <c r="E9349" s="18" t="s">
        <v>0</v>
      </c>
      <c r="F9349" s="42">
        <v>1</v>
      </c>
      <c r="G9349" s="4">
        <v>15</v>
      </c>
      <c r="H9349" s="18">
        <v>36</v>
      </c>
    </row>
    <row r="9350" spans="1:8" s="15" customFormat="1" ht="16.5" hidden="1" customHeight="1" outlineLevel="1" x14ac:dyDescent="0.25">
      <c r="A9350" s="18">
        <v>4567</v>
      </c>
      <c r="B9350" s="4" t="s">
        <v>250</v>
      </c>
      <c r="C9350" s="38" t="s">
        <v>7809</v>
      </c>
      <c r="D9350" s="18">
        <v>2022</v>
      </c>
      <c r="E9350" s="18" t="s">
        <v>0</v>
      </c>
      <c r="F9350" s="42">
        <v>1</v>
      </c>
      <c r="G9350" s="4">
        <v>15</v>
      </c>
      <c r="H9350" s="18">
        <v>38</v>
      </c>
    </row>
    <row r="9351" spans="1:8" s="15" customFormat="1" ht="16.5" hidden="1" customHeight="1" outlineLevel="1" x14ac:dyDescent="0.25">
      <c r="A9351" s="18">
        <v>4583</v>
      </c>
      <c r="B9351" s="4" t="s">
        <v>250</v>
      </c>
      <c r="C9351" s="38" t="s">
        <v>7810</v>
      </c>
      <c r="D9351" s="18">
        <v>2022</v>
      </c>
      <c r="E9351" s="18" t="s">
        <v>0</v>
      </c>
      <c r="F9351" s="42">
        <v>1</v>
      </c>
      <c r="G9351" s="4">
        <v>15</v>
      </c>
      <c r="H9351" s="18">
        <v>25</v>
      </c>
    </row>
    <row r="9352" spans="1:8" s="15" customFormat="1" ht="16.5" hidden="1" customHeight="1" outlineLevel="1" x14ac:dyDescent="0.25">
      <c r="A9352" s="18">
        <v>4584</v>
      </c>
      <c r="B9352" s="4" t="s">
        <v>250</v>
      </c>
      <c r="C9352" s="38" t="s">
        <v>7811</v>
      </c>
      <c r="D9352" s="18">
        <v>2022</v>
      </c>
      <c r="E9352" s="18" t="s">
        <v>0</v>
      </c>
      <c r="F9352" s="42">
        <v>1</v>
      </c>
      <c r="G9352" s="4">
        <v>15</v>
      </c>
      <c r="H9352" s="18">
        <v>28</v>
      </c>
    </row>
    <row r="9353" spans="1:8" s="15" customFormat="1" ht="16.5" hidden="1" customHeight="1" outlineLevel="1" x14ac:dyDescent="0.25">
      <c r="A9353" s="18">
        <v>4629</v>
      </c>
      <c r="B9353" s="4" t="s">
        <v>250</v>
      </c>
      <c r="C9353" s="38" t="s">
        <v>7812</v>
      </c>
      <c r="D9353" s="18">
        <v>2022</v>
      </c>
      <c r="E9353" s="18" t="s">
        <v>0</v>
      </c>
      <c r="F9353" s="42">
        <v>1</v>
      </c>
      <c r="G9353" s="4">
        <v>15</v>
      </c>
      <c r="H9353" s="18">
        <v>29</v>
      </c>
    </row>
    <row r="9354" spans="1:8" s="15" customFormat="1" ht="16.5" hidden="1" customHeight="1" outlineLevel="1" x14ac:dyDescent="0.25">
      <c r="A9354" s="18">
        <v>4689</v>
      </c>
      <c r="B9354" s="4" t="s">
        <v>250</v>
      </c>
      <c r="C9354" s="38" t="s">
        <v>7813</v>
      </c>
      <c r="D9354" s="18">
        <v>2022</v>
      </c>
      <c r="E9354" s="18" t="s">
        <v>0</v>
      </c>
      <c r="F9354" s="42">
        <v>1</v>
      </c>
      <c r="G9354" s="4">
        <v>15</v>
      </c>
      <c r="H9354" s="18">
        <v>29</v>
      </c>
    </row>
    <row r="9355" spans="1:8" s="15" customFormat="1" ht="16.5" hidden="1" customHeight="1" outlineLevel="1" x14ac:dyDescent="0.25">
      <c r="A9355" s="18">
        <v>4712</v>
      </c>
      <c r="B9355" s="4" t="s">
        <v>250</v>
      </c>
      <c r="C9355" s="38" t="s">
        <v>7814</v>
      </c>
      <c r="D9355" s="18">
        <v>2022</v>
      </c>
      <c r="E9355" s="18" t="s">
        <v>0</v>
      </c>
      <c r="F9355" s="42">
        <v>1</v>
      </c>
      <c r="G9355" s="4">
        <v>15</v>
      </c>
      <c r="H9355" s="18">
        <v>29</v>
      </c>
    </row>
    <row r="9356" spans="1:8" s="15" customFormat="1" ht="16.5" hidden="1" customHeight="1" outlineLevel="1" x14ac:dyDescent="0.25">
      <c r="A9356" s="18">
        <v>4723</v>
      </c>
      <c r="B9356" s="4" t="s">
        <v>250</v>
      </c>
      <c r="C9356" s="38" t="s">
        <v>7815</v>
      </c>
      <c r="D9356" s="18">
        <v>2022</v>
      </c>
      <c r="E9356" s="18" t="s">
        <v>0</v>
      </c>
      <c r="F9356" s="42">
        <v>1</v>
      </c>
      <c r="G9356" s="4">
        <v>15</v>
      </c>
      <c r="H9356" s="18">
        <v>29</v>
      </c>
    </row>
    <row r="9357" spans="1:8" s="15" customFormat="1" ht="16.5" hidden="1" customHeight="1" outlineLevel="1" x14ac:dyDescent="0.25">
      <c r="A9357" s="18">
        <v>4933</v>
      </c>
      <c r="B9357" s="4" t="s">
        <v>250</v>
      </c>
      <c r="C9357" s="38" t="s">
        <v>7816</v>
      </c>
      <c r="D9357" s="18">
        <v>2022</v>
      </c>
      <c r="E9357" s="18" t="s">
        <v>0</v>
      </c>
      <c r="F9357" s="42">
        <v>1</v>
      </c>
      <c r="G9357" s="4">
        <v>7.5</v>
      </c>
      <c r="H9357" s="18">
        <v>21</v>
      </c>
    </row>
    <row r="9358" spans="1:8" s="15" customFormat="1" ht="16.5" hidden="1" customHeight="1" outlineLevel="1" x14ac:dyDescent="0.25">
      <c r="A9358" s="18">
        <v>4937</v>
      </c>
      <c r="B9358" s="4" t="s">
        <v>250</v>
      </c>
      <c r="C9358" s="38" t="s">
        <v>7817</v>
      </c>
      <c r="D9358" s="18">
        <v>2022</v>
      </c>
      <c r="E9358" s="18" t="s">
        <v>0</v>
      </c>
      <c r="F9358" s="42">
        <v>1</v>
      </c>
      <c r="G9358" s="4">
        <v>15</v>
      </c>
      <c r="H9358" s="18">
        <v>20</v>
      </c>
    </row>
    <row r="9359" spans="1:8" s="15" customFormat="1" ht="16.5" hidden="1" customHeight="1" outlineLevel="1" x14ac:dyDescent="0.25">
      <c r="A9359" s="18">
        <v>4938</v>
      </c>
      <c r="B9359" s="4" t="s">
        <v>250</v>
      </c>
      <c r="C9359" s="38" t="s">
        <v>7818</v>
      </c>
      <c r="D9359" s="18">
        <v>2022</v>
      </c>
      <c r="E9359" s="18" t="s">
        <v>0</v>
      </c>
      <c r="F9359" s="42">
        <v>1</v>
      </c>
      <c r="G9359" s="4">
        <v>15</v>
      </c>
      <c r="H9359" s="18">
        <v>20</v>
      </c>
    </row>
    <row r="9360" spans="1:8" s="15" customFormat="1" ht="16.5" hidden="1" customHeight="1" outlineLevel="1" x14ac:dyDescent="0.25">
      <c r="A9360" s="18">
        <v>4939</v>
      </c>
      <c r="B9360" s="4" t="s">
        <v>250</v>
      </c>
      <c r="C9360" s="38" t="s">
        <v>7819</v>
      </c>
      <c r="D9360" s="18">
        <v>2022</v>
      </c>
      <c r="E9360" s="18" t="s">
        <v>0</v>
      </c>
      <c r="F9360" s="42">
        <v>1</v>
      </c>
      <c r="G9360" s="4">
        <v>15</v>
      </c>
      <c r="H9360" s="18">
        <v>21</v>
      </c>
    </row>
    <row r="9361" spans="1:8" s="15" customFormat="1" ht="16.5" hidden="1" customHeight="1" outlineLevel="1" x14ac:dyDescent="0.25">
      <c r="A9361" s="18">
        <v>4941</v>
      </c>
      <c r="B9361" s="4" t="s">
        <v>250</v>
      </c>
      <c r="C9361" s="38" t="s">
        <v>7820</v>
      </c>
      <c r="D9361" s="18">
        <v>2022</v>
      </c>
      <c r="E9361" s="18" t="s">
        <v>0</v>
      </c>
      <c r="F9361" s="42">
        <v>1</v>
      </c>
      <c r="G9361" s="4">
        <v>15</v>
      </c>
      <c r="H9361" s="18">
        <v>21</v>
      </c>
    </row>
    <row r="9362" spans="1:8" s="15" customFormat="1" ht="16.5" hidden="1" customHeight="1" outlineLevel="1" x14ac:dyDescent="0.25">
      <c r="A9362" s="18">
        <v>4942</v>
      </c>
      <c r="B9362" s="4" t="s">
        <v>250</v>
      </c>
      <c r="C9362" s="38" t="s">
        <v>7821</v>
      </c>
      <c r="D9362" s="18">
        <v>2022</v>
      </c>
      <c r="E9362" s="18" t="s">
        <v>0</v>
      </c>
      <c r="F9362" s="42">
        <v>1</v>
      </c>
      <c r="G9362" s="4">
        <v>15</v>
      </c>
      <c r="H9362" s="18">
        <v>20</v>
      </c>
    </row>
    <row r="9363" spans="1:8" s="15" customFormat="1" ht="16.5" hidden="1" customHeight="1" outlineLevel="1" x14ac:dyDescent="0.25">
      <c r="A9363" s="18">
        <v>4944</v>
      </c>
      <c r="B9363" s="4" t="s">
        <v>250</v>
      </c>
      <c r="C9363" s="38" t="s">
        <v>4101</v>
      </c>
      <c r="D9363" s="18">
        <v>2022</v>
      </c>
      <c r="E9363" s="18" t="s">
        <v>0</v>
      </c>
      <c r="F9363" s="42">
        <v>2</v>
      </c>
      <c r="G9363" s="4">
        <v>30</v>
      </c>
      <c r="H9363" s="18">
        <v>123</v>
      </c>
    </row>
    <row r="9364" spans="1:8" s="15" customFormat="1" ht="16.5" hidden="1" customHeight="1" outlineLevel="1" x14ac:dyDescent="0.25">
      <c r="A9364" s="18">
        <v>4830</v>
      </c>
      <c r="B9364" s="4" t="s">
        <v>250</v>
      </c>
      <c r="C9364" s="38" t="s">
        <v>4102</v>
      </c>
      <c r="D9364" s="18">
        <v>2022</v>
      </c>
      <c r="E9364" s="18" t="s">
        <v>0</v>
      </c>
      <c r="F9364" s="42">
        <v>1</v>
      </c>
      <c r="G9364" s="4">
        <v>15</v>
      </c>
      <c r="H9364" s="18">
        <v>54</v>
      </c>
    </row>
    <row r="9365" spans="1:8" s="15" customFormat="1" ht="16.5" hidden="1" customHeight="1" outlineLevel="1" x14ac:dyDescent="0.25">
      <c r="A9365" s="18">
        <v>4943</v>
      </c>
      <c r="B9365" s="4" t="s">
        <v>250</v>
      </c>
      <c r="C9365" s="38" t="s">
        <v>4104</v>
      </c>
      <c r="D9365" s="18">
        <v>2022</v>
      </c>
      <c r="E9365" s="18" t="s">
        <v>0</v>
      </c>
      <c r="F9365" s="42">
        <v>1</v>
      </c>
      <c r="G9365" s="4">
        <v>15</v>
      </c>
      <c r="H9365" s="18">
        <v>72</v>
      </c>
    </row>
    <row r="9366" spans="1:8" s="15" customFormat="1" ht="16.5" hidden="1" customHeight="1" outlineLevel="1" x14ac:dyDescent="0.25">
      <c r="A9366" s="18">
        <v>4940</v>
      </c>
      <c r="B9366" s="4" t="s">
        <v>250</v>
      </c>
      <c r="C9366" s="38" t="s">
        <v>7822</v>
      </c>
      <c r="D9366" s="18">
        <v>2022</v>
      </c>
      <c r="E9366" s="18" t="s">
        <v>0</v>
      </c>
      <c r="F9366" s="42">
        <v>1</v>
      </c>
      <c r="G9366" s="4">
        <v>7.5</v>
      </c>
      <c r="H9366" s="18">
        <v>22.2</v>
      </c>
    </row>
    <row r="9367" spans="1:8" s="15" customFormat="1" ht="16.5" hidden="1" customHeight="1" outlineLevel="1" x14ac:dyDescent="0.25">
      <c r="A9367" s="18">
        <v>4715</v>
      </c>
      <c r="B9367" s="4" t="s">
        <v>250</v>
      </c>
      <c r="C9367" s="38" t="s">
        <v>7823</v>
      </c>
      <c r="D9367" s="18">
        <v>2022</v>
      </c>
      <c r="E9367" s="18" t="s">
        <v>0</v>
      </c>
      <c r="F9367" s="42">
        <v>1</v>
      </c>
      <c r="G9367" s="4">
        <v>15</v>
      </c>
      <c r="H9367" s="18">
        <v>45.35</v>
      </c>
    </row>
    <row r="9368" spans="1:8" s="15" customFormat="1" ht="16.5" hidden="1" customHeight="1" outlineLevel="1" x14ac:dyDescent="0.25">
      <c r="A9368" s="18">
        <v>4858</v>
      </c>
      <c r="B9368" s="4" t="s">
        <v>250</v>
      </c>
      <c r="C9368" s="38" t="s">
        <v>7824</v>
      </c>
      <c r="D9368" s="18">
        <v>2022</v>
      </c>
      <c r="E9368" s="18" t="s">
        <v>0</v>
      </c>
      <c r="F9368" s="42">
        <v>1</v>
      </c>
      <c r="G9368" s="4">
        <v>15</v>
      </c>
      <c r="H9368" s="18">
        <v>45.519999999999996</v>
      </c>
    </row>
    <row r="9369" spans="1:8" s="15" customFormat="1" ht="16.5" hidden="1" customHeight="1" outlineLevel="1" x14ac:dyDescent="0.25">
      <c r="A9369" s="18">
        <v>4859</v>
      </c>
      <c r="B9369" s="4" t="s">
        <v>250</v>
      </c>
      <c r="C9369" s="38" t="s">
        <v>7825</v>
      </c>
      <c r="D9369" s="18">
        <v>2022</v>
      </c>
      <c r="E9369" s="18" t="s">
        <v>0</v>
      </c>
      <c r="F9369" s="42">
        <v>1</v>
      </c>
      <c r="G9369" s="4">
        <v>15</v>
      </c>
      <c r="H9369" s="18">
        <v>45.847999999999999</v>
      </c>
    </row>
    <row r="9370" spans="1:8" s="15" customFormat="1" ht="16.5" hidden="1" customHeight="1" outlineLevel="1" x14ac:dyDescent="0.25">
      <c r="A9370" s="18">
        <v>4861</v>
      </c>
      <c r="B9370" s="4" t="s">
        <v>250</v>
      </c>
      <c r="C9370" s="38" t="s">
        <v>7826</v>
      </c>
      <c r="D9370" s="18">
        <v>2022</v>
      </c>
      <c r="E9370" s="18" t="s">
        <v>0</v>
      </c>
      <c r="F9370" s="42">
        <v>1</v>
      </c>
      <c r="G9370" s="4">
        <v>15</v>
      </c>
      <c r="H9370" s="18">
        <v>45.519999999999996</v>
      </c>
    </row>
    <row r="9371" spans="1:8" s="15" customFormat="1" ht="16.5" hidden="1" customHeight="1" outlineLevel="1" x14ac:dyDescent="0.25">
      <c r="A9371" s="18">
        <v>4862</v>
      </c>
      <c r="B9371" s="4" t="s">
        <v>250</v>
      </c>
      <c r="C9371" s="38" t="s">
        <v>7827</v>
      </c>
      <c r="D9371" s="18">
        <v>2022</v>
      </c>
      <c r="E9371" s="18" t="s">
        <v>0</v>
      </c>
      <c r="F9371" s="42">
        <v>1</v>
      </c>
      <c r="G9371" s="4">
        <v>15</v>
      </c>
      <c r="H9371" s="18">
        <v>46.209000000000003</v>
      </c>
    </row>
    <row r="9372" spans="1:8" s="15" customFormat="1" ht="16.5" hidden="1" customHeight="1" outlineLevel="1" x14ac:dyDescent="0.25">
      <c r="A9372" s="18">
        <v>4883</v>
      </c>
      <c r="B9372" s="4" t="s">
        <v>250</v>
      </c>
      <c r="C9372" s="38" t="s">
        <v>7828</v>
      </c>
      <c r="D9372" s="18">
        <v>2022</v>
      </c>
      <c r="E9372" s="18" t="s">
        <v>0</v>
      </c>
      <c r="F9372" s="42">
        <v>1</v>
      </c>
      <c r="G9372" s="4">
        <v>15</v>
      </c>
      <c r="H9372" s="18">
        <v>45.866999999999997</v>
      </c>
    </row>
    <row r="9373" spans="1:8" s="15" customFormat="1" ht="16.5" hidden="1" customHeight="1" outlineLevel="1" x14ac:dyDescent="0.25">
      <c r="A9373" s="18">
        <v>4884</v>
      </c>
      <c r="B9373" s="4" t="s">
        <v>250</v>
      </c>
      <c r="C9373" s="38" t="s">
        <v>7829</v>
      </c>
      <c r="D9373" s="18">
        <v>2022</v>
      </c>
      <c r="E9373" s="18" t="s">
        <v>0</v>
      </c>
      <c r="F9373" s="42">
        <v>1</v>
      </c>
      <c r="G9373" s="4">
        <v>15</v>
      </c>
      <c r="H9373" s="18">
        <v>45.866999999999997</v>
      </c>
    </row>
    <row r="9374" spans="1:8" s="15" customFormat="1" ht="16.5" hidden="1" customHeight="1" outlineLevel="1" x14ac:dyDescent="0.25">
      <c r="A9374" s="18">
        <v>4885</v>
      </c>
      <c r="B9374" s="4" t="s">
        <v>250</v>
      </c>
      <c r="C9374" s="38" t="s">
        <v>7830</v>
      </c>
      <c r="D9374" s="18">
        <v>2022</v>
      </c>
      <c r="E9374" s="18" t="s">
        <v>0</v>
      </c>
      <c r="F9374" s="42">
        <v>1</v>
      </c>
      <c r="G9374" s="4">
        <v>15</v>
      </c>
      <c r="H9374" s="18">
        <v>46.078000000000003</v>
      </c>
    </row>
    <row r="9375" spans="1:8" s="15" customFormat="1" ht="16.5" hidden="1" customHeight="1" outlineLevel="1" x14ac:dyDescent="0.25">
      <c r="A9375" s="18">
        <v>4886</v>
      </c>
      <c r="B9375" s="4" t="s">
        <v>250</v>
      </c>
      <c r="C9375" s="38" t="s">
        <v>7831</v>
      </c>
      <c r="D9375" s="18">
        <v>2022</v>
      </c>
      <c r="E9375" s="18" t="s">
        <v>0</v>
      </c>
      <c r="F9375" s="42">
        <v>1</v>
      </c>
      <c r="G9375" s="4">
        <v>15</v>
      </c>
      <c r="H9375" s="18">
        <v>46.078000000000003</v>
      </c>
    </row>
    <row r="9376" spans="1:8" s="15" customFormat="1" ht="16.5" hidden="1" customHeight="1" outlineLevel="1" x14ac:dyDescent="0.25">
      <c r="A9376" s="18">
        <v>4887</v>
      </c>
      <c r="B9376" s="4" t="s">
        <v>250</v>
      </c>
      <c r="C9376" s="38" t="s">
        <v>7832</v>
      </c>
      <c r="D9376" s="18">
        <v>2022</v>
      </c>
      <c r="E9376" s="18" t="s">
        <v>0</v>
      </c>
      <c r="F9376" s="42">
        <v>1</v>
      </c>
      <c r="G9376" s="4">
        <v>15</v>
      </c>
      <c r="H9376" s="18">
        <v>46.097000000000001</v>
      </c>
    </row>
    <row r="9377" spans="1:8" s="15" customFormat="1" ht="16.5" hidden="1" customHeight="1" outlineLevel="1" x14ac:dyDescent="0.25">
      <c r="A9377" s="18">
        <v>4969</v>
      </c>
      <c r="B9377" s="4" t="s">
        <v>250</v>
      </c>
      <c r="C9377" s="38" t="s">
        <v>7833</v>
      </c>
      <c r="D9377" s="18">
        <v>2022</v>
      </c>
      <c r="E9377" s="18" t="s">
        <v>0</v>
      </c>
      <c r="F9377" s="42">
        <v>1</v>
      </c>
      <c r="G9377" s="4">
        <v>15</v>
      </c>
      <c r="H9377" s="18">
        <v>37.923999999999999</v>
      </c>
    </row>
    <row r="9378" spans="1:8" s="15" customFormat="1" ht="16.5" hidden="1" customHeight="1" outlineLevel="1" x14ac:dyDescent="0.25">
      <c r="A9378" s="18">
        <v>4987</v>
      </c>
      <c r="B9378" s="4" t="s">
        <v>250</v>
      </c>
      <c r="C9378" s="38" t="s">
        <v>7834</v>
      </c>
      <c r="D9378" s="18">
        <v>2022</v>
      </c>
      <c r="E9378" s="18" t="s">
        <v>0</v>
      </c>
      <c r="F9378" s="42">
        <v>1</v>
      </c>
      <c r="G9378" s="4">
        <v>15</v>
      </c>
      <c r="H9378" s="18">
        <v>38.155000000000001</v>
      </c>
    </row>
    <row r="9379" spans="1:8" s="15" customFormat="1" ht="16.5" hidden="1" customHeight="1" outlineLevel="1" x14ac:dyDescent="0.25">
      <c r="A9379" s="18">
        <v>4988</v>
      </c>
      <c r="B9379" s="4" t="s">
        <v>250</v>
      </c>
      <c r="C9379" s="38" t="s">
        <v>7835</v>
      </c>
      <c r="D9379" s="18">
        <v>2022</v>
      </c>
      <c r="E9379" s="18" t="s">
        <v>0</v>
      </c>
      <c r="F9379" s="42">
        <v>1</v>
      </c>
      <c r="G9379" s="4">
        <v>15</v>
      </c>
      <c r="H9379" s="18">
        <v>38.154000000000003</v>
      </c>
    </row>
    <row r="9380" spans="1:8" s="15" customFormat="1" ht="16.5" hidden="1" customHeight="1" outlineLevel="1" x14ac:dyDescent="0.25">
      <c r="A9380" s="18">
        <v>4989</v>
      </c>
      <c r="B9380" s="4" t="s">
        <v>250</v>
      </c>
      <c r="C9380" s="38" t="s">
        <v>7836</v>
      </c>
      <c r="D9380" s="18">
        <v>2022</v>
      </c>
      <c r="E9380" s="18" t="s">
        <v>0</v>
      </c>
      <c r="F9380" s="42">
        <v>1</v>
      </c>
      <c r="G9380" s="4">
        <v>15</v>
      </c>
      <c r="H9380" s="18">
        <v>38.154000000000003</v>
      </c>
    </row>
    <row r="9381" spans="1:8" s="15" customFormat="1" ht="16.5" hidden="1" customHeight="1" outlineLevel="1" x14ac:dyDescent="0.25">
      <c r="A9381" s="18">
        <v>5007</v>
      </c>
      <c r="B9381" s="4" t="s">
        <v>250</v>
      </c>
      <c r="C9381" s="38" t="s">
        <v>7837</v>
      </c>
      <c r="D9381" s="18">
        <v>2022</v>
      </c>
      <c r="E9381" s="18" t="s">
        <v>0</v>
      </c>
      <c r="F9381" s="42">
        <v>1</v>
      </c>
      <c r="G9381" s="4">
        <v>15</v>
      </c>
      <c r="H9381" s="18">
        <v>37.923999999999999</v>
      </c>
    </row>
    <row r="9382" spans="1:8" s="15" customFormat="1" ht="16.5" hidden="1" customHeight="1" outlineLevel="1" x14ac:dyDescent="0.25">
      <c r="A9382" s="18">
        <v>5014</v>
      </c>
      <c r="B9382" s="4" t="s">
        <v>250</v>
      </c>
      <c r="C9382" s="38" t="s">
        <v>7838</v>
      </c>
      <c r="D9382" s="18">
        <v>2022</v>
      </c>
      <c r="E9382" s="18" t="s">
        <v>0</v>
      </c>
      <c r="F9382" s="42">
        <v>1</v>
      </c>
      <c r="G9382" s="4">
        <v>15</v>
      </c>
      <c r="H9382" s="18">
        <v>38.384</v>
      </c>
    </row>
    <row r="9383" spans="1:8" s="15" customFormat="1" ht="16.5" hidden="1" customHeight="1" outlineLevel="1" x14ac:dyDescent="0.25">
      <c r="A9383" s="18">
        <v>5021</v>
      </c>
      <c r="B9383" s="4" t="s">
        <v>250</v>
      </c>
      <c r="C9383" s="38" t="s">
        <v>4105</v>
      </c>
      <c r="D9383" s="18">
        <v>2022</v>
      </c>
      <c r="E9383" s="18" t="s">
        <v>0</v>
      </c>
      <c r="F9383" s="42">
        <v>1</v>
      </c>
      <c r="G9383" s="4">
        <v>50</v>
      </c>
      <c r="H9383" s="18">
        <v>74.801000000000002</v>
      </c>
    </row>
    <row r="9384" spans="1:8" s="15" customFormat="1" ht="16.5" hidden="1" customHeight="1" outlineLevel="1" x14ac:dyDescent="0.25">
      <c r="A9384" s="18">
        <v>4836</v>
      </c>
      <c r="B9384" s="4" t="s">
        <v>250</v>
      </c>
      <c r="C9384" s="38" t="s">
        <v>7839</v>
      </c>
      <c r="D9384" s="18">
        <v>2022</v>
      </c>
      <c r="E9384" s="18" t="s">
        <v>0</v>
      </c>
      <c r="F9384" s="42">
        <v>1</v>
      </c>
      <c r="G9384" s="4">
        <v>14</v>
      </c>
      <c r="H9384" s="18">
        <v>49.994</v>
      </c>
    </row>
    <row r="9385" spans="1:8" s="15" customFormat="1" ht="16.5" hidden="1" customHeight="1" outlineLevel="1" x14ac:dyDescent="0.25">
      <c r="A9385" s="18">
        <v>4837</v>
      </c>
      <c r="B9385" s="4" t="s">
        <v>250</v>
      </c>
      <c r="C9385" s="38" t="s">
        <v>7840</v>
      </c>
      <c r="D9385" s="18">
        <v>2022</v>
      </c>
      <c r="E9385" s="18" t="s">
        <v>0</v>
      </c>
      <c r="F9385" s="42">
        <v>1</v>
      </c>
      <c r="G9385" s="4">
        <v>14</v>
      </c>
      <c r="H9385" s="18">
        <v>48.34</v>
      </c>
    </row>
    <row r="9386" spans="1:8" s="15" customFormat="1" ht="16.5" hidden="1" customHeight="1" outlineLevel="1" x14ac:dyDescent="0.25">
      <c r="A9386" s="18">
        <v>4838</v>
      </c>
      <c r="B9386" s="4" t="s">
        <v>250</v>
      </c>
      <c r="C9386" s="38" t="s">
        <v>7841</v>
      </c>
      <c r="D9386" s="18">
        <v>2022</v>
      </c>
      <c r="E9386" s="18" t="s">
        <v>0</v>
      </c>
      <c r="F9386" s="42">
        <v>1</v>
      </c>
      <c r="G9386" s="4">
        <v>14</v>
      </c>
      <c r="H9386" s="18">
        <v>47.484999999999999</v>
      </c>
    </row>
    <row r="9387" spans="1:8" s="15" customFormat="1" ht="16.5" hidden="1" customHeight="1" outlineLevel="1" x14ac:dyDescent="0.25">
      <c r="A9387" s="18">
        <v>4839</v>
      </c>
      <c r="B9387" s="4" t="s">
        <v>250</v>
      </c>
      <c r="C9387" s="38" t="s">
        <v>7842</v>
      </c>
      <c r="D9387" s="18">
        <v>2022</v>
      </c>
      <c r="E9387" s="18" t="s">
        <v>0</v>
      </c>
      <c r="F9387" s="42">
        <v>1</v>
      </c>
      <c r="G9387" s="4">
        <v>14</v>
      </c>
      <c r="H9387" s="18">
        <v>47.489999999999995</v>
      </c>
    </row>
    <row r="9388" spans="1:8" s="15" customFormat="1" ht="16.5" hidden="1" customHeight="1" outlineLevel="1" x14ac:dyDescent="0.25">
      <c r="A9388" s="18">
        <v>4947</v>
      </c>
      <c r="B9388" s="4" t="s">
        <v>250</v>
      </c>
      <c r="C9388" s="38" t="s">
        <v>4221</v>
      </c>
      <c r="D9388" s="18">
        <v>2022</v>
      </c>
      <c r="E9388" s="18" t="s">
        <v>0</v>
      </c>
      <c r="F9388" s="42">
        <v>1</v>
      </c>
      <c r="G9388" s="4">
        <v>15</v>
      </c>
      <c r="H9388" s="18">
        <v>68</v>
      </c>
    </row>
    <row r="9389" spans="1:8" s="15" customFormat="1" ht="16.5" hidden="1" customHeight="1" outlineLevel="1" x14ac:dyDescent="0.25">
      <c r="A9389" s="18">
        <v>5011</v>
      </c>
      <c r="B9389" s="4" t="s">
        <v>250</v>
      </c>
      <c r="C9389" s="38" t="s">
        <v>7843</v>
      </c>
      <c r="D9389" s="18">
        <v>2022</v>
      </c>
      <c r="E9389" s="18" t="s">
        <v>0</v>
      </c>
      <c r="F9389" s="42">
        <v>1</v>
      </c>
      <c r="G9389" s="4">
        <v>15</v>
      </c>
      <c r="H9389" s="18">
        <v>37.238</v>
      </c>
    </row>
    <row r="9390" spans="1:8" s="15" customFormat="1" ht="16.5" hidden="1" customHeight="1" outlineLevel="1" x14ac:dyDescent="0.25">
      <c r="A9390" s="18">
        <v>5020</v>
      </c>
      <c r="B9390" s="4" t="s">
        <v>250</v>
      </c>
      <c r="C9390" s="38" t="s">
        <v>4106</v>
      </c>
      <c r="D9390" s="18">
        <v>2022</v>
      </c>
      <c r="E9390" s="18" t="s">
        <v>0</v>
      </c>
      <c r="F9390" s="42">
        <v>1</v>
      </c>
      <c r="G9390" s="4">
        <v>15</v>
      </c>
      <c r="H9390" s="18">
        <v>68.35199999999999</v>
      </c>
    </row>
    <row r="9391" spans="1:8" s="15" customFormat="1" ht="16.5" hidden="1" customHeight="1" outlineLevel="1" x14ac:dyDescent="0.25">
      <c r="A9391" s="18">
        <v>4897</v>
      </c>
      <c r="B9391" s="4" t="s">
        <v>250</v>
      </c>
      <c r="C9391" s="38" t="s">
        <v>7844</v>
      </c>
      <c r="D9391" s="18">
        <v>2022</v>
      </c>
      <c r="E9391" s="18" t="s">
        <v>0</v>
      </c>
      <c r="F9391" s="42">
        <v>1</v>
      </c>
      <c r="G9391" s="4">
        <v>15</v>
      </c>
      <c r="H9391" s="18">
        <v>53.707999999999998</v>
      </c>
    </row>
    <row r="9392" spans="1:8" s="15" customFormat="1" ht="16.5" hidden="1" customHeight="1" outlineLevel="1" x14ac:dyDescent="0.25">
      <c r="A9392" s="18">
        <v>4916</v>
      </c>
      <c r="B9392" s="4" t="s">
        <v>250</v>
      </c>
      <c r="C9392" s="38" t="s">
        <v>4107</v>
      </c>
      <c r="D9392" s="18">
        <v>2022</v>
      </c>
      <c r="E9392" s="18" t="s">
        <v>0</v>
      </c>
      <c r="F9392" s="42">
        <v>1</v>
      </c>
      <c r="G9392" s="4">
        <v>15</v>
      </c>
      <c r="H9392" s="18">
        <v>79.559000000000012</v>
      </c>
    </row>
    <row r="9393" spans="1:8" s="15" customFormat="1" ht="16.5" hidden="1" customHeight="1" outlineLevel="1" x14ac:dyDescent="0.25">
      <c r="A9393" s="18">
        <v>4922</v>
      </c>
      <c r="B9393" s="4" t="s">
        <v>250</v>
      </c>
      <c r="C9393" s="38" t="s">
        <v>4108</v>
      </c>
      <c r="D9393" s="18">
        <v>2022</v>
      </c>
      <c r="E9393" s="18" t="s">
        <v>0</v>
      </c>
      <c r="F9393" s="42">
        <v>1</v>
      </c>
      <c r="G9393" s="4">
        <v>15</v>
      </c>
      <c r="H9393" s="18">
        <v>78.635999999999996</v>
      </c>
    </row>
    <row r="9394" spans="1:8" s="15" customFormat="1" ht="16.5" hidden="1" customHeight="1" outlineLevel="1" x14ac:dyDescent="0.25">
      <c r="A9394" s="18">
        <v>4923</v>
      </c>
      <c r="B9394" s="4" t="s">
        <v>250</v>
      </c>
      <c r="C9394" s="38" t="s">
        <v>4109</v>
      </c>
      <c r="D9394" s="18">
        <v>2022</v>
      </c>
      <c r="E9394" s="18" t="s">
        <v>0</v>
      </c>
      <c r="F9394" s="42">
        <v>1</v>
      </c>
      <c r="G9394" s="4">
        <v>15</v>
      </c>
      <c r="H9394" s="18">
        <v>71.019000000000005</v>
      </c>
    </row>
    <row r="9395" spans="1:8" s="15" customFormat="1" ht="16.5" hidden="1" customHeight="1" outlineLevel="1" x14ac:dyDescent="0.25">
      <c r="A9395" s="18">
        <v>4945</v>
      </c>
      <c r="B9395" s="4" t="s">
        <v>250</v>
      </c>
      <c r="C9395" s="38" t="s">
        <v>4110</v>
      </c>
      <c r="D9395" s="18">
        <v>2022</v>
      </c>
      <c r="E9395" s="18" t="s">
        <v>0</v>
      </c>
      <c r="F9395" s="42">
        <v>1</v>
      </c>
      <c r="G9395" s="4">
        <v>15</v>
      </c>
      <c r="H9395" s="18">
        <v>76.709999999999994</v>
      </c>
    </row>
    <row r="9396" spans="1:8" s="15" customFormat="1" ht="16.5" hidden="1" customHeight="1" outlineLevel="1" x14ac:dyDescent="0.25">
      <c r="A9396" s="18">
        <v>4983</v>
      </c>
      <c r="B9396" s="4" t="s">
        <v>250</v>
      </c>
      <c r="C9396" s="38" t="s">
        <v>7845</v>
      </c>
      <c r="D9396" s="18">
        <v>2022</v>
      </c>
      <c r="E9396" s="18" t="s">
        <v>0</v>
      </c>
      <c r="F9396" s="42">
        <v>1</v>
      </c>
      <c r="G9396" s="4">
        <v>15</v>
      </c>
      <c r="H9396" s="18">
        <v>45.338000000000001</v>
      </c>
    </row>
    <row r="9397" spans="1:8" s="15" customFormat="1" ht="16.5" hidden="1" customHeight="1" outlineLevel="1" x14ac:dyDescent="0.25">
      <c r="A9397" s="18">
        <v>4984</v>
      </c>
      <c r="B9397" s="4" t="s">
        <v>250</v>
      </c>
      <c r="C9397" s="38" t="s">
        <v>7846</v>
      </c>
      <c r="D9397" s="18">
        <v>2022</v>
      </c>
      <c r="E9397" s="18" t="s">
        <v>0</v>
      </c>
      <c r="F9397" s="42">
        <v>1</v>
      </c>
      <c r="G9397" s="4">
        <v>15</v>
      </c>
      <c r="H9397" s="18">
        <v>45.206999999999994</v>
      </c>
    </row>
    <row r="9398" spans="1:8" s="15" customFormat="1" ht="16.5" hidden="1" customHeight="1" outlineLevel="1" x14ac:dyDescent="0.25">
      <c r="A9398" s="18">
        <v>4985</v>
      </c>
      <c r="B9398" s="4" t="s">
        <v>250</v>
      </c>
      <c r="C9398" s="38" t="s">
        <v>7847</v>
      </c>
      <c r="D9398" s="18">
        <v>2022</v>
      </c>
      <c r="E9398" s="18" t="s">
        <v>0</v>
      </c>
      <c r="F9398" s="42">
        <v>1</v>
      </c>
      <c r="G9398" s="4">
        <v>15</v>
      </c>
      <c r="H9398" s="18">
        <v>52.256999999999998</v>
      </c>
    </row>
    <row r="9399" spans="1:8" s="15" customFormat="1" ht="16.5" hidden="1" customHeight="1" outlineLevel="1" x14ac:dyDescent="0.25">
      <c r="A9399" s="18">
        <v>4994</v>
      </c>
      <c r="B9399" s="4" t="s">
        <v>250</v>
      </c>
      <c r="C9399" s="38" t="s">
        <v>7848</v>
      </c>
      <c r="D9399" s="18">
        <v>2022</v>
      </c>
      <c r="E9399" s="18" t="s">
        <v>0</v>
      </c>
      <c r="F9399" s="42">
        <v>1</v>
      </c>
      <c r="G9399" s="4">
        <v>15</v>
      </c>
      <c r="H9399" s="18">
        <v>47.667999999999999</v>
      </c>
    </row>
    <row r="9400" spans="1:8" s="15" customFormat="1" ht="16.5" hidden="1" customHeight="1" outlineLevel="1" x14ac:dyDescent="0.25">
      <c r="A9400" s="18">
        <v>4995</v>
      </c>
      <c r="B9400" s="4" t="s">
        <v>250</v>
      </c>
      <c r="C9400" s="38" t="s">
        <v>7849</v>
      </c>
      <c r="D9400" s="18">
        <v>2022</v>
      </c>
      <c r="E9400" s="18" t="s">
        <v>0</v>
      </c>
      <c r="F9400" s="42">
        <v>1</v>
      </c>
      <c r="G9400" s="4">
        <v>15</v>
      </c>
      <c r="H9400" s="18">
        <v>45.239000000000004</v>
      </c>
    </row>
    <row r="9401" spans="1:8" s="15" customFormat="1" ht="16.5" hidden="1" customHeight="1" outlineLevel="1" x14ac:dyDescent="0.25">
      <c r="A9401" s="18">
        <v>4996</v>
      </c>
      <c r="B9401" s="4" t="s">
        <v>250</v>
      </c>
      <c r="C9401" s="38" t="s">
        <v>7850</v>
      </c>
      <c r="D9401" s="18">
        <v>2022</v>
      </c>
      <c r="E9401" s="18" t="s">
        <v>0</v>
      </c>
      <c r="F9401" s="42">
        <v>1</v>
      </c>
      <c r="G9401" s="4">
        <v>15</v>
      </c>
      <c r="H9401" s="18">
        <v>42.613</v>
      </c>
    </row>
    <row r="9402" spans="1:8" s="15" customFormat="1" ht="16.5" hidden="1" customHeight="1" outlineLevel="1" x14ac:dyDescent="0.25">
      <c r="A9402" s="18">
        <v>4997</v>
      </c>
      <c r="B9402" s="4" t="s">
        <v>250</v>
      </c>
      <c r="C9402" s="38" t="s">
        <v>7851</v>
      </c>
      <c r="D9402" s="18">
        <v>2022</v>
      </c>
      <c r="E9402" s="18" t="s">
        <v>0</v>
      </c>
      <c r="F9402" s="42">
        <v>1</v>
      </c>
      <c r="G9402" s="4">
        <v>15</v>
      </c>
      <c r="H9402" s="18">
        <v>42.744</v>
      </c>
    </row>
    <row r="9403" spans="1:8" s="15" customFormat="1" ht="16.5" hidden="1" customHeight="1" outlineLevel="1" x14ac:dyDescent="0.25">
      <c r="A9403" s="18">
        <v>4998</v>
      </c>
      <c r="B9403" s="4" t="s">
        <v>250</v>
      </c>
      <c r="C9403" s="38" t="s">
        <v>7852</v>
      </c>
      <c r="D9403" s="18">
        <v>2022</v>
      </c>
      <c r="E9403" s="18" t="s">
        <v>0</v>
      </c>
      <c r="F9403" s="42">
        <v>1</v>
      </c>
      <c r="G9403" s="4">
        <v>15</v>
      </c>
      <c r="H9403" s="18">
        <v>52.256999999999998</v>
      </c>
    </row>
    <row r="9404" spans="1:8" s="15" customFormat="1" ht="16.5" hidden="1" customHeight="1" outlineLevel="1" x14ac:dyDescent="0.25">
      <c r="A9404" s="18">
        <v>5019</v>
      </c>
      <c r="B9404" s="4" t="s">
        <v>250</v>
      </c>
      <c r="C9404" s="38" t="s">
        <v>7853</v>
      </c>
      <c r="D9404" s="18">
        <v>2022</v>
      </c>
      <c r="E9404" s="18" t="s">
        <v>0</v>
      </c>
      <c r="F9404" s="42">
        <v>1</v>
      </c>
      <c r="G9404" s="4">
        <v>15</v>
      </c>
      <c r="H9404" s="18">
        <v>45.10772</v>
      </c>
    </row>
    <row r="9405" spans="1:8" s="15" customFormat="1" ht="16.5" hidden="1" customHeight="1" outlineLevel="1" x14ac:dyDescent="0.25">
      <c r="A9405" s="18">
        <v>4857</v>
      </c>
      <c r="B9405" s="4" t="s">
        <v>250</v>
      </c>
      <c r="C9405" s="38" t="s">
        <v>4111</v>
      </c>
      <c r="D9405" s="18">
        <v>2022</v>
      </c>
      <c r="E9405" s="18" t="s">
        <v>0</v>
      </c>
      <c r="F9405" s="42">
        <v>1</v>
      </c>
      <c r="G9405" s="4">
        <v>15</v>
      </c>
      <c r="H9405" s="18">
        <v>61.674999999999997</v>
      </c>
    </row>
    <row r="9406" spans="1:8" s="15" customFormat="1" ht="16.5" hidden="1" customHeight="1" outlineLevel="1" x14ac:dyDescent="0.25">
      <c r="A9406" s="18">
        <v>4907</v>
      </c>
      <c r="B9406" s="4" t="s">
        <v>250</v>
      </c>
      <c r="C9406" s="38" t="s">
        <v>4112</v>
      </c>
      <c r="D9406" s="18">
        <v>2022</v>
      </c>
      <c r="E9406" s="18" t="s">
        <v>0</v>
      </c>
      <c r="F9406" s="42">
        <v>1</v>
      </c>
      <c r="G9406" s="4">
        <v>15</v>
      </c>
      <c r="H9406" s="18">
        <v>75.194999999999993</v>
      </c>
    </row>
    <row r="9407" spans="1:8" s="15" customFormat="1" ht="16.5" hidden="1" customHeight="1" outlineLevel="1" x14ac:dyDescent="0.25">
      <c r="A9407" s="18">
        <v>5008</v>
      </c>
      <c r="B9407" s="4" t="s">
        <v>250</v>
      </c>
      <c r="C9407" s="38" t="s">
        <v>7854</v>
      </c>
      <c r="D9407" s="18">
        <v>2022</v>
      </c>
      <c r="E9407" s="18" t="s">
        <v>0</v>
      </c>
      <c r="F9407" s="42">
        <v>1</v>
      </c>
      <c r="G9407" s="4">
        <v>15</v>
      </c>
      <c r="H9407" s="18">
        <v>38.536999999999999</v>
      </c>
    </row>
    <row r="9408" spans="1:8" s="15" customFormat="1" ht="16.5" hidden="1" customHeight="1" outlineLevel="1" x14ac:dyDescent="0.25">
      <c r="A9408" s="18">
        <v>4705</v>
      </c>
      <c r="B9408" s="4" t="s">
        <v>250</v>
      </c>
      <c r="C9408" s="38" t="s">
        <v>7855</v>
      </c>
      <c r="D9408" s="18">
        <v>2022</v>
      </c>
      <c r="E9408" s="18" t="s">
        <v>0</v>
      </c>
      <c r="F9408" s="42">
        <v>1</v>
      </c>
      <c r="G9408" s="4">
        <v>15</v>
      </c>
      <c r="H9408" s="18">
        <v>47.313000000000002</v>
      </c>
    </row>
    <row r="9409" spans="1:8" s="15" customFormat="1" ht="16.5" hidden="1" customHeight="1" outlineLevel="1" x14ac:dyDescent="0.25">
      <c r="A9409" s="18">
        <v>4866</v>
      </c>
      <c r="B9409" s="4" t="s">
        <v>250</v>
      </c>
      <c r="C9409" s="38" t="s">
        <v>7856</v>
      </c>
      <c r="D9409" s="18">
        <v>2022</v>
      </c>
      <c r="E9409" s="18" t="s">
        <v>0</v>
      </c>
      <c r="F9409" s="42">
        <v>1</v>
      </c>
      <c r="G9409" s="4">
        <v>15</v>
      </c>
      <c r="H9409" s="18">
        <v>48.974999999999994</v>
      </c>
    </row>
    <row r="9410" spans="1:8" s="15" customFormat="1" ht="16.5" hidden="1" customHeight="1" outlineLevel="1" x14ac:dyDescent="0.25">
      <c r="A9410" s="18">
        <v>4867</v>
      </c>
      <c r="B9410" s="4" t="s">
        <v>250</v>
      </c>
      <c r="C9410" s="38" t="s">
        <v>7857</v>
      </c>
      <c r="D9410" s="18">
        <v>2022</v>
      </c>
      <c r="E9410" s="18" t="s">
        <v>0</v>
      </c>
      <c r="F9410" s="42">
        <v>1</v>
      </c>
      <c r="G9410" s="4">
        <v>60.7</v>
      </c>
      <c r="H9410" s="18">
        <v>45.752000000000002</v>
      </c>
    </row>
    <row r="9411" spans="1:8" s="15" customFormat="1" ht="16.5" hidden="1" customHeight="1" outlineLevel="1" x14ac:dyDescent="0.25">
      <c r="A9411" s="18">
        <v>4905</v>
      </c>
      <c r="B9411" s="4" t="s">
        <v>250</v>
      </c>
      <c r="C9411" s="38" t="s">
        <v>4113</v>
      </c>
      <c r="D9411" s="18">
        <v>2022</v>
      </c>
      <c r="E9411" s="18" t="s">
        <v>0</v>
      </c>
      <c r="F9411" s="42">
        <v>1</v>
      </c>
      <c r="G9411" s="4">
        <v>15</v>
      </c>
      <c r="H9411" s="18">
        <v>68.899000000000001</v>
      </c>
    </row>
    <row r="9412" spans="1:8" s="15" customFormat="1" ht="16.5" hidden="1" customHeight="1" outlineLevel="1" x14ac:dyDescent="0.25">
      <c r="A9412" s="18">
        <v>4946</v>
      </c>
      <c r="B9412" s="4" t="s">
        <v>250</v>
      </c>
      <c r="C9412" s="38" t="s">
        <v>4114</v>
      </c>
      <c r="D9412" s="18">
        <v>2022</v>
      </c>
      <c r="E9412" s="18" t="s">
        <v>0</v>
      </c>
      <c r="F9412" s="42">
        <v>1</v>
      </c>
      <c r="G9412" s="4">
        <v>15</v>
      </c>
      <c r="H9412" s="18">
        <v>71.884</v>
      </c>
    </row>
    <row r="9413" spans="1:8" s="15" customFormat="1" ht="16.5" hidden="1" customHeight="1" outlineLevel="1" x14ac:dyDescent="0.25">
      <c r="A9413" s="18">
        <v>5002</v>
      </c>
      <c r="B9413" s="4" t="s">
        <v>250</v>
      </c>
      <c r="C9413" s="38" t="s">
        <v>7858</v>
      </c>
      <c r="D9413" s="18">
        <v>2022</v>
      </c>
      <c r="E9413" s="18" t="s">
        <v>0</v>
      </c>
      <c r="F9413" s="42">
        <v>1</v>
      </c>
      <c r="G9413" s="4">
        <v>15</v>
      </c>
      <c r="H9413" s="18">
        <v>38.299999999999997</v>
      </c>
    </row>
    <row r="9414" spans="1:8" s="15" customFormat="1" ht="16.5" hidden="1" customHeight="1" outlineLevel="1" x14ac:dyDescent="0.25">
      <c r="A9414" s="18">
        <v>5003</v>
      </c>
      <c r="B9414" s="4" t="s">
        <v>250</v>
      </c>
      <c r="C9414" s="38" t="s">
        <v>7859</v>
      </c>
      <c r="D9414" s="18">
        <v>2022</v>
      </c>
      <c r="E9414" s="18" t="s">
        <v>0</v>
      </c>
      <c r="F9414" s="42">
        <v>1</v>
      </c>
      <c r="G9414" s="4">
        <v>15</v>
      </c>
      <c r="H9414" s="18">
        <v>38.738</v>
      </c>
    </row>
    <row r="9415" spans="1:8" s="15" customFormat="1" ht="16.5" hidden="1" customHeight="1" outlineLevel="1" x14ac:dyDescent="0.25">
      <c r="A9415" s="18">
        <v>5004</v>
      </c>
      <c r="B9415" s="4" t="s">
        <v>250</v>
      </c>
      <c r="C9415" s="38" t="s">
        <v>7860</v>
      </c>
      <c r="D9415" s="18">
        <v>2022</v>
      </c>
      <c r="E9415" s="18" t="s">
        <v>0</v>
      </c>
      <c r="F9415" s="42">
        <v>1</v>
      </c>
      <c r="G9415" s="4">
        <v>15</v>
      </c>
      <c r="H9415" s="18">
        <v>39.247999999999998</v>
      </c>
    </row>
    <row r="9416" spans="1:8" s="15" customFormat="1" ht="16.5" hidden="1" customHeight="1" outlineLevel="1" x14ac:dyDescent="0.25">
      <c r="A9416" s="18">
        <v>5005</v>
      </c>
      <c r="B9416" s="4" t="s">
        <v>250</v>
      </c>
      <c r="C9416" s="38" t="s">
        <v>7861</v>
      </c>
      <c r="D9416" s="18">
        <v>2022</v>
      </c>
      <c r="E9416" s="18" t="s">
        <v>0</v>
      </c>
      <c r="F9416" s="42">
        <v>1</v>
      </c>
      <c r="G9416" s="4">
        <v>15</v>
      </c>
      <c r="H9416" s="18">
        <v>38.326999999999998</v>
      </c>
    </row>
    <row r="9417" spans="1:8" s="15" customFormat="1" ht="16.5" hidden="1" customHeight="1" outlineLevel="1" x14ac:dyDescent="0.25">
      <c r="A9417" s="18">
        <v>5009</v>
      </c>
      <c r="B9417" s="4" t="s">
        <v>250</v>
      </c>
      <c r="C9417" s="38" t="s">
        <v>7862</v>
      </c>
      <c r="D9417" s="18">
        <v>2022</v>
      </c>
      <c r="E9417" s="18" t="s">
        <v>0</v>
      </c>
      <c r="F9417" s="42">
        <v>1</v>
      </c>
      <c r="G9417" s="4">
        <v>15</v>
      </c>
      <c r="H9417" s="18">
        <v>38.635999999999996</v>
      </c>
    </row>
    <row r="9418" spans="1:8" s="15" customFormat="1" ht="16.5" hidden="1" customHeight="1" outlineLevel="1" x14ac:dyDescent="0.25">
      <c r="A9418" s="18">
        <v>5012</v>
      </c>
      <c r="B9418" s="4" t="s">
        <v>250</v>
      </c>
      <c r="C9418" s="38" t="s">
        <v>7863</v>
      </c>
      <c r="D9418" s="18">
        <v>2022</v>
      </c>
      <c r="E9418" s="18" t="s">
        <v>0</v>
      </c>
      <c r="F9418" s="42">
        <v>1</v>
      </c>
      <c r="G9418" s="4">
        <v>15</v>
      </c>
      <c r="H9418" s="18">
        <v>38.788000000000004</v>
      </c>
    </row>
    <row r="9419" spans="1:8" s="15" customFormat="1" ht="16.5" hidden="1" customHeight="1" outlineLevel="1" x14ac:dyDescent="0.25">
      <c r="A9419" s="18">
        <v>5018</v>
      </c>
      <c r="B9419" s="4" t="s">
        <v>250</v>
      </c>
      <c r="C9419" s="38" t="s">
        <v>7864</v>
      </c>
      <c r="D9419" s="18">
        <v>2022</v>
      </c>
      <c r="E9419" s="18" t="s">
        <v>0</v>
      </c>
      <c r="F9419" s="42">
        <v>1</v>
      </c>
      <c r="G9419" s="4">
        <v>15</v>
      </c>
      <c r="H9419" s="18">
        <v>38.837000000000003</v>
      </c>
    </row>
    <row r="9420" spans="1:8" s="15" customFormat="1" ht="16.5" hidden="1" customHeight="1" outlineLevel="1" x14ac:dyDescent="0.25">
      <c r="A9420" s="18">
        <v>4888</v>
      </c>
      <c r="B9420" s="4" t="s">
        <v>250</v>
      </c>
      <c r="C9420" s="38" t="s">
        <v>7865</v>
      </c>
      <c r="D9420" s="18">
        <v>2022</v>
      </c>
      <c r="E9420" s="18" t="s">
        <v>0</v>
      </c>
      <c r="F9420" s="42">
        <v>1</v>
      </c>
      <c r="G9420" s="4">
        <v>15</v>
      </c>
      <c r="H9420" s="18">
        <v>49.320999999999998</v>
      </c>
    </row>
    <row r="9421" spans="1:8" s="15" customFormat="1" ht="16.5" hidden="1" customHeight="1" outlineLevel="1" x14ac:dyDescent="0.25">
      <c r="A9421" s="18">
        <v>4952</v>
      </c>
      <c r="B9421" s="4" t="s">
        <v>250</v>
      </c>
      <c r="C9421" s="38" t="s">
        <v>7866</v>
      </c>
      <c r="D9421" s="18">
        <v>2022</v>
      </c>
      <c r="E9421" s="18" t="s">
        <v>0</v>
      </c>
      <c r="F9421" s="42">
        <v>1</v>
      </c>
      <c r="G9421" s="4">
        <v>15</v>
      </c>
      <c r="H9421" s="18">
        <v>41.247999999999998</v>
      </c>
    </row>
    <row r="9422" spans="1:8" s="15" customFormat="1" ht="16.5" hidden="1" customHeight="1" outlineLevel="1" x14ac:dyDescent="0.25">
      <c r="A9422" s="18">
        <v>4982</v>
      </c>
      <c r="B9422" s="4" t="s">
        <v>250</v>
      </c>
      <c r="C9422" s="38" t="s">
        <v>7867</v>
      </c>
      <c r="D9422" s="18">
        <v>2022</v>
      </c>
      <c r="E9422" s="18" t="s">
        <v>0</v>
      </c>
      <c r="F9422" s="42">
        <v>1</v>
      </c>
      <c r="G9422" s="4">
        <v>15</v>
      </c>
      <c r="H9422" s="18">
        <v>40.984999999999999</v>
      </c>
    </row>
    <row r="9423" spans="1:8" s="15" customFormat="1" ht="16.5" hidden="1" customHeight="1" outlineLevel="1" x14ac:dyDescent="0.25">
      <c r="A9423" s="18">
        <v>4990</v>
      </c>
      <c r="B9423" s="4" t="s">
        <v>250</v>
      </c>
      <c r="C9423" s="38" t="s">
        <v>7868</v>
      </c>
      <c r="D9423" s="18">
        <v>2022</v>
      </c>
      <c r="E9423" s="18" t="s">
        <v>0</v>
      </c>
      <c r="F9423" s="42">
        <v>1</v>
      </c>
      <c r="G9423" s="4">
        <v>15</v>
      </c>
      <c r="H9423" s="18">
        <v>40.919829999999997</v>
      </c>
    </row>
    <row r="9424" spans="1:8" s="15" customFormat="1" ht="16.5" hidden="1" customHeight="1" outlineLevel="1" x14ac:dyDescent="0.25">
      <c r="A9424" s="18">
        <v>4991</v>
      </c>
      <c r="B9424" s="4" t="s">
        <v>250</v>
      </c>
      <c r="C9424" s="38" t="s">
        <v>7869</v>
      </c>
      <c r="D9424" s="18">
        <v>2022</v>
      </c>
      <c r="E9424" s="18" t="s">
        <v>0</v>
      </c>
      <c r="F9424" s="42">
        <v>1</v>
      </c>
      <c r="G9424" s="4">
        <v>15</v>
      </c>
      <c r="H9424" s="18">
        <v>40.723299999999995</v>
      </c>
    </row>
    <row r="9425" spans="1:8" s="15" customFormat="1" ht="16.5" hidden="1" customHeight="1" outlineLevel="1" x14ac:dyDescent="0.25">
      <c r="A9425" s="18">
        <v>4993</v>
      </c>
      <c r="B9425" s="4" t="s">
        <v>250</v>
      </c>
      <c r="C9425" s="38" t="s">
        <v>7870</v>
      </c>
      <c r="D9425" s="18">
        <v>2022</v>
      </c>
      <c r="E9425" s="18" t="s">
        <v>0</v>
      </c>
      <c r="F9425" s="42">
        <v>1</v>
      </c>
      <c r="G9425" s="4">
        <v>15</v>
      </c>
      <c r="H9425" s="18">
        <v>41.378</v>
      </c>
    </row>
    <row r="9426" spans="1:8" s="15" customFormat="1" ht="16.5" hidden="1" customHeight="1" outlineLevel="1" x14ac:dyDescent="0.25">
      <c r="A9426" s="18">
        <v>5010</v>
      </c>
      <c r="B9426" s="4" t="s">
        <v>250</v>
      </c>
      <c r="C9426" s="38" t="s">
        <v>7871</v>
      </c>
      <c r="D9426" s="18">
        <v>2022</v>
      </c>
      <c r="E9426" s="18" t="s">
        <v>0</v>
      </c>
      <c r="F9426" s="42">
        <v>1</v>
      </c>
      <c r="G9426" s="4">
        <v>15</v>
      </c>
      <c r="H9426" s="18">
        <v>40.789000000000001</v>
      </c>
    </row>
    <row r="9427" spans="1:8" s="15" customFormat="1" ht="16.5" hidden="1" customHeight="1" outlineLevel="1" x14ac:dyDescent="0.25">
      <c r="A9427" s="18">
        <v>4847</v>
      </c>
      <c r="B9427" s="4" t="s">
        <v>250</v>
      </c>
      <c r="C9427" s="38" t="s">
        <v>7872</v>
      </c>
      <c r="D9427" s="18">
        <v>2022</v>
      </c>
      <c r="E9427" s="18" t="s">
        <v>0</v>
      </c>
      <c r="F9427" s="42">
        <v>1</v>
      </c>
      <c r="G9427" s="4">
        <v>7.5</v>
      </c>
      <c r="H9427" s="18">
        <v>50.215000000000003</v>
      </c>
    </row>
    <row r="9428" spans="1:8" s="15" customFormat="1" ht="16.5" hidden="1" customHeight="1" outlineLevel="1" x14ac:dyDescent="0.25">
      <c r="A9428" s="18">
        <v>4875</v>
      </c>
      <c r="B9428" s="4" t="s">
        <v>250</v>
      </c>
      <c r="C9428" s="38" t="s">
        <v>7873</v>
      </c>
      <c r="D9428" s="18">
        <v>2022</v>
      </c>
      <c r="E9428" s="18" t="s">
        <v>0</v>
      </c>
      <c r="F9428" s="42">
        <v>1</v>
      </c>
      <c r="G9428" s="4">
        <v>15</v>
      </c>
      <c r="H9428" s="18">
        <v>44.689</v>
      </c>
    </row>
    <row r="9429" spans="1:8" s="15" customFormat="1" ht="16.5" hidden="1" customHeight="1" outlineLevel="1" x14ac:dyDescent="0.25">
      <c r="A9429" s="18">
        <v>4968</v>
      </c>
      <c r="B9429" s="4" t="s">
        <v>250</v>
      </c>
      <c r="C9429" s="38" t="s">
        <v>7874</v>
      </c>
      <c r="D9429" s="18">
        <v>2022</v>
      </c>
      <c r="E9429" s="18" t="s">
        <v>0</v>
      </c>
      <c r="F9429" s="42">
        <v>1</v>
      </c>
      <c r="G9429" s="4">
        <v>15</v>
      </c>
      <c r="H9429" s="18">
        <v>37.524000000000001</v>
      </c>
    </row>
    <row r="9430" spans="1:8" s="15" customFormat="1" ht="16.5" hidden="1" customHeight="1" outlineLevel="1" x14ac:dyDescent="0.25">
      <c r="A9430" s="18">
        <v>5006</v>
      </c>
      <c r="B9430" s="4" t="s">
        <v>250</v>
      </c>
      <c r="C9430" s="38" t="s">
        <v>7875</v>
      </c>
      <c r="D9430" s="18">
        <v>2022</v>
      </c>
      <c r="E9430" s="18" t="s">
        <v>0</v>
      </c>
      <c r="F9430" s="42">
        <v>1</v>
      </c>
      <c r="G9430" s="4">
        <v>15</v>
      </c>
      <c r="H9430" s="18">
        <v>38.125</v>
      </c>
    </row>
    <row r="9431" spans="1:8" s="15" customFormat="1" ht="16.5" hidden="1" customHeight="1" outlineLevel="1" x14ac:dyDescent="0.25">
      <c r="A9431" s="18">
        <v>5016</v>
      </c>
      <c r="B9431" s="4" t="s">
        <v>250</v>
      </c>
      <c r="C9431" s="38" t="s">
        <v>7876</v>
      </c>
      <c r="D9431" s="18">
        <v>2022</v>
      </c>
      <c r="E9431" s="18" t="s">
        <v>0</v>
      </c>
      <c r="F9431" s="42">
        <v>1</v>
      </c>
      <c r="G9431" s="4">
        <v>15</v>
      </c>
      <c r="H9431" s="18">
        <v>41.295000000000002</v>
      </c>
    </row>
    <row r="9432" spans="1:8" s="15" customFormat="1" ht="16.5" hidden="1" customHeight="1" outlineLevel="1" x14ac:dyDescent="0.25">
      <c r="A9432" s="18">
        <v>4849</v>
      </c>
      <c r="B9432" s="4" t="s">
        <v>250</v>
      </c>
      <c r="C9432" s="38" t="s">
        <v>7877</v>
      </c>
      <c r="D9432" s="18">
        <v>2022</v>
      </c>
      <c r="E9432" s="18" t="s">
        <v>0</v>
      </c>
      <c r="F9432" s="42">
        <v>1</v>
      </c>
      <c r="G9432" s="4">
        <v>15</v>
      </c>
      <c r="H9432" s="18">
        <v>42.515000000000001</v>
      </c>
    </row>
    <row r="9433" spans="1:8" s="15" customFormat="1" ht="16.5" hidden="1" customHeight="1" outlineLevel="1" x14ac:dyDescent="0.25">
      <c r="A9433" s="18">
        <v>4850</v>
      </c>
      <c r="B9433" s="4" t="s">
        <v>250</v>
      </c>
      <c r="C9433" s="38" t="s">
        <v>7878</v>
      </c>
      <c r="D9433" s="18">
        <v>2022</v>
      </c>
      <c r="E9433" s="18" t="s">
        <v>0</v>
      </c>
      <c r="F9433" s="42">
        <v>1</v>
      </c>
      <c r="G9433" s="4">
        <v>15</v>
      </c>
      <c r="H9433" s="18">
        <v>42.530999999999999</v>
      </c>
    </row>
    <row r="9434" spans="1:8" s="15" customFormat="1" ht="16.5" hidden="1" customHeight="1" outlineLevel="1" x14ac:dyDescent="0.25">
      <c r="A9434" s="18">
        <v>4851</v>
      </c>
      <c r="B9434" s="4" t="s">
        <v>250</v>
      </c>
      <c r="C9434" s="38" t="s">
        <v>7879</v>
      </c>
      <c r="D9434" s="18">
        <v>2022</v>
      </c>
      <c r="E9434" s="18" t="s">
        <v>0</v>
      </c>
      <c r="F9434" s="42">
        <v>1</v>
      </c>
      <c r="G9434" s="4">
        <v>15</v>
      </c>
      <c r="H9434" s="18">
        <v>42.530999999999999</v>
      </c>
    </row>
    <row r="9435" spans="1:8" s="15" customFormat="1" ht="16.5" hidden="1" customHeight="1" outlineLevel="1" x14ac:dyDescent="0.25">
      <c r="A9435" s="18">
        <v>4964</v>
      </c>
      <c r="B9435" s="4" t="s">
        <v>250</v>
      </c>
      <c r="C9435" s="38" t="s">
        <v>7880</v>
      </c>
      <c r="D9435" s="18">
        <v>2022</v>
      </c>
      <c r="E9435" s="18" t="s">
        <v>0</v>
      </c>
      <c r="F9435" s="42">
        <v>1</v>
      </c>
      <c r="G9435" s="4">
        <v>15</v>
      </c>
      <c r="H9435" s="18">
        <v>61.604750000000003</v>
      </c>
    </row>
    <row r="9436" spans="1:8" s="15" customFormat="1" ht="16.5" hidden="1" customHeight="1" outlineLevel="1" x14ac:dyDescent="0.25">
      <c r="A9436" s="18">
        <v>4965</v>
      </c>
      <c r="B9436" s="4" t="s">
        <v>250</v>
      </c>
      <c r="C9436" s="38" t="s">
        <v>7881</v>
      </c>
      <c r="D9436" s="18">
        <v>2022</v>
      </c>
      <c r="E9436" s="18" t="s">
        <v>0</v>
      </c>
      <c r="F9436" s="42">
        <v>1</v>
      </c>
      <c r="G9436" s="4">
        <v>15</v>
      </c>
      <c r="H9436" s="18">
        <v>38.961539999999999</v>
      </c>
    </row>
    <row r="9437" spans="1:8" s="15" customFormat="1" ht="16.5" hidden="1" customHeight="1" outlineLevel="1" x14ac:dyDescent="0.25">
      <c r="A9437" s="18">
        <v>4966</v>
      </c>
      <c r="B9437" s="4" t="s">
        <v>250</v>
      </c>
      <c r="C9437" s="38" t="s">
        <v>7882</v>
      </c>
      <c r="D9437" s="18">
        <v>2022</v>
      </c>
      <c r="E9437" s="18" t="s">
        <v>0</v>
      </c>
      <c r="F9437" s="42">
        <v>1</v>
      </c>
      <c r="G9437" s="4">
        <v>15</v>
      </c>
      <c r="H9437" s="18">
        <v>38.961539999999999</v>
      </c>
    </row>
    <row r="9438" spans="1:8" s="15" customFormat="1" ht="16.5" hidden="1" customHeight="1" outlineLevel="1" x14ac:dyDescent="0.25">
      <c r="A9438" s="18">
        <v>4967</v>
      </c>
      <c r="B9438" s="4" t="s">
        <v>250</v>
      </c>
      <c r="C9438" s="38" t="s">
        <v>7883</v>
      </c>
      <c r="D9438" s="18">
        <v>2022</v>
      </c>
      <c r="E9438" s="18" t="s">
        <v>0</v>
      </c>
      <c r="F9438" s="42">
        <v>1</v>
      </c>
      <c r="G9438" s="4">
        <v>15</v>
      </c>
      <c r="H9438" s="18">
        <v>39.288999999999994</v>
      </c>
    </row>
    <row r="9439" spans="1:8" s="15" customFormat="1" ht="16.5" hidden="1" customHeight="1" outlineLevel="1" x14ac:dyDescent="0.25">
      <c r="A9439" s="18">
        <v>4970</v>
      </c>
      <c r="B9439" s="4" t="s">
        <v>250</v>
      </c>
      <c r="C9439" s="38" t="s">
        <v>7884</v>
      </c>
      <c r="D9439" s="18">
        <v>2022</v>
      </c>
      <c r="E9439" s="18" t="s">
        <v>0</v>
      </c>
      <c r="F9439" s="42">
        <v>1</v>
      </c>
      <c r="G9439" s="4">
        <v>15</v>
      </c>
      <c r="H9439" s="18">
        <v>38.386000000000003</v>
      </c>
    </row>
    <row r="9440" spans="1:8" s="15" customFormat="1" ht="16.5" hidden="1" customHeight="1" outlineLevel="1" x14ac:dyDescent="0.25">
      <c r="A9440" s="18">
        <v>4971</v>
      </c>
      <c r="B9440" s="4" t="s">
        <v>250</v>
      </c>
      <c r="C9440" s="38" t="s">
        <v>7885</v>
      </c>
      <c r="D9440" s="18">
        <v>2022</v>
      </c>
      <c r="E9440" s="18" t="s">
        <v>0</v>
      </c>
      <c r="F9440" s="42">
        <v>1</v>
      </c>
      <c r="G9440" s="4">
        <v>15</v>
      </c>
      <c r="H9440" s="18">
        <v>38.961500000000001</v>
      </c>
    </row>
    <row r="9441" spans="1:8" s="15" customFormat="1" ht="16.5" hidden="1" customHeight="1" outlineLevel="1" x14ac:dyDescent="0.25">
      <c r="A9441" s="18">
        <v>4972</v>
      </c>
      <c r="B9441" s="4" t="s">
        <v>250</v>
      </c>
      <c r="C9441" s="38" t="s">
        <v>7886</v>
      </c>
      <c r="D9441" s="18">
        <v>2022</v>
      </c>
      <c r="E9441" s="18" t="s">
        <v>0</v>
      </c>
      <c r="F9441" s="42">
        <v>1</v>
      </c>
      <c r="G9441" s="4">
        <v>15</v>
      </c>
      <c r="H9441" s="18">
        <v>39.288999999999994</v>
      </c>
    </row>
    <row r="9442" spans="1:8" s="15" customFormat="1" ht="16.5" hidden="1" customHeight="1" outlineLevel="1" x14ac:dyDescent="0.25">
      <c r="A9442" s="18">
        <v>4973</v>
      </c>
      <c r="B9442" s="4" t="s">
        <v>250</v>
      </c>
      <c r="C9442" s="38" t="s">
        <v>7887</v>
      </c>
      <c r="D9442" s="18">
        <v>2022</v>
      </c>
      <c r="E9442" s="18" t="s">
        <v>0</v>
      </c>
      <c r="F9442" s="42">
        <v>1</v>
      </c>
      <c r="G9442" s="4">
        <v>15</v>
      </c>
      <c r="H9442" s="18">
        <v>39.288999999999994</v>
      </c>
    </row>
    <row r="9443" spans="1:8" s="15" customFormat="1" ht="16.5" hidden="1" customHeight="1" outlineLevel="1" x14ac:dyDescent="0.25">
      <c r="A9443" s="18">
        <v>4974</v>
      </c>
      <c r="B9443" s="4" t="s">
        <v>250</v>
      </c>
      <c r="C9443" s="38" t="s">
        <v>7888</v>
      </c>
      <c r="D9443" s="18">
        <v>2022</v>
      </c>
      <c r="E9443" s="18" t="s">
        <v>0</v>
      </c>
      <c r="F9443" s="42">
        <v>1</v>
      </c>
      <c r="G9443" s="4">
        <v>15</v>
      </c>
      <c r="H9443" s="18">
        <v>38.634</v>
      </c>
    </row>
    <row r="9444" spans="1:8" s="15" customFormat="1" ht="16.5" hidden="1" customHeight="1" outlineLevel="1" x14ac:dyDescent="0.25">
      <c r="A9444" s="18">
        <v>4975</v>
      </c>
      <c r="B9444" s="4" t="s">
        <v>250</v>
      </c>
      <c r="C9444" s="38" t="s">
        <v>7889</v>
      </c>
      <c r="D9444" s="18">
        <v>2022</v>
      </c>
      <c r="E9444" s="18" t="s">
        <v>0</v>
      </c>
      <c r="F9444" s="42">
        <v>1</v>
      </c>
      <c r="G9444" s="4">
        <v>15</v>
      </c>
      <c r="H9444" s="18">
        <v>38.961530000000003</v>
      </c>
    </row>
    <row r="9445" spans="1:8" s="15" customFormat="1" ht="16.5" hidden="1" customHeight="1" outlineLevel="1" x14ac:dyDescent="0.25">
      <c r="A9445" s="18">
        <v>4976</v>
      </c>
      <c r="B9445" s="4" t="s">
        <v>250</v>
      </c>
      <c r="C9445" s="38" t="s">
        <v>7890</v>
      </c>
      <c r="D9445" s="18">
        <v>2022</v>
      </c>
      <c r="E9445" s="18" t="s">
        <v>0</v>
      </c>
      <c r="F9445" s="42">
        <v>1</v>
      </c>
      <c r="G9445" s="4">
        <v>15</v>
      </c>
      <c r="H9445" s="18">
        <v>38.634</v>
      </c>
    </row>
    <row r="9446" spans="1:8" s="15" customFormat="1" ht="16.5" hidden="1" customHeight="1" outlineLevel="1" x14ac:dyDescent="0.25">
      <c r="A9446" s="18">
        <v>4977</v>
      </c>
      <c r="B9446" s="4" t="s">
        <v>250</v>
      </c>
      <c r="C9446" s="38" t="s">
        <v>7891</v>
      </c>
      <c r="D9446" s="18">
        <v>2022</v>
      </c>
      <c r="E9446" s="18" t="s">
        <v>0</v>
      </c>
      <c r="F9446" s="42">
        <v>1</v>
      </c>
      <c r="G9446" s="4">
        <v>15</v>
      </c>
      <c r="H9446" s="18">
        <v>39.288999999999994</v>
      </c>
    </row>
    <row r="9447" spans="1:8" s="15" customFormat="1" ht="16.5" hidden="1" customHeight="1" outlineLevel="1" x14ac:dyDescent="0.25">
      <c r="A9447" s="18">
        <v>4978</v>
      </c>
      <c r="B9447" s="4" t="s">
        <v>250</v>
      </c>
      <c r="C9447" s="38" t="s">
        <v>7892</v>
      </c>
      <c r="D9447" s="18">
        <v>2022</v>
      </c>
      <c r="E9447" s="18" t="s">
        <v>0</v>
      </c>
      <c r="F9447" s="42">
        <v>1</v>
      </c>
      <c r="G9447" s="4">
        <v>15</v>
      </c>
      <c r="H9447" s="18">
        <v>38.386000000000003</v>
      </c>
    </row>
    <row r="9448" spans="1:8" s="15" customFormat="1" ht="16.5" hidden="1" customHeight="1" outlineLevel="1" x14ac:dyDescent="0.25">
      <c r="A9448" s="18">
        <v>4979</v>
      </c>
      <c r="B9448" s="4" t="s">
        <v>250</v>
      </c>
      <c r="C9448" s="38" t="s">
        <v>7893</v>
      </c>
      <c r="D9448" s="18">
        <v>2022</v>
      </c>
      <c r="E9448" s="18" t="s">
        <v>0</v>
      </c>
      <c r="F9448" s="42">
        <v>1</v>
      </c>
      <c r="G9448" s="4">
        <v>15</v>
      </c>
      <c r="H9448" s="18">
        <v>39.288999999999994</v>
      </c>
    </row>
    <row r="9449" spans="1:8" s="15" customFormat="1" ht="16.5" hidden="1" customHeight="1" outlineLevel="1" x14ac:dyDescent="0.25">
      <c r="A9449" s="18">
        <v>4980</v>
      </c>
      <c r="B9449" s="4" t="s">
        <v>250</v>
      </c>
      <c r="C9449" s="38" t="s">
        <v>7894</v>
      </c>
      <c r="D9449" s="18">
        <v>2022</v>
      </c>
      <c r="E9449" s="18" t="s">
        <v>0</v>
      </c>
      <c r="F9449" s="42">
        <v>1</v>
      </c>
      <c r="G9449" s="4">
        <v>15</v>
      </c>
      <c r="H9449" s="18">
        <v>39.288999999999994</v>
      </c>
    </row>
    <row r="9450" spans="1:8" s="15" customFormat="1" ht="16.5" hidden="1" customHeight="1" outlineLevel="1" x14ac:dyDescent="0.25">
      <c r="A9450" s="18">
        <v>4981</v>
      </c>
      <c r="B9450" s="4" t="s">
        <v>250</v>
      </c>
      <c r="C9450" s="38" t="s">
        <v>7895</v>
      </c>
      <c r="D9450" s="18">
        <v>2022</v>
      </c>
      <c r="E9450" s="18" t="s">
        <v>0</v>
      </c>
      <c r="F9450" s="42">
        <v>1</v>
      </c>
      <c r="G9450" s="4">
        <v>15</v>
      </c>
      <c r="H9450" s="18">
        <v>38.059000000000005</v>
      </c>
    </row>
    <row r="9451" spans="1:8" s="15" customFormat="1" ht="16.5" hidden="1" customHeight="1" outlineLevel="1" x14ac:dyDescent="0.25">
      <c r="A9451" s="18">
        <v>4999</v>
      </c>
      <c r="B9451" s="4" t="s">
        <v>250</v>
      </c>
      <c r="C9451" s="38" t="s">
        <v>7896</v>
      </c>
      <c r="D9451" s="18">
        <v>2022</v>
      </c>
      <c r="E9451" s="18" t="s">
        <v>0</v>
      </c>
      <c r="F9451" s="42">
        <v>1</v>
      </c>
      <c r="G9451" s="4">
        <v>15</v>
      </c>
      <c r="H9451" s="18">
        <v>38.961999999999996</v>
      </c>
    </row>
    <row r="9452" spans="1:8" s="15" customFormat="1" ht="16.5" hidden="1" customHeight="1" outlineLevel="1" x14ac:dyDescent="0.25">
      <c r="A9452" s="18">
        <v>5000</v>
      </c>
      <c r="B9452" s="4" t="s">
        <v>250</v>
      </c>
      <c r="C9452" s="38" t="s">
        <v>7897</v>
      </c>
      <c r="D9452" s="18">
        <v>2022</v>
      </c>
      <c r="E9452" s="18" t="s">
        <v>0</v>
      </c>
      <c r="F9452" s="42">
        <v>1</v>
      </c>
      <c r="G9452" s="4">
        <v>15</v>
      </c>
      <c r="H9452" s="18">
        <v>38.961000000000006</v>
      </c>
    </row>
    <row r="9453" spans="1:8" s="15" customFormat="1" ht="16.5" hidden="1" customHeight="1" outlineLevel="1" x14ac:dyDescent="0.25">
      <c r="A9453" s="18">
        <v>5001</v>
      </c>
      <c r="B9453" s="4" t="s">
        <v>250</v>
      </c>
      <c r="C9453" s="38" t="s">
        <v>7898</v>
      </c>
      <c r="D9453" s="18">
        <v>2022</v>
      </c>
      <c r="E9453" s="18" t="s">
        <v>0</v>
      </c>
      <c r="F9453" s="42">
        <v>1</v>
      </c>
      <c r="G9453" s="4">
        <v>15</v>
      </c>
      <c r="H9453" s="18">
        <v>39.288999999999994</v>
      </c>
    </row>
    <row r="9454" spans="1:8" s="15" customFormat="1" ht="16.5" hidden="1" customHeight="1" outlineLevel="1" x14ac:dyDescent="0.25">
      <c r="A9454" s="18">
        <v>5013</v>
      </c>
      <c r="B9454" s="4" t="s">
        <v>250</v>
      </c>
      <c r="C9454" s="38" t="s">
        <v>7899</v>
      </c>
      <c r="D9454" s="18">
        <v>2022</v>
      </c>
      <c r="E9454" s="18" t="s">
        <v>0</v>
      </c>
      <c r="F9454" s="42">
        <v>1</v>
      </c>
      <c r="G9454" s="4">
        <v>50</v>
      </c>
      <c r="H9454" s="18">
        <v>38.961000000000006</v>
      </c>
    </row>
    <row r="9455" spans="1:8" s="15" customFormat="1" ht="16.5" hidden="1" customHeight="1" outlineLevel="1" x14ac:dyDescent="0.25">
      <c r="A9455" s="18">
        <v>4880</v>
      </c>
      <c r="B9455" s="4" t="s">
        <v>250</v>
      </c>
      <c r="C9455" s="38" t="s">
        <v>4115</v>
      </c>
      <c r="D9455" s="18">
        <v>2022</v>
      </c>
      <c r="E9455" s="18" t="s">
        <v>0</v>
      </c>
      <c r="F9455" s="42">
        <v>1</v>
      </c>
      <c r="G9455" s="4">
        <v>15</v>
      </c>
      <c r="H9455" s="18">
        <v>69.734000000000009</v>
      </c>
    </row>
    <row r="9456" spans="1:8" s="15" customFormat="1" ht="16.5" hidden="1" customHeight="1" outlineLevel="1" x14ac:dyDescent="0.25">
      <c r="A9456" s="18">
        <v>5023</v>
      </c>
      <c r="B9456" s="4" t="s">
        <v>250</v>
      </c>
      <c r="C9456" s="38" t="s">
        <v>7900</v>
      </c>
      <c r="D9456" s="18">
        <v>2022</v>
      </c>
      <c r="E9456" s="18" t="s">
        <v>0</v>
      </c>
      <c r="F9456" s="42">
        <v>1</v>
      </c>
      <c r="G9456" s="4">
        <v>14</v>
      </c>
      <c r="H9456" s="18">
        <v>41.550700000000006</v>
      </c>
    </row>
    <row r="9457" spans="1:8" s="15" customFormat="1" ht="16.5" hidden="1" customHeight="1" outlineLevel="1" x14ac:dyDescent="0.25">
      <c r="A9457" s="18">
        <v>5028</v>
      </c>
      <c r="B9457" s="4" t="s">
        <v>250</v>
      </c>
      <c r="C9457" s="38" t="s">
        <v>7901</v>
      </c>
      <c r="D9457" s="18">
        <v>2022</v>
      </c>
      <c r="E9457" s="18" t="s">
        <v>0</v>
      </c>
      <c r="F9457" s="42">
        <v>1</v>
      </c>
      <c r="G9457" s="4">
        <v>15</v>
      </c>
      <c r="H9457" s="18">
        <v>41.582300000000004</v>
      </c>
    </row>
    <row r="9458" spans="1:8" s="15" customFormat="1" ht="16.5" hidden="1" customHeight="1" outlineLevel="1" x14ac:dyDescent="0.25">
      <c r="A9458" s="18">
        <v>5029</v>
      </c>
      <c r="B9458" s="4" t="s">
        <v>250</v>
      </c>
      <c r="C9458" s="38" t="s">
        <v>7902</v>
      </c>
      <c r="D9458" s="18">
        <v>2022</v>
      </c>
      <c r="E9458" s="18" t="s">
        <v>0</v>
      </c>
      <c r="F9458" s="42">
        <v>1</v>
      </c>
      <c r="G9458" s="4">
        <v>15</v>
      </c>
      <c r="H9458" s="18">
        <v>41.069500000000005</v>
      </c>
    </row>
    <row r="9459" spans="1:8" s="15" customFormat="1" ht="16.5" hidden="1" customHeight="1" outlineLevel="1" x14ac:dyDescent="0.25">
      <c r="A9459" s="18">
        <v>5040</v>
      </c>
      <c r="B9459" s="4" t="s">
        <v>250</v>
      </c>
      <c r="C9459" s="38" t="s">
        <v>7903</v>
      </c>
      <c r="D9459" s="18">
        <v>2022</v>
      </c>
      <c r="E9459" s="18" t="s">
        <v>0</v>
      </c>
      <c r="F9459" s="42">
        <v>1</v>
      </c>
      <c r="G9459" s="4">
        <v>15</v>
      </c>
      <c r="H9459" s="18">
        <v>41.069500000000005</v>
      </c>
    </row>
    <row r="9460" spans="1:8" s="15" customFormat="1" ht="16.5" hidden="1" customHeight="1" outlineLevel="1" x14ac:dyDescent="0.25">
      <c r="A9460" s="18">
        <v>4917</v>
      </c>
      <c r="B9460" s="4" t="s">
        <v>250</v>
      </c>
      <c r="C9460" s="38" t="s">
        <v>4116</v>
      </c>
      <c r="D9460" s="18">
        <v>2022</v>
      </c>
      <c r="E9460" s="18" t="s">
        <v>0</v>
      </c>
      <c r="F9460" s="42">
        <v>1</v>
      </c>
      <c r="G9460" s="4">
        <v>15</v>
      </c>
      <c r="H9460" s="18">
        <v>81.466999999999999</v>
      </c>
    </row>
    <row r="9461" spans="1:8" s="15" customFormat="1" ht="16.5" hidden="1" customHeight="1" outlineLevel="1" x14ac:dyDescent="0.25">
      <c r="A9461" s="18">
        <v>5022</v>
      </c>
      <c r="B9461" s="4" t="s">
        <v>250</v>
      </c>
      <c r="C9461" s="38" t="s">
        <v>7904</v>
      </c>
      <c r="D9461" s="18">
        <v>2022</v>
      </c>
      <c r="E9461" s="18" t="s">
        <v>0</v>
      </c>
      <c r="F9461" s="42">
        <v>1</v>
      </c>
      <c r="G9461" s="4">
        <v>15</v>
      </c>
      <c r="H9461" s="18">
        <v>46.305600000000005</v>
      </c>
    </row>
    <row r="9462" spans="1:8" s="15" customFormat="1" ht="16.5" hidden="1" customHeight="1" outlineLevel="1" x14ac:dyDescent="0.25">
      <c r="A9462" s="18">
        <v>5030</v>
      </c>
      <c r="B9462" s="4" t="s">
        <v>250</v>
      </c>
      <c r="C9462" s="38" t="s">
        <v>7905</v>
      </c>
      <c r="D9462" s="18">
        <v>2022</v>
      </c>
      <c r="E9462" s="18" t="s">
        <v>0</v>
      </c>
      <c r="F9462" s="42">
        <v>1</v>
      </c>
      <c r="G9462" s="4">
        <v>10.1</v>
      </c>
      <c r="H9462" s="18">
        <v>38.784999999999997</v>
      </c>
    </row>
    <row r="9463" spans="1:8" s="15" customFormat="1" ht="16.5" hidden="1" customHeight="1" outlineLevel="1" x14ac:dyDescent="0.25">
      <c r="A9463" s="18">
        <v>5031</v>
      </c>
      <c r="B9463" s="4" t="s">
        <v>250</v>
      </c>
      <c r="C9463" s="38" t="s">
        <v>7906</v>
      </c>
      <c r="D9463" s="18">
        <v>2022</v>
      </c>
      <c r="E9463" s="18" t="s">
        <v>0</v>
      </c>
      <c r="F9463" s="42">
        <v>1</v>
      </c>
      <c r="G9463" s="4">
        <v>15</v>
      </c>
      <c r="H9463" s="18">
        <v>38.85</v>
      </c>
    </row>
    <row r="9464" spans="1:8" s="15" customFormat="1" ht="16.5" hidden="1" customHeight="1" outlineLevel="1" x14ac:dyDescent="0.25">
      <c r="A9464" s="18">
        <v>5043</v>
      </c>
      <c r="B9464" s="4" t="s">
        <v>250</v>
      </c>
      <c r="C9464" s="38" t="s">
        <v>7907</v>
      </c>
      <c r="D9464" s="18">
        <v>2022</v>
      </c>
      <c r="E9464" s="18" t="s">
        <v>0</v>
      </c>
      <c r="F9464" s="42">
        <v>1</v>
      </c>
      <c r="G9464" s="4">
        <v>10</v>
      </c>
      <c r="H9464" s="18">
        <v>46.448</v>
      </c>
    </row>
    <row r="9465" spans="1:8" s="15" customFormat="1" ht="16.5" hidden="1" customHeight="1" outlineLevel="1" x14ac:dyDescent="0.25">
      <c r="A9465" s="18">
        <v>5044</v>
      </c>
      <c r="B9465" s="4" t="s">
        <v>250</v>
      </c>
      <c r="C9465" s="38" t="s">
        <v>7908</v>
      </c>
      <c r="D9465" s="18">
        <v>2022</v>
      </c>
      <c r="E9465" s="18" t="s">
        <v>0</v>
      </c>
      <c r="F9465" s="42">
        <v>1</v>
      </c>
      <c r="G9465" s="4">
        <v>15</v>
      </c>
      <c r="H9465" s="18">
        <v>46.305</v>
      </c>
    </row>
    <row r="9466" spans="1:8" s="15" customFormat="1" ht="16.5" hidden="1" customHeight="1" outlineLevel="1" x14ac:dyDescent="0.25">
      <c r="A9466" s="18">
        <v>5045</v>
      </c>
      <c r="B9466" s="4" t="s">
        <v>250</v>
      </c>
      <c r="C9466" s="38" t="s">
        <v>7909</v>
      </c>
      <c r="D9466" s="18">
        <v>2022</v>
      </c>
      <c r="E9466" s="18" t="s">
        <v>0</v>
      </c>
      <c r="F9466" s="42">
        <v>1</v>
      </c>
      <c r="G9466" s="4">
        <v>15</v>
      </c>
      <c r="H9466" s="18">
        <v>38.862000000000002</v>
      </c>
    </row>
    <row r="9467" spans="1:8" s="15" customFormat="1" ht="16.5" hidden="1" customHeight="1" outlineLevel="1" x14ac:dyDescent="0.25">
      <c r="A9467" s="18">
        <v>5047</v>
      </c>
      <c r="B9467" s="4" t="s">
        <v>250</v>
      </c>
      <c r="C9467" s="38" t="s">
        <v>7910</v>
      </c>
      <c r="D9467" s="18">
        <v>2022</v>
      </c>
      <c r="E9467" s="18" t="s">
        <v>0</v>
      </c>
      <c r="F9467" s="42">
        <v>1</v>
      </c>
      <c r="G9467" s="4">
        <v>15</v>
      </c>
      <c r="H9467" s="18">
        <v>38.914999999999999</v>
      </c>
    </row>
    <row r="9468" spans="1:8" s="15" customFormat="1" ht="16.5" hidden="1" customHeight="1" outlineLevel="1" x14ac:dyDescent="0.25">
      <c r="A9468" s="18">
        <v>5050</v>
      </c>
      <c r="B9468" s="4" t="s">
        <v>250</v>
      </c>
      <c r="C9468" s="38" t="s">
        <v>4117</v>
      </c>
      <c r="D9468" s="18">
        <v>2022</v>
      </c>
      <c r="E9468" s="18" t="s">
        <v>0</v>
      </c>
      <c r="F9468" s="42">
        <v>2</v>
      </c>
      <c r="G9468" s="4">
        <v>25</v>
      </c>
      <c r="H9468" s="18">
        <v>166.97</v>
      </c>
    </row>
    <row r="9469" spans="1:8" s="15" customFormat="1" ht="16.5" hidden="1" customHeight="1" outlineLevel="1" x14ac:dyDescent="0.25">
      <c r="A9469" s="18">
        <v>5052</v>
      </c>
      <c r="B9469" s="4" t="s">
        <v>250</v>
      </c>
      <c r="C9469" s="38" t="s">
        <v>4118</v>
      </c>
      <c r="D9469" s="18">
        <v>2022</v>
      </c>
      <c r="E9469" s="18" t="s">
        <v>0</v>
      </c>
      <c r="F9469" s="42">
        <v>1</v>
      </c>
      <c r="G9469" s="4">
        <v>15</v>
      </c>
      <c r="H9469" s="18">
        <v>79.320000000000007</v>
      </c>
    </row>
    <row r="9470" spans="1:8" s="15" customFormat="1" ht="16.5" hidden="1" customHeight="1" outlineLevel="1" x14ac:dyDescent="0.25">
      <c r="A9470" s="18">
        <v>5053</v>
      </c>
      <c r="B9470" s="4" t="s">
        <v>250</v>
      </c>
      <c r="C9470" s="38" t="s">
        <v>4132</v>
      </c>
      <c r="D9470" s="18">
        <v>2022</v>
      </c>
      <c r="E9470" s="18" t="s">
        <v>0</v>
      </c>
      <c r="F9470" s="42">
        <v>1</v>
      </c>
      <c r="G9470" s="4">
        <v>15</v>
      </c>
      <c r="H9470" s="18">
        <v>79.680000000000007</v>
      </c>
    </row>
    <row r="9471" spans="1:8" s="15" customFormat="1" ht="16.5" hidden="1" customHeight="1" outlineLevel="1" x14ac:dyDescent="0.25">
      <c r="A9471" s="18">
        <v>5055</v>
      </c>
      <c r="B9471" s="4" t="s">
        <v>250</v>
      </c>
      <c r="C9471" s="38" t="s">
        <v>4119</v>
      </c>
      <c r="D9471" s="18">
        <v>2022</v>
      </c>
      <c r="E9471" s="18" t="s">
        <v>0</v>
      </c>
      <c r="F9471" s="42">
        <v>1</v>
      </c>
      <c r="G9471" s="4">
        <v>15</v>
      </c>
      <c r="H9471" s="18">
        <v>87.573999999999998</v>
      </c>
    </row>
    <row r="9472" spans="1:8" s="15" customFormat="1" ht="16.5" hidden="1" customHeight="1" outlineLevel="1" x14ac:dyDescent="0.25">
      <c r="A9472" s="18">
        <v>4800</v>
      </c>
      <c r="B9472" s="4" t="s">
        <v>250</v>
      </c>
      <c r="C9472" s="38" t="s">
        <v>4120</v>
      </c>
      <c r="D9472" s="18">
        <v>2022</v>
      </c>
      <c r="E9472" s="18" t="s">
        <v>0</v>
      </c>
      <c r="F9472" s="42">
        <v>1</v>
      </c>
      <c r="G9472" s="4">
        <v>15</v>
      </c>
      <c r="H9472" s="18">
        <v>62.144999999999996</v>
      </c>
    </row>
    <row r="9473" spans="1:8" s="15" customFormat="1" ht="16.5" hidden="1" customHeight="1" outlineLevel="1" x14ac:dyDescent="0.25">
      <c r="A9473" s="18">
        <v>5054</v>
      </c>
      <c r="B9473" s="4" t="s">
        <v>250</v>
      </c>
      <c r="C9473" s="38" t="s">
        <v>4121</v>
      </c>
      <c r="D9473" s="18">
        <v>2022</v>
      </c>
      <c r="E9473" s="18" t="s">
        <v>0</v>
      </c>
      <c r="F9473" s="42">
        <v>1</v>
      </c>
      <c r="G9473" s="4">
        <v>15</v>
      </c>
      <c r="H9473" s="18">
        <v>91.715000000000003</v>
      </c>
    </row>
    <row r="9474" spans="1:8" s="15" customFormat="1" ht="16.5" hidden="1" customHeight="1" outlineLevel="1" x14ac:dyDescent="0.25">
      <c r="A9474" s="18">
        <v>4913</v>
      </c>
      <c r="B9474" s="4" t="s">
        <v>250</v>
      </c>
      <c r="C9474" s="38" t="s">
        <v>4222</v>
      </c>
      <c r="D9474" s="18">
        <v>2022</v>
      </c>
      <c r="E9474" s="18" t="s">
        <v>0</v>
      </c>
      <c r="F9474" s="42">
        <v>2</v>
      </c>
      <c r="G9474" s="4">
        <v>25</v>
      </c>
      <c r="H9474" s="18">
        <v>123.482</v>
      </c>
    </row>
    <row r="9475" spans="1:8" s="15" customFormat="1" ht="16.5" hidden="1" customHeight="1" outlineLevel="1" x14ac:dyDescent="0.25">
      <c r="A9475" s="18">
        <v>4948</v>
      </c>
      <c r="B9475" s="4" t="s">
        <v>250</v>
      </c>
      <c r="C9475" s="38" t="s">
        <v>4122</v>
      </c>
      <c r="D9475" s="18">
        <v>2022</v>
      </c>
      <c r="E9475" s="18" t="s">
        <v>0</v>
      </c>
      <c r="F9475" s="42">
        <v>1</v>
      </c>
      <c r="G9475" s="4">
        <v>15</v>
      </c>
      <c r="H9475" s="18">
        <v>75.962000000000003</v>
      </c>
    </row>
    <row r="9476" spans="1:8" s="15" customFormat="1" ht="16.5" hidden="1" customHeight="1" outlineLevel="1" x14ac:dyDescent="0.25">
      <c r="A9476" s="18">
        <v>5024</v>
      </c>
      <c r="B9476" s="4" t="s">
        <v>250</v>
      </c>
      <c r="C9476" s="38" t="s">
        <v>7911</v>
      </c>
      <c r="D9476" s="18">
        <v>2022</v>
      </c>
      <c r="E9476" s="18" t="s">
        <v>0</v>
      </c>
      <c r="F9476" s="42">
        <v>1</v>
      </c>
      <c r="G9476" s="4">
        <v>15</v>
      </c>
      <c r="H9476" s="18">
        <v>38.234499999999997</v>
      </c>
    </row>
    <row r="9477" spans="1:8" s="15" customFormat="1" ht="16.5" hidden="1" customHeight="1" outlineLevel="1" x14ac:dyDescent="0.25">
      <c r="A9477" s="18">
        <v>5026</v>
      </c>
      <c r="B9477" s="4" t="s">
        <v>250</v>
      </c>
      <c r="C9477" s="38" t="s">
        <v>7912</v>
      </c>
      <c r="D9477" s="18">
        <v>2022</v>
      </c>
      <c r="E9477" s="18" t="s">
        <v>0</v>
      </c>
      <c r="F9477" s="42">
        <v>1</v>
      </c>
      <c r="G9477" s="4">
        <v>15</v>
      </c>
      <c r="H9477" s="18">
        <v>38.209699999999998</v>
      </c>
    </row>
    <row r="9478" spans="1:8" s="15" customFormat="1" ht="16.5" hidden="1" customHeight="1" outlineLevel="1" x14ac:dyDescent="0.25">
      <c r="A9478" s="18">
        <v>5032</v>
      </c>
      <c r="B9478" s="4" t="s">
        <v>250</v>
      </c>
      <c r="C9478" s="38" t="s">
        <v>7913</v>
      </c>
      <c r="D9478" s="18">
        <v>2022</v>
      </c>
      <c r="E9478" s="18" t="s">
        <v>0</v>
      </c>
      <c r="F9478" s="42">
        <v>1</v>
      </c>
      <c r="G9478" s="4">
        <v>15</v>
      </c>
      <c r="H9478" s="18">
        <v>37.637999999999998</v>
      </c>
    </row>
    <row r="9479" spans="1:8" s="15" customFormat="1" ht="16.5" hidden="1" customHeight="1" outlineLevel="1" x14ac:dyDescent="0.25">
      <c r="A9479" s="18">
        <v>5035</v>
      </c>
      <c r="B9479" s="4" t="s">
        <v>250</v>
      </c>
      <c r="C9479" s="38" t="s">
        <v>7914</v>
      </c>
      <c r="D9479" s="18">
        <v>2022</v>
      </c>
      <c r="E9479" s="18" t="s">
        <v>0</v>
      </c>
      <c r="F9479" s="42">
        <v>1</v>
      </c>
      <c r="G9479" s="4">
        <v>15</v>
      </c>
      <c r="H9479" s="18">
        <v>38.146999999999998</v>
      </c>
    </row>
    <row r="9480" spans="1:8" s="15" customFormat="1" ht="16.5" hidden="1" customHeight="1" outlineLevel="1" x14ac:dyDescent="0.25">
      <c r="A9480" s="18">
        <v>5037</v>
      </c>
      <c r="B9480" s="4" t="s">
        <v>250</v>
      </c>
      <c r="C9480" s="38" t="s">
        <v>7915</v>
      </c>
      <c r="D9480" s="18">
        <v>2022</v>
      </c>
      <c r="E9480" s="18" t="s">
        <v>0</v>
      </c>
      <c r="F9480" s="42">
        <v>1</v>
      </c>
      <c r="G9480" s="4">
        <v>15</v>
      </c>
      <c r="H9480" s="18">
        <v>35.825000000000003</v>
      </c>
    </row>
    <row r="9481" spans="1:8" s="15" customFormat="1" ht="16.5" hidden="1" customHeight="1" outlineLevel="1" x14ac:dyDescent="0.25">
      <c r="A9481" s="18">
        <v>5038</v>
      </c>
      <c r="B9481" s="4" t="s">
        <v>250</v>
      </c>
      <c r="C9481" s="38" t="s">
        <v>7916</v>
      </c>
      <c r="D9481" s="18">
        <v>2022</v>
      </c>
      <c r="E9481" s="18" t="s">
        <v>0</v>
      </c>
      <c r="F9481" s="42">
        <v>1</v>
      </c>
      <c r="G9481" s="4">
        <v>15</v>
      </c>
      <c r="H9481" s="18">
        <v>36.401000000000003</v>
      </c>
    </row>
    <row r="9482" spans="1:8" s="15" customFormat="1" ht="16.5" hidden="1" customHeight="1" outlineLevel="1" x14ac:dyDescent="0.25">
      <c r="A9482" s="18">
        <v>5039</v>
      </c>
      <c r="B9482" s="4" t="s">
        <v>250</v>
      </c>
      <c r="C9482" s="38" t="s">
        <v>7917</v>
      </c>
      <c r="D9482" s="18">
        <v>2022</v>
      </c>
      <c r="E9482" s="18" t="s">
        <v>0</v>
      </c>
      <c r="F9482" s="42">
        <v>1</v>
      </c>
      <c r="G9482" s="4">
        <v>15</v>
      </c>
      <c r="H9482" s="18">
        <v>36.15</v>
      </c>
    </row>
    <row r="9483" spans="1:8" s="15" customFormat="1" ht="16.5" hidden="1" customHeight="1" outlineLevel="1" x14ac:dyDescent="0.25">
      <c r="A9483" s="18">
        <v>5041</v>
      </c>
      <c r="B9483" s="4" t="s">
        <v>250</v>
      </c>
      <c r="C9483" s="38" t="s">
        <v>7918</v>
      </c>
      <c r="D9483" s="18">
        <v>2022</v>
      </c>
      <c r="E9483" s="18" t="s">
        <v>0</v>
      </c>
      <c r="F9483" s="42">
        <v>1</v>
      </c>
      <c r="G9483" s="4">
        <v>15</v>
      </c>
      <c r="H9483" s="18">
        <v>37.461500000000001</v>
      </c>
    </row>
    <row r="9484" spans="1:8" s="15" customFormat="1" ht="16.5" hidden="1" customHeight="1" outlineLevel="1" x14ac:dyDescent="0.25">
      <c r="A9484" s="18">
        <v>5042</v>
      </c>
      <c r="B9484" s="4" t="s">
        <v>250</v>
      </c>
      <c r="C9484" s="38" t="s">
        <v>7919</v>
      </c>
      <c r="D9484" s="18">
        <v>2022</v>
      </c>
      <c r="E9484" s="18" t="s">
        <v>0</v>
      </c>
      <c r="F9484" s="42">
        <v>1</v>
      </c>
      <c r="G9484" s="4">
        <v>15</v>
      </c>
      <c r="H9484" s="18">
        <v>37.591999999999999</v>
      </c>
    </row>
    <row r="9485" spans="1:8" s="15" customFormat="1" ht="16.5" hidden="1" customHeight="1" outlineLevel="1" x14ac:dyDescent="0.25">
      <c r="A9485" s="18">
        <v>5046</v>
      </c>
      <c r="B9485" s="4" t="s">
        <v>250</v>
      </c>
      <c r="C9485" s="38" t="s">
        <v>7920</v>
      </c>
      <c r="D9485" s="18">
        <v>2022</v>
      </c>
      <c r="E9485" s="18" t="s">
        <v>0</v>
      </c>
      <c r="F9485" s="42">
        <v>1</v>
      </c>
      <c r="G9485" s="4">
        <v>10</v>
      </c>
      <c r="H9485" s="18">
        <v>35.280999999999999</v>
      </c>
    </row>
    <row r="9486" spans="1:8" s="15" customFormat="1" ht="16.5" hidden="1" customHeight="1" outlineLevel="1" x14ac:dyDescent="0.25">
      <c r="A9486" s="18">
        <v>4842</v>
      </c>
      <c r="B9486" s="4" t="s">
        <v>250</v>
      </c>
      <c r="C9486" s="38" t="s">
        <v>7921</v>
      </c>
      <c r="D9486" s="18">
        <v>2022</v>
      </c>
      <c r="E9486" s="18" t="s">
        <v>0</v>
      </c>
      <c r="F9486" s="42">
        <v>1</v>
      </c>
      <c r="G9486" s="4">
        <v>11</v>
      </c>
      <c r="H9486" s="18">
        <v>51.774000000000001</v>
      </c>
    </row>
    <row r="9487" spans="1:8" s="15" customFormat="1" ht="16.5" hidden="1" customHeight="1" outlineLevel="1" x14ac:dyDescent="0.25">
      <c r="A9487" s="18">
        <v>4674</v>
      </c>
      <c r="B9487" s="4" t="s">
        <v>250</v>
      </c>
      <c r="C9487" s="38" t="s">
        <v>4123</v>
      </c>
      <c r="D9487" s="18">
        <v>2022</v>
      </c>
      <c r="E9487" s="18" t="s">
        <v>0</v>
      </c>
      <c r="F9487" s="42">
        <v>1</v>
      </c>
      <c r="G9487" s="4">
        <v>45.5</v>
      </c>
      <c r="H9487" s="18">
        <v>60.219000000000001</v>
      </c>
    </row>
    <row r="9488" spans="1:8" s="15" customFormat="1" ht="16.5" hidden="1" customHeight="1" outlineLevel="1" x14ac:dyDescent="0.25">
      <c r="A9488" s="18">
        <v>4799</v>
      </c>
      <c r="B9488" s="4" t="s">
        <v>250</v>
      </c>
      <c r="C9488" s="38" t="s">
        <v>4124</v>
      </c>
      <c r="D9488" s="18">
        <v>2022</v>
      </c>
      <c r="E9488" s="18" t="s">
        <v>0</v>
      </c>
      <c r="F9488" s="42">
        <v>1</v>
      </c>
      <c r="G9488" s="4">
        <v>15</v>
      </c>
      <c r="H9488" s="18">
        <v>59.102000000000004</v>
      </c>
    </row>
    <row r="9489" spans="1:8" s="15" customFormat="1" ht="16.5" hidden="1" customHeight="1" outlineLevel="1" x14ac:dyDescent="0.25">
      <c r="A9489" s="18">
        <v>5049</v>
      </c>
      <c r="B9489" s="4" t="s">
        <v>250</v>
      </c>
      <c r="C9489" s="38" t="s">
        <v>4126</v>
      </c>
      <c r="D9489" s="18">
        <v>2022</v>
      </c>
      <c r="E9489" s="18" t="s">
        <v>0</v>
      </c>
      <c r="F9489" s="42">
        <v>1</v>
      </c>
      <c r="G9489" s="4">
        <v>15</v>
      </c>
      <c r="H9489" s="18">
        <v>79.228000000000009</v>
      </c>
    </row>
    <row r="9490" spans="1:8" s="15" customFormat="1" ht="16.5" hidden="1" customHeight="1" outlineLevel="1" x14ac:dyDescent="0.25">
      <c r="A9490" s="18">
        <v>5025</v>
      </c>
      <c r="B9490" s="4" t="s">
        <v>250</v>
      </c>
      <c r="C9490" s="38" t="s">
        <v>7922</v>
      </c>
      <c r="D9490" s="18">
        <v>2022</v>
      </c>
      <c r="E9490" s="18" t="s">
        <v>0</v>
      </c>
      <c r="F9490" s="42">
        <v>1</v>
      </c>
      <c r="G9490" s="4">
        <v>15</v>
      </c>
      <c r="H9490" s="18">
        <v>38.036999999999999</v>
      </c>
    </row>
    <row r="9491" spans="1:8" s="15" customFormat="1" ht="16.5" hidden="1" customHeight="1" outlineLevel="1" x14ac:dyDescent="0.25">
      <c r="A9491" s="18">
        <v>5051</v>
      </c>
      <c r="B9491" s="4" t="s">
        <v>250</v>
      </c>
      <c r="C9491" s="38" t="s">
        <v>4127</v>
      </c>
      <c r="D9491" s="18">
        <v>2022</v>
      </c>
      <c r="E9491" s="18" t="s">
        <v>0</v>
      </c>
      <c r="F9491" s="42">
        <v>1</v>
      </c>
      <c r="G9491" s="4">
        <v>15</v>
      </c>
      <c r="H9491" s="18">
        <v>84.341999999999999</v>
      </c>
    </row>
    <row r="9492" spans="1:8" s="15" customFormat="1" ht="16.5" hidden="1" customHeight="1" outlineLevel="1" x14ac:dyDescent="0.25">
      <c r="A9492" s="18">
        <v>5027</v>
      </c>
      <c r="B9492" s="4" t="s">
        <v>250</v>
      </c>
      <c r="C9492" s="38" t="s">
        <v>7923</v>
      </c>
      <c r="D9492" s="18">
        <v>2022</v>
      </c>
      <c r="E9492" s="18" t="s">
        <v>0</v>
      </c>
      <c r="F9492" s="42">
        <v>1</v>
      </c>
      <c r="G9492" s="4">
        <v>46</v>
      </c>
      <c r="H9492" s="18">
        <v>35.971000000000004</v>
      </c>
    </row>
    <row r="9493" spans="1:8" s="15" customFormat="1" ht="16.5" hidden="1" customHeight="1" outlineLevel="1" x14ac:dyDescent="0.25">
      <c r="A9493" s="18">
        <v>5036</v>
      </c>
      <c r="B9493" s="4" t="s">
        <v>250</v>
      </c>
      <c r="C9493" s="38" t="s">
        <v>7924</v>
      </c>
      <c r="D9493" s="18">
        <v>2022</v>
      </c>
      <c r="E9493" s="18" t="s">
        <v>0</v>
      </c>
      <c r="F9493" s="42">
        <v>1</v>
      </c>
      <c r="G9493" s="4">
        <v>14</v>
      </c>
      <c r="H9493" s="18">
        <v>35.977799999999995</v>
      </c>
    </row>
    <row r="9494" spans="1:8" s="15" customFormat="1" ht="16.5" hidden="1" customHeight="1" outlineLevel="1" x14ac:dyDescent="0.25">
      <c r="A9494" s="18">
        <v>4550</v>
      </c>
      <c r="B9494" s="4" t="s">
        <v>250</v>
      </c>
      <c r="C9494" s="38" t="s">
        <v>4228</v>
      </c>
      <c r="D9494" s="18">
        <v>2022</v>
      </c>
      <c r="E9494" s="18" t="s">
        <v>0</v>
      </c>
      <c r="F9494" s="42">
        <v>1</v>
      </c>
      <c r="G9494" s="4">
        <v>2000</v>
      </c>
      <c r="H9494" s="18">
        <v>368.4</v>
      </c>
    </row>
    <row r="9495" spans="1:8" s="15" customFormat="1" ht="16.5" hidden="1" customHeight="1" outlineLevel="1" x14ac:dyDescent="0.25">
      <c r="A9495" s="18">
        <v>2006</v>
      </c>
      <c r="B9495" s="4" t="s">
        <v>250</v>
      </c>
      <c r="C9495" s="38" t="s">
        <v>7925</v>
      </c>
      <c r="D9495" s="18">
        <v>2022</v>
      </c>
      <c r="E9495" s="18" t="s">
        <v>0</v>
      </c>
      <c r="F9495" s="42">
        <v>1</v>
      </c>
      <c r="G9495" s="4">
        <v>15</v>
      </c>
      <c r="H9495" s="18">
        <v>42.677999999999997</v>
      </c>
    </row>
    <row r="9496" spans="1:8" s="15" customFormat="1" ht="16.5" hidden="1" customHeight="1" outlineLevel="1" x14ac:dyDescent="0.25">
      <c r="A9496" s="18">
        <v>2066</v>
      </c>
      <c r="B9496" s="4" t="s">
        <v>250</v>
      </c>
      <c r="C9496" s="38" t="s">
        <v>7926</v>
      </c>
      <c r="D9496" s="18">
        <v>2022</v>
      </c>
      <c r="E9496" s="18" t="s">
        <v>0</v>
      </c>
      <c r="F9496" s="42">
        <v>1</v>
      </c>
      <c r="G9496" s="4">
        <v>80</v>
      </c>
      <c r="H9496" s="18">
        <v>39.92</v>
      </c>
    </row>
    <row r="9497" spans="1:8" s="15" customFormat="1" ht="16.5" hidden="1" customHeight="1" outlineLevel="1" x14ac:dyDescent="0.25">
      <c r="A9497" s="18">
        <v>1944</v>
      </c>
      <c r="B9497" s="4" t="s">
        <v>250</v>
      </c>
      <c r="C9497" s="38" t="s">
        <v>4199</v>
      </c>
      <c r="D9497" s="18">
        <v>2022</v>
      </c>
      <c r="E9497" s="18" t="s">
        <v>0</v>
      </c>
      <c r="F9497" s="42">
        <v>1</v>
      </c>
      <c r="G9497" s="4">
        <v>40</v>
      </c>
      <c r="H9497" s="18">
        <v>35.625</v>
      </c>
    </row>
    <row r="9498" spans="1:8" s="15" customFormat="1" ht="16.5" hidden="1" customHeight="1" outlineLevel="1" x14ac:dyDescent="0.25">
      <c r="A9498" s="18">
        <v>1891</v>
      </c>
      <c r="B9498" s="4" t="s">
        <v>250</v>
      </c>
      <c r="C9498" s="38" t="s">
        <v>4200</v>
      </c>
      <c r="D9498" s="18">
        <v>2022</v>
      </c>
      <c r="E9498" s="18" t="s">
        <v>0</v>
      </c>
      <c r="F9498" s="42">
        <v>1</v>
      </c>
      <c r="G9498" s="4">
        <v>150</v>
      </c>
      <c r="H9498" s="18">
        <v>28.065999999999999</v>
      </c>
    </row>
    <row r="9499" spans="1:8" s="15" customFormat="1" ht="16.5" hidden="1" customHeight="1" outlineLevel="1" x14ac:dyDescent="0.25">
      <c r="A9499" s="18">
        <v>2009</v>
      </c>
      <c r="B9499" s="4" t="s">
        <v>250</v>
      </c>
      <c r="C9499" s="38" t="s">
        <v>4201</v>
      </c>
      <c r="D9499" s="18">
        <v>2022</v>
      </c>
      <c r="E9499" s="18" t="s">
        <v>0</v>
      </c>
      <c r="F9499" s="42">
        <v>1</v>
      </c>
      <c r="G9499" s="4">
        <v>150</v>
      </c>
      <c r="H9499" s="18">
        <v>30.105</v>
      </c>
    </row>
    <row r="9500" spans="1:8" s="15" customFormat="1" ht="16.5" hidden="1" customHeight="1" outlineLevel="1" x14ac:dyDescent="0.25">
      <c r="A9500" s="18">
        <v>2152</v>
      </c>
      <c r="B9500" s="4" t="s">
        <v>250</v>
      </c>
      <c r="C9500" s="38" t="s">
        <v>7927</v>
      </c>
      <c r="D9500" s="18">
        <v>2022</v>
      </c>
      <c r="E9500" s="18" t="s">
        <v>0</v>
      </c>
      <c r="F9500" s="42">
        <v>1</v>
      </c>
      <c r="G9500" s="4">
        <v>14</v>
      </c>
      <c r="H9500" s="18">
        <v>43.234999999999999</v>
      </c>
    </row>
    <row r="9501" spans="1:8" s="15" customFormat="1" ht="16.5" hidden="1" customHeight="1" outlineLevel="1" x14ac:dyDescent="0.25">
      <c r="A9501" s="18">
        <v>2154</v>
      </c>
      <c r="B9501" s="4" t="s">
        <v>250</v>
      </c>
      <c r="C9501" s="38" t="s">
        <v>7928</v>
      </c>
      <c r="D9501" s="18">
        <v>2022</v>
      </c>
      <c r="E9501" s="18" t="s">
        <v>0</v>
      </c>
      <c r="F9501" s="42">
        <v>1</v>
      </c>
      <c r="G9501" s="4">
        <v>15</v>
      </c>
      <c r="H9501" s="18">
        <v>36.890999999999998</v>
      </c>
    </row>
    <row r="9502" spans="1:8" s="15" customFormat="1" ht="16.5" hidden="1" customHeight="1" outlineLevel="1" x14ac:dyDescent="0.25">
      <c r="A9502" s="18">
        <v>2155</v>
      </c>
      <c r="B9502" s="4" t="s">
        <v>250</v>
      </c>
      <c r="C9502" s="38" t="s">
        <v>7929</v>
      </c>
      <c r="D9502" s="18">
        <v>2022</v>
      </c>
      <c r="E9502" s="18" t="s">
        <v>0</v>
      </c>
      <c r="F9502" s="42">
        <v>1</v>
      </c>
      <c r="G9502" s="4">
        <v>15</v>
      </c>
      <c r="H9502" s="18">
        <v>32.186</v>
      </c>
    </row>
    <row r="9503" spans="1:8" s="15" customFormat="1" ht="16.5" hidden="1" customHeight="1" outlineLevel="1" x14ac:dyDescent="0.25">
      <c r="A9503" s="18">
        <v>2156</v>
      </c>
      <c r="B9503" s="4" t="s">
        <v>250</v>
      </c>
      <c r="C9503" s="38" t="s">
        <v>7930</v>
      </c>
      <c r="D9503" s="18">
        <v>2022</v>
      </c>
      <c r="E9503" s="18" t="s">
        <v>0</v>
      </c>
      <c r="F9503" s="42">
        <v>1</v>
      </c>
      <c r="G9503" s="4">
        <v>15</v>
      </c>
      <c r="H9503" s="18">
        <v>40.241</v>
      </c>
    </row>
    <row r="9504" spans="1:8" s="15" customFormat="1" ht="16.5" hidden="1" customHeight="1" outlineLevel="1" x14ac:dyDescent="0.25">
      <c r="A9504" s="18">
        <v>2159</v>
      </c>
      <c r="B9504" s="4" t="s">
        <v>250</v>
      </c>
      <c r="C9504" s="38" t="s">
        <v>7931</v>
      </c>
      <c r="D9504" s="18">
        <v>2022</v>
      </c>
      <c r="E9504" s="18" t="s">
        <v>0</v>
      </c>
      <c r="F9504" s="42">
        <v>1</v>
      </c>
      <c r="G9504" s="4">
        <v>1</v>
      </c>
      <c r="H9504" s="18">
        <v>38.44</v>
      </c>
    </row>
    <row r="9505" spans="1:8" s="15" customFormat="1" ht="16.5" hidden="1" customHeight="1" outlineLevel="1" x14ac:dyDescent="0.25">
      <c r="A9505" s="18">
        <v>2161</v>
      </c>
      <c r="B9505" s="4" t="s">
        <v>250</v>
      </c>
      <c r="C9505" s="38" t="s">
        <v>7932</v>
      </c>
      <c r="D9505" s="18">
        <v>2022</v>
      </c>
      <c r="E9505" s="18" t="s">
        <v>0</v>
      </c>
      <c r="F9505" s="42">
        <v>1</v>
      </c>
      <c r="G9505" s="4">
        <v>15</v>
      </c>
      <c r="H9505" s="18">
        <v>39.097999999999999</v>
      </c>
    </row>
    <row r="9506" spans="1:8" s="15" customFormat="1" ht="16.5" hidden="1" customHeight="1" outlineLevel="1" x14ac:dyDescent="0.25">
      <c r="A9506" s="18">
        <v>2163</v>
      </c>
      <c r="B9506" s="4" t="s">
        <v>250</v>
      </c>
      <c r="C9506" s="38" t="s">
        <v>7933</v>
      </c>
      <c r="D9506" s="18">
        <v>2022</v>
      </c>
      <c r="E9506" s="18" t="s">
        <v>0</v>
      </c>
      <c r="F9506" s="42">
        <v>1</v>
      </c>
      <c r="G9506" s="4">
        <v>15</v>
      </c>
      <c r="H9506" s="18">
        <v>38.231999999999999</v>
      </c>
    </row>
    <row r="9507" spans="1:8" s="15" customFormat="1" ht="16.5" hidden="1" customHeight="1" outlineLevel="1" x14ac:dyDescent="0.25">
      <c r="A9507" s="18">
        <v>2164</v>
      </c>
      <c r="B9507" s="4" t="s">
        <v>250</v>
      </c>
      <c r="C9507" s="38" t="s">
        <v>7934</v>
      </c>
      <c r="D9507" s="18">
        <v>2022</v>
      </c>
      <c r="E9507" s="18" t="s">
        <v>0</v>
      </c>
      <c r="F9507" s="42">
        <v>1</v>
      </c>
      <c r="G9507" s="4">
        <v>15</v>
      </c>
      <c r="H9507" s="18">
        <v>46.06</v>
      </c>
    </row>
    <row r="9508" spans="1:8" s="15" customFormat="1" ht="16.5" hidden="1" customHeight="1" outlineLevel="1" x14ac:dyDescent="0.25">
      <c r="A9508" s="18">
        <v>2165</v>
      </c>
      <c r="B9508" s="4" t="s">
        <v>250</v>
      </c>
      <c r="C9508" s="38" t="s">
        <v>7935</v>
      </c>
      <c r="D9508" s="18">
        <v>2022</v>
      </c>
      <c r="E9508" s="18" t="s">
        <v>0</v>
      </c>
      <c r="F9508" s="42">
        <v>1</v>
      </c>
      <c r="G9508" s="4">
        <v>15</v>
      </c>
      <c r="H9508" s="18">
        <v>41.058</v>
      </c>
    </row>
    <row r="9509" spans="1:8" s="15" customFormat="1" ht="16.5" hidden="1" customHeight="1" outlineLevel="1" x14ac:dyDescent="0.25">
      <c r="A9509" s="18">
        <v>2166</v>
      </c>
      <c r="B9509" s="4" t="s">
        <v>250</v>
      </c>
      <c r="C9509" s="38" t="s">
        <v>7936</v>
      </c>
      <c r="D9509" s="18">
        <v>2022</v>
      </c>
      <c r="E9509" s="18" t="s">
        <v>0</v>
      </c>
      <c r="F9509" s="42">
        <v>1</v>
      </c>
      <c r="G9509" s="4">
        <v>14</v>
      </c>
      <c r="H9509" s="18">
        <v>35.241</v>
      </c>
    </row>
    <row r="9510" spans="1:8" s="15" customFormat="1" ht="16.5" hidden="1" customHeight="1" outlineLevel="1" x14ac:dyDescent="0.25">
      <c r="A9510" s="18">
        <v>2167</v>
      </c>
      <c r="B9510" s="4" t="s">
        <v>250</v>
      </c>
      <c r="C9510" s="38" t="s">
        <v>7937</v>
      </c>
      <c r="D9510" s="18">
        <v>2022</v>
      </c>
      <c r="E9510" s="18" t="s">
        <v>0</v>
      </c>
      <c r="F9510" s="42">
        <v>1</v>
      </c>
      <c r="G9510" s="4">
        <v>14</v>
      </c>
      <c r="H9510" s="18">
        <v>43.110999999999997</v>
      </c>
    </row>
    <row r="9511" spans="1:8" s="15" customFormat="1" ht="16.5" hidden="1" customHeight="1" outlineLevel="1" x14ac:dyDescent="0.25">
      <c r="A9511" s="18">
        <v>1838</v>
      </c>
      <c r="B9511" s="4" t="s">
        <v>250</v>
      </c>
      <c r="C9511" s="38" t="s">
        <v>7938</v>
      </c>
      <c r="D9511" s="18">
        <v>2022</v>
      </c>
      <c r="E9511" s="18" t="s">
        <v>0</v>
      </c>
      <c r="F9511" s="42">
        <v>1</v>
      </c>
      <c r="G9511" s="4">
        <v>15</v>
      </c>
      <c r="H9511" s="18">
        <v>30.209</v>
      </c>
    </row>
    <row r="9512" spans="1:8" s="15" customFormat="1" ht="16.5" hidden="1" customHeight="1" outlineLevel="1" x14ac:dyDescent="0.25">
      <c r="A9512" s="18">
        <v>1871</v>
      </c>
      <c r="B9512" s="4" t="s">
        <v>250</v>
      </c>
      <c r="C9512" s="38" t="s">
        <v>7939</v>
      </c>
      <c r="D9512" s="18">
        <v>2022</v>
      </c>
      <c r="E9512" s="18" t="s">
        <v>0</v>
      </c>
      <c r="F9512" s="42">
        <v>1</v>
      </c>
      <c r="G9512" s="4">
        <v>15</v>
      </c>
      <c r="H9512" s="18">
        <v>37.267000000000003</v>
      </c>
    </row>
    <row r="9513" spans="1:8" s="15" customFormat="1" ht="16.5" hidden="1" customHeight="1" outlineLevel="1" x14ac:dyDescent="0.25">
      <c r="A9513" s="18">
        <v>1878</v>
      </c>
      <c r="B9513" s="4" t="s">
        <v>250</v>
      </c>
      <c r="C9513" s="38" t="s">
        <v>5487</v>
      </c>
      <c r="D9513" s="18">
        <v>2022</v>
      </c>
      <c r="E9513" s="18" t="s">
        <v>0</v>
      </c>
      <c r="F9513" s="42">
        <v>5</v>
      </c>
      <c r="G9513" s="4">
        <v>59</v>
      </c>
      <c r="H9513" s="18">
        <v>184.80699999999999</v>
      </c>
    </row>
    <row r="9514" spans="1:8" s="15" customFormat="1" ht="16.5" hidden="1" customHeight="1" outlineLevel="1" x14ac:dyDescent="0.25">
      <c r="A9514" s="18">
        <v>1895</v>
      </c>
      <c r="B9514" s="4" t="s">
        <v>250</v>
      </c>
      <c r="C9514" s="38" t="s">
        <v>5489</v>
      </c>
      <c r="D9514" s="18">
        <v>2022</v>
      </c>
      <c r="E9514" s="18" t="s">
        <v>0</v>
      </c>
      <c r="F9514" s="42">
        <v>2</v>
      </c>
      <c r="G9514" s="4">
        <v>52</v>
      </c>
      <c r="H9514" s="18">
        <v>77.760000000000005</v>
      </c>
    </row>
    <row r="9515" spans="1:8" s="15" customFormat="1" ht="16.5" hidden="1" customHeight="1" outlineLevel="1" x14ac:dyDescent="0.25">
      <c r="A9515" s="18">
        <v>1896</v>
      </c>
      <c r="B9515" s="4" t="s">
        <v>250</v>
      </c>
      <c r="C9515" s="38" t="s">
        <v>7940</v>
      </c>
      <c r="D9515" s="18">
        <v>2022</v>
      </c>
      <c r="E9515" s="18" t="s">
        <v>0</v>
      </c>
      <c r="F9515" s="42">
        <v>3</v>
      </c>
      <c r="G9515" s="4">
        <v>22</v>
      </c>
      <c r="H9515" s="18">
        <v>115.16800000000001</v>
      </c>
    </row>
    <row r="9516" spans="1:8" s="15" customFormat="1" ht="16.5" hidden="1" customHeight="1" outlineLevel="1" x14ac:dyDescent="0.25">
      <c r="A9516" s="18">
        <v>1913</v>
      </c>
      <c r="B9516" s="4" t="s">
        <v>250</v>
      </c>
      <c r="C9516" s="38" t="s">
        <v>7941</v>
      </c>
      <c r="D9516" s="18">
        <v>2022</v>
      </c>
      <c r="E9516" s="18" t="s">
        <v>0</v>
      </c>
      <c r="F9516" s="42">
        <v>1</v>
      </c>
      <c r="G9516" s="4">
        <v>15</v>
      </c>
      <c r="H9516" s="18">
        <v>45.29</v>
      </c>
    </row>
    <row r="9517" spans="1:8" s="15" customFormat="1" ht="16.5" hidden="1" customHeight="1" outlineLevel="1" x14ac:dyDescent="0.25">
      <c r="A9517" s="18">
        <v>1915</v>
      </c>
      <c r="B9517" s="4" t="s">
        <v>250</v>
      </c>
      <c r="C9517" s="38" t="s">
        <v>7942</v>
      </c>
      <c r="D9517" s="18">
        <v>2022</v>
      </c>
      <c r="E9517" s="18" t="s">
        <v>0</v>
      </c>
      <c r="F9517" s="42">
        <v>1</v>
      </c>
      <c r="G9517" s="4">
        <v>15</v>
      </c>
      <c r="H9517" s="18">
        <v>36.097000000000001</v>
      </c>
    </row>
    <row r="9518" spans="1:8" s="15" customFormat="1" ht="16.5" hidden="1" customHeight="1" outlineLevel="1" x14ac:dyDescent="0.25">
      <c r="A9518" s="18">
        <v>1952</v>
      </c>
      <c r="B9518" s="4" t="s">
        <v>250</v>
      </c>
      <c r="C9518" s="38" t="s">
        <v>7943</v>
      </c>
      <c r="D9518" s="18">
        <v>2022</v>
      </c>
      <c r="E9518" s="18" t="s">
        <v>0</v>
      </c>
      <c r="F9518" s="42">
        <v>1</v>
      </c>
      <c r="G9518" s="4">
        <v>15</v>
      </c>
      <c r="H9518" s="18">
        <v>40.389000000000003</v>
      </c>
    </row>
    <row r="9519" spans="1:8" s="15" customFormat="1" ht="16.5" hidden="1" customHeight="1" outlineLevel="1" x14ac:dyDescent="0.25">
      <c r="A9519" s="18">
        <v>1960</v>
      </c>
      <c r="B9519" s="4" t="s">
        <v>250</v>
      </c>
      <c r="C9519" s="38" t="s">
        <v>7944</v>
      </c>
      <c r="D9519" s="18">
        <v>2022</v>
      </c>
      <c r="E9519" s="18" t="s">
        <v>0</v>
      </c>
      <c r="F9519" s="42">
        <v>1</v>
      </c>
      <c r="G9519" s="4">
        <v>15</v>
      </c>
      <c r="H9519" s="18">
        <v>34.713999999999999</v>
      </c>
    </row>
    <row r="9520" spans="1:8" s="15" customFormat="1" ht="16.5" hidden="1" customHeight="1" outlineLevel="1" x14ac:dyDescent="0.25">
      <c r="A9520" s="18">
        <v>1961</v>
      </c>
      <c r="B9520" s="4" t="s">
        <v>250</v>
      </c>
      <c r="C9520" s="38" t="s">
        <v>7945</v>
      </c>
      <c r="D9520" s="18">
        <v>2022</v>
      </c>
      <c r="E9520" s="18" t="s">
        <v>0</v>
      </c>
      <c r="F9520" s="42">
        <v>1</v>
      </c>
      <c r="G9520" s="4">
        <v>15</v>
      </c>
      <c r="H9520" s="18">
        <v>43.725999999999999</v>
      </c>
    </row>
    <row r="9521" spans="1:8" s="15" customFormat="1" ht="16.5" hidden="1" customHeight="1" outlineLevel="1" x14ac:dyDescent="0.25">
      <c r="A9521" s="18">
        <v>1972</v>
      </c>
      <c r="B9521" s="4" t="s">
        <v>250</v>
      </c>
      <c r="C9521" s="38" t="s">
        <v>7946</v>
      </c>
      <c r="D9521" s="18">
        <v>2022</v>
      </c>
      <c r="E9521" s="18" t="s">
        <v>0</v>
      </c>
      <c r="F9521" s="42">
        <v>1</v>
      </c>
      <c r="G9521" s="4">
        <v>15</v>
      </c>
      <c r="H9521" s="18">
        <v>34.75</v>
      </c>
    </row>
    <row r="9522" spans="1:8" s="15" customFormat="1" ht="16.5" hidden="1" customHeight="1" outlineLevel="1" x14ac:dyDescent="0.25">
      <c r="A9522" s="18">
        <v>2026</v>
      </c>
      <c r="B9522" s="4" t="s">
        <v>250</v>
      </c>
      <c r="C9522" s="38" t="s">
        <v>7947</v>
      </c>
      <c r="D9522" s="18">
        <v>2022</v>
      </c>
      <c r="E9522" s="18" t="s">
        <v>0</v>
      </c>
      <c r="F9522" s="42">
        <v>1</v>
      </c>
      <c r="G9522" s="4">
        <v>15</v>
      </c>
      <c r="H9522" s="18">
        <v>37.726999999999997</v>
      </c>
    </row>
    <row r="9523" spans="1:8" s="15" customFormat="1" ht="16.5" hidden="1" customHeight="1" outlineLevel="1" x14ac:dyDescent="0.25">
      <c r="A9523" s="18">
        <v>2028</v>
      </c>
      <c r="B9523" s="4" t="s">
        <v>250</v>
      </c>
      <c r="C9523" s="38" t="s">
        <v>7948</v>
      </c>
      <c r="D9523" s="18">
        <v>2022</v>
      </c>
      <c r="E9523" s="18" t="s">
        <v>0</v>
      </c>
      <c r="F9523" s="42">
        <v>1</v>
      </c>
      <c r="G9523" s="4">
        <v>15</v>
      </c>
      <c r="H9523" s="18">
        <v>36.497999999999998</v>
      </c>
    </row>
    <row r="9524" spans="1:8" s="15" customFormat="1" ht="16.5" hidden="1" customHeight="1" outlineLevel="1" x14ac:dyDescent="0.25">
      <c r="A9524" s="18">
        <v>2031</v>
      </c>
      <c r="B9524" s="4" t="s">
        <v>250</v>
      </c>
      <c r="C9524" s="38" t="s">
        <v>7949</v>
      </c>
      <c r="D9524" s="18">
        <v>2022</v>
      </c>
      <c r="E9524" s="18" t="s">
        <v>0</v>
      </c>
      <c r="F9524" s="42">
        <v>1</v>
      </c>
      <c r="G9524" s="4">
        <v>15</v>
      </c>
      <c r="H9524" s="18">
        <v>30.221</v>
      </c>
    </row>
    <row r="9525" spans="1:8" s="15" customFormat="1" ht="16.5" hidden="1" customHeight="1" outlineLevel="1" x14ac:dyDescent="0.25">
      <c r="A9525" s="18">
        <v>2032</v>
      </c>
      <c r="B9525" s="4" t="s">
        <v>250</v>
      </c>
      <c r="C9525" s="38" t="s">
        <v>7950</v>
      </c>
      <c r="D9525" s="18">
        <v>2022</v>
      </c>
      <c r="E9525" s="18" t="s">
        <v>0</v>
      </c>
      <c r="F9525" s="42">
        <v>1</v>
      </c>
      <c r="G9525" s="4">
        <v>15</v>
      </c>
      <c r="H9525" s="18">
        <v>26.541</v>
      </c>
    </row>
    <row r="9526" spans="1:8" s="15" customFormat="1" ht="16.5" hidden="1" customHeight="1" outlineLevel="1" x14ac:dyDescent="0.25">
      <c r="A9526" s="18">
        <v>2035</v>
      </c>
      <c r="B9526" s="4" t="s">
        <v>250</v>
      </c>
      <c r="C9526" s="38" t="s">
        <v>7951</v>
      </c>
      <c r="D9526" s="18">
        <v>2022</v>
      </c>
      <c r="E9526" s="18" t="s">
        <v>0</v>
      </c>
      <c r="F9526" s="42">
        <v>1</v>
      </c>
      <c r="G9526" s="4">
        <v>15</v>
      </c>
      <c r="H9526" s="18">
        <v>33.362000000000002</v>
      </c>
    </row>
    <row r="9527" spans="1:8" s="15" customFormat="1" ht="16.5" hidden="1" customHeight="1" outlineLevel="1" x14ac:dyDescent="0.25">
      <c r="A9527" s="18">
        <v>2036</v>
      </c>
      <c r="B9527" s="4" t="s">
        <v>250</v>
      </c>
      <c r="C9527" s="38" t="s">
        <v>7952</v>
      </c>
      <c r="D9527" s="18">
        <v>2022</v>
      </c>
      <c r="E9527" s="18" t="s">
        <v>0</v>
      </c>
      <c r="F9527" s="42">
        <v>1</v>
      </c>
      <c r="G9527" s="4">
        <v>15</v>
      </c>
      <c r="H9527" s="18">
        <v>33.335999999999999</v>
      </c>
    </row>
    <row r="9528" spans="1:8" s="15" customFormat="1" ht="16.5" hidden="1" customHeight="1" outlineLevel="1" x14ac:dyDescent="0.25">
      <c r="A9528" s="18">
        <v>2038</v>
      </c>
      <c r="B9528" s="4" t="s">
        <v>250</v>
      </c>
      <c r="C9528" s="38" t="s">
        <v>7953</v>
      </c>
      <c r="D9528" s="18">
        <v>2022</v>
      </c>
      <c r="E9528" s="18" t="s">
        <v>0</v>
      </c>
      <c r="F9528" s="42">
        <v>1</v>
      </c>
      <c r="G9528" s="4">
        <v>15</v>
      </c>
      <c r="H9528" s="18">
        <v>37.01</v>
      </c>
    </row>
    <row r="9529" spans="1:8" s="15" customFormat="1" ht="16.5" hidden="1" customHeight="1" outlineLevel="1" x14ac:dyDescent="0.25">
      <c r="A9529" s="18">
        <v>2042</v>
      </c>
      <c r="B9529" s="4" t="s">
        <v>250</v>
      </c>
      <c r="C9529" s="38" t="s">
        <v>7954</v>
      </c>
      <c r="D9529" s="18">
        <v>2022</v>
      </c>
      <c r="E9529" s="18" t="s">
        <v>0</v>
      </c>
      <c r="F9529" s="42">
        <v>1</v>
      </c>
      <c r="G9529" s="4">
        <v>15</v>
      </c>
      <c r="H9529" s="18">
        <v>31.364000000000001</v>
      </c>
    </row>
    <row r="9530" spans="1:8" s="15" customFormat="1" ht="16.5" hidden="1" customHeight="1" outlineLevel="1" x14ac:dyDescent="0.25">
      <c r="A9530" s="18">
        <v>2045</v>
      </c>
      <c r="B9530" s="4" t="s">
        <v>250</v>
      </c>
      <c r="C9530" s="38" t="s">
        <v>7955</v>
      </c>
      <c r="D9530" s="18">
        <v>2022</v>
      </c>
      <c r="E9530" s="18" t="s">
        <v>0</v>
      </c>
      <c r="F9530" s="42">
        <v>1</v>
      </c>
      <c r="G9530" s="4">
        <v>15</v>
      </c>
      <c r="H9530" s="18">
        <v>31.902000000000001</v>
      </c>
    </row>
    <row r="9531" spans="1:8" s="15" customFormat="1" ht="16.5" hidden="1" customHeight="1" outlineLevel="1" x14ac:dyDescent="0.25">
      <c r="A9531" s="18">
        <v>2046</v>
      </c>
      <c r="B9531" s="4" t="s">
        <v>250</v>
      </c>
      <c r="C9531" s="38" t="s">
        <v>7956</v>
      </c>
      <c r="D9531" s="18">
        <v>2022</v>
      </c>
      <c r="E9531" s="18" t="s">
        <v>0</v>
      </c>
      <c r="F9531" s="42">
        <v>1</v>
      </c>
      <c r="G9531" s="4">
        <v>15</v>
      </c>
      <c r="H9531" s="18">
        <v>37.070999999999998</v>
      </c>
    </row>
    <row r="9532" spans="1:8" s="15" customFormat="1" ht="16.5" hidden="1" customHeight="1" outlineLevel="1" x14ac:dyDescent="0.25">
      <c r="A9532" s="18">
        <v>2076</v>
      </c>
      <c r="B9532" s="4" t="s">
        <v>250</v>
      </c>
      <c r="C9532" s="38" t="s">
        <v>7957</v>
      </c>
      <c r="D9532" s="18">
        <v>2022</v>
      </c>
      <c r="E9532" s="18" t="s">
        <v>0</v>
      </c>
      <c r="F9532" s="42">
        <v>1</v>
      </c>
      <c r="G9532" s="4">
        <v>15</v>
      </c>
      <c r="H9532" s="18">
        <v>43.029000000000003</v>
      </c>
    </row>
    <row r="9533" spans="1:8" s="15" customFormat="1" ht="16.5" hidden="1" customHeight="1" outlineLevel="1" x14ac:dyDescent="0.25">
      <c r="A9533" s="18">
        <v>2079</v>
      </c>
      <c r="B9533" s="4" t="s">
        <v>250</v>
      </c>
      <c r="C9533" s="38" t="s">
        <v>7958</v>
      </c>
      <c r="D9533" s="18">
        <v>2022</v>
      </c>
      <c r="E9533" s="18" t="s">
        <v>0</v>
      </c>
      <c r="F9533" s="42">
        <v>1</v>
      </c>
      <c r="G9533" s="4">
        <v>15</v>
      </c>
      <c r="H9533" s="18">
        <v>40.362000000000002</v>
      </c>
    </row>
    <row r="9534" spans="1:8" s="15" customFormat="1" ht="16.5" hidden="1" customHeight="1" outlineLevel="1" x14ac:dyDescent="0.25">
      <c r="A9534" s="18">
        <v>2080</v>
      </c>
      <c r="B9534" s="4" t="s">
        <v>250</v>
      </c>
      <c r="C9534" s="38" t="s">
        <v>7959</v>
      </c>
      <c r="D9534" s="18">
        <v>2022</v>
      </c>
      <c r="E9534" s="18" t="s">
        <v>0</v>
      </c>
      <c r="F9534" s="42">
        <v>1</v>
      </c>
      <c r="G9534" s="4">
        <v>15</v>
      </c>
      <c r="H9534" s="18">
        <v>39.017000000000003</v>
      </c>
    </row>
    <row r="9535" spans="1:8" s="15" customFormat="1" ht="16.5" hidden="1" customHeight="1" outlineLevel="1" x14ac:dyDescent="0.25">
      <c r="A9535" s="18">
        <v>2087</v>
      </c>
      <c r="B9535" s="4" t="s">
        <v>250</v>
      </c>
      <c r="C9535" s="38" t="s">
        <v>7960</v>
      </c>
      <c r="D9535" s="18">
        <v>2022</v>
      </c>
      <c r="E9535" s="18" t="s">
        <v>0</v>
      </c>
      <c r="F9535" s="42">
        <v>1</v>
      </c>
      <c r="G9535" s="4">
        <v>15</v>
      </c>
      <c r="H9535" s="18">
        <v>40.362000000000002</v>
      </c>
    </row>
    <row r="9536" spans="1:8" s="15" customFormat="1" ht="16.5" hidden="1" customHeight="1" outlineLevel="1" x14ac:dyDescent="0.25">
      <c r="A9536" s="18">
        <v>2091</v>
      </c>
      <c r="B9536" s="4" t="s">
        <v>250</v>
      </c>
      <c r="C9536" s="38" t="s">
        <v>7961</v>
      </c>
      <c r="D9536" s="18">
        <v>2022</v>
      </c>
      <c r="E9536" s="18" t="s">
        <v>0</v>
      </c>
      <c r="F9536" s="42">
        <v>1</v>
      </c>
      <c r="G9536" s="4">
        <v>15</v>
      </c>
      <c r="H9536" s="18">
        <v>26.042999999999999</v>
      </c>
    </row>
    <row r="9537" spans="1:8" s="15" customFormat="1" ht="16.5" hidden="1" customHeight="1" outlineLevel="1" x14ac:dyDescent="0.25">
      <c r="A9537" s="18">
        <v>2094</v>
      </c>
      <c r="B9537" s="4" t="s">
        <v>250</v>
      </c>
      <c r="C9537" s="38" t="s">
        <v>7962</v>
      </c>
      <c r="D9537" s="18">
        <v>2022</v>
      </c>
      <c r="E9537" s="18" t="s">
        <v>0</v>
      </c>
      <c r="F9537" s="42">
        <v>1</v>
      </c>
      <c r="G9537" s="4">
        <v>15</v>
      </c>
      <c r="H9537" s="18">
        <v>31.652000000000001</v>
      </c>
    </row>
    <row r="9538" spans="1:8" s="15" customFormat="1" ht="16.5" hidden="1" customHeight="1" outlineLevel="1" x14ac:dyDescent="0.25">
      <c r="A9538" s="18">
        <v>2095</v>
      </c>
      <c r="B9538" s="4" t="s">
        <v>250</v>
      </c>
      <c r="C9538" s="38" t="s">
        <v>7963</v>
      </c>
      <c r="D9538" s="18">
        <v>2022</v>
      </c>
      <c r="E9538" s="18" t="s">
        <v>0</v>
      </c>
      <c r="F9538" s="42">
        <v>1</v>
      </c>
      <c r="G9538" s="4">
        <v>15</v>
      </c>
      <c r="H9538" s="18">
        <v>36.276000000000003</v>
      </c>
    </row>
    <row r="9539" spans="1:8" s="15" customFormat="1" ht="16.5" hidden="1" customHeight="1" outlineLevel="1" x14ac:dyDescent="0.25">
      <c r="A9539" s="18">
        <v>2097</v>
      </c>
      <c r="B9539" s="4" t="s">
        <v>250</v>
      </c>
      <c r="C9539" s="38" t="s">
        <v>7964</v>
      </c>
      <c r="D9539" s="18">
        <v>2022</v>
      </c>
      <c r="E9539" s="18" t="s">
        <v>0</v>
      </c>
      <c r="F9539" s="42">
        <v>1</v>
      </c>
      <c r="G9539" s="4">
        <v>5</v>
      </c>
      <c r="H9539" s="18">
        <v>45.56</v>
      </c>
    </row>
    <row r="9540" spans="1:8" s="15" customFormat="1" ht="16.5" hidden="1" customHeight="1" outlineLevel="1" x14ac:dyDescent="0.25">
      <c r="A9540" s="18">
        <v>2108</v>
      </c>
      <c r="B9540" s="4" t="s">
        <v>250</v>
      </c>
      <c r="C9540" s="38" t="s">
        <v>7965</v>
      </c>
      <c r="D9540" s="18">
        <v>2022</v>
      </c>
      <c r="E9540" s="18" t="s">
        <v>0</v>
      </c>
      <c r="F9540" s="42">
        <v>1</v>
      </c>
      <c r="G9540" s="4">
        <v>15</v>
      </c>
      <c r="H9540" s="18">
        <v>37.296999999999997</v>
      </c>
    </row>
    <row r="9541" spans="1:8" s="15" customFormat="1" ht="16.5" hidden="1" customHeight="1" outlineLevel="1" x14ac:dyDescent="0.25">
      <c r="A9541" s="18">
        <v>2111</v>
      </c>
      <c r="B9541" s="4" t="s">
        <v>250</v>
      </c>
      <c r="C9541" s="38" t="s">
        <v>7966</v>
      </c>
      <c r="D9541" s="18">
        <v>2022</v>
      </c>
      <c r="E9541" s="18" t="s">
        <v>0</v>
      </c>
      <c r="F9541" s="42">
        <v>1</v>
      </c>
      <c r="G9541" s="4">
        <v>15</v>
      </c>
      <c r="H9541" s="18">
        <v>36.465000000000003</v>
      </c>
    </row>
    <row r="9542" spans="1:8" s="15" customFormat="1" ht="16.5" hidden="1" customHeight="1" outlineLevel="1" x14ac:dyDescent="0.25">
      <c r="A9542" s="18">
        <v>2116</v>
      </c>
      <c r="B9542" s="4" t="s">
        <v>250</v>
      </c>
      <c r="C9542" s="38" t="s">
        <v>7967</v>
      </c>
      <c r="D9542" s="18">
        <v>2022</v>
      </c>
      <c r="E9542" s="18" t="s">
        <v>0</v>
      </c>
      <c r="F9542" s="42">
        <v>1</v>
      </c>
      <c r="G9542" s="4">
        <v>15</v>
      </c>
      <c r="H9542" s="18">
        <v>41.395000000000003</v>
      </c>
    </row>
    <row r="9543" spans="1:8" s="15" customFormat="1" ht="16.5" hidden="1" customHeight="1" outlineLevel="1" x14ac:dyDescent="0.25">
      <c r="A9543" s="18">
        <v>2126</v>
      </c>
      <c r="B9543" s="4" t="s">
        <v>250</v>
      </c>
      <c r="C9543" s="38" t="s">
        <v>7968</v>
      </c>
      <c r="D9543" s="18">
        <v>2022</v>
      </c>
      <c r="E9543" s="18" t="s">
        <v>0</v>
      </c>
      <c r="F9543" s="42">
        <v>1</v>
      </c>
      <c r="G9543" s="4">
        <v>15</v>
      </c>
      <c r="H9543" s="18">
        <v>35.582999999999998</v>
      </c>
    </row>
    <row r="9544" spans="1:8" s="15" customFormat="1" ht="16.5" hidden="1" customHeight="1" outlineLevel="1" x14ac:dyDescent="0.25">
      <c r="A9544" s="18">
        <v>2128</v>
      </c>
      <c r="B9544" s="4" t="s">
        <v>250</v>
      </c>
      <c r="C9544" s="38" t="s">
        <v>7969</v>
      </c>
      <c r="D9544" s="18">
        <v>2022</v>
      </c>
      <c r="E9544" s="18" t="s">
        <v>0</v>
      </c>
      <c r="F9544" s="42">
        <v>1</v>
      </c>
      <c r="G9544" s="4">
        <v>15</v>
      </c>
      <c r="H9544" s="18">
        <v>31.248999999999999</v>
      </c>
    </row>
    <row r="9545" spans="1:8" s="15" customFormat="1" ht="16.5" hidden="1" customHeight="1" outlineLevel="1" x14ac:dyDescent="0.25">
      <c r="A9545" s="18">
        <v>2130</v>
      </c>
      <c r="B9545" s="4" t="s">
        <v>250</v>
      </c>
      <c r="C9545" s="38" t="s">
        <v>7970</v>
      </c>
      <c r="D9545" s="18">
        <v>2022</v>
      </c>
      <c r="E9545" s="18" t="s">
        <v>0</v>
      </c>
      <c r="F9545" s="42">
        <v>1</v>
      </c>
      <c r="G9545" s="4">
        <v>15</v>
      </c>
      <c r="H9545" s="18">
        <v>39.618000000000002</v>
      </c>
    </row>
    <row r="9546" spans="1:8" s="15" customFormat="1" ht="16.5" hidden="1" customHeight="1" outlineLevel="1" x14ac:dyDescent="0.25">
      <c r="A9546" s="18">
        <v>2132</v>
      </c>
      <c r="B9546" s="4" t="s">
        <v>250</v>
      </c>
      <c r="C9546" s="38" t="s">
        <v>7971</v>
      </c>
      <c r="D9546" s="18">
        <v>2022</v>
      </c>
      <c r="E9546" s="18" t="s">
        <v>0</v>
      </c>
      <c r="F9546" s="42">
        <v>1</v>
      </c>
      <c r="G9546" s="4">
        <v>15</v>
      </c>
      <c r="H9546" s="18">
        <v>40.064999999999998</v>
      </c>
    </row>
    <row r="9547" spans="1:8" s="15" customFormat="1" ht="16.5" hidden="1" customHeight="1" outlineLevel="1" x14ac:dyDescent="0.25">
      <c r="A9547" s="18">
        <v>2141</v>
      </c>
      <c r="B9547" s="4" t="s">
        <v>250</v>
      </c>
      <c r="C9547" s="38" t="s">
        <v>7972</v>
      </c>
      <c r="D9547" s="18">
        <v>2022</v>
      </c>
      <c r="E9547" s="18" t="s">
        <v>0</v>
      </c>
      <c r="F9547" s="42">
        <v>1</v>
      </c>
      <c r="G9547" s="4">
        <v>15</v>
      </c>
      <c r="H9547" s="18">
        <v>32.146000000000001</v>
      </c>
    </row>
    <row r="9548" spans="1:8" s="15" customFormat="1" ht="16.5" hidden="1" customHeight="1" outlineLevel="1" x14ac:dyDescent="0.25">
      <c r="A9548" s="18">
        <v>2224</v>
      </c>
      <c r="B9548" s="4" t="s">
        <v>250</v>
      </c>
      <c r="C9548" s="38" t="s">
        <v>7973</v>
      </c>
      <c r="D9548" s="18">
        <v>2022</v>
      </c>
      <c r="E9548" s="18" t="s">
        <v>0</v>
      </c>
      <c r="F9548" s="42">
        <v>1</v>
      </c>
      <c r="G9548" s="4">
        <v>15</v>
      </c>
      <c r="H9548" s="18">
        <v>41.838999999999999</v>
      </c>
    </row>
    <row r="9549" spans="1:8" s="15" customFormat="1" ht="16.5" hidden="1" customHeight="1" outlineLevel="1" x14ac:dyDescent="0.25">
      <c r="A9549" s="18">
        <v>2225</v>
      </c>
      <c r="B9549" s="4" t="s">
        <v>250</v>
      </c>
      <c r="C9549" s="38" t="s">
        <v>7974</v>
      </c>
      <c r="D9549" s="18">
        <v>2022</v>
      </c>
      <c r="E9549" s="18" t="s">
        <v>0</v>
      </c>
      <c r="F9549" s="42">
        <v>1</v>
      </c>
      <c r="G9549" s="4">
        <v>15</v>
      </c>
      <c r="H9549" s="18">
        <v>38.151000000000003</v>
      </c>
    </row>
    <row r="9550" spans="1:8" s="15" customFormat="1" ht="16.5" hidden="1" customHeight="1" outlineLevel="1" x14ac:dyDescent="0.25">
      <c r="A9550" s="18">
        <v>1945</v>
      </c>
      <c r="B9550" s="4" t="s">
        <v>250</v>
      </c>
      <c r="C9550" s="38" t="s">
        <v>7975</v>
      </c>
      <c r="D9550" s="18">
        <v>2022</v>
      </c>
      <c r="E9550" s="18" t="s">
        <v>0</v>
      </c>
      <c r="F9550" s="42">
        <v>1</v>
      </c>
      <c r="G9550" s="4">
        <v>15</v>
      </c>
      <c r="H9550" s="18">
        <v>30.574999999999999</v>
      </c>
    </row>
    <row r="9551" spans="1:8" s="15" customFormat="1" ht="16.5" hidden="1" customHeight="1" outlineLevel="1" x14ac:dyDescent="0.25">
      <c r="A9551" s="18">
        <v>2226</v>
      </c>
      <c r="B9551" s="4" t="s">
        <v>250</v>
      </c>
      <c r="C9551" s="38" t="s">
        <v>7976</v>
      </c>
      <c r="D9551" s="18">
        <v>2022</v>
      </c>
      <c r="E9551" s="18" t="s">
        <v>0</v>
      </c>
      <c r="F9551" s="42">
        <v>1</v>
      </c>
      <c r="G9551" s="4">
        <v>30</v>
      </c>
      <c r="H9551" s="18">
        <v>43.281999999999996</v>
      </c>
    </row>
    <row r="9552" spans="1:8" s="15" customFormat="1" ht="16.5" hidden="1" customHeight="1" outlineLevel="1" x14ac:dyDescent="0.25">
      <c r="A9552" s="18">
        <v>2231</v>
      </c>
      <c r="B9552" s="4" t="s">
        <v>250</v>
      </c>
      <c r="C9552" s="38" t="s">
        <v>7977</v>
      </c>
      <c r="D9552" s="18">
        <v>2022</v>
      </c>
      <c r="E9552" s="18" t="s">
        <v>0</v>
      </c>
      <c r="F9552" s="42">
        <v>1</v>
      </c>
      <c r="G9552" s="4">
        <v>15</v>
      </c>
      <c r="H9552" s="18">
        <v>37.768000000000001</v>
      </c>
    </row>
    <row r="9553" spans="1:8" s="15" customFormat="1" ht="16.5" hidden="1" customHeight="1" outlineLevel="1" x14ac:dyDescent="0.25">
      <c r="A9553" s="18">
        <v>2232</v>
      </c>
      <c r="B9553" s="4" t="s">
        <v>250</v>
      </c>
      <c r="C9553" s="38" t="s">
        <v>7978</v>
      </c>
      <c r="D9553" s="18">
        <v>2022</v>
      </c>
      <c r="E9553" s="18" t="s">
        <v>0</v>
      </c>
      <c r="F9553" s="42">
        <v>1</v>
      </c>
      <c r="G9553" s="4">
        <v>12</v>
      </c>
      <c r="H9553" s="18">
        <v>36.966000000000001</v>
      </c>
    </row>
    <row r="9554" spans="1:8" s="15" customFormat="1" ht="16.5" hidden="1" customHeight="1" outlineLevel="1" x14ac:dyDescent="0.25">
      <c r="A9554" s="18">
        <v>2233</v>
      </c>
      <c r="B9554" s="4" t="s">
        <v>250</v>
      </c>
      <c r="C9554" s="38" t="s">
        <v>7979</v>
      </c>
      <c r="D9554" s="18">
        <v>2022</v>
      </c>
      <c r="E9554" s="18" t="s">
        <v>0</v>
      </c>
      <c r="F9554" s="42">
        <v>1</v>
      </c>
      <c r="G9554" s="4">
        <v>15</v>
      </c>
      <c r="H9554" s="18">
        <v>33.244999999999997</v>
      </c>
    </row>
    <row r="9555" spans="1:8" s="15" customFormat="1" ht="16.5" hidden="1" customHeight="1" outlineLevel="1" x14ac:dyDescent="0.25">
      <c r="A9555" s="18">
        <v>2236</v>
      </c>
      <c r="B9555" s="4" t="s">
        <v>250</v>
      </c>
      <c r="C9555" s="38" t="s">
        <v>7980</v>
      </c>
      <c r="D9555" s="18">
        <v>2022</v>
      </c>
      <c r="E9555" s="18" t="s">
        <v>0</v>
      </c>
      <c r="F9555" s="42">
        <v>1</v>
      </c>
      <c r="G9555" s="4">
        <v>15</v>
      </c>
      <c r="H9555" s="18">
        <v>39.780999999999999</v>
      </c>
    </row>
    <row r="9556" spans="1:8" s="15" customFormat="1" ht="16.5" hidden="1" customHeight="1" outlineLevel="1" x14ac:dyDescent="0.25">
      <c r="A9556" s="18">
        <v>1845</v>
      </c>
      <c r="B9556" s="4" t="s">
        <v>250</v>
      </c>
      <c r="C9556" s="38" t="s">
        <v>7981</v>
      </c>
      <c r="D9556" s="18">
        <v>2022</v>
      </c>
      <c r="E9556" s="18" t="s">
        <v>0</v>
      </c>
      <c r="F9556" s="42">
        <v>2</v>
      </c>
      <c r="G9556" s="4">
        <v>18</v>
      </c>
      <c r="H9556" s="18">
        <v>61.085999999999999</v>
      </c>
    </row>
    <row r="9557" spans="1:8" s="15" customFormat="1" ht="16.5" hidden="1" customHeight="1" outlineLevel="1" x14ac:dyDescent="0.25">
      <c r="A9557" s="18">
        <v>1868</v>
      </c>
      <c r="B9557" s="4" t="s">
        <v>250</v>
      </c>
      <c r="C9557" s="38" t="s">
        <v>7982</v>
      </c>
      <c r="D9557" s="18">
        <v>2022</v>
      </c>
      <c r="E9557" s="18" t="s">
        <v>0</v>
      </c>
      <c r="F9557" s="42">
        <v>1</v>
      </c>
      <c r="G9557" s="4">
        <v>15</v>
      </c>
      <c r="H9557" s="18">
        <v>22.603999999999999</v>
      </c>
    </row>
    <row r="9558" spans="1:8" s="15" customFormat="1" ht="16.5" hidden="1" customHeight="1" outlineLevel="1" x14ac:dyDescent="0.25">
      <c r="A9558" s="18">
        <v>1886</v>
      </c>
      <c r="B9558" s="4" t="s">
        <v>250</v>
      </c>
      <c r="C9558" s="38" t="s">
        <v>7983</v>
      </c>
      <c r="D9558" s="18">
        <v>2022</v>
      </c>
      <c r="E9558" s="18" t="s">
        <v>0</v>
      </c>
      <c r="F9558" s="42">
        <v>1</v>
      </c>
      <c r="G9558" s="4">
        <v>15</v>
      </c>
      <c r="H9558" s="18">
        <v>25.349</v>
      </c>
    </row>
    <row r="9559" spans="1:8" s="15" customFormat="1" ht="16.5" hidden="1" customHeight="1" outlineLevel="1" x14ac:dyDescent="0.25">
      <c r="A9559" s="18">
        <v>1902</v>
      </c>
      <c r="B9559" s="4" t="s">
        <v>250</v>
      </c>
      <c r="C9559" s="38" t="s">
        <v>7984</v>
      </c>
      <c r="D9559" s="18">
        <v>2022</v>
      </c>
      <c r="E9559" s="18" t="s">
        <v>0</v>
      </c>
      <c r="F9559" s="42">
        <v>3</v>
      </c>
      <c r="G9559" s="4">
        <v>45</v>
      </c>
      <c r="H9559" s="18">
        <v>102.337</v>
      </c>
    </row>
    <row r="9560" spans="1:8" s="15" customFormat="1" ht="16.5" hidden="1" customHeight="1" outlineLevel="1" x14ac:dyDescent="0.25">
      <c r="A9560" s="18">
        <v>1917</v>
      </c>
      <c r="B9560" s="4" t="s">
        <v>250</v>
      </c>
      <c r="C9560" s="38" t="s">
        <v>7985</v>
      </c>
      <c r="D9560" s="18">
        <v>2022</v>
      </c>
      <c r="E9560" s="18" t="s">
        <v>0</v>
      </c>
      <c r="F9560" s="42">
        <v>1</v>
      </c>
      <c r="G9560" s="4">
        <v>15</v>
      </c>
      <c r="H9560" s="18">
        <v>26.33</v>
      </c>
    </row>
    <row r="9561" spans="1:8" s="15" customFormat="1" ht="16.5" hidden="1" customHeight="1" outlineLevel="1" x14ac:dyDescent="0.25">
      <c r="A9561" s="18">
        <v>1939</v>
      </c>
      <c r="B9561" s="4" t="s">
        <v>250</v>
      </c>
      <c r="C9561" s="38" t="s">
        <v>7986</v>
      </c>
      <c r="D9561" s="18">
        <v>2022</v>
      </c>
      <c r="E9561" s="18" t="s">
        <v>0</v>
      </c>
      <c r="F9561" s="42">
        <v>1</v>
      </c>
      <c r="G9561" s="4">
        <v>15</v>
      </c>
      <c r="H9561" s="18">
        <v>29.972999999999999</v>
      </c>
    </row>
    <row r="9562" spans="1:8" s="15" customFormat="1" ht="16.5" hidden="1" customHeight="1" outlineLevel="1" x14ac:dyDescent="0.25">
      <c r="A9562" s="18">
        <v>1942</v>
      </c>
      <c r="B9562" s="4" t="s">
        <v>250</v>
      </c>
      <c r="C9562" s="38" t="s">
        <v>7987</v>
      </c>
      <c r="D9562" s="18">
        <v>2022</v>
      </c>
      <c r="E9562" s="18" t="s">
        <v>0</v>
      </c>
      <c r="F9562" s="42">
        <v>1</v>
      </c>
      <c r="G9562" s="4">
        <v>15</v>
      </c>
      <c r="H9562" s="18">
        <v>50.25</v>
      </c>
    </row>
    <row r="9563" spans="1:8" s="15" customFormat="1" ht="16.5" hidden="1" customHeight="1" outlineLevel="1" x14ac:dyDescent="0.25">
      <c r="A9563" s="18">
        <v>1962</v>
      </c>
      <c r="B9563" s="4" t="s">
        <v>250</v>
      </c>
      <c r="C9563" s="38" t="s">
        <v>7988</v>
      </c>
      <c r="D9563" s="18">
        <v>2022</v>
      </c>
      <c r="E9563" s="18" t="s">
        <v>0</v>
      </c>
      <c r="F9563" s="42">
        <v>1</v>
      </c>
      <c r="G9563" s="4">
        <v>15</v>
      </c>
      <c r="H9563" s="18">
        <v>32.896000000000001</v>
      </c>
    </row>
    <row r="9564" spans="1:8" s="15" customFormat="1" ht="16.5" hidden="1" customHeight="1" outlineLevel="1" x14ac:dyDescent="0.25">
      <c r="A9564" s="18">
        <v>1979</v>
      </c>
      <c r="B9564" s="4" t="s">
        <v>250</v>
      </c>
      <c r="C9564" s="38" t="s">
        <v>7989</v>
      </c>
      <c r="D9564" s="18">
        <v>2022</v>
      </c>
      <c r="E9564" s="18" t="s">
        <v>0</v>
      </c>
      <c r="F9564" s="42">
        <v>1</v>
      </c>
      <c r="G9564" s="4">
        <v>15</v>
      </c>
      <c r="H9564" s="18">
        <v>35.609000000000002</v>
      </c>
    </row>
    <row r="9565" spans="1:8" s="15" customFormat="1" ht="16.5" hidden="1" customHeight="1" outlineLevel="1" x14ac:dyDescent="0.25">
      <c r="A9565" s="18">
        <v>2011</v>
      </c>
      <c r="B9565" s="4" t="s">
        <v>250</v>
      </c>
      <c r="C9565" s="38" t="s">
        <v>7990</v>
      </c>
      <c r="D9565" s="18">
        <v>2022</v>
      </c>
      <c r="E9565" s="18" t="s">
        <v>0</v>
      </c>
      <c r="F9565" s="42">
        <v>1</v>
      </c>
      <c r="G9565" s="4">
        <v>15</v>
      </c>
      <c r="H9565" s="18">
        <v>42.295000000000002</v>
      </c>
    </row>
    <row r="9566" spans="1:8" s="15" customFormat="1" ht="16.5" hidden="1" customHeight="1" outlineLevel="1" x14ac:dyDescent="0.25">
      <c r="A9566" s="18">
        <v>2022</v>
      </c>
      <c r="B9566" s="4" t="s">
        <v>250</v>
      </c>
      <c r="C9566" s="38" t="s">
        <v>7991</v>
      </c>
      <c r="D9566" s="18">
        <v>2022</v>
      </c>
      <c r="E9566" s="18" t="s">
        <v>0</v>
      </c>
      <c r="F9566" s="42">
        <v>1</v>
      </c>
      <c r="G9566" s="4">
        <v>15</v>
      </c>
      <c r="H9566" s="18">
        <v>29.408999999999999</v>
      </c>
    </row>
    <row r="9567" spans="1:8" s="15" customFormat="1" ht="16.5" hidden="1" customHeight="1" outlineLevel="1" x14ac:dyDescent="0.25">
      <c r="A9567" s="18">
        <v>2023</v>
      </c>
      <c r="B9567" s="4" t="s">
        <v>250</v>
      </c>
      <c r="C9567" s="38" t="s">
        <v>7992</v>
      </c>
      <c r="D9567" s="18">
        <v>2022</v>
      </c>
      <c r="E9567" s="18" t="s">
        <v>0</v>
      </c>
      <c r="F9567" s="42">
        <v>1</v>
      </c>
      <c r="G9567" s="4">
        <v>15</v>
      </c>
      <c r="H9567" s="18">
        <v>35.357999999999997</v>
      </c>
    </row>
    <row r="9568" spans="1:8" s="15" customFormat="1" ht="16.5" hidden="1" customHeight="1" outlineLevel="1" x14ac:dyDescent="0.25">
      <c r="A9568" s="18">
        <v>2025</v>
      </c>
      <c r="B9568" s="4" t="s">
        <v>250</v>
      </c>
      <c r="C9568" s="38" t="s">
        <v>7993</v>
      </c>
      <c r="D9568" s="18">
        <v>2022</v>
      </c>
      <c r="E9568" s="18" t="s">
        <v>0</v>
      </c>
      <c r="F9568" s="42">
        <v>1</v>
      </c>
      <c r="G9568" s="4">
        <v>15</v>
      </c>
      <c r="H9568" s="18">
        <v>30.05</v>
      </c>
    </row>
    <row r="9569" spans="1:8" s="15" customFormat="1" ht="16.5" hidden="1" customHeight="1" outlineLevel="1" x14ac:dyDescent="0.25">
      <c r="A9569" s="18">
        <v>2030</v>
      </c>
      <c r="B9569" s="4" t="s">
        <v>250</v>
      </c>
      <c r="C9569" s="38" t="s">
        <v>7994</v>
      </c>
      <c r="D9569" s="18">
        <v>2022</v>
      </c>
      <c r="E9569" s="18" t="s">
        <v>0</v>
      </c>
      <c r="F9569" s="42">
        <v>1</v>
      </c>
      <c r="G9569" s="4">
        <v>10</v>
      </c>
      <c r="H9569" s="18">
        <v>29.792000000000002</v>
      </c>
    </row>
    <row r="9570" spans="1:8" s="15" customFormat="1" ht="16.5" hidden="1" customHeight="1" outlineLevel="1" x14ac:dyDescent="0.25">
      <c r="A9570" s="18">
        <v>2049</v>
      </c>
      <c r="B9570" s="4" t="s">
        <v>250</v>
      </c>
      <c r="C9570" s="38" t="s">
        <v>7995</v>
      </c>
      <c r="D9570" s="18">
        <v>2022</v>
      </c>
      <c r="E9570" s="18" t="s">
        <v>0</v>
      </c>
      <c r="F9570" s="42">
        <v>3</v>
      </c>
      <c r="G9570" s="4">
        <v>35</v>
      </c>
      <c r="H9570" s="18">
        <v>101.17100000000001</v>
      </c>
    </row>
    <row r="9571" spans="1:8" s="15" customFormat="1" ht="16.5" hidden="1" customHeight="1" outlineLevel="1" x14ac:dyDescent="0.25">
      <c r="A9571" s="18">
        <v>2054</v>
      </c>
      <c r="B9571" s="4" t="s">
        <v>250</v>
      </c>
      <c r="C9571" s="38" t="s">
        <v>7996</v>
      </c>
      <c r="D9571" s="18">
        <v>2022</v>
      </c>
      <c r="E9571" s="18" t="s">
        <v>0</v>
      </c>
      <c r="F9571" s="42">
        <v>1</v>
      </c>
      <c r="G9571" s="4">
        <v>15</v>
      </c>
      <c r="H9571" s="18">
        <v>34.375</v>
      </c>
    </row>
    <row r="9572" spans="1:8" s="15" customFormat="1" ht="16.5" hidden="1" customHeight="1" outlineLevel="1" x14ac:dyDescent="0.25">
      <c r="A9572" s="18">
        <v>2067</v>
      </c>
      <c r="B9572" s="4" t="s">
        <v>250</v>
      </c>
      <c r="C9572" s="38" t="s">
        <v>4202</v>
      </c>
      <c r="D9572" s="18">
        <v>2022</v>
      </c>
      <c r="E9572" s="18" t="s">
        <v>0</v>
      </c>
      <c r="F9572" s="42">
        <v>2</v>
      </c>
      <c r="G9572" s="4">
        <v>145</v>
      </c>
      <c r="H9572" s="18">
        <v>53.756</v>
      </c>
    </row>
    <row r="9573" spans="1:8" s="15" customFormat="1" ht="16.5" hidden="1" customHeight="1" outlineLevel="1" x14ac:dyDescent="0.25">
      <c r="A9573" s="18">
        <v>2084</v>
      </c>
      <c r="B9573" s="4" t="s">
        <v>250</v>
      </c>
      <c r="C9573" s="38" t="s">
        <v>7997</v>
      </c>
      <c r="D9573" s="18">
        <v>2022</v>
      </c>
      <c r="E9573" s="18" t="s">
        <v>0</v>
      </c>
      <c r="F9573" s="42">
        <v>1</v>
      </c>
      <c r="G9573" s="4">
        <v>15</v>
      </c>
      <c r="H9573" s="18">
        <v>34.706000000000003</v>
      </c>
    </row>
    <row r="9574" spans="1:8" s="15" customFormat="1" ht="16.5" hidden="1" customHeight="1" outlineLevel="1" x14ac:dyDescent="0.25">
      <c r="A9574" s="18">
        <v>2090</v>
      </c>
      <c r="B9574" s="4" t="s">
        <v>250</v>
      </c>
      <c r="C9574" s="38" t="s">
        <v>7998</v>
      </c>
      <c r="D9574" s="18">
        <v>2022</v>
      </c>
      <c r="E9574" s="18" t="s">
        <v>0</v>
      </c>
      <c r="F9574" s="42">
        <v>1</v>
      </c>
      <c r="G9574" s="4">
        <v>15</v>
      </c>
      <c r="H9574" s="18">
        <v>29.315999999999999</v>
      </c>
    </row>
    <row r="9575" spans="1:8" s="15" customFormat="1" ht="16.5" hidden="1" customHeight="1" outlineLevel="1" x14ac:dyDescent="0.25">
      <c r="A9575" s="18">
        <v>2098</v>
      </c>
      <c r="B9575" s="4" t="s">
        <v>250</v>
      </c>
      <c r="C9575" s="38" t="s">
        <v>7999</v>
      </c>
      <c r="D9575" s="18">
        <v>2022</v>
      </c>
      <c r="E9575" s="18" t="s">
        <v>0</v>
      </c>
      <c r="F9575" s="42">
        <v>1</v>
      </c>
      <c r="G9575" s="4">
        <v>7</v>
      </c>
      <c r="H9575" s="18">
        <v>37.119999999999997</v>
      </c>
    </row>
    <row r="9576" spans="1:8" s="15" customFormat="1" ht="16.5" hidden="1" customHeight="1" outlineLevel="1" x14ac:dyDescent="0.25">
      <c r="A9576" s="18">
        <v>2100</v>
      </c>
      <c r="B9576" s="4" t="s">
        <v>250</v>
      </c>
      <c r="C9576" s="38" t="s">
        <v>8000</v>
      </c>
      <c r="D9576" s="18">
        <v>2022</v>
      </c>
      <c r="E9576" s="18" t="s">
        <v>0</v>
      </c>
      <c r="F9576" s="42">
        <v>1</v>
      </c>
      <c r="G9576" s="4">
        <v>15</v>
      </c>
      <c r="H9576" s="18">
        <v>34.712000000000003</v>
      </c>
    </row>
    <row r="9577" spans="1:8" s="15" customFormat="1" ht="16.5" hidden="1" customHeight="1" outlineLevel="1" x14ac:dyDescent="0.25">
      <c r="A9577" s="18">
        <v>2109</v>
      </c>
      <c r="B9577" s="4" t="s">
        <v>250</v>
      </c>
      <c r="C9577" s="38" t="s">
        <v>8001</v>
      </c>
      <c r="D9577" s="18">
        <v>2022</v>
      </c>
      <c r="E9577" s="18" t="s">
        <v>0</v>
      </c>
      <c r="F9577" s="42">
        <v>1</v>
      </c>
      <c r="G9577" s="4">
        <v>15</v>
      </c>
      <c r="H9577" s="18">
        <v>35.601999999999997</v>
      </c>
    </row>
    <row r="9578" spans="1:8" s="15" customFormat="1" ht="16.5" hidden="1" customHeight="1" outlineLevel="1" x14ac:dyDescent="0.25">
      <c r="A9578" s="18">
        <v>2177</v>
      </c>
      <c r="B9578" s="4" t="s">
        <v>250</v>
      </c>
      <c r="C9578" s="38" t="s">
        <v>8002</v>
      </c>
      <c r="D9578" s="18">
        <v>2022</v>
      </c>
      <c r="E9578" s="18" t="s">
        <v>0</v>
      </c>
      <c r="F9578" s="42">
        <v>1</v>
      </c>
      <c r="G9578" s="4">
        <v>15</v>
      </c>
      <c r="H9578" s="18">
        <v>29.265999999999998</v>
      </c>
    </row>
    <row r="9579" spans="1:8" s="15" customFormat="1" ht="16.5" hidden="1" customHeight="1" outlineLevel="1" x14ac:dyDescent="0.25">
      <c r="A9579" s="18">
        <v>2187</v>
      </c>
      <c r="B9579" s="4" t="s">
        <v>250</v>
      </c>
      <c r="C9579" s="38" t="s">
        <v>8003</v>
      </c>
      <c r="D9579" s="18">
        <v>2022</v>
      </c>
      <c r="E9579" s="18" t="s">
        <v>0</v>
      </c>
      <c r="F9579" s="42">
        <v>1</v>
      </c>
      <c r="G9579" s="4">
        <v>15</v>
      </c>
      <c r="H9579" s="18">
        <v>30.263999999999999</v>
      </c>
    </row>
    <row r="9580" spans="1:8" s="15" customFormat="1" ht="16.5" hidden="1" customHeight="1" outlineLevel="1" x14ac:dyDescent="0.25">
      <c r="A9580" s="18">
        <v>2188</v>
      </c>
      <c r="B9580" s="4" t="s">
        <v>250</v>
      </c>
      <c r="C9580" s="38" t="s">
        <v>8004</v>
      </c>
      <c r="D9580" s="18">
        <v>2022</v>
      </c>
      <c r="E9580" s="18" t="s">
        <v>0</v>
      </c>
      <c r="F9580" s="42">
        <v>1</v>
      </c>
      <c r="G9580" s="4">
        <v>15</v>
      </c>
      <c r="H9580" s="18">
        <v>34.530999999999999</v>
      </c>
    </row>
    <row r="9581" spans="1:8" s="15" customFormat="1" ht="16.5" hidden="1" customHeight="1" outlineLevel="1" x14ac:dyDescent="0.25">
      <c r="A9581" s="18">
        <v>2221</v>
      </c>
      <c r="B9581" s="4" t="s">
        <v>250</v>
      </c>
      <c r="C9581" s="38" t="s">
        <v>8005</v>
      </c>
      <c r="D9581" s="18">
        <v>2022</v>
      </c>
      <c r="E9581" s="18" t="s">
        <v>0</v>
      </c>
      <c r="F9581" s="42">
        <v>1</v>
      </c>
      <c r="G9581" s="4">
        <v>15</v>
      </c>
      <c r="H9581" s="18">
        <v>28.67</v>
      </c>
    </row>
    <row r="9582" spans="1:8" s="15" customFormat="1" ht="16.5" hidden="1" customHeight="1" outlineLevel="1" x14ac:dyDescent="0.25">
      <c r="A9582" s="18">
        <v>2296</v>
      </c>
      <c r="B9582" s="4" t="s">
        <v>250</v>
      </c>
      <c r="C9582" s="38" t="s">
        <v>8006</v>
      </c>
      <c r="D9582" s="18">
        <v>2022</v>
      </c>
      <c r="E9582" s="18" t="s">
        <v>0</v>
      </c>
      <c r="F9582" s="42">
        <v>1</v>
      </c>
      <c r="G9582" s="4">
        <v>14</v>
      </c>
      <c r="H9582" s="18">
        <v>33.517000000000003</v>
      </c>
    </row>
    <row r="9583" spans="1:8" s="15" customFormat="1" ht="16.5" hidden="1" customHeight="1" outlineLevel="1" x14ac:dyDescent="0.25">
      <c r="A9583" s="18">
        <v>2297</v>
      </c>
      <c r="B9583" s="4" t="s">
        <v>250</v>
      </c>
      <c r="C9583" s="38" t="s">
        <v>8007</v>
      </c>
      <c r="D9583" s="18">
        <v>2022</v>
      </c>
      <c r="E9583" s="18" t="s">
        <v>0</v>
      </c>
      <c r="F9583" s="42">
        <v>1</v>
      </c>
      <c r="G9583" s="4">
        <v>14</v>
      </c>
      <c r="H9583" s="18">
        <v>33.445999999999998</v>
      </c>
    </row>
    <row r="9584" spans="1:8" s="15" customFormat="1" ht="16.5" hidden="1" customHeight="1" outlineLevel="1" x14ac:dyDescent="0.25">
      <c r="A9584" s="18">
        <v>2344</v>
      </c>
      <c r="B9584" s="4" t="s">
        <v>250</v>
      </c>
      <c r="C9584" s="38" t="s">
        <v>8008</v>
      </c>
      <c r="D9584" s="18">
        <v>2022</v>
      </c>
      <c r="E9584" s="18" t="s">
        <v>0</v>
      </c>
      <c r="F9584" s="42">
        <v>1</v>
      </c>
      <c r="G9584" s="4">
        <v>15</v>
      </c>
      <c r="H9584" s="18">
        <v>39.249000000000002</v>
      </c>
    </row>
    <row r="9585" spans="1:8" s="15" customFormat="1" ht="16.5" hidden="1" customHeight="1" outlineLevel="1" x14ac:dyDescent="0.25">
      <c r="A9585" s="18">
        <v>2345</v>
      </c>
      <c r="B9585" s="4" t="s">
        <v>250</v>
      </c>
      <c r="C9585" s="38" t="s">
        <v>8009</v>
      </c>
      <c r="D9585" s="18">
        <v>2022</v>
      </c>
      <c r="E9585" s="18" t="s">
        <v>0</v>
      </c>
      <c r="F9585" s="42">
        <v>1</v>
      </c>
      <c r="G9585" s="4">
        <v>15</v>
      </c>
      <c r="H9585" s="18">
        <v>38.744</v>
      </c>
    </row>
    <row r="9586" spans="1:8" s="15" customFormat="1" ht="16.5" hidden="1" customHeight="1" outlineLevel="1" x14ac:dyDescent="0.25">
      <c r="A9586" s="18">
        <v>2346</v>
      </c>
      <c r="B9586" s="4" t="s">
        <v>250</v>
      </c>
      <c r="C9586" s="38" t="s">
        <v>8010</v>
      </c>
      <c r="D9586" s="18">
        <v>2022</v>
      </c>
      <c r="E9586" s="18" t="s">
        <v>0</v>
      </c>
      <c r="F9586" s="42">
        <v>1</v>
      </c>
      <c r="G9586" s="4">
        <v>15</v>
      </c>
      <c r="H9586" s="18">
        <v>38.704999999999998</v>
      </c>
    </row>
    <row r="9587" spans="1:8" s="15" customFormat="1" ht="16.5" hidden="1" customHeight="1" outlineLevel="1" x14ac:dyDescent="0.25">
      <c r="A9587" s="18">
        <v>2347</v>
      </c>
      <c r="B9587" s="4" t="s">
        <v>250</v>
      </c>
      <c r="C9587" s="38" t="s">
        <v>8011</v>
      </c>
      <c r="D9587" s="18">
        <v>2022</v>
      </c>
      <c r="E9587" s="18" t="s">
        <v>0</v>
      </c>
      <c r="F9587" s="42">
        <v>1</v>
      </c>
      <c r="G9587" s="4">
        <v>15</v>
      </c>
      <c r="H9587" s="18">
        <v>40.511000000000003</v>
      </c>
    </row>
    <row r="9588" spans="1:8" s="15" customFormat="1" ht="16.5" hidden="1" customHeight="1" outlineLevel="1" x14ac:dyDescent="0.25">
      <c r="A9588" s="18">
        <v>2348</v>
      </c>
      <c r="B9588" s="4" t="s">
        <v>250</v>
      </c>
      <c r="C9588" s="38" t="s">
        <v>8012</v>
      </c>
      <c r="D9588" s="18">
        <v>2022</v>
      </c>
      <c r="E9588" s="18" t="s">
        <v>0</v>
      </c>
      <c r="F9588" s="42">
        <v>1</v>
      </c>
      <c r="G9588" s="4">
        <v>15</v>
      </c>
      <c r="H9588" s="18">
        <v>45.420999999999999</v>
      </c>
    </row>
    <row r="9589" spans="1:8" s="15" customFormat="1" ht="16.5" hidden="1" customHeight="1" outlineLevel="1" x14ac:dyDescent="0.25">
      <c r="A9589" s="18">
        <v>2015</v>
      </c>
      <c r="B9589" s="4" t="s">
        <v>250</v>
      </c>
      <c r="C9589" s="38" t="s">
        <v>8013</v>
      </c>
      <c r="D9589" s="18">
        <v>2022</v>
      </c>
      <c r="E9589" s="18" t="s">
        <v>0</v>
      </c>
      <c r="F9589" s="42">
        <v>1</v>
      </c>
      <c r="G9589" s="4">
        <v>15</v>
      </c>
      <c r="H9589" s="18">
        <v>39.170999999999999</v>
      </c>
    </row>
    <row r="9590" spans="1:8" s="15" customFormat="1" ht="16.5" hidden="1" customHeight="1" outlineLevel="1" x14ac:dyDescent="0.25">
      <c r="A9590" s="18">
        <v>2064</v>
      </c>
      <c r="B9590" s="4" t="s">
        <v>250</v>
      </c>
      <c r="C9590" s="38" t="s">
        <v>8014</v>
      </c>
      <c r="D9590" s="18">
        <v>2022</v>
      </c>
      <c r="E9590" s="18" t="s">
        <v>0</v>
      </c>
      <c r="F9590" s="42">
        <v>1</v>
      </c>
      <c r="G9590" s="4">
        <v>15</v>
      </c>
      <c r="H9590" s="18">
        <v>38.042000000000002</v>
      </c>
    </row>
    <row r="9591" spans="1:8" s="15" customFormat="1" ht="16.5" hidden="1" customHeight="1" outlineLevel="1" x14ac:dyDescent="0.25">
      <c r="A9591" s="18">
        <v>2065</v>
      </c>
      <c r="B9591" s="4" t="s">
        <v>250</v>
      </c>
      <c r="C9591" s="38" t="s">
        <v>8015</v>
      </c>
      <c r="D9591" s="18">
        <v>2022</v>
      </c>
      <c r="E9591" s="18" t="s">
        <v>0</v>
      </c>
      <c r="F9591" s="42">
        <v>1</v>
      </c>
      <c r="G9591" s="4">
        <v>15</v>
      </c>
      <c r="H9591" s="18">
        <v>57.600999999999999</v>
      </c>
    </row>
    <row r="9592" spans="1:8" s="15" customFormat="1" ht="16.5" hidden="1" customHeight="1" outlineLevel="1" x14ac:dyDescent="0.25">
      <c r="A9592" s="18">
        <v>2323</v>
      </c>
      <c r="B9592" s="4" t="s">
        <v>250</v>
      </c>
      <c r="C9592" s="38" t="s">
        <v>8016</v>
      </c>
      <c r="D9592" s="18">
        <v>2022</v>
      </c>
      <c r="E9592" s="18" t="s">
        <v>0</v>
      </c>
      <c r="F9592" s="42">
        <v>1</v>
      </c>
      <c r="G9592" s="4">
        <v>15</v>
      </c>
      <c r="H9592" s="18">
        <v>60.25</v>
      </c>
    </row>
    <row r="9593" spans="1:8" s="15" customFormat="1" ht="16.5" hidden="1" customHeight="1" outlineLevel="1" x14ac:dyDescent="0.25">
      <c r="A9593" s="18">
        <v>2239</v>
      </c>
      <c r="B9593" s="4" t="s">
        <v>250</v>
      </c>
      <c r="C9593" s="38" t="s">
        <v>8017</v>
      </c>
      <c r="D9593" s="18">
        <v>2022</v>
      </c>
      <c r="E9593" s="18" t="s">
        <v>0</v>
      </c>
      <c r="F9593" s="42">
        <v>1</v>
      </c>
      <c r="G9593" s="4">
        <v>10</v>
      </c>
      <c r="H9593" s="18">
        <v>29.207999999999998</v>
      </c>
    </row>
    <row r="9594" spans="1:8" s="15" customFormat="1" ht="16.5" hidden="1" customHeight="1" outlineLevel="1" x14ac:dyDescent="0.25">
      <c r="A9594" s="18">
        <v>2349</v>
      </c>
      <c r="B9594" s="4" t="s">
        <v>250</v>
      </c>
      <c r="C9594" s="38" t="s">
        <v>8018</v>
      </c>
      <c r="D9594" s="18">
        <v>2022</v>
      </c>
      <c r="E9594" s="18" t="s">
        <v>0</v>
      </c>
      <c r="F9594" s="42">
        <v>1</v>
      </c>
      <c r="G9594" s="4">
        <v>15</v>
      </c>
      <c r="H9594" s="18">
        <v>35.109000000000002</v>
      </c>
    </row>
    <row r="9595" spans="1:8" s="15" customFormat="1" ht="16.5" hidden="1" customHeight="1" outlineLevel="1" x14ac:dyDescent="0.25">
      <c r="A9595" s="18">
        <v>2353</v>
      </c>
      <c r="B9595" s="4" t="s">
        <v>250</v>
      </c>
      <c r="C9595" s="38" t="s">
        <v>8019</v>
      </c>
      <c r="D9595" s="18">
        <v>2022</v>
      </c>
      <c r="E9595" s="18" t="s">
        <v>0</v>
      </c>
      <c r="F9595" s="42">
        <v>1</v>
      </c>
      <c r="G9595" s="4">
        <v>15</v>
      </c>
      <c r="H9595" s="18">
        <v>41.488999999999997</v>
      </c>
    </row>
    <row r="9596" spans="1:8" s="15" customFormat="1" ht="16.5" hidden="1" customHeight="1" outlineLevel="1" x14ac:dyDescent="0.25">
      <c r="A9596" s="18">
        <v>2354</v>
      </c>
      <c r="B9596" s="4" t="s">
        <v>250</v>
      </c>
      <c r="C9596" s="38" t="s">
        <v>8020</v>
      </c>
      <c r="D9596" s="18">
        <v>2022</v>
      </c>
      <c r="E9596" s="18" t="s">
        <v>0</v>
      </c>
      <c r="F9596" s="42">
        <v>1</v>
      </c>
      <c r="G9596" s="4">
        <v>15</v>
      </c>
      <c r="H9596" s="18">
        <v>41.49</v>
      </c>
    </row>
    <row r="9597" spans="1:8" s="15" customFormat="1" ht="16.5" hidden="1" customHeight="1" outlineLevel="1" x14ac:dyDescent="0.25">
      <c r="A9597" s="18">
        <v>2355</v>
      </c>
      <c r="B9597" s="4" t="s">
        <v>250</v>
      </c>
      <c r="C9597" s="38" t="s">
        <v>8021</v>
      </c>
      <c r="D9597" s="18">
        <v>2022</v>
      </c>
      <c r="E9597" s="18" t="s">
        <v>0</v>
      </c>
      <c r="F9597" s="42">
        <v>1</v>
      </c>
      <c r="G9597" s="4">
        <v>15</v>
      </c>
      <c r="H9597" s="18">
        <v>38.478000000000002</v>
      </c>
    </row>
    <row r="9598" spans="1:8" s="15" customFormat="1" ht="16.5" hidden="1" customHeight="1" outlineLevel="1" x14ac:dyDescent="0.25">
      <c r="A9598" s="18">
        <v>2357</v>
      </c>
      <c r="B9598" s="4" t="s">
        <v>250</v>
      </c>
      <c r="C9598" s="38" t="s">
        <v>8022</v>
      </c>
      <c r="D9598" s="18">
        <v>2022</v>
      </c>
      <c r="E9598" s="18" t="s">
        <v>0</v>
      </c>
      <c r="F9598" s="42">
        <v>1</v>
      </c>
      <c r="G9598" s="4">
        <v>15</v>
      </c>
      <c r="H9598" s="18">
        <v>37.692</v>
      </c>
    </row>
    <row r="9599" spans="1:8" s="15" customFormat="1" ht="16.5" hidden="1" customHeight="1" outlineLevel="1" x14ac:dyDescent="0.25">
      <c r="A9599" s="18">
        <v>2360</v>
      </c>
      <c r="B9599" s="4" t="s">
        <v>250</v>
      </c>
      <c r="C9599" s="38" t="s">
        <v>8023</v>
      </c>
      <c r="D9599" s="18">
        <v>2022</v>
      </c>
      <c r="E9599" s="18" t="s">
        <v>0</v>
      </c>
      <c r="F9599" s="42">
        <v>1</v>
      </c>
      <c r="G9599" s="4">
        <v>15</v>
      </c>
      <c r="H9599" s="18">
        <v>42.057000000000002</v>
      </c>
    </row>
    <row r="9600" spans="1:8" s="15" customFormat="1" ht="16.5" hidden="1" customHeight="1" outlineLevel="1" x14ac:dyDescent="0.25">
      <c r="A9600" s="18">
        <v>2361</v>
      </c>
      <c r="B9600" s="4" t="s">
        <v>250</v>
      </c>
      <c r="C9600" s="38" t="s">
        <v>8024</v>
      </c>
      <c r="D9600" s="18">
        <v>2022</v>
      </c>
      <c r="E9600" s="18" t="s">
        <v>0</v>
      </c>
      <c r="F9600" s="42">
        <v>1</v>
      </c>
      <c r="G9600" s="4">
        <v>15</v>
      </c>
      <c r="H9600" s="18">
        <v>36.85</v>
      </c>
    </row>
    <row r="9601" spans="1:8" s="15" customFormat="1" ht="16.5" hidden="1" customHeight="1" outlineLevel="1" x14ac:dyDescent="0.25">
      <c r="A9601" s="18">
        <v>1853</v>
      </c>
      <c r="B9601" s="4" t="s">
        <v>250</v>
      </c>
      <c r="C9601" s="38" t="s">
        <v>8025</v>
      </c>
      <c r="D9601" s="18">
        <v>2022</v>
      </c>
      <c r="E9601" s="18" t="s">
        <v>0</v>
      </c>
      <c r="F9601" s="42">
        <v>3</v>
      </c>
      <c r="G9601" s="4">
        <v>40</v>
      </c>
      <c r="H9601" s="18">
        <v>91.019000000000005</v>
      </c>
    </row>
    <row r="9602" spans="1:8" s="15" customFormat="1" ht="16.5" hidden="1" customHeight="1" outlineLevel="1" x14ac:dyDescent="0.25">
      <c r="A9602" s="18">
        <v>1866</v>
      </c>
      <c r="B9602" s="4" t="s">
        <v>250</v>
      </c>
      <c r="C9602" s="38" t="s">
        <v>8026</v>
      </c>
      <c r="D9602" s="18">
        <v>2022</v>
      </c>
      <c r="E9602" s="18" t="s">
        <v>0</v>
      </c>
      <c r="F9602" s="42">
        <v>1</v>
      </c>
      <c r="G9602" s="4">
        <v>15</v>
      </c>
      <c r="H9602" s="18">
        <v>32.86</v>
      </c>
    </row>
    <row r="9603" spans="1:8" s="15" customFormat="1" ht="16.5" hidden="1" customHeight="1" outlineLevel="1" x14ac:dyDescent="0.25">
      <c r="A9603" s="18">
        <v>1867</v>
      </c>
      <c r="B9603" s="4" t="s">
        <v>250</v>
      </c>
      <c r="C9603" s="38" t="s">
        <v>8027</v>
      </c>
      <c r="D9603" s="18">
        <v>2022</v>
      </c>
      <c r="E9603" s="18" t="s">
        <v>0</v>
      </c>
      <c r="F9603" s="42">
        <v>1</v>
      </c>
      <c r="G9603" s="4">
        <v>15</v>
      </c>
      <c r="H9603" s="18">
        <v>34.512999999999998</v>
      </c>
    </row>
    <row r="9604" spans="1:8" s="15" customFormat="1" ht="16.5" hidden="1" customHeight="1" outlineLevel="1" x14ac:dyDescent="0.25">
      <c r="A9604" s="18">
        <v>1896</v>
      </c>
      <c r="B9604" s="4" t="s">
        <v>250</v>
      </c>
      <c r="C9604" s="38" t="s">
        <v>4204</v>
      </c>
      <c r="D9604" s="18">
        <v>2022</v>
      </c>
      <c r="E9604" s="18" t="s">
        <v>0</v>
      </c>
      <c r="F9604" s="42">
        <v>1</v>
      </c>
      <c r="G9604" s="4">
        <v>22</v>
      </c>
      <c r="H9604" s="18">
        <v>30.15</v>
      </c>
    </row>
    <row r="9605" spans="1:8" s="15" customFormat="1" ht="16.5" hidden="1" customHeight="1" outlineLevel="1" x14ac:dyDescent="0.25">
      <c r="A9605" s="18">
        <v>1888</v>
      </c>
      <c r="B9605" s="4" t="s">
        <v>250</v>
      </c>
      <c r="C9605" s="38" t="s">
        <v>8028</v>
      </c>
      <c r="D9605" s="18">
        <v>2022</v>
      </c>
      <c r="E9605" s="18" t="s">
        <v>0</v>
      </c>
      <c r="F9605" s="42">
        <v>1</v>
      </c>
      <c r="G9605" s="4">
        <v>15</v>
      </c>
      <c r="H9605" s="18">
        <v>26.236999999999998</v>
      </c>
    </row>
    <row r="9606" spans="1:8" s="15" customFormat="1" ht="16.5" hidden="1" customHeight="1" outlineLevel="1" x14ac:dyDescent="0.25">
      <c r="A9606" s="18">
        <v>1892</v>
      </c>
      <c r="B9606" s="4" t="s">
        <v>250</v>
      </c>
      <c r="C9606" s="38" t="s">
        <v>8029</v>
      </c>
      <c r="D9606" s="18">
        <v>2022</v>
      </c>
      <c r="E9606" s="18" t="s">
        <v>0</v>
      </c>
      <c r="F9606" s="42">
        <v>1</v>
      </c>
      <c r="G9606" s="4">
        <v>10</v>
      </c>
      <c r="H9606" s="18">
        <v>36.247999999999998</v>
      </c>
    </row>
    <row r="9607" spans="1:8" s="15" customFormat="1" ht="16.5" hidden="1" customHeight="1" outlineLevel="1" x14ac:dyDescent="0.25">
      <c r="A9607" s="18">
        <v>1910</v>
      </c>
      <c r="B9607" s="4" t="s">
        <v>250</v>
      </c>
      <c r="C9607" s="38" t="s">
        <v>8030</v>
      </c>
      <c r="D9607" s="18">
        <v>2022</v>
      </c>
      <c r="E9607" s="18" t="s">
        <v>0</v>
      </c>
      <c r="F9607" s="42">
        <v>3</v>
      </c>
      <c r="G9607" s="4">
        <v>40</v>
      </c>
      <c r="H9607" s="18">
        <v>104.892</v>
      </c>
    </row>
    <row r="9608" spans="1:8" s="15" customFormat="1" ht="16.5" hidden="1" customHeight="1" outlineLevel="1" x14ac:dyDescent="0.25">
      <c r="A9608" s="18">
        <v>1916</v>
      </c>
      <c r="B9608" s="4" t="s">
        <v>250</v>
      </c>
      <c r="C9608" s="38" t="s">
        <v>8031</v>
      </c>
      <c r="D9608" s="18">
        <v>2022</v>
      </c>
      <c r="E9608" s="18" t="s">
        <v>0</v>
      </c>
      <c r="F9608" s="42">
        <v>1</v>
      </c>
      <c r="G9608" s="4">
        <v>15</v>
      </c>
      <c r="H9608" s="18">
        <v>34.079000000000001</v>
      </c>
    </row>
    <row r="9609" spans="1:8" s="15" customFormat="1" ht="16.5" hidden="1" customHeight="1" outlineLevel="1" x14ac:dyDescent="0.25">
      <c r="A9609" s="18">
        <v>1928</v>
      </c>
      <c r="B9609" s="4" t="s">
        <v>250</v>
      </c>
      <c r="C9609" s="38" t="s">
        <v>8032</v>
      </c>
      <c r="D9609" s="18">
        <v>2022</v>
      </c>
      <c r="E9609" s="18" t="s">
        <v>0</v>
      </c>
      <c r="F9609" s="42">
        <v>1</v>
      </c>
      <c r="G9609" s="4">
        <v>10</v>
      </c>
      <c r="H9609" s="18">
        <v>34.655999999999999</v>
      </c>
    </row>
    <row r="9610" spans="1:8" s="15" customFormat="1" ht="16.5" hidden="1" customHeight="1" outlineLevel="1" x14ac:dyDescent="0.25">
      <c r="A9610" s="18">
        <v>1949</v>
      </c>
      <c r="B9610" s="4" t="s">
        <v>250</v>
      </c>
      <c r="C9610" s="38" t="s">
        <v>8033</v>
      </c>
      <c r="D9610" s="18">
        <v>2022</v>
      </c>
      <c r="E9610" s="18" t="s">
        <v>0</v>
      </c>
      <c r="F9610" s="42">
        <v>2</v>
      </c>
      <c r="G9610" s="4">
        <v>30</v>
      </c>
      <c r="H9610" s="18">
        <v>71.403000000000006</v>
      </c>
    </row>
    <row r="9611" spans="1:8" s="15" customFormat="1" ht="16.5" hidden="1" customHeight="1" outlineLevel="1" x14ac:dyDescent="0.25">
      <c r="A9611" s="18">
        <v>1951</v>
      </c>
      <c r="B9611" s="4" t="s">
        <v>250</v>
      </c>
      <c r="C9611" s="38" t="s">
        <v>8034</v>
      </c>
      <c r="D9611" s="18">
        <v>2022</v>
      </c>
      <c r="E9611" s="18" t="s">
        <v>0</v>
      </c>
      <c r="F9611" s="42">
        <v>2</v>
      </c>
      <c r="G9611" s="4">
        <v>30</v>
      </c>
      <c r="H9611" s="18">
        <v>60.362000000000002</v>
      </c>
    </row>
    <row r="9612" spans="1:8" s="15" customFormat="1" ht="16.5" hidden="1" customHeight="1" outlineLevel="1" x14ac:dyDescent="0.25">
      <c r="A9612" s="18">
        <v>1977</v>
      </c>
      <c r="B9612" s="4" t="s">
        <v>250</v>
      </c>
      <c r="C9612" s="38" t="s">
        <v>8035</v>
      </c>
      <c r="D9612" s="18">
        <v>2022</v>
      </c>
      <c r="E9612" s="18" t="s">
        <v>0</v>
      </c>
      <c r="F9612" s="42">
        <v>1</v>
      </c>
      <c r="G9612" s="4">
        <v>15</v>
      </c>
      <c r="H9612" s="18">
        <v>30.719000000000001</v>
      </c>
    </row>
    <row r="9613" spans="1:8" s="15" customFormat="1" ht="16.5" hidden="1" customHeight="1" outlineLevel="1" x14ac:dyDescent="0.25">
      <c r="A9613" s="18">
        <v>1980</v>
      </c>
      <c r="B9613" s="4" t="s">
        <v>250</v>
      </c>
      <c r="C9613" s="38" t="s">
        <v>8036</v>
      </c>
      <c r="D9613" s="18">
        <v>2022</v>
      </c>
      <c r="E9613" s="18" t="s">
        <v>0</v>
      </c>
      <c r="F9613" s="42">
        <v>1</v>
      </c>
      <c r="G9613" s="4">
        <v>15</v>
      </c>
      <c r="H9613" s="18">
        <v>36.518999999999998</v>
      </c>
    </row>
    <row r="9614" spans="1:8" s="15" customFormat="1" ht="16.5" hidden="1" customHeight="1" outlineLevel="1" x14ac:dyDescent="0.25">
      <c r="A9614" s="18">
        <v>1995</v>
      </c>
      <c r="B9614" s="4" t="s">
        <v>250</v>
      </c>
      <c r="C9614" s="38" t="s">
        <v>8037</v>
      </c>
      <c r="D9614" s="18">
        <v>2022</v>
      </c>
      <c r="E9614" s="18" t="s">
        <v>0</v>
      </c>
      <c r="F9614" s="42">
        <v>1</v>
      </c>
      <c r="G9614" s="4">
        <v>15</v>
      </c>
      <c r="H9614" s="18">
        <v>35.802</v>
      </c>
    </row>
    <row r="9615" spans="1:8" s="15" customFormat="1" ht="16.5" hidden="1" customHeight="1" outlineLevel="1" x14ac:dyDescent="0.25">
      <c r="A9615" s="18">
        <v>1996</v>
      </c>
      <c r="B9615" s="4" t="s">
        <v>250</v>
      </c>
      <c r="C9615" s="38" t="s">
        <v>8038</v>
      </c>
      <c r="D9615" s="18">
        <v>2022</v>
      </c>
      <c r="E9615" s="18" t="s">
        <v>0</v>
      </c>
      <c r="F9615" s="42">
        <v>1</v>
      </c>
      <c r="G9615" s="4">
        <v>15</v>
      </c>
      <c r="H9615" s="18">
        <v>36.194000000000003</v>
      </c>
    </row>
    <row r="9616" spans="1:8" s="15" customFormat="1" ht="16.5" hidden="1" customHeight="1" outlineLevel="1" x14ac:dyDescent="0.25">
      <c r="A9616" s="18">
        <v>2008</v>
      </c>
      <c r="B9616" s="4" t="s">
        <v>250</v>
      </c>
      <c r="C9616" s="38" t="s">
        <v>8039</v>
      </c>
      <c r="D9616" s="18">
        <v>2022</v>
      </c>
      <c r="E9616" s="18" t="s">
        <v>0</v>
      </c>
      <c r="F9616" s="42">
        <v>1</v>
      </c>
      <c r="G9616" s="4">
        <v>10</v>
      </c>
      <c r="H9616" s="18">
        <v>24.262</v>
      </c>
    </row>
    <row r="9617" spans="1:8" s="15" customFormat="1" ht="16.5" hidden="1" customHeight="1" outlineLevel="1" x14ac:dyDescent="0.25">
      <c r="A9617" s="18">
        <v>2010</v>
      </c>
      <c r="B9617" s="4" t="s">
        <v>250</v>
      </c>
      <c r="C9617" s="38" t="s">
        <v>8040</v>
      </c>
      <c r="D9617" s="18">
        <v>2022</v>
      </c>
      <c r="E9617" s="18" t="s">
        <v>0</v>
      </c>
      <c r="F9617" s="42">
        <v>1</v>
      </c>
      <c r="G9617" s="4">
        <v>15</v>
      </c>
      <c r="H9617" s="18">
        <v>48.543999999999997</v>
      </c>
    </row>
    <row r="9618" spans="1:8" s="15" customFormat="1" ht="16.5" hidden="1" customHeight="1" outlineLevel="1" x14ac:dyDescent="0.25">
      <c r="A9618" s="18">
        <v>2012</v>
      </c>
      <c r="B9618" s="4" t="s">
        <v>250</v>
      </c>
      <c r="C9618" s="38" t="s">
        <v>8041</v>
      </c>
      <c r="D9618" s="18">
        <v>2022</v>
      </c>
      <c r="E9618" s="18" t="s">
        <v>0</v>
      </c>
      <c r="F9618" s="42">
        <v>1</v>
      </c>
      <c r="G9618" s="4">
        <v>15</v>
      </c>
      <c r="H9618" s="18">
        <v>64.013999999999996</v>
      </c>
    </row>
    <row r="9619" spans="1:8" s="15" customFormat="1" ht="16.5" hidden="1" customHeight="1" outlineLevel="1" x14ac:dyDescent="0.25">
      <c r="A9619" s="18">
        <v>2013</v>
      </c>
      <c r="B9619" s="4" t="s">
        <v>250</v>
      </c>
      <c r="C9619" s="38" t="s">
        <v>8042</v>
      </c>
      <c r="D9619" s="18">
        <v>2022</v>
      </c>
      <c r="E9619" s="18" t="s">
        <v>0</v>
      </c>
      <c r="F9619" s="42">
        <v>1</v>
      </c>
      <c r="G9619" s="4">
        <v>15</v>
      </c>
      <c r="H9619" s="18">
        <v>38.786999999999999</v>
      </c>
    </row>
    <row r="9620" spans="1:8" s="15" customFormat="1" ht="16.5" hidden="1" customHeight="1" outlineLevel="1" x14ac:dyDescent="0.25">
      <c r="A9620" s="18">
        <v>2014</v>
      </c>
      <c r="B9620" s="4" t="s">
        <v>250</v>
      </c>
      <c r="C9620" s="38" t="s">
        <v>8043</v>
      </c>
      <c r="D9620" s="18">
        <v>2022</v>
      </c>
      <c r="E9620" s="18" t="s">
        <v>0</v>
      </c>
      <c r="F9620" s="42">
        <v>1</v>
      </c>
      <c r="G9620" s="4">
        <v>15</v>
      </c>
      <c r="H9620" s="18">
        <v>52.276000000000003</v>
      </c>
    </row>
    <row r="9621" spans="1:8" s="15" customFormat="1" ht="16.5" hidden="1" customHeight="1" outlineLevel="1" x14ac:dyDescent="0.25">
      <c r="A9621" s="18">
        <v>2034</v>
      </c>
      <c r="B9621" s="4" t="s">
        <v>250</v>
      </c>
      <c r="C9621" s="38" t="s">
        <v>8044</v>
      </c>
      <c r="D9621" s="18">
        <v>2022</v>
      </c>
      <c r="E9621" s="18" t="s">
        <v>0</v>
      </c>
      <c r="F9621" s="42">
        <v>1</v>
      </c>
      <c r="G9621" s="4">
        <v>15</v>
      </c>
      <c r="H9621" s="18">
        <v>36.984000000000002</v>
      </c>
    </row>
    <row r="9622" spans="1:8" s="15" customFormat="1" ht="16.5" hidden="1" customHeight="1" outlineLevel="1" x14ac:dyDescent="0.25">
      <c r="A9622" s="18">
        <v>1856</v>
      </c>
      <c r="B9622" s="4" t="s">
        <v>250</v>
      </c>
      <c r="C9622" s="38" t="s">
        <v>8045</v>
      </c>
      <c r="D9622" s="18">
        <v>2022</v>
      </c>
      <c r="E9622" s="18" t="s">
        <v>0</v>
      </c>
      <c r="F9622" s="42">
        <v>1</v>
      </c>
      <c r="G9622" s="4">
        <v>50</v>
      </c>
      <c r="H9622" s="18">
        <v>37.546999999999997</v>
      </c>
    </row>
    <row r="9623" spans="1:8" s="15" customFormat="1" ht="16.5" hidden="1" customHeight="1" outlineLevel="1" x14ac:dyDescent="0.25">
      <c r="A9623" s="18">
        <v>2075</v>
      </c>
      <c r="B9623" s="4" t="s">
        <v>250</v>
      </c>
      <c r="C9623" s="38" t="s">
        <v>8046</v>
      </c>
      <c r="D9623" s="18">
        <v>2022</v>
      </c>
      <c r="E9623" s="18" t="s">
        <v>0</v>
      </c>
      <c r="F9623" s="42">
        <v>1</v>
      </c>
      <c r="G9623" s="4">
        <v>8</v>
      </c>
      <c r="H9623" s="18">
        <v>27.891999999999999</v>
      </c>
    </row>
    <row r="9624" spans="1:8" s="15" customFormat="1" ht="16.5" hidden="1" customHeight="1" outlineLevel="1" x14ac:dyDescent="0.25">
      <c r="A9624" s="18">
        <v>2240</v>
      </c>
      <c r="B9624" s="4" t="s">
        <v>250</v>
      </c>
      <c r="C9624" s="38" t="s">
        <v>8047</v>
      </c>
      <c r="D9624" s="18">
        <v>2022</v>
      </c>
      <c r="E9624" s="18" t="s">
        <v>0</v>
      </c>
      <c r="F9624" s="42">
        <v>1</v>
      </c>
      <c r="G9624" s="4">
        <v>8</v>
      </c>
      <c r="H9624" s="18">
        <v>44.054000000000002</v>
      </c>
    </row>
    <row r="9625" spans="1:8" s="15" customFormat="1" ht="16.5" hidden="1" customHeight="1" outlineLevel="1" x14ac:dyDescent="0.25">
      <c r="A9625" s="18">
        <v>2324</v>
      </c>
      <c r="B9625" s="4" t="s">
        <v>250</v>
      </c>
      <c r="C9625" s="38" t="s">
        <v>8048</v>
      </c>
      <c r="D9625" s="18">
        <v>2022</v>
      </c>
      <c r="E9625" s="18" t="s">
        <v>0</v>
      </c>
      <c r="F9625" s="42">
        <v>1</v>
      </c>
      <c r="G9625" s="4">
        <v>15</v>
      </c>
      <c r="H9625" s="18">
        <v>32.082000000000001</v>
      </c>
    </row>
    <row r="9626" spans="1:8" s="15" customFormat="1" ht="16.5" hidden="1" customHeight="1" outlineLevel="1" x14ac:dyDescent="0.25">
      <c r="A9626" s="18">
        <v>2034</v>
      </c>
      <c r="B9626" s="4" t="s">
        <v>250</v>
      </c>
      <c r="C9626" s="38" t="s">
        <v>8049</v>
      </c>
      <c r="D9626" s="18">
        <v>2022</v>
      </c>
      <c r="E9626" s="18" t="s">
        <v>0</v>
      </c>
      <c r="F9626" s="42">
        <v>1</v>
      </c>
      <c r="G9626" s="4">
        <v>15</v>
      </c>
      <c r="H9626" s="18">
        <v>34.591000000000001</v>
      </c>
    </row>
    <row r="9627" spans="1:8" s="15" customFormat="1" ht="16.5" hidden="1" customHeight="1" outlineLevel="1" x14ac:dyDescent="0.25">
      <c r="A9627" s="18">
        <v>1887</v>
      </c>
      <c r="B9627" s="4" t="s">
        <v>250</v>
      </c>
      <c r="C9627" s="38" t="s">
        <v>8050</v>
      </c>
      <c r="D9627" s="18">
        <v>2022</v>
      </c>
      <c r="E9627" s="18" t="s">
        <v>0</v>
      </c>
      <c r="F9627" s="42">
        <v>1</v>
      </c>
      <c r="G9627" s="4">
        <v>15</v>
      </c>
      <c r="H9627" s="18">
        <v>32.145000000000003</v>
      </c>
    </row>
    <row r="9628" spans="1:8" s="15" customFormat="1" ht="16.5" hidden="1" customHeight="1" outlineLevel="1" x14ac:dyDescent="0.25">
      <c r="A9628" s="18">
        <v>1922</v>
      </c>
      <c r="B9628" s="4" t="s">
        <v>250</v>
      </c>
      <c r="C9628" s="38" t="s">
        <v>8051</v>
      </c>
      <c r="D9628" s="18">
        <v>2022</v>
      </c>
      <c r="E9628" s="18" t="s">
        <v>0</v>
      </c>
      <c r="F9628" s="42">
        <v>1</v>
      </c>
      <c r="G9628" s="4">
        <v>15</v>
      </c>
      <c r="H9628" s="18">
        <v>34.706000000000003</v>
      </c>
    </row>
    <row r="9629" spans="1:8" s="15" customFormat="1" ht="16.5" hidden="1" customHeight="1" outlineLevel="1" x14ac:dyDescent="0.25">
      <c r="A9629" s="18">
        <v>1938</v>
      </c>
      <c r="B9629" s="4" t="s">
        <v>250</v>
      </c>
      <c r="C9629" s="38" t="s">
        <v>8052</v>
      </c>
      <c r="D9629" s="18">
        <v>2022</v>
      </c>
      <c r="E9629" s="18" t="s">
        <v>0</v>
      </c>
      <c r="F9629" s="42">
        <v>3</v>
      </c>
      <c r="G9629" s="4">
        <v>45</v>
      </c>
      <c r="H9629" s="18">
        <v>75.497</v>
      </c>
    </row>
    <row r="9630" spans="1:8" s="15" customFormat="1" ht="16.5" hidden="1" customHeight="1" outlineLevel="1" x14ac:dyDescent="0.25">
      <c r="A9630" s="18">
        <v>1941</v>
      </c>
      <c r="B9630" s="4" t="s">
        <v>250</v>
      </c>
      <c r="C9630" s="38" t="s">
        <v>8053</v>
      </c>
      <c r="D9630" s="18">
        <v>2022</v>
      </c>
      <c r="E9630" s="18" t="s">
        <v>0</v>
      </c>
      <c r="F9630" s="42">
        <v>1</v>
      </c>
      <c r="G9630" s="4">
        <v>15</v>
      </c>
      <c r="H9630" s="18">
        <v>35.744999999999997</v>
      </c>
    </row>
    <row r="9631" spans="1:8" s="15" customFormat="1" ht="16.5" hidden="1" customHeight="1" outlineLevel="1" x14ac:dyDescent="0.25">
      <c r="A9631" s="18">
        <v>1943</v>
      </c>
      <c r="B9631" s="4" t="s">
        <v>250</v>
      </c>
      <c r="C9631" s="38" t="s">
        <v>8054</v>
      </c>
      <c r="D9631" s="18">
        <v>2022</v>
      </c>
      <c r="E9631" s="18" t="s">
        <v>0</v>
      </c>
      <c r="F9631" s="42">
        <v>1</v>
      </c>
      <c r="G9631" s="4">
        <v>15</v>
      </c>
      <c r="H9631" s="18">
        <v>67.024000000000001</v>
      </c>
    </row>
    <row r="9632" spans="1:8" s="15" customFormat="1" ht="16.5" hidden="1" customHeight="1" outlineLevel="1" x14ac:dyDescent="0.25">
      <c r="A9632" s="18">
        <v>1947</v>
      </c>
      <c r="B9632" s="4" t="s">
        <v>250</v>
      </c>
      <c r="C9632" s="38" t="s">
        <v>8055</v>
      </c>
      <c r="D9632" s="18">
        <v>2022</v>
      </c>
      <c r="E9632" s="18" t="s">
        <v>0</v>
      </c>
      <c r="F9632" s="42">
        <v>3</v>
      </c>
      <c r="G9632" s="4">
        <v>40</v>
      </c>
      <c r="H9632" s="18">
        <v>99.182000000000002</v>
      </c>
    </row>
    <row r="9633" spans="1:8" s="15" customFormat="1" ht="16.5" hidden="1" customHeight="1" outlineLevel="1" x14ac:dyDescent="0.25">
      <c r="A9633" s="18">
        <v>1967</v>
      </c>
      <c r="B9633" s="4" t="s">
        <v>250</v>
      </c>
      <c r="C9633" s="38" t="s">
        <v>8056</v>
      </c>
      <c r="D9633" s="18">
        <v>2022</v>
      </c>
      <c r="E9633" s="18" t="s">
        <v>0</v>
      </c>
      <c r="F9633" s="42">
        <v>1</v>
      </c>
      <c r="G9633" s="4">
        <v>15</v>
      </c>
      <c r="H9633" s="18">
        <v>30.672000000000001</v>
      </c>
    </row>
    <row r="9634" spans="1:8" s="15" customFormat="1" ht="16.5" hidden="1" customHeight="1" outlineLevel="1" x14ac:dyDescent="0.25">
      <c r="A9634" s="18">
        <v>1974</v>
      </c>
      <c r="B9634" s="4" t="s">
        <v>250</v>
      </c>
      <c r="C9634" s="38" t="s">
        <v>8057</v>
      </c>
      <c r="D9634" s="18">
        <v>2022</v>
      </c>
      <c r="E9634" s="18" t="s">
        <v>0</v>
      </c>
      <c r="F9634" s="42">
        <v>1</v>
      </c>
      <c r="G9634" s="4">
        <v>15</v>
      </c>
      <c r="H9634" s="18">
        <v>31.904</v>
      </c>
    </row>
    <row r="9635" spans="1:8" s="15" customFormat="1" ht="16.5" hidden="1" customHeight="1" outlineLevel="1" x14ac:dyDescent="0.25">
      <c r="A9635" s="18">
        <v>1984</v>
      </c>
      <c r="B9635" s="4" t="s">
        <v>250</v>
      </c>
      <c r="C9635" s="38" t="s">
        <v>8058</v>
      </c>
      <c r="D9635" s="18">
        <v>2022</v>
      </c>
      <c r="E9635" s="18" t="s">
        <v>0</v>
      </c>
      <c r="F9635" s="42">
        <v>1</v>
      </c>
      <c r="G9635" s="4">
        <v>15</v>
      </c>
      <c r="H9635" s="18">
        <v>34.999000000000002</v>
      </c>
    </row>
    <row r="9636" spans="1:8" s="15" customFormat="1" ht="16.5" hidden="1" customHeight="1" outlineLevel="1" x14ac:dyDescent="0.25">
      <c r="A9636" s="18">
        <v>1997</v>
      </c>
      <c r="B9636" s="4" t="s">
        <v>250</v>
      </c>
      <c r="C9636" s="38" t="s">
        <v>8059</v>
      </c>
      <c r="D9636" s="18">
        <v>2022</v>
      </c>
      <c r="E9636" s="18" t="s">
        <v>0</v>
      </c>
      <c r="F9636" s="42">
        <v>1</v>
      </c>
      <c r="G9636" s="4">
        <v>15</v>
      </c>
      <c r="H9636" s="18">
        <v>37.082000000000001</v>
      </c>
    </row>
    <row r="9637" spans="1:8" s="15" customFormat="1" ht="16.5" hidden="1" customHeight="1" outlineLevel="1" x14ac:dyDescent="0.25">
      <c r="A9637" s="18">
        <v>2005</v>
      </c>
      <c r="B9637" s="4" t="s">
        <v>250</v>
      </c>
      <c r="C9637" s="38" t="s">
        <v>8060</v>
      </c>
      <c r="D9637" s="18">
        <v>2022</v>
      </c>
      <c r="E9637" s="18" t="s">
        <v>0</v>
      </c>
      <c r="F9637" s="42">
        <v>1</v>
      </c>
      <c r="G9637" s="4">
        <v>15</v>
      </c>
      <c r="H9637" s="18">
        <v>34.9</v>
      </c>
    </row>
    <row r="9638" spans="1:8" s="15" customFormat="1" ht="16.5" hidden="1" customHeight="1" outlineLevel="1" x14ac:dyDescent="0.25">
      <c r="A9638" s="18">
        <v>2021</v>
      </c>
      <c r="B9638" s="4" t="s">
        <v>250</v>
      </c>
      <c r="C9638" s="38" t="s">
        <v>8061</v>
      </c>
      <c r="D9638" s="18">
        <v>2022</v>
      </c>
      <c r="E9638" s="18" t="s">
        <v>0</v>
      </c>
      <c r="F9638" s="42">
        <v>1</v>
      </c>
      <c r="G9638" s="4">
        <v>15</v>
      </c>
      <c r="H9638" s="18">
        <v>34.872999999999998</v>
      </c>
    </row>
    <row r="9639" spans="1:8" s="15" customFormat="1" ht="16.5" hidden="1" customHeight="1" outlineLevel="1" x14ac:dyDescent="0.25">
      <c r="A9639" s="18">
        <v>2033</v>
      </c>
      <c r="B9639" s="4" t="s">
        <v>250</v>
      </c>
      <c r="C9639" s="38" t="s">
        <v>8062</v>
      </c>
      <c r="D9639" s="18">
        <v>2022</v>
      </c>
      <c r="E9639" s="18" t="s">
        <v>0</v>
      </c>
      <c r="F9639" s="42">
        <v>1</v>
      </c>
      <c r="G9639" s="4">
        <v>7</v>
      </c>
      <c r="H9639" s="18">
        <v>30.5</v>
      </c>
    </row>
    <row r="9640" spans="1:8" s="15" customFormat="1" ht="16.5" hidden="1" customHeight="1" outlineLevel="1" x14ac:dyDescent="0.25">
      <c r="A9640" s="18">
        <v>2041</v>
      </c>
      <c r="B9640" s="4" t="s">
        <v>250</v>
      </c>
      <c r="C9640" s="38" t="s">
        <v>8063</v>
      </c>
      <c r="D9640" s="18">
        <v>2022</v>
      </c>
      <c r="E9640" s="18" t="s">
        <v>0</v>
      </c>
      <c r="F9640" s="42">
        <v>1</v>
      </c>
      <c r="G9640" s="4">
        <v>15</v>
      </c>
      <c r="H9640" s="18">
        <v>31.129000000000001</v>
      </c>
    </row>
    <row r="9641" spans="1:8" s="15" customFormat="1" ht="16.5" hidden="1" customHeight="1" outlineLevel="1" x14ac:dyDescent="0.25">
      <c r="A9641" s="18">
        <v>2070</v>
      </c>
      <c r="B9641" s="4" t="s">
        <v>250</v>
      </c>
      <c r="C9641" s="38" t="s">
        <v>4206</v>
      </c>
      <c r="D9641" s="18">
        <v>2022</v>
      </c>
      <c r="E9641" s="18" t="s">
        <v>0</v>
      </c>
      <c r="F9641" s="42">
        <v>1</v>
      </c>
      <c r="G9641" s="4">
        <v>150</v>
      </c>
      <c r="H9641" s="18">
        <v>20.788</v>
      </c>
    </row>
    <row r="9642" spans="1:8" s="15" customFormat="1" ht="16.5" hidden="1" customHeight="1" outlineLevel="1" x14ac:dyDescent="0.25">
      <c r="A9642" s="18">
        <v>2077</v>
      </c>
      <c r="B9642" s="4" t="s">
        <v>250</v>
      </c>
      <c r="C9642" s="38" t="s">
        <v>8064</v>
      </c>
      <c r="D9642" s="18">
        <v>2022</v>
      </c>
      <c r="E9642" s="18" t="s">
        <v>0</v>
      </c>
      <c r="F9642" s="42">
        <v>1</v>
      </c>
      <c r="G9642" s="4">
        <v>15</v>
      </c>
      <c r="H9642" s="18">
        <v>29.852</v>
      </c>
    </row>
    <row r="9643" spans="1:8" s="15" customFormat="1" ht="16.5" hidden="1" customHeight="1" outlineLevel="1" x14ac:dyDescent="0.25">
      <c r="A9643" s="18">
        <v>2082</v>
      </c>
      <c r="B9643" s="4" t="s">
        <v>250</v>
      </c>
      <c r="C9643" s="38" t="s">
        <v>8065</v>
      </c>
      <c r="D9643" s="18">
        <v>2022</v>
      </c>
      <c r="E9643" s="18" t="s">
        <v>0</v>
      </c>
      <c r="F9643" s="42">
        <v>1</v>
      </c>
      <c r="G9643" s="4">
        <v>15</v>
      </c>
      <c r="H9643" s="18">
        <v>36.101999999999997</v>
      </c>
    </row>
    <row r="9644" spans="1:8" s="15" customFormat="1" ht="16.5" hidden="1" customHeight="1" outlineLevel="1" x14ac:dyDescent="0.25">
      <c r="A9644" s="18">
        <v>2086</v>
      </c>
      <c r="B9644" s="4" t="s">
        <v>250</v>
      </c>
      <c r="C9644" s="38" t="s">
        <v>8066</v>
      </c>
      <c r="D9644" s="18">
        <v>2022</v>
      </c>
      <c r="E9644" s="18" t="s">
        <v>0</v>
      </c>
      <c r="F9644" s="42">
        <v>1</v>
      </c>
      <c r="G9644" s="4">
        <v>15</v>
      </c>
      <c r="H9644" s="18">
        <v>30.256</v>
      </c>
    </row>
    <row r="9645" spans="1:8" s="15" customFormat="1" ht="16.5" hidden="1" customHeight="1" outlineLevel="1" x14ac:dyDescent="0.25">
      <c r="A9645" s="18">
        <v>2114</v>
      </c>
      <c r="B9645" s="4" t="s">
        <v>250</v>
      </c>
      <c r="C9645" s="38" t="s">
        <v>8067</v>
      </c>
      <c r="D9645" s="18">
        <v>2022</v>
      </c>
      <c r="E9645" s="18" t="s">
        <v>0</v>
      </c>
      <c r="F9645" s="42">
        <v>1</v>
      </c>
      <c r="G9645" s="4">
        <v>15</v>
      </c>
      <c r="H9645" s="18">
        <v>35.064999999999998</v>
      </c>
    </row>
    <row r="9646" spans="1:8" s="15" customFormat="1" ht="16.5" hidden="1" customHeight="1" outlineLevel="1" x14ac:dyDescent="0.25">
      <c r="A9646" s="18">
        <v>2122</v>
      </c>
      <c r="B9646" s="4" t="s">
        <v>250</v>
      </c>
      <c r="C9646" s="38" t="s">
        <v>8068</v>
      </c>
      <c r="D9646" s="18">
        <v>2022</v>
      </c>
      <c r="E9646" s="18" t="s">
        <v>0</v>
      </c>
      <c r="F9646" s="42">
        <v>1</v>
      </c>
      <c r="G9646" s="4">
        <v>15</v>
      </c>
      <c r="H9646" s="18">
        <v>35.445</v>
      </c>
    </row>
    <row r="9647" spans="1:8" s="15" customFormat="1" ht="16.5" hidden="1" customHeight="1" outlineLevel="1" x14ac:dyDescent="0.25">
      <c r="A9647" s="18">
        <v>2123</v>
      </c>
      <c r="B9647" s="4" t="s">
        <v>250</v>
      </c>
      <c r="C9647" s="38" t="s">
        <v>8069</v>
      </c>
      <c r="D9647" s="18">
        <v>2022</v>
      </c>
      <c r="E9647" s="18" t="s">
        <v>0</v>
      </c>
      <c r="F9647" s="42">
        <v>1</v>
      </c>
      <c r="G9647" s="4">
        <v>15</v>
      </c>
      <c r="H9647" s="18">
        <v>30.100999999999999</v>
      </c>
    </row>
    <row r="9648" spans="1:8" s="15" customFormat="1" ht="16.5" hidden="1" customHeight="1" outlineLevel="1" x14ac:dyDescent="0.25">
      <c r="A9648" s="18">
        <v>2125</v>
      </c>
      <c r="B9648" s="4" t="s">
        <v>250</v>
      </c>
      <c r="C9648" s="38" t="s">
        <v>8070</v>
      </c>
      <c r="D9648" s="18">
        <v>2022</v>
      </c>
      <c r="E9648" s="18" t="s">
        <v>0</v>
      </c>
      <c r="F9648" s="42">
        <v>1</v>
      </c>
      <c r="G9648" s="4">
        <v>5</v>
      </c>
      <c r="H9648" s="18">
        <v>36.734999999999999</v>
      </c>
    </row>
    <row r="9649" spans="1:8" s="15" customFormat="1" ht="16.5" hidden="1" customHeight="1" outlineLevel="1" x14ac:dyDescent="0.25">
      <c r="A9649" s="18">
        <v>2127</v>
      </c>
      <c r="B9649" s="4" t="s">
        <v>250</v>
      </c>
      <c r="C9649" s="38" t="s">
        <v>8071</v>
      </c>
      <c r="D9649" s="18">
        <v>2022</v>
      </c>
      <c r="E9649" s="18" t="s">
        <v>0</v>
      </c>
      <c r="F9649" s="42">
        <v>1</v>
      </c>
      <c r="G9649" s="4">
        <v>15</v>
      </c>
      <c r="H9649" s="18">
        <v>36.712000000000003</v>
      </c>
    </row>
    <row r="9650" spans="1:8" s="15" customFormat="1" ht="16.5" hidden="1" customHeight="1" outlineLevel="1" x14ac:dyDescent="0.25">
      <c r="A9650" s="18">
        <v>2133</v>
      </c>
      <c r="B9650" s="4" t="s">
        <v>250</v>
      </c>
      <c r="C9650" s="38" t="s">
        <v>8072</v>
      </c>
      <c r="D9650" s="18">
        <v>2022</v>
      </c>
      <c r="E9650" s="18" t="s">
        <v>0</v>
      </c>
      <c r="F9650" s="42">
        <v>1</v>
      </c>
      <c r="G9650" s="4">
        <v>15</v>
      </c>
      <c r="H9650" s="18">
        <v>35.445</v>
      </c>
    </row>
    <row r="9651" spans="1:8" s="15" customFormat="1" ht="16.5" hidden="1" customHeight="1" outlineLevel="1" x14ac:dyDescent="0.25">
      <c r="A9651" s="18">
        <v>2134</v>
      </c>
      <c r="B9651" s="4" t="s">
        <v>250</v>
      </c>
      <c r="C9651" s="38" t="s">
        <v>8073</v>
      </c>
      <c r="D9651" s="18">
        <v>2022</v>
      </c>
      <c r="E9651" s="18" t="s">
        <v>0</v>
      </c>
      <c r="F9651" s="42">
        <v>1</v>
      </c>
      <c r="G9651" s="4">
        <v>15</v>
      </c>
      <c r="H9651" s="18">
        <v>36.078000000000003</v>
      </c>
    </row>
    <row r="9652" spans="1:8" s="15" customFormat="1" ht="16.5" hidden="1" customHeight="1" outlineLevel="1" x14ac:dyDescent="0.25">
      <c r="A9652" s="18">
        <v>2136</v>
      </c>
      <c r="B9652" s="4" t="s">
        <v>250</v>
      </c>
      <c r="C9652" s="38" t="s">
        <v>8074</v>
      </c>
      <c r="D9652" s="18">
        <v>2022</v>
      </c>
      <c r="E9652" s="18" t="s">
        <v>0</v>
      </c>
      <c r="F9652" s="42">
        <v>1</v>
      </c>
      <c r="G9652" s="4">
        <v>15</v>
      </c>
      <c r="H9652" s="18">
        <v>35.469000000000001</v>
      </c>
    </row>
    <row r="9653" spans="1:8" s="15" customFormat="1" ht="16.5" hidden="1" customHeight="1" outlineLevel="1" x14ac:dyDescent="0.25">
      <c r="A9653" s="18">
        <v>2137</v>
      </c>
      <c r="B9653" s="4" t="s">
        <v>250</v>
      </c>
      <c r="C9653" s="38" t="s">
        <v>8075</v>
      </c>
      <c r="D9653" s="18">
        <v>2022</v>
      </c>
      <c r="E9653" s="18" t="s">
        <v>0</v>
      </c>
      <c r="F9653" s="42">
        <v>1</v>
      </c>
      <c r="G9653" s="4">
        <v>7.5</v>
      </c>
      <c r="H9653" s="18">
        <v>35.395000000000003</v>
      </c>
    </row>
    <row r="9654" spans="1:8" s="15" customFormat="1" ht="16.5" hidden="1" customHeight="1" outlineLevel="1" x14ac:dyDescent="0.25">
      <c r="A9654" s="18">
        <v>2138</v>
      </c>
      <c r="B9654" s="4" t="s">
        <v>250</v>
      </c>
      <c r="C9654" s="38" t="s">
        <v>8076</v>
      </c>
      <c r="D9654" s="18">
        <v>2022</v>
      </c>
      <c r="E9654" s="18" t="s">
        <v>0</v>
      </c>
      <c r="F9654" s="42">
        <v>1</v>
      </c>
      <c r="G9654" s="4">
        <v>15</v>
      </c>
      <c r="H9654" s="18">
        <v>30.181000000000001</v>
      </c>
    </row>
    <row r="9655" spans="1:8" s="15" customFormat="1" ht="16.5" hidden="1" customHeight="1" outlineLevel="1" x14ac:dyDescent="0.25">
      <c r="A9655" s="18">
        <v>2143</v>
      </c>
      <c r="B9655" s="4" t="s">
        <v>250</v>
      </c>
      <c r="C9655" s="38" t="s">
        <v>8077</v>
      </c>
      <c r="D9655" s="18">
        <v>2022</v>
      </c>
      <c r="E9655" s="18" t="s">
        <v>0</v>
      </c>
      <c r="F9655" s="42">
        <v>1</v>
      </c>
      <c r="G9655" s="4">
        <v>15</v>
      </c>
      <c r="H9655" s="18">
        <v>36.712000000000003</v>
      </c>
    </row>
    <row r="9656" spans="1:8" s="15" customFormat="1" ht="16.5" hidden="1" customHeight="1" outlineLevel="1" x14ac:dyDescent="0.25">
      <c r="A9656" s="18">
        <v>2149</v>
      </c>
      <c r="B9656" s="4" t="s">
        <v>250</v>
      </c>
      <c r="C9656" s="38" t="s">
        <v>8078</v>
      </c>
      <c r="D9656" s="18">
        <v>2022</v>
      </c>
      <c r="E9656" s="18" t="s">
        <v>0</v>
      </c>
      <c r="F9656" s="42">
        <v>1</v>
      </c>
      <c r="G9656" s="4">
        <v>15</v>
      </c>
      <c r="H9656" s="18">
        <v>35.015000000000001</v>
      </c>
    </row>
    <row r="9657" spans="1:8" s="15" customFormat="1" ht="16.5" hidden="1" customHeight="1" outlineLevel="1" x14ac:dyDescent="0.25">
      <c r="A9657" s="18">
        <v>2150</v>
      </c>
      <c r="B9657" s="4" t="s">
        <v>250</v>
      </c>
      <c r="C9657" s="38" t="s">
        <v>8079</v>
      </c>
      <c r="D9657" s="18">
        <v>2022</v>
      </c>
      <c r="E9657" s="18" t="s">
        <v>0</v>
      </c>
      <c r="F9657" s="42">
        <v>1</v>
      </c>
      <c r="G9657" s="4">
        <v>15</v>
      </c>
      <c r="H9657" s="18">
        <v>35.015000000000001</v>
      </c>
    </row>
    <row r="9658" spans="1:8" s="15" customFormat="1" ht="16.5" hidden="1" customHeight="1" outlineLevel="1" x14ac:dyDescent="0.25">
      <c r="A9658" s="18">
        <v>2242</v>
      </c>
      <c r="B9658" s="4" t="s">
        <v>250</v>
      </c>
      <c r="C9658" s="38" t="s">
        <v>4207</v>
      </c>
      <c r="D9658" s="18">
        <v>2022</v>
      </c>
      <c r="E9658" s="18" t="s">
        <v>0</v>
      </c>
      <c r="F9658" s="42">
        <v>1</v>
      </c>
      <c r="G9658" s="4">
        <v>15</v>
      </c>
      <c r="H9658" s="18">
        <v>29.725999999999999</v>
      </c>
    </row>
    <row r="9659" spans="1:8" s="15" customFormat="1" ht="16.5" hidden="1" customHeight="1" outlineLevel="1" x14ac:dyDescent="0.25">
      <c r="A9659" s="18">
        <v>2248</v>
      </c>
      <c r="B9659" s="4" t="s">
        <v>250</v>
      </c>
      <c r="C9659" s="38" t="s">
        <v>8080</v>
      </c>
      <c r="D9659" s="18">
        <v>2022</v>
      </c>
      <c r="E9659" s="18" t="s">
        <v>0</v>
      </c>
      <c r="F9659" s="42">
        <v>1</v>
      </c>
      <c r="G9659" s="4">
        <v>15</v>
      </c>
      <c r="H9659" s="18">
        <v>66.087999999999994</v>
      </c>
    </row>
    <row r="9660" spans="1:8" s="15" customFormat="1" ht="16.5" hidden="1" customHeight="1" outlineLevel="1" x14ac:dyDescent="0.25">
      <c r="A9660" s="18">
        <v>2251</v>
      </c>
      <c r="B9660" s="4" t="s">
        <v>250</v>
      </c>
      <c r="C9660" s="38" t="s">
        <v>8081</v>
      </c>
      <c r="D9660" s="18">
        <v>2022</v>
      </c>
      <c r="E9660" s="18" t="s">
        <v>0</v>
      </c>
      <c r="F9660" s="42">
        <v>1</v>
      </c>
      <c r="G9660" s="4">
        <v>15</v>
      </c>
      <c r="H9660" s="18">
        <v>47.835999999999999</v>
      </c>
    </row>
    <row r="9661" spans="1:8" s="15" customFormat="1" ht="16.5" hidden="1" customHeight="1" outlineLevel="1" x14ac:dyDescent="0.25">
      <c r="A9661" s="18">
        <v>2252</v>
      </c>
      <c r="B9661" s="4" t="s">
        <v>250</v>
      </c>
      <c r="C9661" s="38" t="s">
        <v>8082</v>
      </c>
      <c r="D9661" s="18">
        <v>2022</v>
      </c>
      <c r="E9661" s="18" t="s">
        <v>0</v>
      </c>
      <c r="F9661" s="42">
        <v>1</v>
      </c>
      <c r="G9661" s="4">
        <v>15</v>
      </c>
      <c r="H9661" s="18">
        <v>48.884</v>
      </c>
    </row>
    <row r="9662" spans="1:8" s="15" customFormat="1" ht="16.5" hidden="1" customHeight="1" outlineLevel="1" x14ac:dyDescent="0.25">
      <c r="A9662" s="18">
        <v>2255</v>
      </c>
      <c r="B9662" s="4" t="s">
        <v>250</v>
      </c>
      <c r="C9662" s="38" t="s">
        <v>8083</v>
      </c>
      <c r="D9662" s="18">
        <v>2022</v>
      </c>
      <c r="E9662" s="18" t="s">
        <v>0</v>
      </c>
      <c r="F9662" s="42">
        <v>1</v>
      </c>
      <c r="G9662" s="4">
        <v>15</v>
      </c>
      <c r="H9662" s="18">
        <v>52.35</v>
      </c>
    </row>
    <row r="9663" spans="1:8" s="15" customFormat="1" ht="16.5" hidden="1" customHeight="1" outlineLevel="1" x14ac:dyDescent="0.25">
      <c r="A9663" s="18">
        <v>2315</v>
      </c>
      <c r="B9663" s="4" t="s">
        <v>250</v>
      </c>
      <c r="C9663" s="38" t="s">
        <v>4225</v>
      </c>
      <c r="D9663" s="18">
        <v>2022</v>
      </c>
      <c r="E9663" s="18" t="s">
        <v>0</v>
      </c>
      <c r="F9663" s="42">
        <v>1</v>
      </c>
      <c r="G9663" s="4">
        <v>15</v>
      </c>
      <c r="H9663" s="18">
        <v>103.27800000000001</v>
      </c>
    </row>
    <row r="9664" spans="1:8" s="15" customFormat="1" ht="16.5" hidden="1" customHeight="1" outlineLevel="1" x14ac:dyDescent="0.25">
      <c r="A9664" s="18">
        <v>2321</v>
      </c>
      <c r="B9664" s="4" t="s">
        <v>250</v>
      </c>
      <c r="C9664" s="38" t="s">
        <v>8084</v>
      </c>
      <c r="D9664" s="18">
        <v>2022</v>
      </c>
      <c r="E9664" s="18" t="s">
        <v>0</v>
      </c>
      <c r="F9664" s="42">
        <v>1</v>
      </c>
      <c r="G9664" s="4">
        <v>15</v>
      </c>
      <c r="H9664" s="18">
        <v>26.981999999999999</v>
      </c>
    </row>
    <row r="9665" spans="1:8" s="15" customFormat="1" ht="16.5" hidden="1" customHeight="1" outlineLevel="1" x14ac:dyDescent="0.25">
      <c r="A9665" s="18">
        <v>2364</v>
      </c>
      <c r="B9665" s="4" t="s">
        <v>250</v>
      </c>
      <c r="C9665" s="38" t="s">
        <v>8085</v>
      </c>
      <c r="D9665" s="18">
        <v>2022</v>
      </c>
      <c r="E9665" s="18" t="s">
        <v>0</v>
      </c>
      <c r="F9665" s="42">
        <v>1</v>
      </c>
      <c r="G9665" s="4">
        <v>15</v>
      </c>
      <c r="H9665" s="18">
        <v>31.140999999999998</v>
      </c>
    </row>
    <row r="9666" spans="1:8" s="15" customFormat="1" ht="16.5" hidden="1" customHeight="1" outlineLevel="1" x14ac:dyDescent="0.25">
      <c r="A9666" s="18">
        <v>2369</v>
      </c>
      <c r="B9666" s="4" t="s">
        <v>250</v>
      </c>
      <c r="C9666" s="38" t="s">
        <v>8086</v>
      </c>
      <c r="D9666" s="18">
        <v>2022</v>
      </c>
      <c r="E9666" s="18" t="s">
        <v>0</v>
      </c>
      <c r="F9666" s="42">
        <v>1</v>
      </c>
      <c r="G9666" s="4">
        <v>15</v>
      </c>
      <c r="H9666" s="18">
        <v>27.54</v>
      </c>
    </row>
    <row r="9667" spans="1:8" s="15" customFormat="1" ht="16.5" hidden="1" customHeight="1" outlineLevel="1" x14ac:dyDescent="0.25">
      <c r="A9667" s="18">
        <v>1846</v>
      </c>
      <c r="B9667" s="4" t="s">
        <v>250</v>
      </c>
      <c r="C9667" s="38" t="s">
        <v>8087</v>
      </c>
      <c r="D9667" s="18">
        <v>2022</v>
      </c>
      <c r="E9667" s="18" t="s">
        <v>0</v>
      </c>
      <c r="F9667" s="42">
        <v>1</v>
      </c>
      <c r="G9667" s="4">
        <v>50</v>
      </c>
      <c r="H9667" s="18">
        <v>32.71848</v>
      </c>
    </row>
    <row r="9668" spans="1:8" s="15" customFormat="1" ht="16.5" hidden="1" customHeight="1" outlineLevel="1" x14ac:dyDescent="0.25">
      <c r="A9668" s="18">
        <v>1912</v>
      </c>
      <c r="B9668" s="4" t="s">
        <v>250</v>
      </c>
      <c r="C9668" s="38" t="s">
        <v>8088</v>
      </c>
      <c r="D9668" s="18">
        <v>2022</v>
      </c>
      <c r="E9668" s="18" t="s">
        <v>0</v>
      </c>
      <c r="F9668" s="42">
        <v>1</v>
      </c>
      <c r="G9668" s="4">
        <v>15</v>
      </c>
      <c r="H9668" s="18">
        <v>35.978749999999998</v>
      </c>
    </row>
    <row r="9669" spans="1:8" s="15" customFormat="1" ht="16.5" hidden="1" customHeight="1" outlineLevel="1" x14ac:dyDescent="0.25">
      <c r="A9669" s="18">
        <v>2002</v>
      </c>
      <c r="B9669" s="4" t="s">
        <v>250</v>
      </c>
      <c r="C9669" s="38" t="s">
        <v>8089</v>
      </c>
      <c r="D9669" s="18">
        <v>2022</v>
      </c>
      <c r="E9669" s="18" t="s">
        <v>0</v>
      </c>
      <c r="F9669" s="42">
        <v>1</v>
      </c>
      <c r="G9669" s="4">
        <v>15</v>
      </c>
      <c r="H9669" s="18">
        <v>36.031589999999994</v>
      </c>
    </row>
    <row r="9670" spans="1:8" s="15" customFormat="1" ht="16.5" hidden="1" customHeight="1" outlineLevel="1" x14ac:dyDescent="0.25">
      <c r="A9670" s="18">
        <v>2056</v>
      </c>
      <c r="B9670" s="4" t="s">
        <v>250</v>
      </c>
      <c r="C9670" s="38" t="s">
        <v>8090</v>
      </c>
      <c r="D9670" s="18">
        <v>2022</v>
      </c>
      <c r="E9670" s="18" t="s">
        <v>0</v>
      </c>
      <c r="F9670" s="42">
        <v>1</v>
      </c>
      <c r="G9670" s="4">
        <v>15</v>
      </c>
      <c r="H9670" s="18">
        <v>30.036359999999998</v>
      </c>
    </row>
    <row r="9671" spans="1:8" s="15" customFormat="1" ht="16.5" hidden="1" customHeight="1" outlineLevel="1" x14ac:dyDescent="0.25">
      <c r="A9671" s="18">
        <v>2063</v>
      </c>
      <c r="B9671" s="4" t="s">
        <v>250</v>
      </c>
      <c r="C9671" s="38" t="s">
        <v>4133</v>
      </c>
      <c r="D9671" s="18">
        <v>2022</v>
      </c>
      <c r="E9671" s="18" t="s">
        <v>0</v>
      </c>
      <c r="F9671" s="42">
        <v>3</v>
      </c>
      <c r="G9671" s="4">
        <v>45</v>
      </c>
      <c r="H9671" s="18">
        <v>122.75753</v>
      </c>
    </row>
    <row r="9672" spans="1:8" s="15" customFormat="1" ht="16.5" hidden="1" customHeight="1" outlineLevel="1" x14ac:dyDescent="0.25">
      <c r="A9672" s="18">
        <v>2129</v>
      </c>
      <c r="B9672" s="4" t="s">
        <v>250</v>
      </c>
      <c r="C9672" s="38" t="s">
        <v>8091</v>
      </c>
      <c r="D9672" s="18">
        <v>2022</v>
      </c>
      <c r="E9672" s="18" t="s">
        <v>0</v>
      </c>
      <c r="F9672" s="42">
        <v>1</v>
      </c>
      <c r="G9672" s="4">
        <v>15</v>
      </c>
      <c r="H9672" s="18">
        <v>29.89085</v>
      </c>
    </row>
    <row r="9673" spans="1:8" s="15" customFormat="1" ht="16.5" hidden="1" customHeight="1" outlineLevel="1" x14ac:dyDescent="0.25">
      <c r="A9673" s="18">
        <v>2241</v>
      </c>
      <c r="B9673" s="4" t="s">
        <v>250</v>
      </c>
      <c r="C9673" s="38" t="s">
        <v>4134</v>
      </c>
      <c r="D9673" s="18">
        <v>2022</v>
      </c>
      <c r="E9673" s="18" t="s">
        <v>0</v>
      </c>
      <c r="F9673" s="42">
        <v>1</v>
      </c>
      <c r="G9673" s="4">
        <v>15</v>
      </c>
      <c r="H9673" s="18">
        <v>39.296640000000004</v>
      </c>
    </row>
    <row r="9674" spans="1:8" s="15" customFormat="1" ht="16.5" hidden="1" customHeight="1" outlineLevel="1" x14ac:dyDescent="0.25">
      <c r="A9674" s="18">
        <v>2243</v>
      </c>
      <c r="B9674" s="4" t="s">
        <v>250</v>
      </c>
      <c r="C9674" s="38" t="s">
        <v>4208</v>
      </c>
      <c r="D9674" s="18">
        <v>2022</v>
      </c>
      <c r="E9674" s="18" t="s">
        <v>0</v>
      </c>
      <c r="F9674" s="42">
        <v>1</v>
      </c>
      <c r="G9674" s="4">
        <v>100</v>
      </c>
      <c r="H9674" s="18">
        <v>15.663369999999999</v>
      </c>
    </row>
    <row r="9675" spans="1:8" s="15" customFormat="1" ht="16.5" hidden="1" customHeight="1" outlineLevel="1" x14ac:dyDescent="0.25">
      <c r="A9675" s="18">
        <v>2320</v>
      </c>
      <c r="B9675" s="4" t="s">
        <v>250</v>
      </c>
      <c r="C9675" s="38" t="s">
        <v>4140</v>
      </c>
      <c r="D9675" s="18">
        <v>2022</v>
      </c>
      <c r="E9675" s="18" t="s">
        <v>0</v>
      </c>
      <c r="F9675" s="42">
        <v>1</v>
      </c>
      <c r="G9675" s="4">
        <v>15</v>
      </c>
      <c r="H9675" s="18">
        <v>33.324959999999997</v>
      </c>
    </row>
    <row r="9676" spans="1:8" s="15" customFormat="1" ht="16.5" hidden="1" customHeight="1" outlineLevel="1" x14ac:dyDescent="0.25">
      <c r="A9676" s="18">
        <v>2326</v>
      </c>
      <c r="B9676" s="4" t="s">
        <v>250</v>
      </c>
      <c r="C9676" s="38" t="s">
        <v>4141</v>
      </c>
      <c r="D9676" s="18">
        <v>2022</v>
      </c>
      <c r="E9676" s="18" t="s">
        <v>0</v>
      </c>
      <c r="F9676" s="42">
        <v>1</v>
      </c>
      <c r="G9676" s="4">
        <v>15</v>
      </c>
      <c r="H9676" s="18">
        <v>29.68149</v>
      </c>
    </row>
    <row r="9677" spans="1:8" s="15" customFormat="1" ht="16.5" hidden="1" customHeight="1" outlineLevel="1" x14ac:dyDescent="0.25">
      <c r="A9677" s="18">
        <v>2366</v>
      </c>
      <c r="B9677" s="4" t="s">
        <v>250</v>
      </c>
      <c r="C9677" s="38" t="s">
        <v>4142</v>
      </c>
      <c r="D9677" s="18">
        <v>2022</v>
      </c>
      <c r="E9677" s="18" t="s">
        <v>0</v>
      </c>
      <c r="F9677" s="42">
        <v>1</v>
      </c>
      <c r="G9677" s="4">
        <v>49</v>
      </c>
      <c r="H9677" s="18">
        <v>32.411290000000001</v>
      </c>
    </row>
    <row r="9678" spans="1:8" s="15" customFormat="1" ht="16.5" hidden="1" customHeight="1" outlineLevel="1" x14ac:dyDescent="0.25">
      <c r="A9678" s="18">
        <v>2376</v>
      </c>
      <c r="B9678" s="4" t="s">
        <v>250</v>
      </c>
      <c r="C9678" s="38" t="s">
        <v>4143</v>
      </c>
      <c r="D9678" s="18">
        <v>2022</v>
      </c>
      <c r="E9678" s="18" t="s">
        <v>0</v>
      </c>
      <c r="F9678" s="42">
        <v>1</v>
      </c>
      <c r="G9678" s="4">
        <v>15</v>
      </c>
      <c r="H9678" s="18">
        <v>28.629180000000002</v>
      </c>
    </row>
    <row r="9679" spans="1:8" s="15" customFormat="1" ht="16.5" hidden="1" customHeight="1" outlineLevel="1" x14ac:dyDescent="0.25">
      <c r="A9679" s="18">
        <v>2409</v>
      </c>
      <c r="B9679" s="4" t="s">
        <v>250</v>
      </c>
      <c r="C9679" s="38" t="s">
        <v>4145</v>
      </c>
      <c r="D9679" s="18">
        <v>2022</v>
      </c>
      <c r="E9679" s="18" t="s">
        <v>0</v>
      </c>
      <c r="F9679" s="42">
        <v>1</v>
      </c>
      <c r="G9679" s="4">
        <v>15</v>
      </c>
      <c r="H9679" s="18">
        <v>29.9</v>
      </c>
    </row>
    <row r="9680" spans="1:8" s="15" customFormat="1" ht="16.5" hidden="1" customHeight="1" outlineLevel="1" x14ac:dyDescent="0.25">
      <c r="A9680" s="18">
        <v>2410</v>
      </c>
      <c r="B9680" s="4" t="s">
        <v>250</v>
      </c>
      <c r="C9680" s="38" t="s">
        <v>4209</v>
      </c>
      <c r="D9680" s="18">
        <v>2022</v>
      </c>
      <c r="E9680" s="18" t="s">
        <v>0</v>
      </c>
      <c r="F9680" s="42">
        <v>6</v>
      </c>
      <c r="G9680" s="4">
        <v>600</v>
      </c>
      <c r="H9680" s="18">
        <v>201.04767000000001</v>
      </c>
    </row>
    <row r="9681" spans="1:8" s="15" customFormat="1" ht="16.5" hidden="1" customHeight="1" outlineLevel="1" x14ac:dyDescent="0.25">
      <c r="A9681" s="18">
        <v>1893</v>
      </c>
      <c r="B9681" s="4" t="s">
        <v>250</v>
      </c>
      <c r="C9681" s="38" t="s">
        <v>8092</v>
      </c>
      <c r="D9681" s="18">
        <v>2022</v>
      </c>
      <c r="E9681" s="18" t="s">
        <v>0</v>
      </c>
      <c r="F9681" s="42">
        <v>2</v>
      </c>
      <c r="G9681" s="4">
        <v>30</v>
      </c>
      <c r="H9681" s="18">
        <v>85.101100000000002</v>
      </c>
    </row>
    <row r="9682" spans="1:8" s="15" customFormat="1" ht="16.5" hidden="1" customHeight="1" outlineLevel="1" x14ac:dyDescent="0.25">
      <c r="A9682" s="18">
        <v>1903</v>
      </c>
      <c r="B9682" s="4" t="s">
        <v>250</v>
      </c>
      <c r="C9682" s="38" t="s">
        <v>8093</v>
      </c>
      <c r="D9682" s="18">
        <v>2022</v>
      </c>
      <c r="E9682" s="18" t="s">
        <v>0</v>
      </c>
      <c r="F9682" s="42">
        <v>2</v>
      </c>
      <c r="G9682" s="4">
        <v>30</v>
      </c>
      <c r="H9682" s="18">
        <v>91.667240000000007</v>
      </c>
    </row>
    <row r="9683" spans="1:8" s="15" customFormat="1" ht="16.5" hidden="1" customHeight="1" outlineLevel="1" x14ac:dyDescent="0.25">
      <c r="A9683" s="18">
        <v>1905</v>
      </c>
      <c r="B9683" s="4" t="s">
        <v>250</v>
      </c>
      <c r="C9683" s="38" t="s">
        <v>8094</v>
      </c>
      <c r="D9683" s="18">
        <v>2022</v>
      </c>
      <c r="E9683" s="18" t="s">
        <v>0</v>
      </c>
      <c r="F9683" s="42">
        <v>3</v>
      </c>
      <c r="G9683" s="4">
        <v>45</v>
      </c>
      <c r="H9683" s="18">
        <v>106.72153999999999</v>
      </c>
    </row>
    <row r="9684" spans="1:8" s="15" customFormat="1" ht="16.5" hidden="1" customHeight="1" outlineLevel="1" x14ac:dyDescent="0.25">
      <c r="A9684" s="18">
        <v>1911</v>
      </c>
      <c r="B9684" s="4" t="s">
        <v>250</v>
      </c>
      <c r="C9684" s="38" t="s">
        <v>8095</v>
      </c>
      <c r="D9684" s="18">
        <v>2022</v>
      </c>
      <c r="E9684" s="18" t="s">
        <v>0</v>
      </c>
      <c r="F9684" s="42">
        <v>3</v>
      </c>
      <c r="G9684" s="4">
        <v>45</v>
      </c>
      <c r="H9684" s="18">
        <v>119.50789</v>
      </c>
    </row>
    <row r="9685" spans="1:8" s="15" customFormat="1" ht="16.5" hidden="1" customHeight="1" outlineLevel="1" x14ac:dyDescent="0.25">
      <c r="A9685" s="18">
        <v>1950</v>
      </c>
      <c r="B9685" s="4" t="s">
        <v>250</v>
      </c>
      <c r="C9685" s="38" t="s">
        <v>8096</v>
      </c>
      <c r="D9685" s="18">
        <v>2022</v>
      </c>
      <c r="E9685" s="18" t="s">
        <v>0</v>
      </c>
      <c r="F9685" s="42">
        <v>2</v>
      </c>
      <c r="G9685" s="4">
        <v>30</v>
      </c>
      <c r="H9685" s="18">
        <v>78.343299999999999</v>
      </c>
    </row>
    <row r="9686" spans="1:8" s="15" customFormat="1" ht="16.5" hidden="1" customHeight="1" outlineLevel="1" x14ac:dyDescent="0.25">
      <c r="A9686" s="18">
        <v>2048</v>
      </c>
      <c r="B9686" s="4" t="s">
        <v>250</v>
      </c>
      <c r="C9686" s="38" t="s">
        <v>8097</v>
      </c>
      <c r="D9686" s="18">
        <v>2022</v>
      </c>
      <c r="E9686" s="18" t="s">
        <v>0</v>
      </c>
      <c r="F9686" s="42">
        <v>3</v>
      </c>
      <c r="G9686" s="4">
        <v>40</v>
      </c>
      <c r="H9686" s="18">
        <v>100.51335</v>
      </c>
    </row>
    <row r="9687" spans="1:8" s="15" customFormat="1" ht="16.5" hidden="1" customHeight="1" outlineLevel="1" x14ac:dyDescent="0.25">
      <c r="A9687" s="18">
        <v>2261</v>
      </c>
      <c r="B9687" s="4" t="s">
        <v>250</v>
      </c>
      <c r="C9687" s="38" t="s">
        <v>8098</v>
      </c>
      <c r="D9687" s="18">
        <v>2022</v>
      </c>
      <c r="E9687" s="18" t="s">
        <v>0</v>
      </c>
      <c r="F9687" s="42">
        <v>2</v>
      </c>
      <c r="G9687" s="4">
        <v>30</v>
      </c>
      <c r="H9687" s="18">
        <v>70.063500000000005</v>
      </c>
    </row>
    <row r="9688" spans="1:8" s="15" customFormat="1" ht="16.5" hidden="1" customHeight="1" outlineLevel="1" x14ac:dyDescent="0.25">
      <c r="A9688" s="18">
        <v>2374</v>
      </c>
      <c r="B9688" s="4" t="s">
        <v>250</v>
      </c>
      <c r="C9688" s="38" t="s">
        <v>4146</v>
      </c>
      <c r="D9688" s="18">
        <v>2022</v>
      </c>
      <c r="E9688" s="18" t="s">
        <v>0</v>
      </c>
      <c r="F9688" s="42">
        <v>1</v>
      </c>
      <c r="G9688" s="4">
        <v>15</v>
      </c>
      <c r="H9688" s="18">
        <v>32.580110000000005</v>
      </c>
    </row>
    <row r="9689" spans="1:8" s="15" customFormat="1" ht="16.5" hidden="1" customHeight="1" outlineLevel="1" x14ac:dyDescent="0.25">
      <c r="A9689" s="18">
        <v>2375</v>
      </c>
      <c r="B9689" s="4" t="s">
        <v>250</v>
      </c>
      <c r="C9689" s="38" t="s">
        <v>4147</v>
      </c>
      <c r="D9689" s="18">
        <v>2022</v>
      </c>
      <c r="E9689" s="18" t="s">
        <v>0</v>
      </c>
      <c r="F9689" s="42">
        <v>1</v>
      </c>
      <c r="G9689" s="4">
        <v>15</v>
      </c>
      <c r="H9689" s="18">
        <v>27.469259999999998</v>
      </c>
    </row>
    <row r="9690" spans="1:8" s="15" customFormat="1" ht="16.5" hidden="1" customHeight="1" outlineLevel="1" x14ac:dyDescent="0.25">
      <c r="A9690" s="18">
        <v>2421</v>
      </c>
      <c r="B9690" s="4" t="s">
        <v>250</v>
      </c>
      <c r="C9690" s="38" t="s">
        <v>8099</v>
      </c>
      <c r="D9690" s="18">
        <v>2022</v>
      </c>
      <c r="E9690" s="18" t="s">
        <v>0</v>
      </c>
      <c r="F9690" s="42">
        <v>1</v>
      </c>
      <c r="G9690" s="4">
        <v>15</v>
      </c>
      <c r="H9690" s="18">
        <v>20.471730000000001</v>
      </c>
    </row>
    <row r="9691" spans="1:8" s="15" customFormat="1" ht="16.5" hidden="1" customHeight="1" outlineLevel="1" x14ac:dyDescent="0.25">
      <c r="A9691" s="18">
        <v>2422</v>
      </c>
      <c r="B9691" s="4" t="s">
        <v>250</v>
      </c>
      <c r="C9691" s="38" t="s">
        <v>8100</v>
      </c>
      <c r="D9691" s="18">
        <v>2022</v>
      </c>
      <c r="E9691" s="18" t="s">
        <v>0</v>
      </c>
      <c r="F9691" s="42">
        <v>1</v>
      </c>
      <c r="G9691" s="4">
        <v>15</v>
      </c>
      <c r="H9691" s="18">
        <v>20.471739999999997</v>
      </c>
    </row>
    <row r="9692" spans="1:8" s="15" customFormat="1" ht="16.5" hidden="1" customHeight="1" outlineLevel="1" x14ac:dyDescent="0.25">
      <c r="A9692" s="18">
        <v>2423</v>
      </c>
      <c r="B9692" s="4" t="s">
        <v>250</v>
      </c>
      <c r="C9692" s="38" t="s">
        <v>8101</v>
      </c>
      <c r="D9692" s="18">
        <v>2022</v>
      </c>
      <c r="E9692" s="18" t="s">
        <v>0</v>
      </c>
      <c r="F9692" s="42">
        <v>1</v>
      </c>
      <c r="G9692" s="4">
        <v>15</v>
      </c>
      <c r="H9692" s="18">
        <v>21.746689999999997</v>
      </c>
    </row>
    <row r="9693" spans="1:8" s="15" customFormat="1" ht="16.5" hidden="1" customHeight="1" outlineLevel="1" x14ac:dyDescent="0.25">
      <c r="A9693" s="18">
        <v>2424</v>
      </c>
      <c r="B9693" s="4" t="s">
        <v>250</v>
      </c>
      <c r="C9693" s="38" t="s">
        <v>8102</v>
      </c>
      <c r="D9693" s="18">
        <v>2022</v>
      </c>
      <c r="E9693" s="18" t="s">
        <v>0</v>
      </c>
      <c r="F9693" s="42">
        <v>1</v>
      </c>
      <c r="G9693" s="4">
        <v>15</v>
      </c>
      <c r="H9693" s="18">
        <v>17.980260000000001</v>
      </c>
    </row>
    <row r="9694" spans="1:8" s="15" customFormat="1" ht="16.5" hidden="1" customHeight="1" outlineLevel="1" x14ac:dyDescent="0.25">
      <c r="A9694" s="18">
        <v>2425</v>
      </c>
      <c r="B9694" s="4" t="s">
        <v>250</v>
      </c>
      <c r="C9694" s="38" t="s">
        <v>8103</v>
      </c>
      <c r="D9694" s="18">
        <v>2022</v>
      </c>
      <c r="E9694" s="18" t="s">
        <v>0</v>
      </c>
      <c r="F9694" s="42">
        <v>1</v>
      </c>
      <c r="G9694" s="4">
        <v>15</v>
      </c>
      <c r="H9694" s="18">
        <v>19.264819999999997</v>
      </c>
    </row>
    <row r="9695" spans="1:8" s="15" customFormat="1" ht="16.5" hidden="1" customHeight="1" outlineLevel="1" x14ac:dyDescent="0.25">
      <c r="A9695" s="18">
        <v>2426</v>
      </c>
      <c r="B9695" s="4" t="s">
        <v>250</v>
      </c>
      <c r="C9695" s="38" t="s">
        <v>8104</v>
      </c>
      <c r="D9695" s="18">
        <v>2022</v>
      </c>
      <c r="E9695" s="18" t="s">
        <v>0</v>
      </c>
      <c r="F9695" s="42">
        <v>1</v>
      </c>
      <c r="G9695" s="4">
        <v>15</v>
      </c>
      <c r="H9695" s="18">
        <v>17.970659999999999</v>
      </c>
    </row>
    <row r="9696" spans="1:8" s="15" customFormat="1" ht="16.5" hidden="1" customHeight="1" outlineLevel="1" x14ac:dyDescent="0.25">
      <c r="A9696" s="18">
        <v>1830</v>
      </c>
      <c r="B9696" s="4" t="s">
        <v>250</v>
      </c>
      <c r="C9696" s="38" t="s">
        <v>8105</v>
      </c>
      <c r="D9696" s="18">
        <v>2022</v>
      </c>
      <c r="E9696" s="18" t="s">
        <v>0</v>
      </c>
      <c r="F9696" s="42">
        <v>1</v>
      </c>
      <c r="G9696" s="4">
        <v>15</v>
      </c>
      <c r="H9696" s="18">
        <v>34.524819999999998</v>
      </c>
    </row>
    <row r="9697" spans="1:8" s="15" customFormat="1" ht="16.5" hidden="1" customHeight="1" outlineLevel="1" x14ac:dyDescent="0.25">
      <c r="A9697" s="18">
        <v>1831</v>
      </c>
      <c r="B9697" s="4" t="s">
        <v>250</v>
      </c>
      <c r="C9697" s="38" t="s">
        <v>8106</v>
      </c>
      <c r="D9697" s="18">
        <v>2022</v>
      </c>
      <c r="E9697" s="18" t="s">
        <v>0</v>
      </c>
      <c r="F9697" s="42">
        <v>1</v>
      </c>
      <c r="G9697" s="4">
        <v>15</v>
      </c>
      <c r="H9697" s="18">
        <v>24.873820000000002</v>
      </c>
    </row>
    <row r="9698" spans="1:8" s="15" customFormat="1" ht="16.5" hidden="1" customHeight="1" outlineLevel="1" x14ac:dyDescent="0.25">
      <c r="A9698" s="18">
        <v>1832</v>
      </c>
      <c r="B9698" s="4" t="s">
        <v>250</v>
      </c>
      <c r="C9698" s="38" t="s">
        <v>8107</v>
      </c>
      <c r="D9698" s="18">
        <v>2022</v>
      </c>
      <c r="E9698" s="18" t="s">
        <v>0</v>
      </c>
      <c r="F9698" s="42">
        <v>1</v>
      </c>
      <c r="G9698" s="4">
        <v>15</v>
      </c>
      <c r="H9698" s="18">
        <v>30.114520000000006</v>
      </c>
    </row>
    <row r="9699" spans="1:8" s="15" customFormat="1" ht="16.5" hidden="1" customHeight="1" outlineLevel="1" x14ac:dyDescent="0.25">
      <c r="A9699" s="18">
        <v>1833</v>
      </c>
      <c r="B9699" s="4" t="s">
        <v>250</v>
      </c>
      <c r="C9699" s="38" t="s">
        <v>8108</v>
      </c>
      <c r="D9699" s="18">
        <v>2022</v>
      </c>
      <c r="E9699" s="18" t="s">
        <v>0</v>
      </c>
      <c r="F9699" s="42">
        <v>1</v>
      </c>
      <c r="G9699" s="4">
        <v>15</v>
      </c>
      <c r="H9699" s="18">
        <v>29.966760000000001</v>
      </c>
    </row>
    <row r="9700" spans="1:8" s="15" customFormat="1" ht="16.5" hidden="1" customHeight="1" outlineLevel="1" x14ac:dyDescent="0.25">
      <c r="A9700" s="18">
        <v>1836</v>
      </c>
      <c r="B9700" s="4" t="s">
        <v>250</v>
      </c>
      <c r="C9700" s="38" t="s">
        <v>8109</v>
      </c>
      <c r="D9700" s="18">
        <v>2022</v>
      </c>
      <c r="E9700" s="18" t="s">
        <v>0</v>
      </c>
      <c r="F9700" s="42">
        <v>1</v>
      </c>
      <c r="G9700" s="4">
        <v>15</v>
      </c>
      <c r="H9700" s="18">
        <v>30.03199</v>
      </c>
    </row>
    <row r="9701" spans="1:8" s="15" customFormat="1" ht="16.5" hidden="1" customHeight="1" outlineLevel="1" x14ac:dyDescent="0.25">
      <c r="A9701" s="18">
        <v>1837</v>
      </c>
      <c r="B9701" s="4" t="s">
        <v>250</v>
      </c>
      <c r="C9701" s="38" t="s">
        <v>8110</v>
      </c>
      <c r="D9701" s="18">
        <v>2022</v>
      </c>
      <c r="E9701" s="18" t="s">
        <v>0</v>
      </c>
      <c r="F9701" s="42">
        <v>1</v>
      </c>
      <c r="G9701" s="4">
        <v>15</v>
      </c>
      <c r="H9701" s="18">
        <v>25.087599999999998</v>
      </c>
    </row>
    <row r="9702" spans="1:8" s="15" customFormat="1" ht="16.5" hidden="1" customHeight="1" outlineLevel="1" x14ac:dyDescent="0.25">
      <c r="A9702" s="18">
        <v>1839</v>
      </c>
      <c r="B9702" s="4" t="s">
        <v>250</v>
      </c>
      <c r="C9702" s="38" t="s">
        <v>8111</v>
      </c>
      <c r="D9702" s="18">
        <v>2022</v>
      </c>
      <c r="E9702" s="18" t="s">
        <v>0</v>
      </c>
      <c r="F9702" s="42">
        <v>1</v>
      </c>
      <c r="G9702" s="4">
        <v>15</v>
      </c>
      <c r="H9702" s="18">
        <v>24.647189999999998</v>
      </c>
    </row>
    <row r="9703" spans="1:8" s="15" customFormat="1" ht="16.5" hidden="1" customHeight="1" outlineLevel="1" x14ac:dyDescent="0.25">
      <c r="A9703" s="18">
        <v>1840</v>
      </c>
      <c r="B9703" s="4" t="s">
        <v>250</v>
      </c>
      <c r="C9703" s="38" t="s">
        <v>8112</v>
      </c>
      <c r="D9703" s="18">
        <v>2022</v>
      </c>
      <c r="E9703" s="18" t="s">
        <v>0</v>
      </c>
      <c r="F9703" s="42">
        <v>1</v>
      </c>
      <c r="G9703" s="4">
        <v>15</v>
      </c>
      <c r="H9703" s="18">
        <v>30.253550000000001</v>
      </c>
    </row>
    <row r="9704" spans="1:8" s="15" customFormat="1" ht="16.5" hidden="1" customHeight="1" outlineLevel="1" x14ac:dyDescent="0.25">
      <c r="A9704" s="18">
        <v>1841</v>
      </c>
      <c r="B9704" s="4" t="s">
        <v>250</v>
      </c>
      <c r="C9704" s="38" t="s">
        <v>8113</v>
      </c>
      <c r="D9704" s="18">
        <v>2022</v>
      </c>
      <c r="E9704" s="18" t="s">
        <v>0</v>
      </c>
      <c r="F9704" s="42">
        <v>1</v>
      </c>
      <c r="G9704" s="4">
        <v>15</v>
      </c>
      <c r="H9704" s="18">
        <v>26.416259999999998</v>
      </c>
    </row>
    <row r="9705" spans="1:8" s="15" customFormat="1" ht="16.5" hidden="1" customHeight="1" outlineLevel="1" x14ac:dyDescent="0.25">
      <c r="A9705" s="18">
        <v>1842</v>
      </c>
      <c r="B9705" s="4" t="s">
        <v>250</v>
      </c>
      <c r="C9705" s="38" t="s">
        <v>8114</v>
      </c>
      <c r="D9705" s="18">
        <v>2022</v>
      </c>
      <c r="E9705" s="18" t="s">
        <v>0</v>
      </c>
      <c r="F9705" s="42">
        <v>1</v>
      </c>
      <c r="G9705" s="4">
        <v>15</v>
      </c>
      <c r="H9705" s="18">
        <v>25.160609999999998</v>
      </c>
    </row>
    <row r="9706" spans="1:8" s="15" customFormat="1" ht="16.5" hidden="1" customHeight="1" outlineLevel="1" x14ac:dyDescent="0.25">
      <c r="A9706" s="18">
        <v>1848</v>
      </c>
      <c r="B9706" s="4" t="s">
        <v>250</v>
      </c>
      <c r="C9706" s="38" t="s">
        <v>8115</v>
      </c>
      <c r="D9706" s="18">
        <v>2022</v>
      </c>
      <c r="E9706" s="18" t="s">
        <v>0</v>
      </c>
      <c r="F9706" s="42">
        <v>8</v>
      </c>
      <c r="G9706" s="4">
        <v>115</v>
      </c>
      <c r="H9706" s="18">
        <v>213.74481</v>
      </c>
    </row>
    <row r="9707" spans="1:8" s="15" customFormat="1" ht="16.5" hidden="1" customHeight="1" outlineLevel="1" x14ac:dyDescent="0.25">
      <c r="A9707" s="18">
        <v>1883</v>
      </c>
      <c r="B9707" s="4" t="s">
        <v>250</v>
      </c>
      <c r="C9707" s="38" t="s">
        <v>8116</v>
      </c>
      <c r="D9707" s="18">
        <v>2022</v>
      </c>
      <c r="E9707" s="18" t="s">
        <v>0</v>
      </c>
      <c r="F9707" s="42">
        <v>1</v>
      </c>
      <c r="G9707" s="4">
        <v>60</v>
      </c>
      <c r="H9707" s="18">
        <v>26.676479999999998</v>
      </c>
    </row>
    <row r="9708" spans="1:8" s="15" customFormat="1" ht="16.5" hidden="1" customHeight="1" outlineLevel="1" x14ac:dyDescent="0.25">
      <c r="A9708" s="18">
        <v>1884</v>
      </c>
      <c r="B9708" s="4" t="s">
        <v>250</v>
      </c>
      <c r="C9708" s="38" t="s">
        <v>8117</v>
      </c>
      <c r="D9708" s="18">
        <v>2022</v>
      </c>
      <c r="E9708" s="18" t="s">
        <v>0</v>
      </c>
      <c r="F9708" s="42">
        <v>1</v>
      </c>
      <c r="G9708" s="4">
        <v>15</v>
      </c>
      <c r="H9708" s="18">
        <v>29.605399999999999</v>
      </c>
    </row>
    <row r="9709" spans="1:8" s="15" customFormat="1" ht="16.5" hidden="1" customHeight="1" outlineLevel="1" x14ac:dyDescent="0.25">
      <c r="A9709" s="18">
        <v>1897</v>
      </c>
      <c r="B9709" s="4" t="s">
        <v>250</v>
      </c>
      <c r="C9709" s="38" t="s">
        <v>8118</v>
      </c>
      <c r="D9709" s="18">
        <v>2022</v>
      </c>
      <c r="E9709" s="18" t="s">
        <v>0</v>
      </c>
      <c r="F9709" s="42">
        <v>3</v>
      </c>
      <c r="G9709" s="4">
        <v>45</v>
      </c>
      <c r="H9709" s="18">
        <v>103.92219999999999</v>
      </c>
    </row>
    <row r="9710" spans="1:8" s="15" customFormat="1" ht="16.5" hidden="1" customHeight="1" outlineLevel="1" x14ac:dyDescent="0.25">
      <c r="A9710" s="18">
        <v>1898</v>
      </c>
      <c r="B9710" s="4" t="s">
        <v>250</v>
      </c>
      <c r="C9710" s="38" t="s">
        <v>8119</v>
      </c>
      <c r="D9710" s="18">
        <v>2022</v>
      </c>
      <c r="E9710" s="18" t="s">
        <v>0</v>
      </c>
      <c r="F9710" s="42">
        <v>3</v>
      </c>
      <c r="G9710" s="4">
        <v>45</v>
      </c>
      <c r="H9710" s="18">
        <v>107.47707000000001</v>
      </c>
    </row>
    <row r="9711" spans="1:8" s="15" customFormat="1" ht="16.5" hidden="1" customHeight="1" outlineLevel="1" x14ac:dyDescent="0.25">
      <c r="A9711" s="18">
        <v>1920</v>
      </c>
      <c r="B9711" s="4" t="s">
        <v>250</v>
      </c>
      <c r="C9711" s="38" t="s">
        <v>8120</v>
      </c>
      <c r="D9711" s="18">
        <v>2022</v>
      </c>
      <c r="E9711" s="18" t="s">
        <v>0</v>
      </c>
      <c r="F9711" s="42">
        <v>1</v>
      </c>
      <c r="G9711" s="4">
        <v>15</v>
      </c>
      <c r="H9711" s="18">
        <v>31.97617</v>
      </c>
    </row>
    <row r="9712" spans="1:8" s="15" customFormat="1" ht="16.5" hidden="1" customHeight="1" outlineLevel="1" x14ac:dyDescent="0.25">
      <c r="A9712" s="18">
        <v>1927</v>
      </c>
      <c r="B9712" s="4" t="s">
        <v>250</v>
      </c>
      <c r="C9712" s="38" t="s">
        <v>8121</v>
      </c>
      <c r="D9712" s="18">
        <v>2022</v>
      </c>
      <c r="E9712" s="18" t="s">
        <v>0</v>
      </c>
      <c r="F9712" s="42">
        <v>1</v>
      </c>
      <c r="G9712" s="4">
        <v>15</v>
      </c>
      <c r="H9712" s="18">
        <v>27.837260000000001</v>
      </c>
    </row>
    <row r="9713" spans="1:8" s="15" customFormat="1" ht="16.5" hidden="1" customHeight="1" outlineLevel="1" x14ac:dyDescent="0.25">
      <c r="A9713" s="18">
        <v>1929</v>
      </c>
      <c r="B9713" s="4" t="s">
        <v>250</v>
      </c>
      <c r="C9713" s="38" t="s">
        <v>8122</v>
      </c>
      <c r="D9713" s="18">
        <v>2022</v>
      </c>
      <c r="E9713" s="18" t="s">
        <v>0</v>
      </c>
      <c r="F9713" s="42">
        <v>1</v>
      </c>
      <c r="G9713" s="4">
        <v>15</v>
      </c>
      <c r="H9713" s="18">
        <v>29.89181</v>
      </c>
    </row>
    <row r="9714" spans="1:8" s="15" customFormat="1" ht="16.5" hidden="1" customHeight="1" outlineLevel="1" x14ac:dyDescent="0.25">
      <c r="A9714" s="18">
        <v>1931</v>
      </c>
      <c r="B9714" s="4" t="s">
        <v>250</v>
      </c>
      <c r="C9714" s="38" t="s">
        <v>8123</v>
      </c>
      <c r="D9714" s="18">
        <v>2022</v>
      </c>
      <c r="E9714" s="18" t="s">
        <v>0</v>
      </c>
      <c r="F9714" s="42">
        <v>1</v>
      </c>
      <c r="G9714" s="4">
        <v>15</v>
      </c>
      <c r="H9714" s="18">
        <v>27.615639999999999</v>
      </c>
    </row>
    <row r="9715" spans="1:8" s="15" customFormat="1" ht="16.5" hidden="1" customHeight="1" outlineLevel="1" x14ac:dyDescent="0.25">
      <c r="A9715" s="18">
        <v>1932</v>
      </c>
      <c r="B9715" s="4" t="s">
        <v>250</v>
      </c>
      <c r="C9715" s="38" t="s">
        <v>8124</v>
      </c>
      <c r="D9715" s="18">
        <v>2022</v>
      </c>
      <c r="E9715" s="18" t="s">
        <v>0</v>
      </c>
      <c r="F9715" s="42">
        <v>1</v>
      </c>
      <c r="G9715" s="4">
        <v>15</v>
      </c>
      <c r="H9715" s="18">
        <v>31.230450000000001</v>
      </c>
    </row>
    <row r="9716" spans="1:8" s="15" customFormat="1" ht="16.5" hidden="1" customHeight="1" outlineLevel="1" x14ac:dyDescent="0.25">
      <c r="A9716" s="18">
        <v>1933</v>
      </c>
      <c r="B9716" s="4" t="s">
        <v>250</v>
      </c>
      <c r="C9716" s="38" t="s">
        <v>8125</v>
      </c>
      <c r="D9716" s="18">
        <v>2022</v>
      </c>
      <c r="E9716" s="18" t="s">
        <v>0</v>
      </c>
      <c r="F9716" s="42">
        <v>1</v>
      </c>
      <c r="G9716" s="4">
        <v>10</v>
      </c>
      <c r="H9716" s="18">
        <v>22.741790000000002</v>
      </c>
    </row>
    <row r="9717" spans="1:8" s="15" customFormat="1" ht="16.5" hidden="1" customHeight="1" outlineLevel="1" x14ac:dyDescent="0.25">
      <c r="A9717" s="18">
        <v>1935</v>
      </c>
      <c r="B9717" s="4" t="s">
        <v>250</v>
      </c>
      <c r="C9717" s="38" t="s">
        <v>8126</v>
      </c>
      <c r="D9717" s="18">
        <v>2022</v>
      </c>
      <c r="E9717" s="18" t="s">
        <v>0</v>
      </c>
      <c r="F9717" s="42">
        <v>1</v>
      </c>
      <c r="G9717" s="4">
        <v>15</v>
      </c>
      <c r="H9717" s="18">
        <v>27.467939999999999</v>
      </c>
    </row>
    <row r="9718" spans="1:8" s="15" customFormat="1" ht="16.5" hidden="1" customHeight="1" outlineLevel="1" x14ac:dyDescent="0.25">
      <c r="A9718" s="18">
        <v>1953</v>
      </c>
      <c r="B9718" s="4" t="s">
        <v>250</v>
      </c>
      <c r="C9718" s="38" t="s">
        <v>8127</v>
      </c>
      <c r="D9718" s="18">
        <v>2022</v>
      </c>
      <c r="E9718" s="18" t="s">
        <v>0</v>
      </c>
      <c r="F9718" s="42">
        <v>1</v>
      </c>
      <c r="G9718" s="4">
        <v>15</v>
      </c>
      <c r="H9718" s="18">
        <v>27.67972</v>
      </c>
    </row>
    <row r="9719" spans="1:8" s="15" customFormat="1" ht="16.5" hidden="1" customHeight="1" outlineLevel="1" x14ac:dyDescent="0.25">
      <c r="A9719" s="18">
        <v>1955</v>
      </c>
      <c r="B9719" s="4" t="s">
        <v>250</v>
      </c>
      <c r="C9719" s="38" t="s">
        <v>8128</v>
      </c>
      <c r="D9719" s="18">
        <v>2022</v>
      </c>
      <c r="E9719" s="18" t="s">
        <v>0</v>
      </c>
      <c r="F9719" s="42">
        <v>1</v>
      </c>
      <c r="G9719" s="4">
        <v>15</v>
      </c>
      <c r="H9719" s="18">
        <v>31.229649999999999</v>
      </c>
    </row>
    <row r="9720" spans="1:8" s="15" customFormat="1" ht="16.5" hidden="1" customHeight="1" outlineLevel="1" x14ac:dyDescent="0.25">
      <c r="A9720" s="18">
        <v>1969</v>
      </c>
      <c r="B9720" s="4" t="s">
        <v>250</v>
      </c>
      <c r="C9720" s="38" t="s">
        <v>8129</v>
      </c>
      <c r="D9720" s="18">
        <v>2022</v>
      </c>
      <c r="E9720" s="18" t="s">
        <v>0</v>
      </c>
      <c r="F9720" s="42">
        <v>1</v>
      </c>
      <c r="G9720" s="4">
        <v>10</v>
      </c>
      <c r="H9720" s="18">
        <v>30.869620000000001</v>
      </c>
    </row>
    <row r="9721" spans="1:8" s="15" customFormat="1" ht="16.5" hidden="1" customHeight="1" outlineLevel="1" x14ac:dyDescent="0.25">
      <c r="A9721" s="18">
        <v>1970</v>
      </c>
      <c r="B9721" s="4" t="s">
        <v>250</v>
      </c>
      <c r="C9721" s="38" t="s">
        <v>8130</v>
      </c>
      <c r="D9721" s="18">
        <v>2022</v>
      </c>
      <c r="E9721" s="18" t="s">
        <v>0</v>
      </c>
      <c r="F9721" s="42">
        <v>1</v>
      </c>
      <c r="G9721" s="4">
        <v>15</v>
      </c>
      <c r="H9721" s="18">
        <v>32.954970000000003</v>
      </c>
    </row>
    <row r="9722" spans="1:8" s="15" customFormat="1" ht="16.5" hidden="1" customHeight="1" outlineLevel="1" x14ac:dyDescent="0.25">
      <c r="A9722" s="18">
        <v>1971</v>
      </c>
      <c r="B9722" s="4" t="s">
        <v>250</v>
      </c>
      <c r="C9722" s="38" t="s">
        <v>8131</v>
      </c>
      <c r="D9722" s="18">
        <v>2022</v>
      </c>
      <c r="E9722" s="18" t="s">
        <v>0</v>
      </c>
      <c r="F9722" s="42">
        <v>1</v>
      </c>
      <c r="G9722" s="4">
        <v>15</v>
      </c>
      <c r="H9722" s="18">
        <v>29.11196</v>
      </c>
    </row>
    <row r="9723" spans="1:8" s="15" customFormat="1" ht="16.5" hidden="1" customHeight="1" outlineLevel="1" x14ac:dyDescent="0.25">
      <c r="A9723" s="18">
        <v>1976</v>
      </c>
      <c r="B9723" s="4" t="s">
        <v>250</v>
      </c>
      <c r="C9723" s="38" t="s">
        <v>8132</v>
      </c>
      <c r="D9723" s="18">
        <v>2022</v>
      </c>
      <c r="E9723" s="18" t="s">
        <v>0</v>
      </c>
      <c r="F9723" s="42">
        <v>1</v>
      </c>
      <c r="G9723" s="4">
        <v>15</v>
      </c>
      <c r="H9723" s="18">
        <v>29.795200000000001</v>
      </c>
    </row>
    <row r="9724" spans="1:8" s="15" customFormat="1" ht="16.5" hidden="1" customHeight="1" outlineLevel="1" x14ac:dyDescent="0.25">
      <c r="A9724" s="18">
        <v>1981</v>
      </c>
      <c r="B9724" s="4" t="s">
        <v>250</v>
      </c>
      <c r="C9724" s="38" t="s">
        <v>8133</v>
      </c>
      <c r="D9724" s="18">
        <v>2022</v>
      </c>
      <c r="E9724" s="18" t="s">
        <v>0</v>
      </c>
      <c r="F9724" s="42">
        <v>1</v>
      </c>
      <c r="G9724" s="4">
        <v>15</v>
      </c>
      <c r="H9724" s="18">
        <v>30.18741</v>
      </c>
    </row>
    <row r="9725" spans="1:8" s="15" customFormat="1" ht="16.5" hidden="1" customHeight="1" outlineLevel="1" x14ac:dyDescent="0.25">
      <c r="A9725" s="18">
        <v>1991</v>
      </c>
      <c r="B9725" s="4" t="s">
        <v>250</v>
      </c>
      <c r="C9725" s="38" t="s">
        <v>8134</v>
      </c>
      <c r="D9725" s="18">
        <v>2022</v>
      </c>
      <c r="E9725" s="18" t="s">
        <v>0</v>
      </c>
      <c r="F9725" s="42">
        <v>1</v>
      </c>
      <c r="G9725" s="4">
        <v>15</v>
      </c>
      <c r="H9725" s="18">
        <v>30.332229999999999</v>
      </c>
    </row>
    <row r="9726" spans="1:8" s="15" customFormat="1" ht="16.5" hidden="1" customHeight="1" outlineLevel="1" x14ac:dyDescent="0.25">
      <c r="A9726" s="18">
        <v>1992</v>
      </c>
      <c r="B9726" s="4" t="s">
        <v>250</v>
      </c>
      <c r="C9726" s="38" t="s">
        <v>8135</v>
      </c>
      <c r="D9726" s="18">
        <v>2022</v>
      </c>
      <c r="E9726" s="18" t="s">
        <v>0</v>
      </c>
      <c r="F9726" s="42">
        <v>1</v>
      </c>
      <c r="G9726" s="4">
        <v>15</v>
      </c>
      <c r="H9726" s="18">
        <v>31.295389999999998</v>
      </c>
    </row>
    <row r="9727" spans="1:8" s="15" customFormat="1" ht="16.5" hidden="1" customHeight="1" outlineLevel="1" x14ac:dyDescent="0.25">
      <c r="A9727" s="18">
        <v>1993</v>
      </c>
      <c r="B9727" s="4" t="s">
        <v>250</v>
      </c>
      <c r="C9727" s="38" t="s">
        <v>8136</v>
      </c>
      <c r="D9727" s="18">
        <v>2022</v>
      </c>
      <c r="E9727" s="18" t="s">
        <v>0</v>
      </c>
      <c r="F9727" s="42">
        <v>1</v>
      </c>
      <c r="G9727" s="4">
        <v>15</v>
      </c>
      <c r="H9727" s="18">
        <v>30.948049999999999</v>
      </c>
    </row>
    <row r="9728" spans="1:8" s="15" customFormat="1" ht="16.5" hidden="1" customHeight="1" outlineLevel="1" x14ac:dyDescent="0.25">
      <c r="A9728" s="18">
        <v>1998</v>
      </c>
      <c r="B9728" s="4" t="s">
        <v>250</v>
      </c>
      <c r="C9728" s="38" t="s">
        <v>8137</v>
      </c>
      <c r="D9728" s="18">
        <v>2022</v>
      </c>
      <c r="E9728" s="18" t="s">
        <v>0</v>
      </c>
      <c r="F9728" s="42">
        <v>1</v>
      </c>
      <c r="G9728" s="4">
        <v>15</v>
      </c>
      <c r="H9728" s="18">
        <v>32.087650000000004</v>
      </c>
    </row>
    <row r="9729" spans="1:8" s="15" customFormat="1" ht="16.5" hidden="1" customHeight="1" outlineLevel="1" x14ac:dyDescent="0.25">
      <c r="A9729" s="18">
        <v>1999</v>
      </c>
      <c r="B9729" s="4" t="s">
        <v>250</v>
      </c>
      <c r="C9729" s="38" t="s">
        <v>8138</v>
      </c>
      <c r="D9729" s="18">
        <v>2022</v>
      </c>
      <c r="E9729" s="18" t="s">
        <v>0</v>
      </c>
      <c r="F9729" s="42">
        <v>1</v>
      </c>
      <c r="G9729" s="4">
        <v>15</v>
      </c>
      <c r="H9729" s="18">
        <v>30.488859999999999</v>
      </c>
    </row>
    <row r="9730" spans="1:8" s="15" customFormat="1" ht="16.5" hidden="1" customHeight="1" outlineLevel="1" x14ac:dyDescent="0.25">
      <c r="A9730" s="18">
        <v>2000</v>
      </c>
      <c r="B9730" s="4" t="s">
        <v>250</v>
      </c>
      <c r="C9730" s="38" t="s">
        <v>8139</v>
      </c>
      <c r="D9730" s="18">
        <v>2022</v>
      </c>
      <c r="E9730" s="18" t="s">
        <v>0</v>
      </c>
      <c r="F9730" s="42">
        <v>1</v>
      </c>
      <c r="G9730" s="4">
        <v>15</v>
      </c>
      <c r="H9730" s="18">
        <v>21.789490000000001</v>
      </c>
    </row>
    <row r="9731" spans="1:8" s="15" customFormat="1" ht="16.5" hidden="1" customHeight="1" outlineLevel="1" x14ac:dyDescent="0.25">
      <c r="A9731" s="18">
        <v>2003</v>
      </c>
      <c r="B9731" s="4" t="s">
        <v>250</v>
      </c>
      <c r="C9731" s="38" t="s">
        <v>8140</v>
      </c>
      <c r="D9731" s="18">
        <v>2022</v>
      </c>
      <c r="E9731" s="18" t="s">
        <v>0</v>
      </c>
      <c r="F9731" s="42">
        <v>1</v>
      </c>
      <c r="G9731" s="4">
        <v>15</v>
      </c>
      <c r="H9731" s="18">
        <v>29.750150000000001</v>
      </c>
    </row>
    <row r="9732" spans="1:8" s="15" customFormat="1" ht="16.5" hidden="1" customHeight="1" outlineLevel="1" x14ac:dyDescent="0.25">
      <c r="A9732" s="18">
        <v>2004</v>
      </c>
      <c r="B9732" s="4" t="s">
        <v>250</v>
      </c>
      <c r="C9732" s="38" t="s">
        <v>8141</v>
      </c>
      <c r="D9732" s="18">
        <v>2022</v>
      </c>
      <c r="E9732" s="18" t="s">
        <v>0</v>
      </c>
      <c r="F9732" s="42">
        <v>1</v>
      </c>
      <c r="G9732" s="4">
        <v>15</v>
      </c>
      <c r="H9732" s="18">
        <v>29.602429999999998</v>
      </c>
    </row>
    <row r="9733" spans="1:8" s="15" customFormat="1" ht="16.5" hidden="1" customHeight="1" outlineLevel="1" x14ac:dyDescent="0.25">
      <c r="A9733" s="18">
        <v>2018</v>
      </c>
      <c r="B9733" s="4" t="s">
        <v>250</v>
      </c>
      <c r="C9733" s="38" t="s">
        <v>8142</v>
      </c>
      <c r="D9733" s="18">
        <v>2022</v>
      </c>
      <c r="E9733" s="18" t="s">
        <v>0</v>
      </c>
      <c r="F9733" s="42">
        <v>1</v>
      </c>
      <c r="G9733" s="4">
        <v>15</v>
      </c>
      <c r="H9733" s="18">
        <v>28.667099999999998</v>
      </c>
    </row>
    <row r="9734" spans="1:8" s="15" customFormat="1" ht="16.5" hidden="1" customHeight="1" outlineLevel="1" x14ac:dyDescent="0.25">
      <c r="A9734" s="18">
        <v>2019</v>
      </c>
      <c r="B9734" s="4" t="s">
        <v>250</v>
      </c>
      <c r="C9734" s="38" t="s">
        <v>8143</v>
      </c>
      <c r="D9734" s="18">
        <v>2022</v>
      </c>
      <c r="E9734" s="18" t="s">
        <v>0</v>
      </c>
      <c r="F9734" s="42">
        <v>1</v>
      </c>
      <c r="G9734" s="4">
        <v>10</v>
      </c>
      <c r="H9734" s="18">
        <v>30.264570000000003</v>
      </c>
    </row>
    <row r="9735" spans="1:8" s="15" customFormat="1" ht="16.5" hidden="1" customHeight="1" outlineLevel="1" x14ac:dyDescent="0.25">
      <c r="A9735" s="18">
        <v>2020</v>
      </c>
      <c r="B9735" s="4" t="s">
        <v>250</v>
      </c>
      <c r="C9735" s="38" t="s">
        <v>8144</v>
      </c>
      <c r="D9735" s="18">
        <v>2022</v>
      </c>
      <c r="E9735" s="18" t="s">
        <v>0</v>
      </c>
      <c r="F9735" s="42">
        <v>1</v>
      </c>
      <c r="G9735" s="4">
        <v>15</v>
      </c>
      <c r="H9735" s="18">
        <v>30.388500000000001</v>
      </c>
    </row>
    <row r="9736" spans="1:8" s="15" customFormat="1" ht="16.5" hidden="1" customHeight="1" outlineLevel="1" x14ac:dyDescent="0.25">
      <c r="A9736" s="18">
        <v>2024</v>
      </c>
      <c r="B9736" s="4" t="s">
        <v>250</v>
      </c>
      <c r="C9736" s="38" t="s">
        <v>8145</v>
      </c>
      <c r="D9736" s="18">
        <v>2022</v>
      </c>
      <c r="E9736" s="18" t="s">
        <v>0</v>
      </c>
      <c r="F9736" s="42">
        <v>1</v>
      </c>
      <c r="G9736" s="4">
        <v>15</v>
      </c>
      <c r="H9736" s="18">
        <v>32.525689999999997</v>
      </c>
    </row>
    <row r="9737" spans="1:8" s="15" customFormat="1" ht="16.5" hidden="1" customHeight="1" outlineLevel="1" x14ac:dyDescent="0.25">
      <c r="A9737" s="18">
        <v>2039</v>
      </c>
      <c r="B9737" s="4" t="s">
        <v>250</v>
      </c>
      <c r="C9737" s="38" t="s">
        <v>8146</v>
      </c>
      <c r="D9737" s="18">
        <v>2022</v>
      </c>
      <c r="E9737" s="18" t="s">
        <v>0</v>
      </c>
      <c r="F9737" s="42">
        <v>1</v>
      </c>
      <c r="G9737" s="4">
        <v>15</v>
      </c>
      <c r="H9737" s="18">
        <v>25.81277</v>
      </c>
    </row>
    <row r="9738" spans="1:8" s="15" customFormat="1" ht="16.5" hidden="1" customHeight="1" outlineLevel="1" x14ac:dyDescent="0.25">
      <c r="A9738" s="18">
        <v>2052</v>
      </c>
      <c r="B9738" s="4" t="s">
        <v>250</v>
      </c>
      <c r="C9738" s="38" t="s">
        <v>8147</v>
      </c>
      <c r="D9738" s="18">
        <v>2022</v>
      </c>
      <c r="E9738" s="18" t="s">
        <v>0</v>
      </c>
      <c r="F9738" s="42">
        <v>1</v>
      </c>
      <c r="G9738" s="4">
        <v>15</v>
      </c>
      <c r="H9738" s="18">
        <v>30.524709999999999</v>
      </c>
    </row>
    <row r="9739" spans="1:8" s="15" customFormat="1" ht="16.5" hidden="1" customHeight="1" outlineLevel="1" x14ac:dyDescent="0.25">
      <c r="A9739" s="18">
        <v>2057</v>
      </c>
      <c r="B9739" s="4" t="s">
        <v>250</v>
      </c>
      <c r="C9739" s="38" t="s">
        <v>8148</v>
      </c>
      <c r="D9739" s="18">
        <v>2022</v>
      </c>
      <c r="E9739" s="18" t="s">
        <v>0</v>
      </c>
      <c r="F9739" s="42">
        <v>1</v>
      </c>
      <c r="G9739" s="4">
        <v>15</v>
      </c>
      <c r="H9739" s="18">
        <v>26.03689</v>
      </c>
    </row>
    <row r="9740" spans="1:8" s="15" customFormat="1" ht="16.5" hidden="1" customHeight="1" outlineLevel="1" x14ac:dyDescent="0.25">
      <c r="A9740" s="18">
        <v>2078</v>
      </c>
      <c r="B9740" s="4" t="s">
        <v>250</v>
      </c>
      <c r="C9740" s="38" t="s">
        <v>8149</v>
      </c>
      <c r="D9740" s="18">
        <v>2022</v>
      </c>
      <c r="E9740" s="18" t="s">
        <v>0</v>
      </c>
      <c r="F9740" s="42">
        <v>1</v>
      </c>
      <c r="G9740" s="4">
        <v>15</v>
      </c>
      <c r="H9740" s="18">
        <v>29.782509999999998</v>
      </c>
    </row>
    <row r="9741" spans="1:8" s="15" customFormat="1" ht="16.5" hidden="1" customHeight="1" outlineLevel="1" x14ac:dyDescent="0.25">
      <c r="A9741" s="18">
        <v>2089</v>
      </c>
      <c r="B9741" s="4" t="s">
        <v>250</v>
      </c>
      <c r="C9741" s="38" t="s">
        <v>8150</v>
      </c>
      <c r="D9741" s="18">
        <v>2022</v>
      </c>
      <c r="E9741" s="18" t="s">
        <v>0</v>
      </c>
      <c r="F9741" s="42">
        <v>1</v>
      </c>
      <c r="G9741" s="4">
        <v>15</v>
      </c>
      <c r="H9741" s="18">
        <v>25.585540000000002</v>
      </c>
    </row>
    <row r="9742" spans="1:8" s="15" customFormat="1" ht="16.5" hidden="1" customHeight="1" outlineLevel="1" x14ac:dyDescent="0.25">
      <c r="A9742" s="18">
        <v>2092</v>
      </c>
      <c r="B9742" s="4" t="s">
        <v>250</v>
      </c>
      <c r="C9742" s="38" t="s">
        <v>8151</v>
      </c>
      <c r="D9742" s="18">
        <v>2022</v>
      </c>
      <c r="E9742" s="18" t="s">
        <v>0</v>
      </c>
      <c r="F9742" s="42">
        <v>1</v>
      </c>
      <c r="G9742" s="4">
        <v>15</v>
      </c>
      <c r="H9742" s="18">
        <v>26.693509999999996</v>
      </c>
    </row>
    <row r="9743" spans="1:8" s="15" customFormat="1" ht="16.5" hidden="1" customHeight="1" outlineLevel="1" x14ac:dyDescent="0.25">
      <c r="A9743" s="18">
        <v>2093</v>
      </c>
      <c r="B9743" s="4" t="s">
        <v>250</v>
      </c>
      <c r="C9743" s="38" t="s">
        <v>8152</v>
      </c>
      <c r="D9743" s="18">
        <v>2022</v>
      </c>
      <c r="E9743" s="18" t="s">
        <v>0</v>
      </c>
      <c r="F9743" s="42">
        <v>1</v>
      </c>
      <c r="G9743" s="4">
        <v>15</v>
      </c>
      <c r="H9743" s="18">
        <v>25.95486</v>
      </c>
    </row>
    <row r="9744" spans="1:8" s="15" customFormat="1" ht="16.5" hidden="1" customHeight="1" outlineLevel="1" x14ac:dyDescent="0.25">
      <c r="A9744" s="18">
        <v>2099</v>
      </c>
      <c r="B9744" s="4" t="s">
        <v>250</v>
      </c>
      <c r="C9744" s="38" t="s">
        <v>8153</v>
      </c>
      <c r="D9744" s="18">
        <v>2022</v>
      </c>
      <c r="E9744" s="18" t="s">
        <v>0</v>
      </c>
      <c r="F9744" s="42">
        <v>1</v>
      </c>
      <c r="G9744" s="4">
        <v>15</v>
      </c>
      <c r="H9744" s="18">
        <v>30.415800000000001</v>
      </c>
    </row>
    <row r="9745" spans="1:8" s="15" customFormat="1" ht="16.5" hidden="1" customHeight="1" outlineLevel="1" x14ac:dyDescent="0.25">
      <c r="A9745" s="18">
        <v>2104</v>
      </c>
      <c r="B9745" s="4" t="s">
        <v>250</v>
      </c>
      <c r="C9745" s="38" t="s">
        <v>8154</v>
      </c>
      <c r="D9745" s="18">
        <v>2022</v>
      </c>
      <c r="E9745" s="18" t="s">
        <v>0</v>
      </c>
      <c r="F9745" s="42">
        <v>1</v>
      </c>
      <c r="G9745" s="4">
        <v>15</v>
      </c>
      <c r="H9745" s="18">
        <v>30.082840000000001</v>
      </c>
    </row>
    <row r="9746" spans="1:8" s="15" customFormat="1" ht="16.5" hidden="1" customHeight="1" outlineLevel="1" x14ac:dyDescent="0.25">
      <c r="A9746" s="18">
        <v>2105</v>
      </c>
      <c r="B9746" s="4" t="s">
        <v>250</v>
      </c>
      <c r="C9746" s="38" t="s">
        <v>8155</v>
      </c>
      <c r="D9746" s="18">
        <v>2022</v>
      </c>
      <c r="E9746" s="18" t="s">
        <v>0</v>
      </c>
      <c r="F9746" s="42">
        <v>1</v>
      </c>
      <c r="G9746" s="4">
        <v>15</v>
      </c>
      <c r="H9746" s="18">
        <v>31.190799999999999</v>
      </c>
    </row>
    <row r="9747" spans="1:8" s="15" customFormat="1" ht="16.5" hidden="1" customHeight="1" outlineLevel="1" x14ac:dyDescent="0.25">
      <c r="A9747" s="18">
        <v>2106</v>
      </c>
      <c r="B9747" s="4" t="s">
        <v>250</v>
      </c>
      <c r="C9747" s="38" t="s">
        <v>8156</v>
      </c>
      <c r="D9747" s="18">
        <v>2022</v>
      </c>
      <c r="E9747" s="18" t="s">
        <v>0</v>
      </c>
      <c r="F9747" s="42">
        <v>1</v>
      </c>
      <c r="G9747" s="4">
        <v>15</v>
      </c>
      <c r="H9747" s="18">
        <v>30.8903</v>
      </c>
    </row>
    <row r="9748" spans="1:8" s="15" customFormat="1" ht="16.5" hidden="1" customHeight="1" outlineLevel="1" x14ac:dyDescent="0.25">
      <c r="A9748" s="18">
        <v>2112</v>
      </c>
      <c r="B9748" s="4" t="s">
        <v>250</v>
      </c>
      <c r="C9748" s="38" t="s">
        <v>8157</v>
      </c>
      <c r="D9748" s="18">
        <v>2022</v>
      </c>
      <c r="E9748" s="18" t="s">
        <v>0</v>
      </c>
      <c r="F9748" s="42">
        <v>1</v>
      </c>
      <c r="G9748" s="4">
        <v>3</v>
      </c>
      <c r="H9748" s="18">
        <v>25.137379999999997</v>
      </c>
    </row>
    <row r="9749" spans="1:8" s="15" customFormat="1" ht="16.5" hidden="1" customHeight="1" outlineLevel="1" x14ac:dyDescent="0.25">
      <c r="A9749" s="18">
        <v>2113</v>
      </c>
      <c r="B9749" s="4" t="s">
        <v>250</v>
      </c>
      <c r="C9749" s="38" t="s">
        <v>8158</v>
      </c>
      <c r="D9749" s="18">
        <v>2022</v>
      </c>
      <c r="E9749" s="18" t="s">
        <v>0</v>
      </c>
      <c r="F9749" s="42">
        <v>1</v>
      </c>
      <c r="G9749" s="4">
        <v>15</v>
      </c>
      <c r="H9749" s="18">
        <v>30.520979999999998</v>
      </c>
    </row>
    <row r="9750" spans="1:8" s="15" customFormat="1" ht="16.5" hidden="1" customHeight="1" outlineLevel="1" x14ac:dyDescent="0.25">
      <c r="A9750" s="18">
        <v>2120</v>
      </c>
      <c r="B9750" s="4" t="s">
        <v>250</v>
      </c>
      <c r="C9750" s="38" t="s">
        <v>8159</v>
      </c>
      <c r="D9750" s="18">
        <v>2022</v>
      </c>
      <c r="E9750" s="18" t="s">
        <v>0</v>
      </c>
      <c r="F9750" s="42">
        <v>1</v>
      </c>
      <c r="G9750" s="4">
        <v>15</v>
      </c>
      <c r="H9750" s="18">
        <v>30.392700000000001</v>
      </c>
    </row>
    <row r="9751" spans="1:8" s="15" customFormat="1" ht="16.5" hidden="1" customHeight="1" outlineLevel="1" x14ac:dyDescent="0.25">
      <c r="A9751" s="18">
        <v>2148</v>
      </c>
      <c r="B9751" s="4" t="s">
        <v>250</v>
      </c>
      <c r="C9751" s="38" t="s">
        <v>8160</v>
      </c>
      <c r="D9751" s="18">
        <v>2022</v>
      </c>
      <c r="E9751" s="18" t="s">
        <v>0</v>
      </c>
      <c r="F9751" s="42">
        <v>1</v>
      </c>
      <c r="G9751" s="4">
        <v>15</v>
      </c>
      <c r="H9751" s="18">
        <v>31.434259999999998</v>
      </c>
    </row>
    <row r="9752" spans="1:8" s="15" customFormat="1" ht="16.5" hidden="1" customHeight="1" outlineLevel="1" x14ac:dyDescent="0.25">
      <c r="A9752" s="18">
        <v>2170</v>
      </c>
      <c r="B9752" s="4" t="s">
        <v>250</v>
      </c>
      <c r="C9752" s="38" t="s">
        <v>8161</v>
      </c>
      <c r="D9752" s="18">
        <v>2022</v>
      </c>
      <c r="E9752" s="18" t="s">
        <v>0</v>
      </c>
      <c r="F9752" s="42">
        <v>1</v>
      </c>
      <c r="G9752" s="4">
        <v>15</v>
      </c>
      <c r="H9752" s="18">
        <v>29.95326</v>
      </c>
    </row>
    <row r="9753" spans="1:8" s="15" customFormat="1" ht="16.5" hidden="1" customHeight="1" outlineLevel="1" x14ac:dyDescent="0.25">
      <c r="A9753" s="18">
        <v>2172</v>
      </c>
      <c r="B9753" s="4" t="s">
        <v>250</v>
      </c>
      <c r="C9753" s="38" t="s">
        <v>8162</v>
      </c>
      <c r="D9753" s="18">
        <v>2022</v>
      </c>
      <c r="E9753" s="18" t="s">
        <v>0</v>
      </c>
      <c r="F9753" s="42">
        <v>1</v>
      </c>
      <c r="G9753" s="4">
        <v>15</v>
      </c>
      <c r="H9753" s="18">
        <v>33.519449999999999</v>
      </c>
    </row>
    <row r="9754" spans="1:8" s="15" customFormat="1" ht="16.5" hidden="1" customHeight="1" outlineLevel="1" x14ac:dyDescent="0.25">
      <c r="A9754" s="18">
        <v>2176</v>
      </c>
      <c r="B9754" s="4" t="s">
        <v>250</v>
      </c>
      <c r="C9754" s="38" t="s">
        <v>8163</v>
      </c>
      <c r="D9754" s="18">
        <v>2022</v>
      </c>
      <c r="E9754" s="18" t="s">
        <v>0</v>
      </c>
      <c r="F9754" s="42">
        <v>1</v>
      </c>
      <c r="G9754" s="4">
        <v>15</v>
      </c>
      <c r="H9754" s="18">
        <v>30.521050000000002</v>
      </c>
    </row>
    <row r="9755" spans="1:8" s="15" customFormat="1" ht="16.5" hidden="1" customHeight="1" outlineLevel="1" x14ac:dyDescent="0.25">
      <c r="A9755" s="18">
        <v>2178</v>
      </c>
      <c r="B9755" s="4" t="s">
        <v>250</v>
      </c>
      <c r="C9755" s="38" t="s">
        <v>8164</v>
      </c>
      <c r="D9755" s="18">
        <v>2022</v>
      </c>
      <c r="E9755" s="18" t="s">
        <v>0</v>
      </c>
      <c r="F9755" s="42">
        <v>1</v>
      </c>
      <c r="G9755" s="4">
        <v>15</v>
      </c>
      <c r="H9755" s="18">
        <v>30.949279999999998</v>
      </c>
    </row>
    <row r="9756" spans="1:8" s="15" customFormat="1" ht="16.5" hidden="1" customHeight="1" outlineLevel="1" x14ac:dyDescent="0.25">
      <c r="A9756" s="18">
        <v>2179</v>
      </c>
      <c r="B9756" s="4" t="s">
        <v>250</v>
      </c>
      <c r="C9756" s="38" t="s">
        <v>8165</v>
      </c>
      <c r="D9756" s="18">
        <v>2022</v>
      </c>
      <c r="E9756" s="18" t="s">
        <v>0</v>
      </c>
      <c r="F9756" s="42">
        <v>1</v>
      </c>
      <c r="G9756" s="4">
        <v>15</v>
      </c>
      <c r="H9756" s="18">
        <v>30.913519999999998</v>
      </c>
    </row>
    <row r="9757" spans="1:8" s="15" customFormat="1" ht="16.5" hidden="1" customHeight="1" outlineLevel="1" x14ac:dyDescent="0.25">
      <c r="A9757" s="18">
        <v>2180</v>
      </c>
      <c r="B9757" s="4" t="s">
        <v>250</v>
      </c>
      <c r="C9757" s="38" t="s">
        <v>8166</v>
      </c>
      <c r="D9757" s="18">
        <v>2022</v>
      </c>
      <c r="E9757" s="18" t="s">
        <v>0</v>
      </c>
      <c r="F9757" s="42">
        <v>1</v>
      </c>
      <c r="G9757" s="4">
        <v>15</v>
      </c>
      <c r="H9757" s="18">
        <v>30.588080000000001</v>
      </c>
    </row>
    <row r="9758" spans="1:8" s="15" customFormat="1" ht="16.5" hidden="1" customHeight="1" outlineLevel="1" x14ac:dyDescent="0.25">
      <c r="A9758" s="18">
        <v>2190</v>
      </c>
      <c r="B9758" s="4" t="s">
        <v>250</v>
      </c>
      <c r="C9758" s="38" t="s">
        <v>8167</v>
      </c>
      <c r="D9758" s="18">
        <v>2022</v>
      </c>
      <c r="E9758" s="18" t="s">
        <v>0</v>
      </c>
      <c r="F9758" s="42">
        <v>1</v>
      </c>
      <c r="G9758" s="4">
        <v>15</v>
      </c>
      <c r="H9758" s="18">
        <v>30.003869999999999</v>
      </c>
    </row>
    <row r="9759" spans="1:8" s="15" customFormat="1" ht="16.5" hidden="1" customHeight="1" outlineLevel="1" x14ac:dyDescent="0.25">
      <c r="A9759" s="18">
        <v>2193</v>
      </c>
      <c r="B9759" s="4" t="s">
        <v>250</v>
      </c>
      <c r="C9759" s="38" t="s">
        <v>8168</v>
      </c>
      <c r="D9759" s="18">
        <v>2022</v>
      </c>
      <c r="E9759" s="18" t="s">
        <v>0</v>
      </c>
      <c r="F9759" s="42">
        <v>1</v>
      </c>
      <c r="G9759" s="4">
        <v>15</v>
      </c>
      <c r="H9759" s="18">
        <v>29.486979999999999</v>
      </c>
    </row>
    <row r="9760" spans="1:8" s="15" customFormat="1" ht="16.5" hidden="1" customHeight="1" outlineLevel="1" x14ac:dyDescent="0.25">
      <c r="A9760" s="18">
        <v>2202</v>
      </c>
      <c r="B9760" s="4" t="s">
        <v>250</v>
      </c>
      <c r="C9760" s="38" t="s">
        <v>8169</v>
      </c>
      <c r="D9760" s="18">
        <v>2022</v>
      </c>
      <c r="E9760" s="18" t="s">
        <v>0</v>
      </c>
      <c r="F9760" s="42">
        <v>1</v>
      </c>
      <c r="G9760" s="4">
        <v>15</v>
      </c>
      <c r="H9760" s="18">
        <v>29.891999999999999</v>
      </c>
    </row>
    <row r="9761" spans="1:8" s="15" customFormat="1" ht="16.5" hidden="1" customHeight="1" outlineLevel="1" x14ac:dyDescent="0.25">
      <c r="A9761" s="18">
        <v>2203</v>
      </c>
      <c r="B9761" s="4" t="s">
        <v>250</v>
      </c>
      <c r="C9761" s="38" t="s">
        <v>8170</v>
      </c>
      <c r="D9761" s="18">
        <v>2022</v>
      </c>
      <c r="E9761" s="18" t="s">
        <v>0</v>
      </c>
      <c r="F9761" s="42">
        <v>1</v>
      </c>
      <c r="G9761" s="4">
        <v>15</v>
      </c>
      <c r="H9761" s="18">
        <v>41.531419999999997</v>
      </c>
    </row>
    <row r="9762" spans="1:8" s="15" customFormat="1" ht="16.5" hidden="1" customHeight="1" outlineLevel="1" x14ac:dyDescent="0.25">
      <c r="A9762" s="18">
        <v>2204</v>
      </c>
      <c r="B9762" s="4" t="s">
        <v>250</v>
      </c>
      <c r="C9762" s="38" t="s">
        <v>8171</v>
      </c>
      <c r="D9762" s="18">
        <v>2022</v>
      </c>
      <c r="E9762" s="18" t="s">
        <v>0</v>
      </c>
      <c r="F9762" s="42">
        <v>1</v>
      </c>
      <c r="G9762" s="4">
        <v>15</v>
      </c>
      <c r="H9762" s="18">
        <v>31.259709999999995</v>
      </c>
    </row>
    <row r="9763" spans="1:8" s="15" customFormat="1" ht="16.5" hidden="1" customHeight="1" outlineLevel="1" x14ac:dyDescent="0.25">
      <c r="A9763" s="18">
        <v>2205</v>
      </c>
      <c r="B9763" s="4" t="s">
        <v>250</v>
      </c>
      <c r="C9763" s="38" t="s">
        <v>8172</v>
      </c>
      <c r="D9763" s="18">
        <v>2022</v>
      </c>
      <c r="E9763" s="18" t="s">
        <v>0</v>
      </c>
      <c r="F9763" s="42">
        <v>1</v>
      </c>
      <c r="G9763" s="4">
        <v>15</v>
      </c>
      <c r="H9763" s="18">
        <v>31.295310000000001</v>
      </c>
    </row>
    <row r="9764" spans="1:8" s="15" customFormat="1" ht="16.5" hidden="1" customHeight="1" outlineLevel="1" x14ac:dyDescent="0.25">
      <c r="A9764" s="18">
        <v>2206</v>
      </c>
      <c r="B9764" s="4" t="s">
        <v>250</v>
      </c>
      <c r="C9764" s="38" t="s">
        <v>8173</v>
      </c>
      <c r="D9764" s="18">
        <v>2022</v>
      </c>
      <c r="E9764" s="18" t="s">
        <v>0</v>
      </c>
      <c r="F9764" s="42">
        <v>1</v>
      </c>
      <c r="G9764" s="4">
        <v>15</v>
      </c>
      <c r="H9764" s="18">
        <v>30.16348</v>
      </c>
    </row>
    <row r="9765" spans="1:8" s="15" customFormat="1" ht="16.5" hidden="1" customHeight="1" outlineLevel="1" x14ac:dyDescent="0.25">
      <c r="A9765" s="18">
        <v>2208</v>
      </c>
      <c r="B9765" s="4" t="s">
        <v>250</v>
      </c>
      <c r="C9765" s="38" t="s">
        <v>8174</v>
      </c>
      <c r="D9765" s="18">
        <v>2022</v>
      </c>
      <c r="E9765" s="18" t="s">
        <v>0</v>
      </c>
      <c r="F9765" s="42">
        <v>1</v>
      </c>
      <c r="G9765" s="4">
        <v>15</v>
      </c>
      <c r="H9765" s="18">
        <v>30.520970000000002</v>
      </c>
    </row>
    <row r="9766" spans="1:8" s="15" customFormat="1" ht="16.5" hidden="1" customHeight="1" outlineLevel="1" x14ac:dyDescent="0.25">
      <c r="A9766" s="18">
        <v>2212</v>
      </c>
      <c r="B9766" s="4" t="s">
        <v>250</v>
      </c>
      <c r="C9766" s="38" t="s">
        <v>8175</v>
      </c>
      <c r="D9766" s="18">
        <v>2022</v>
      </c>
      <c r="E9766" s="18" t="s">
        <v>0</v>
      </c>
      <c r="F9766" s="42">
        <v>1</v>
      </c>
      <c r="G9766" s="4">
        <v>15</v>
      </c>
      <c r="H9766" s="18">
        <v>29.78238</v>
      </c>
    </row>
    <row r="9767" spans="1:8" s="15" customFormat="1" ht="16.5" hidden="1" customHeight="1" outlineLevel="1" x14ac:dyDescent="0.25">
      <c r="A9767" s="18">
        <v>2213</v>
      </c>
      <c r="B9767" s="4" t="s">
        <v>250</v>
      </c>
      <c r="C9767" s="38" t="s">
        <v>8176</v>
      </c>
      <c r="D9767" s="18">
        <v>2022</v>
      </c>
      <c r="E9767" s="18" t="s">
        <v>0</v>
      </c>
      <c r="F9767" s="42">
        <v>1</v>
      </c>
      <c r="G9767" s="4">
        <v>15</v>
      </c>
      <c r="H9767" s="18">
        <v>31.998350000000002</v>
      </c>
    </row>
    <row r="9768" spans="1:8" s="15" customFormat="1" ht="16.5" hidden="1" customHeight="1" outlineLevel="1" x14ac:dyDescent="0.25">
      <c r="A9768" s="18">
        <v>2214</v>
      </c>
      <c r="B9768" s="4" t="s">
        <v>250</v>
      </c>
      <c r="C9768" s="38" t="s">
        <v>8177</v>
      </c>
      <c r="D9768" s="18">
        <v>2022</v>
      </c>
      <c r="E9768" s="18" t="s">
        <v>0</v>
      </c>
      <c r="F9768" s="42">
        <v>1</v>
      </c>
      <c r="G9768" s="4">
        <v>15</v>
      </c>
      <c r="H9768" s="18">
        <v>29.89199</v>
      </c>
    </row>
    <row r="9769" spans="1:8" s="15" customFormat="1" ht="16.5" hidden="1" customHeight="1" outlineLevel="1" x14ac:dyDescent="0.25">
      <c r="A9769" s="18">
        <v>2216</v>
      </c>
      <c r="B9769" s="4" t="s">
        <v>250</v>
      </c>
      <c r="C9769" s="38" t="s">
        <v>8178</v>
      </c>
      <c r="D9769" s="18">
        <v>2022</v>
      </c>
      <c r="E9769" s="18" t="s">
        <v>0</v>
      </c>
      <c r="F9769" s="42">
        <v>1</v>
      </c>
      <c r="G9769" s="4">
        <v>15</v>
      </c>
      <c r="H9769" s="18">
        <v>30.926139999999997</v>
      </c>
    </row>
    <row r="9770" spans="1:8" s="15" customFormat="1" ht="16.5" hidden="1" customHeight="1" outlineLevel="1" x14ac:dyDescent="0.25">
      <c r="A9770" s="18">
        <v>2223</v>
      </c>
      <c r="B9770" s="4" t="s">
        <v>250</v>
      </c>
      <c r="C9770" s="38" t="s">
        <v>8179</v>
      </c>
      <c r="D9770" s="18">
        <v>2022</v>
      </c>
      <c r="E9770" s="18" t="s">
        <v>0</v>
      </c>
      <c r="F9770" s="42">
        <v>1</v>
      </c>
      <c r="G9770" s="4">
        <v>15</v>
      </c>
      <c r="H9770" s="18">
        <v>29.48696</v>
      </c>
    </row>
    <row r="9771" spans="1:8" s="15" customFormat="1" ht="16.5" hidden="1" customHeight="1" outlineLevel="1" x14ac:dyDescent="0.25">
      <c r="A9771" s="18">
        <v>2256</v>
      </c>
      <c r="B9771" s="4" t="s">
        <v>250</v>
      </c>
      <c r="C9771" s="38" t="s">
        <v>8180</v>
      </c>
      <c r="D9771" s="18">
        <v>2022</v>
      </c>
      <c r="E9771" s="18" t="s">
        <v>0</v>
      </c>
      <c r="F9771" s="42">
        <v>1</v>
      </c>
      <c r="G9771" s="4">
        <v>14</v>
      </c>
      <c r="H9771" s="18">
        <v>29.782409999999999</v>
      </c>
    </row>
    <row r="9772" spans="1:8" s="15" customFormat="1" ht="16.5" hidden="1" customHeight="1" outlineLevel="1" x14ac:dyDescent="0.25">
      <c r="A9772" s="18">
        <v>2265</v>
      </c>
      <c r="B9772" s="4" t="s">
        <v>250</v>
      </c>
      <c r="C9772" s="38" t="s">
        <v>8181</v>
      </c>
      <c r="D9772" s="18">
        <v>2022</v>
      </c>
      <c r="E9772" s="18" t="s">
        <v>0</v>
      </c>
      <c r="F9772" s="42">
        <v>1</v>
      </c>
      <c r="G9772" s="4">
        <v>15</v>
      </c>
      <c r="H9772" s="18">
        <v>30.926139999999997</v>
      </c>
    </row>
    <row r="9773" spans="1:8" s="15" customFormat="1" ht="16.5" hidden="1" customHeight="1" outlineLevel="1" x14ac:dyDescent="0.25">
      <c r="A9773" s="18">
        <v>2272</v>
      </c>
      <c r="B9773" s="4" t="s">
        <v>250</v>
      </c>
      <c r="C9773" s="38" t="s">
        <v>8182</v>
      </c>
      <c r="D9773" s="18">
        <v>2022</v>
      </c>
      <c r="E9773" s="18" t="s">
        <v>0</v>
      </c>
      <c r="F9773" s="42">
        <v>1</v>
      </c>
      <c r="G9773" s="4">
        <v>40</v>
      </c>
      <c r="H9773" s="18">
        <v>116.95592000000001</v>
      </c>
    </row>
    <row r="9774" spans="1:8" s="15" customFormat="1" ht="16.5" hidden="1" customHeight="1" outlineLevel="1" x14ac:dyDescent="0.25">
      <c r="A9774" s="18">
        <v>2293</v>
      </c>
      <c r="B9774" s="4" t="s">
        <v>250</v>
      </c>
      <c r="C9774" s="38" t="s">
        <v>8183</v>
      </c>
      <c r="D9774" s="18">
        <v>2022</v>
      </c>
      <c r="E9774" s="18" t="s">
        <v>0</v>
      </c>
      <c r="F9774" s="42">
        <v>3</v>
      </c>
      <c r="G9774" s="4">
        <v>45</v>
      </c>
      <c r="H9774" s="18">
        <v>109.42644</v>
      </c>
    </row>
    <row r="9775" spans="1:8" s="15" customFormat="1" ht="16.5" hidden="1" customHeight="1" outlineLevel="1" x14ac:dyDescent="0.25">
      <c r="A9775" s="18">
        <v>2299</v>
      </c>
      <c r="B9775" s="4" t="s">
        <v>250</v>
      </c>
      <c r="C9775" s="38" t="s">
        <v>8184</v>
      </c>
      <c r="D9775" s="18">
        <v>2022</v>
      </c>
      <c r="E9775" s="18" t="s">
        <v>0</v>
      </c>
      <c r="F9775" s="42">
        <v>1</v>
      </c>
      <c r="G9775" s="4">
        <v>15</v>
      </c>
      <c r="H9775" s="18">
        <v>37.328970000000005</v>
      </c>
    </row>
    <row r="9776" spans="1:8" s="15" customFormat="1" ht="16.5" hidden="1" customHeight="1" outlineLevel="1" x14ac:dyDescent="0.25">
      <c r="A9776" s="18">
        <v>2336</v>
      </c>
      <c r="B9776" s="4" t="s">
        <v>250</v>
      </c>
      <c r="C9776" s="38" t="s">
        <v>8185</v>
      </c>
      <c r="D9776" s="18">
        <v>2022</v>
      </c>
      <c r="E9776" s="18" t="s">
        <v>0</v>
      </c>
      <c r="F9776" s="42">
        <v>1</v>
      </c>
      <c r="G9776" s="4">
        <v>65</v>
      </c>
      <c r="H9776" s="18">
        <v>29.509620000000005</v>
      </c>
    </row>
    <row r="9777" spans="1:8" s="15" customFormat="1" ht="16.5" hidden="1" customHeight="1" outlineLevel="1" x14ac:dyDescent="0.25">
      <c r="A9777" s="18">
        <v>2351</v>
      </c>
      <c r="B9777" s="4" t="s">
        <v>250</v>
      </c>
      <c r="C9777" s="38" t="s">
        <v>8186</v>
      </c>
      <c r="D9777" s="18">
        <v>2022</v>
      </c>
      <c r="E9777" s="18" t="s">
        <v>0</v>
      </c>
      <c r="F9777" s="42">
        <v>1</v>
      </c>
      <c r="G9777" s="4">
        <v>10</v>
      </c>
      <c r="H9777" s="18">
        <v>32.825580000000002</v>
      </c>
    </row>
    <row r="9778" spans="1:8" s="15" customFormat="1" ht="16.5" hidden="1" customHeight="1" outlineLevel="1" x14ac:dyDescent="0.25">
      <c r="A9778" s="18">
        <v>2352</v>
      </c>
      <c r="B9778" s="4" t="s">
        <v>250</v>
      </c>
      <c r="C9778" s="38" t="s">
        <v>8187</v>
      </c>
      <c r="D9778" s="18">
        <v>2022</v>
      </c>
      <c r="E9778" s="18" t="s">
        <v>0</v>
      </c>
      <c r="F9778" s="42">
        <v>1</v>
      </c>
      <c r="G9778" s="4">
        <v>15</v>
      </c>
      <c r="H9778" s="18">
        <v>33.356739999999995</v>
      </c>
    </row>
    <row r="9779" spans="1:8" s="15" customFormat="1" ht="16.5" hidden="1" customHeight="1" outlineLevel="1" x14ac:dyDescent="0.25">
      <c r="A9779" s="18">
        <v>2384</v>
      </c>
      <c r="B9779" s="4" t="s">
        <v>250</v>
      </c>
      <c r="C9779" s="38" t="s">
        <v>8188</v>
      </c>
      <c r="D9779" s="18">
        <v>2022</v>
      </c>
      <c r="E9779" s="18" t="s">
        <v>0</v>
      </c>
      <c r="F9779" s="42">
        <v>1</v>
      </c>
      <c r="G9779" s="4">
        <v>80</v>
      </c>
      <c r="H9779" s="18">
        <v>23.148209999999999</v>
      </c>
    </row>
    <row r="9780" spans="1:8" s="15" customFormat="1" ht="16.5" hidden="1" customHeight="1" outlineLevel="1" x14ac:dyDescent="0.25">
      <c r="A9780" s="18">
        <v>2440</v>
      </c>
      <c r="B9780" s="4" t="s">
        <v>250</v>
      </c>
      <c r="C9780" s="38" t="s">
        <v>8189</v>
      </c>
      <c r="D9780" s="18">
        <v>2022</v>
      </c>
      <c r="E9780" s="18" t="s">
        <v>0</v>
      </c>
      <c r="F9780" s="42">
        <v>1</v>
      </c>
      <c r="G9780" s="4">
        <v>15</v>
      </c>
      <c r="H9780" s="18">
        <v>18.79899</v>
      </c>
    </row>
    <row r="9781" spans="1:8" s="15" customFormat="1" ht="16.5" hidden="1" customHeight="1" outlineLevel="1" x14ac:dyDescent="0.25">
      <c r="A9781" s="18">
        <v>2441</v>
      </c>
      <c r="B9781" s="4" t="s">
        <v>250</v>
      </c>
      <c r="C9781" s="38" t="s">
        <v>8190</v>
      </c>
      <c r="D9781" s="18">
        <v>2022</v>
      </c>
      <c r="E9781" s="18" t="s">
        <v>0</v>
      </c>
      <c r="F9781" s="42">
        <v>1</v>
      </c>
      <c r="G9781" s="4">
        <v>15</v>
      </c>
      <c r="H9781" s="18">
        <v>20.075470000000003</v>
      </c>
    </row>
    <row r="9782" spans="1:8" s="15" customFormat="1" ht="16.5" hidden="1" customHeight="1" outlineLevel="1" x14ac:dyDescent="0.25">
      <c r="A9782" s="18">
        <v>2442</v>
      </c>
      <c r="B9782" s="4" t="s">
        <v>250</v>
      </c>
      <c r="C9782" s="38" t="s">
        <v>8191</v>
      </c>
      <c r="D9782" s="18">
        <v>2022</v>
      </c>
      <c r="E9782" s="18" t="s">
        <v>0</v>
      </c>
      <c r="F9782" s="42">
        <v>1</v>
      </c>
      <c r="G9782" s="4">
        <v>15</v>
      </c>
      <c r="H9782" s="18">
        <v>18.82742</v>
      </c>
    </row>
    <row r="9783" spans="1:8" s="15" customFormat="1" ht="16.5" hidden="1" customHeight="1" outlineLevel="1" x14ac:dyDescent="0.25">
      <c r="A9783" s="18">
        <v>2443</v>
      </c>
      <c r="B9783" s="4" t="s">
        <v>250</v>
      </c>
      <c r="C9783" s="38" t="s">
        <v>8192</v>
      </c>
      <c r="D9783" s="18">
        <v>2022</v>
      </c>
      <c r="E9783" s="18" t="s">
        <v>0</v>
      </c>
      <c r="F9783" s="42">
        <v>1</v>
      </c>
      <c r="G9783" s="4">
        <v>15</v>
      </c>
      <c r="H9783" s="18">
        <v>18.827419999999996</v>
      </c>
    </row>
    <row r="9784" spans="1:8" s="15" customFormat="1" ht="16.5" hidden="1" customHeight="1" outlineLevel="1" x14ac:dyDescent="0.25">
      <c r="A9784" s="18">
        <v>2444</v>
      </c>
      <c r="B9784" s="4" t="s">
        <v>250</v>
      </c>
      <c r="C9784" s="38" t="s">
        <v>8193</v>
      </c>
      <c r="D9784" s="18">
        <v>2022</v>
      </c>
      <c r="E9784" s="18" t="s">
        <v>0</v>
      </c>
      <c r="F9784" s="42">
        <v>1</v>
      </c>
      <c r="G9784" s="4">
        <v>15</v>
      </c>
      <c r="H9784" s="18">
        <v>17.683330000000002</v>
      </c>
    </row>
    <row r="9785" spans="1:8" s="15" customFormat="1" ht="16.5" hidden="1" customHeight="1" outlineLevel="1" x14ac:dyDescent="0.25">
      <c r="A9785" s="18">
        <v>2445</v>
      </c>
      <c r="B9785" s="4" t="s">
        <v>250</v>
      </c>
      <c r="C9785" s="38" t="s">
        <v>8194</v>
      </c>
      <c r="D9785" s="18">
        <v>2022</v>
      </c>
      <c r="E9785" s="18" t="s">
        <v>0</v>
      </c>
      <c r="F9785" s="42">
        <v>1</v>
      </c>
      <c r="G9785" s="4">
        <v>15</v>
      </c>
      <c r="H9785" s="18">
        <v>20.075470000000003</v>
      </c>
    </row>
    <row r="9786" spans="1:8" s="15" customFormat="1" ht="16.5" hidden="1" customHeight="1" outlineLevel="1" x14ac:dyDescent="0.25">
      <c r="A9786" s="18">
        <v>2446</v>
      </c>
      <c r="B9786" s="4" t="s">
        <v>250</v>
      </c>
      <c r="C9786" s="38" t="s">
        <v>8195</v>
      </c>
      <c r="D9786" s="18">
        <v>2022</v>
      </c>
      <c r="E9786" s="18" t="s">
        <v>0</v>
      </c>
      <c r="F9786" s="42">
        <v>1</v>
      </c>
      <c r="G9786" s="4">
        <v>15</v>
      </c>
      <c r="H9786" s="18">
        <v>19.86739</v>
      </c>
    </row>
    <row r="9787" spans="1:8" s="15" customFormat="1" ht="16.5" hidden="1" customHeight="1" outlineLevel="1" x14ac:dyDescent="0.25">
      <c r="A9787" s="18">
        <v>2447</v>
      </c>
      <c r="B9787" s="4" t="s">
        <v>250</v>
      </c>
      <c r="C9787" s="38" t="s">
        <v>8196</v>
      </c>
      <c r="D9787" s="18">
        <v>2022</v>
      </c>
      <c r="E9787" s="18" t="s">
        <v>0</v>
      </c>
      <c r="F9787" s="42">
        <v>1</v>
      </c>
      <c r="G9787" s="4">
        <v>15</v>
      </c>
      <c r="H9787" s="18">
        <v>18.827419999999996</v>
      </c>
    </row>
    <row r="9788" spans="1:8" s="15" customFormat="1" ht="16.5" hidden="1" customHeight="1" outlineLevel="1" x14ac:dyDescent="0.25">
      <c r="A9788" s="18">
        <v>2448</v>
      </c>
      <c r="B9788" s="4" t="s">
        <v>250</v>
      </c>
      <c r="C9788" s="38" t="s">
        <v>8197</v>
      </c>
      <c r="D9788" s="18">
        <v>2022</v>
      </c>
      <c r="E9788" s="18" t="s">
        <v>0</v>
      </c>
      <c r="F9788" s="42">
        <v>1</v>
      </c>
      <c r="G9788" s="4">
        <v>9</v>
      </c>
      <c r="H9788" s="18">
        <v>20.387269999999997</v>
      </c>
    </row>
    <row r="9789" spans="1:8" s="15" customFormat="1" ht="16.5" hidden="1" customHeight="1" outlineLevel="1" x14ac:dyDescent="0.25">
      <c r="A9789" s="18">
        <v>2449</v>
      </c>
      <c r="B9789" s="4" t="s">
        <v>250</v>
      </c>
      <c r="C9789" s="38" t="s">
        <v>8198</v>
      </c>
      <c r="D9789" s="18">
        <v>2022</v>
      </c>
      <c r="E9789" s="18" t="s">
        <v>0</v>
      </c>
      <c r="F9789" s="42">
        <v>1</v>
      </c>
      <c r="G9789" s="4">
        <v>15</v>
      </c>
      <c r="H9789" s="18">
        <v>17.683230000000002</v>
      </c>
    </row>
    <row r="9790" spans="1:8" s="15" customFormat="1" ht="16.5" hidden="1" customHeight="1" outlineLevel="1" x14ac:dyDescent="0.25">
      <c r="A9790" s="18">
        <v>2450</v>
      </c>
      <c r="B9790" s="4" t="s">
        <v>250</v>
      </c>
      <c r="C9790" s="38" t="s">
        <v>8199</v>
      </c>
      <c r="D9790" s="18">
        <v>2022</v>
      </c>
      <c r="E9790" s="18" t="s">
        <v>0</v>
      </c>
      <c r="F9790" s="42">
        <v>1</v>
      </c>
      <c r="G9790" s="4">
        <v>15</v>
      </c>
      <c r="H9790" s="18">
        <v>18.252939999999999</v>
      </c>
    </row>
    <row r="9791" spans="1:8" s="15" customFormat="1" ht="16.5" hidden="1" customHeight="1" outlineLevel="1" x14ac:dyDescent="0.25">
      <c r="A9791" s="18">
        <v>2451</v>
      </c>
      <c r="B9791" s="4" t="s">
        <v>250</v>
      </c>
      <c r="C9791" s="38" t="s">
        <v>8200</v>
      </c>
      <c r="D9791" s="18">
        <v>2022</v>
      </c>
      <c r="E9791" s="18" t="s">
        <v>0</v>
      </c>
      <c r="F9791" s="42">
        <v>1</v>
      </c>
      <c r="G9791" s="4">
        <v>15</v>
      </c>
      <c r="H9791" s="18">
        <v>18.092880000000001</v>
      </c>
    </row>
    <row r="9792" spans="1:8" s="15" customFormat="1" ht="16.5" hidden="1" customHeight="1" outlineLevel="1" x14ac:dyDescent="0.25">
      <c r="A9792" s="18">
        <v>2452</v>
      </c>
      <c r="B9792" s="4" t="s">
        <v>250</v>
      </c>
      <c r="C9792" s="38" t="s">
        <v>8201</v>
      </c>
      <c r="D9792" s="18">
        <v>2022</v>
      </c>
      <c r="E9792" s="18" t="s">
        <v>0</v>
      </c>
      <c r="F9792" s="42">
        <v>1</v>
      </c>
      <c r="G9792" s="4">
        <v>3</v>
      </c>
      <c r="H9792" s="18">
        <v>20.27711</v>
      </c>
    </row>
    <row r="9793" spans="1:8" s="15" customFormat="1" ht="16.5" hidden="1" customHeight="1" outlineLevel="1" x14ac:dyDescent="0.25">
      <c r="A9793" s="18">
        <v>2453</v>
      </c>
      <c r="B9793" s="4" t="s">
        <v>250</v>
      </c>
      <c r="C9793" s="38" t="s">
        <v>8202</v>
      </c>
      <c r="D9793" s="18">
        <v>2022</v>
      </c>
      <c r="E9793" s="18" t="s">
        <v>0</v>
      </c>
      <c r="F9793" s="42">
        <v>1</v>
      </c>
      <c r="G9793" s="4">
        <v>15</v>
      </c>
      <c r="H9793" s="18">
        <v>21.421950000000002</v>
      </c>
    </row>
    <row r="9794" spans="1:8" s="15" customFormat="1" ht="16.5" hidden="1" customHeight="1" outlineLevel="1" x14ac:dyDescent="0.25">
      <c r="A9794" s="18">
        <v>1937</v>
      </c>
      <c r="B9794" s="4" t="s">
        <v>250</v>
      </c>
      <c r="C9794" s="38" t="s">
        <v>4150</v>
      </c>
      <c r="D9794" s="18">
        <v>2022</v>
      </c>
      <c r="E9794" s="18" t="s">
        <v>0</v>
      </c>
      <c r="F9794" s="42">
        <v>1</v>
      </c>
      <c r="G9794" s="4">
        <v>40</v>
      </c>
      <c r="H9794" s="18">
        <v>25.166</v>
      </c>
    </row>
    <row r="9795" spans="1:8" s="15" customFormat="1" ht="16.5" hidden="1" customHeight="1" outlineLevel="1" x14ac:dyDescent="0.25">
      <c r="A9795" s="18">
        <v>2072</v>
      </c>
      <c r="B9795" s="4" t="s">
        <v>250</v>
      </c>
      <c r="C9795" s="38" t="s">
        <v>4152</v>
      </c>
      <c r="D9795" s="18">
        <v>2022</v>
      </c>
      <c r="E9795" s="18" t="s">
        <v>0</v>
      </c>
      <c r="F9795" s="42">
        <v>1</v>
      </c>
      <c r="G9795" s="4">
        <v>15</v>
      </c>
      <c r="H9795" s="18">
        <v>26.568000000000001</v>
      </c>
    </row>
    <row r="9796" spans="1:8" s="15" customFormat="1" ht="16.5" hidden="1" customHeight="1" outlineLevel="1" x14ac:dyDescent="0.25">
      <c r="A9796" s="18">
        <v>2073</v>
      </c>
      <c r="B9796" s="4" t="s">
        <v>250</v>
      </c>
      <c r="C9796" s="38" t="s">
        <v>4153</v>
      </c>
      <c r="D9796" s="18">
        <v>2022</v>
      </c>
      <c r="E9796" s="18" t="s">
        <v>0</v>
      </c>
      <c r="F9796" s="42">
        <v>1</v>
      </c>
      <c r="G9796" s="4">
        <v>15</v>
      </c>
      <c r="H9796" s="18">
        <v>37.318999999999996</v>
      </c>
    </row>
    <row r="9797" spans="1:8" s="15" customFormat="1" ht="16.5" hidden="1" customHeight="1" outlineLevel="1" x14ac:dyDescent="0.25">
      <c r="A9797" s="18">
        <v>2171</v>
      </c>
      <c r="B9797" s="4" t="s">
        <v>250</v>
      </c>
      <c r="C9797" s="38" t="s">
        <v>8203</v>
      </c>
      <c r="D9797" s="18">
        <v>2022</v>
      </c>
      <c r="E9797" s="18" t="s">
        <v>0</v>
      </c>
      <c r="F9797" s="42">
        <v>1</v>
      </c>
      <c r="G9797" s="4">
        <v>15</v>
      </c>
      <c r="H9797" s="18">
        <v>22.96049</v>
      </c>
    </row>
    <row r="9798" spans="1:8" s="15" customFormat="1" ht="16.5" hidden="1" customHeight="1" outlineLevel="1" x14ac:dyDescent="0.25">
      <c r="A9798" s="18">
        <v>2181</v>
      </c>
      <c r="B9798" s="4" t="s">
        <v>250</v>
      </c>
      <c r="C9798" s="38" t="s">
        <v>8204</v>
      </c>
      <c r="D9798" s="18">
        <v>2022</v>
      </c>
      <c r="E9798" s="18" t="s">
        <v>0</v>
      </c>
      <c r="F9798" s="42">
        <v>1</v>
      </c>
      <c r="G9798" s="4">
        <v>15</v>
      </c>
      <c r="H9798" s="18">
        <v>22.960380000000001</v>
      </c>
    </row>
    <row r="9799" spans="1:8" s="15" customFormat="1" ht="16.5" hidden="1" customHeight="1" outlineLevel="1" x14ac:dyDescent="0.25">
      <c r="A9799" s="18">
        <v>2184</v>
      </c>
      <c r="B9799" s="4" t="s">
        <v>250</v>
      </c>
      <c r="C9799" s="38" t="s">
        <v>8205</v>
      </c>
      <c r="D9799" s="18">
        <v>2022</v>
      </c>
      <c r="E9799" s="18" t="s">
        <v>0</v>
      </c>
      <c r="F9799" s="42">
        <v>1</v>
      </c>
      <c r="G9799" s="4">
        <v>15</v>
      </c>
      <c r="H9799" s="18">
        <v>23.452880000000004</v>
      </c>
    </row>
    <row r="9800" spans="1:8" s="15" customFormat="1" ht="16.5" hidden="1" customHeight="1" outlineLevel="1" x14ac:dyDescent="0.25">
      <c r="A9800" s="18">
        <v>2185</v>
      </c>
      <c r="B9800" s="4" t="s">
        <v>250</v>
      </c>
      <c r="C9800" s="38" t="s">
        <v>8206</v>
      </c>
      <c r="D9800" s="18">
        <v>2022</v>
      </c>
      <c r="E9800" s="18" t="s">
        <v>0</v>
      </c>
      <c r="F9800" s="42">
        <v>1</v>
      </c>
      <c r="G9800" s="4">
        <v>15</v>
      </c>
      <c r="H9800" s="18">
        <v>22.960380000000001</v>
      </c>
    </row>
    <row r="9801" spans="1:8" s="15" customFormat="1" ht="16.5" hidden="1" customHeight="1" outlineLevel="1" x14ac:dyDescent="0.25">
      <c r="A9801" s="18">
        <v>2191</v>
      </c>
      <c r="B9801" s="4" t="s">
        <v>250</v>
      </c>
      <c r="C9801" s="38" t="s">
        <v>8207</v>
      </c>
      <c r="D9801" s="18">
        <v>2022</v>
      </c>
      <c r="E9801" s="18" t="s">
        <v>0</v>
      </c>
      <c r="F9801" s="42">
        <v>1</v>
      </c>
      <c r="G9801" s="4">
        <v>14</v>
      </c>
      <c r="H9801" s="18">
        <v>24.191599999999998</v>
      </c>
    </row>
    <row r="9802" spans="1:8" s="15" customFormat="1" ht="16.5" hidden="1" customHeight="1" outlineLevel="1" x14ac:dyDescent="0.25">
      <c r="A9802" s="18">
        <v>2194</v>
      </c>
      <c r="B9802" s="4" t="s">
        <v>250</v>
      </c>
      <c r="C9802" s="38" t="s">
        <v>8208</v>
      </c>
      <c r="D9802" s="18">
        <v>2022</v>
      </c>
      <c r="E9802" s="18" t="s">
        <v>0</v>
      </c>
      <c r="F9802" s="42">
        <v>1</v>
      </c>
      <c r="G9802" s="4">
        <v>15</v>
      </c>
      <c r="H9802" s="18">
        <v>22.960369999999998</v>
      </c>
    </row>
    <row r="9803" spans="1:8" s="15" customFormat="1" ht="16.5" hidden="1" customHeight="1" outlineLevel="1" x14ac:dyDescent="0.25">
      <c r="A9803" s="18">
        <v>2195</v>
      </c>
      <c r="B9803" s="4" t="s">
        <v>250</v>
      </c>
      <c r="C9803" s="38" t="s">
        <v>8209</v>
      </c>
      <c r="D9803" s="18">
        <v>2022</v>
      </c>
      <c r="E9803" s="18" t="s">
        <v>0</v>
      </c>
      <c r="F9803" s="42">
        <v>1</v>
      </c>
      <c r="G9803" s="4">
        <v>15</v>
      </c>
      <c r="H9803" s="18">
        <v>22.960450000000002</v>
      </c>
    </row>
    <row r="9804" spans="1:8" s="15" customFormat="1" ht="16.5" hidden="1" customHeight="1" outlineLevel="1" x14ac:dyDescent="0.25">
      <c r="A9804" s="18">
        <v>2198</v>
      </c>
      <c r="B9804" s="4" t="s">
        <v>250</v>
      </c>
      <c r="C9804" s="38" t="s">
        <v>8210</v>
      </c>
      <c r="D9804" s="18">
        <v>2022</v>
      </c>
      <c r="E9804" s="18" t="s">
        <v>0</v>
      </c>
      <c r="F9804" s="42">
        <v>1</v>
      </c>
      <c r="G9804" s="4">
        <v>15</v>
      </c>
      <c r="H9804" s="18">
        <v>22.960369999999998</v>
      </c>
    </row>
    <row r="9805" spans="1:8" s="15" customFormat="1" ht="16.5" hidden="1" customHeight="1" outlineLevel="1" x14ac:dyDescent="0.25">
      <c r="A9805" s="18">
        <v>2199</v>
      </c>
      <c r="B9805" s="4" t="s">
        <v>250</v>
      </c>
      <c r="C9805" s="38" t="s">
        <v>8211</v>
      </c>
      <c r="D9805" s="18">
        <v>2022</v>
      </c>
      <c r="E9805" s="18" t="s">
        <v>0</v>
      </c>
      <c r="F9805" s="42">
        <v>1</v>
      </c>
      <c r="G9805" s="4">
        <v>15</v>
      </c>
      <c r="H9805" s="18">
        <v>22.960429999999999</v>
      </c>
    </row>
    <row r="9806" spans="1:8" s="15" customFormat="1" ht="16.5" hidden="1" customHeight="1" outlineLevel="1" x14ac:dyDescent="0.25">
      <c r="A9806" s="18">
        <v>2218</v>
      </c>
      <c r="B9806" s="4" t="s">
        <v>250</v>
      </c>
      <c r="C9806" s="38" t="s">
        <v>8212</v>
      </c>
      <c r="D9806" s="18">
        <v>2022</v>
      </c>
      <c r="E9806" s="18" t="s">
        <v>0</v>
      </c>
      <c r="F9806" s="42">
        <v>1</v>
      </c>
      <c r="G9806" s="4">
        <v>15</v>
      </c>
      <c r="H9806" s="18">
        <v>23.57602</v>
      </c>
    </row>
    <row r="9807" spans="1:8" s="15" customFormat="1" ht="16.5" hidden="1" customHeight="1" outlineLevel="1" x14ac:dyDescent="0.25">
      <c r="A9807" s="18">
        <v>2249</v>
      </c>
      <c r="B9807" s="4" t="s">
        <v>250</v>
      </c>
      <c r="C9807" s="38" t="s">
        <v>4154</v>
      </c>
      <c r="D9807" s="18">
        <v>2022</v>
      </c>
      <c r="E9807" s="18" t="s">
        <v>0</v>
      </c>
      <c r="F9807" s="42">
        <v>1</v>
      </c>
      <c r="G9807" s="4">
        <v>15</v>
      </c>
      <c r="H9807" s="18">
        <v>28.934000000000001</v>
      </c>
    </row>
    <row r="9808" spans="1:8" s="15" customFormat="1" ht="16.5" hidden="1" customHeight="1" outlineLevel="1" x14ac:dyDescent="0.25">
      <c r="A9808" s="18">
        <v>2257</v>
      </c>
      <c r="B9808" s="4" t="s">
        <v>250</v>
      </c>
      <c r="C9808" s="38" t="s">
        <v>8213</v>
      </c>
      <c r="D9808" s="18">
        <v>2022</v>
      </c>
      <c r="E9808" s="18" t="s">
        <v>0</v>
      </c>
      <c r="F9808" s="42">
        <v>1</v>
      </c>
      <c r="G9808" s="4">
        <v>15</v>
      </c>
      <c r="H9808" s="18">
        <v>22.960479999999997</v>
      </c>
    </row>
    <row r="9809" spans="1:8" s="15" customFormat="1" ht="16.5" hidden="1" customHeight="1" outlineLevel="1" x14ac:dyDescent="0.25">
      <c r="A9809" s="18">
        <v>2259</v>
      </c>
      <c r="B9809" s="4" t="s">
        <v>250</v>
      </c>
      <c r="C9809" s="38" t="s">
        <v>8214</v>
      </c>
      <c r="D9809" s="18">
        <v>2022</v>
      </c>
      <c r="E9809" s="18" t="s">
        <v>0</v>
      </c>
      <c r="F9809" s="42">
        <v>1</v>
      </c>
      <c r="G9809" s="4">
        <v>15</v>
      </c>
      <c r="H9809" s="18">
        <v>22.960359999999998</v>
      </c>
    </row>
    <row r="9810" spans="1:8" s="15" customFormat="1" ht="16.5" hidden="1" customHeight="1" outlineLevel="1" x14ac:dyDescent="0.25">
      <c r="A9810" s="18">
        <v>2266</v>
      </c>
      <c r="B9810" s="4" t="s">
        <v>250</v>
      </c>
      <c r="C9810" s="38" t="s">
        <v>8215</v>
      </c>
      <c r="D9810" s="18">
        <v>2022</v>
      </c>
      <c r="E9810" s="18" t="s">
        <v>0</v>
      </c>
      <c r="F9810" s="42">
        <v>1</v>
      </c>
      <c r="G9810" s="4">
        <v>15</v>
      </c>
      <c r="H9810" s="18">
        <v>23.576009999999997</v>
      </c>
    </row>
    <row r="9811" spans="1:8" s="15" customFormat="1" ht="16.5" hidden="1" customHeight="1" outlineLevel="1" x14ac:dyDescent="0.25">
      <c r="A9811" s="18">
        <v>2267</v>
      </c>
      <c r="B9811" s="4" t="s">
        <v>250</v>
      </c>
      <c r="C9811" s="38" t="s">
        <v>8216</v>
      </c>
      <c r="D9811" s="18">
        <v>2022</v>
      </c>
      <c r="E9811" s="18" t="s">
        <v>0</v>
      </c>
      <c r="F9811" s="42">
        <v>1</v>
      </c>
      <c r="G9811" s="4">
        <v>15</v>
      </c>
      <c r="H9811" s="18">
        <v>23.576009999999997</v>
      </c>
    </row>
    <row r="9812" spans="1:8" s="15" customFormat="1" ht="16.5" hidden="1" customHeight="1" outlineLevel="1" x14ac:dyDescent="0.25">
      <c r="A9812" s="18">
        <v>2268</v>
      </c>
      <c r="B9812" s="4" t="s">
        <v>250</v>
      </c>
      <c r="C9812" s="38" t="s">
        <v>8217</v>
      </c>
      <c r="D9812" s="18">
        <v>2022</v>
      </c>
      <c r="E9812" s="18" t="s">
        <v>0</v>
      </c>
      <c r="F9812" s="42">
        <v>1</v>
      </c>
      <c r="G9812" s="4">
        <v>15</v>
      </c>
      <c r="H9812" s="18">
        <v>24.191549999999999</v>
      </c>
    </row>
    <row r="9813" spans="1:8" s="15" customFormat="1" ht="16.5" hidden="1" customHeight="1" outlineLevel="1" x14ac:dyDescent="0.25">
      <c r="A9813" s="18">
        <v>2271</v>
      </c>
      <c r="B9813" s="4" t="s">
        <v>250</v>
      </c>
      <c r="C9813" s="38" t="s">
        <v>8218</v>
      </c>
      <c r="D9813" s="18">
        <v>2022</v>
      </c>
      <c r="E9813" s="18" t="s">
        <v>0</v>
      </c>
      <c r="F9813" s="42">
        <v>1</v>
      </c>
      <c r="G9813" s="4">
        <v>15</v>
      </c>
      <c r="H9813" s="18">
        <v>21.85238</v>
      </c>
    </row>
    <row r="9814" spans="1:8" s="15" customFormat="1" ht="16.5" hidden="1" customHeight="1" outlineLevel="1" x14ac:dyDescent="0.25">
      <c r="A9814" s="18">
        <v>2273</v>
      </c>
      <c r="B9814" s="4" t="s">
        <v>250</v>
      </c>
      <c r="C9814" s="38" t="s">
        <v>8219</v>
      </c>
      <c r="D9814" s="18">
        <v>2022</v>
      </c>
      <c r="E9814" s="18" t="s">
        <v>0</v>
      </c>
      <c r="F9814" s="42">
        <v>1</v>
      </c>
      <c r="G9814" s="4">
        <v>10</v>
      </c>
      <c r="H9814" s="18">
        <v>22.960369999999998</v>
      </c>
    </row>
    <row r="9815" spans="1:8" s="15" customFormat="1" ht="16.5" hidden="1" customHeight="1" outlineLevel="1" x14ac:dyDescent="0.25">
      <c r="A9815" s="18">
        <v>2274</v>
      </c>
      <c r="B9815" s="4" t="s">
        <v>250</v>
      </c>
      <c r="C9815" s="38" t="s">
        <v>8220</v>
      </c>
      <c r="D9815" s="18">
        <v>2022</v>
      </c>
      <c r="E9815" s="18" t="s">
        <v>0</v>
      </c>
      <c r="F9815" s="42">
        <v>1</v>
      </c>
      <c r="G9815" s="4">
        <v>7</v>
      </c>
      <c r="H9815" s="18">
        <v>24.19154</v>
      </c>
    </row>
    <row r="9816" spans="1:8" s="15" customFormat="1" ht="16.5" hidden="1" customHeight="1" outlineLevel="1" x14ac:dyDescent="0.25">
      <c r="A9816" s="18">
        <v>2275</v>
      </c>
      <c r="B9816" s="4" t="s">
        <v>250</v>
      </c>
      <c r="C9816" s="38" t="s">
        <v>8221</v>
      </c>
      <c r="D9816" s="18">
        <v>2022</v>
      </c>
      <c r="E9816" s="18" t="s">
        <v>0</v>
      </c>
      <c r="F9816" s="42">
        <v>1</v>
      </c>
      <c r="G9816" s="4">
        <v>7</v>
      </c>
      <c r="H9816" s="18">
        <v>22.960380000000001</v>
      </c>
    </row>
    <row r="9817" spans="1:8" s="15" customFormat="1" ht="16.5" hidden="1" customHeight="1" outlineLevel="1" x14ac:dyDescent="0.25">
      <c r="A9817" s="18">
        <v>2276</v>
      </c>
      <c r="B9817" s="4" t="s">
        <v>250</v>
      </c>
      <c r="C9817" s="38" t="s">
        <v>8222</v>
      </c>
      <c r="D9817" s="18">
        <v>2022</v>
      </c>
      <c r="E9817" s="18" t="s">
        <v>0</v>
      </c>
      <c r="F9817" s="42">
        <v>1</v>
      </c>
      <c r="G9817" s="4">
        <v>15</v>
      </c>
      <c r="H9817" s="18">
        <v>22.960419999999999</v>
      </c>
    </row>
    <row r="9818" spans="1:8" s="15" customFormat="1" ht="16.5" hidden="1" customHeight="1" outlineLevel="1" x14ac:dyDescent="0.25">
      <c r="A9818" s="18">
        <v>2277</v>
      </c>
      <c r="B9818" s="4" t="s">
        <v>250</v>
      </c>
      <c r="C9818" s="38" t="s">
        <v>8223</v>
      </c>
      <c r="D9818" s="18">
        <v>2022</v>
      </c>
      <c r="E9818" s="18" t="s">
        <v>0</v>
      </c>
      <c r="F9818" s="42">
        <v>1</v>
      </c>
      <c r="G9818" s="4">
        <v>15</v>
      </c>
      <c r="H9818" s="18">
        <v>22.960380000000001</v>
      </c>
    </row>
    <row r="9819" spans="1:8" s="15" customFormat="1" ht="16.5" hidden="1" customHeight="1" outlineLevel="1" x14ac:dyDescent="0.25">
      <c r="A9819" s="18">
        <v>2278</v>
      </c>
      <c r="B9819" s="4" t="s">
        <v>250</v>
      </c>
      <c r="C9819" s="38" t="s">
        <v>8224</v>
      </c>
      <c r="D9819" s="18">
        <v>2022</v>
      </c>
      <c r="E9819" s="18" t="s">
        <v>0</v>
      </c>
      <c r="F9819" s="42">
        <v>1</v>
      </c>
      <c r="G9819" s="4">
        <v>15</v>
      </c>
      <c r="H9819" s="18">
        <v>23.576009999999997</v>
      </c>
    </row>
    <row r="9820" spans="1:8" s="15" customFormat="1" ht="16.5" hidden="1" customHeight="1" outlineLevel="1" x14ac:dyDescent="0.25">
      <c r="A9820" s="18">
        <v>2280</v>
      </c>
      <c r="B9820" s="4" t="s">
        <v>250</v>
      </c>
      <c r="C9820" s="38" t="s">
        <v>8225</v>
      </c>
      <c r="D9820" s="18">
        <v>2022</v>
      </c>
      <c r="E9820" s="18" t="s">
        <v>0</v>
      </c>
      <c r="F9820" s="42">
        <v>1</v>
      </c>
      <c r="G9820" s="4">
        <v>15</v>
      </c>
      <c r="H9820" s="18">
        <v>22.960429999999999</v>
      </c>
    </row>
    <row r="9821" spans="1:8" s="15" customFormat="1" ht="16.5" hidden="1" customHeight="1" outlineLevel="1" x14ac:dyDescent="0.25">
      <c r="A9821" s="18">
        <v>2283</v>
      </c>
      <c r="B9821" s="4" t="s">
        <v>250</v>
      </c>
      <c r="C9821" s="38" t="s">
        <v>8226</v>
      </c>
      <c r="D9821" s="18">
        <v>2022</v>
      </c>
      <c r="E9821" s="18" t="s">
        <v>0</v>
      </c>
      <c r="F9821" s="42">
        <v>1</v>
      </c>
      <c r="G9821" s="4">
        <v>15</v>
      </c>
      <c r="H9821" s="18">
        <v>22.960369999999998</v>
      </c>
    </row>
    <row r="9822" spans="1:8" s="15" customFormat="1" ht="16.5" hidden="1" customHeight="1" outlineLevel="1" x14ac:dyDescent="0.25">
      <c r="A9822" s="18">
        <v>2284</v>
      </c>
      <c r="B9822" s="4" t="s">
        <v>250</v>
      </c>
      <c r="C9822" s="38" t="s">
        <v>8227</v>
      </c>
      <c r="D9822" s="18">
        <v>2022</v>
      </c>
      <c r="E9822" s="18" t="s">
        <v>0</v>
      </c>
      <c r="F9822" s="42">
        <v>1</v>
      </c>
      <c r="G9822" s="4">
        <v>15</v>
      </c>
      <c r="H9822" s="18">
        <v>22.960380000000001</v>
      </c>
    </row>
    <row r="9823" spans="1:8" s="15" customFormat="1" ht="16.5" hidden="1" customHeight="1" outlineLevel="1" x14ac:dyDescent="0.25">
      <c r="A9823" s="18">
        <v>2286</v>
      </c>
      <c r="B9823" s="4" t="s">
        <v>250</v>
      </c>
      <c r="C9823" s="38" t="s">
        <v>8228</v>
      </c>
      <c r="D9823" s="18">
        <v>2022</v>
      </c>
      <c r="E9823" s="18" t="s">
        <v>0</v>
      </c>
      <c r="F9823" s="42">
        <v>1</v>
      </c>
      <c r="G9823" s="4">
        <v>15</v>
      </c>
      <c r="H9823" s="18">
        <v>22.960380000000001</v>
      </c>
    </row>
    <row r="9824" spans="1:8" s="15" customFormat="1" ht="16.5" hidden="1" customHeight="1" outlineLevel="1" x14ac:dyDescent="0.25">
      <c r="A9824" s="18">
        <v>2287</v>
      </c>
      <c r="B9824" s="4" t="s">
        <v>250</v>
      </c>
      <c r="C9824" s="38" t="s">
        <v>8229</v>
      </c>
      <c r="D9824" s="18">
        <v>2022</v>
      </c>
      <c r="E9824" s="18" t="s">
        <v>0</v>
      </c>
      <c r="F9824" s="42">
        <v>1</v>
      </c>
      <c r="G9824" s="4">
        <v>15</v>
      </c>
      <c r="H9824" s="18">
        <v>22.960380000000001</v>
      </c>
    </row>
    <row r="9825" spans="1:8" s="15" customFormat="1" ht="16.5" hidden="1" customHeight="1" outlineLevel="1" x14ac:dyDescent="0.25">
      <c r="A9825" s="18">
        <v>2289</v>
      </c>
      <c r="B9825" s="4" t="s">
        <v>250</v>
      </c>
      <c r="C9825" s="38" t="s">
        <v>8230</v>
      </c>
      <c r="D9825" s="18">
        <v>2022</v>
      </c>
      <c r="E9825" s="18" t="s">
        <v>0</v>
      </c>
      <c r="F9825" s="42">
        <v>1</v>
      </c>
      <c r="G9825" s="4">
        <v>15</v>
      </c>
      <c r="H9825" s="18">
        <v>22.96039</v>
      </c>
    </row>
    <row r="9826" spans="1:8" s="15" customFormat="1" ht="16.5" hidden="1" customHeight="1" outlineLevel="1" x14ac:dyDescent="0.25">
      <c r="A9826" s="18">
        <v>2290</v>
      </c>
      <c r="B9826" s="4" t="s">
        <v>250</v>
      </c>
      <c r="C9826" s="38" t="s">
        <v>8231</v>
      </c>
      <c r="D9826" s="18">
        <v>2022</v>
      </c>
      <c r="E9826" s="18" t="s">
        <v>0</v>
      </c>
      <c r="F9826" s="42">
        <v>1</v>
      </c>
      <c r="G9826" s="4">
        <v>15</v>
      </c>
      <c r="H9826" s="18">
        <v>22.960369999999998</v>
      </c>
    </row>
    <row r="9827" spans="1:8" s="15" customFormat="1" ht="16.5" hidden="1" customHeight="1" outlineLevel="1" x14ac:dyDescent="0.25">
      <c r="A9827" s="18">
        <v>2292</v>
      </c>
      <c r="B9827" s="4" t="s">
        <v>250</v>
      </c>
      <c r="C9827" s="38" t="s">
        <v>8232</v>
      </c>
      <c r="D9827" s="18">
        <v>2022</v>
      </c>
      <c r="E9827" s="18" t="s">
        <v>0</v>
      </c>
      <c r="F9827" s="42">
        <v>1</v>
      </c>
      <c r="G9827" s="4">
        <v>15</v>
      </c>
      <c r="H9827" s="18">
        <v>22.960380000000001</v>
      </c>
    </row>
    <row r="9828" spans="1:8" s="15" customFormat="1" ht="16.5" hidden="1" customHeight="1" outlineLevel="1" x14ac:dyDescent="0.25">
      <c r="A9828" s="18">
        <v>2294</v>
      </c>
      <c r="B9828" s="4" t="s">
        <v>250</v>
      </c>
      <c r="C9828" s="38" t="s">
        <v>8233</v>
      </c>
      <c r="D9828" s="18">
        <v>2022</v>
      </c>
      <c r="E9828" s="18" t="s">
        <v>0</v>
      </c>
      <c r="F9828" s="42">
        <v>1</v>
      </c>
      <c r="G9828" s="4">
        <v>15</v>
      </c>
      <c r="H9828" s="18">
        <v>22.960369999999998</v>
      </c>
    </row>
    <row r="9829" spans="1:8" s="15" customFormat="1" ht="16.5" hidden="1" customHeight="1" outlineLevel="1" x14ac:dyDescent="0.25">
      <c r="A9829" s="18">
        <v>2304</v>
      </c>
      <c r="B9829" s="4" t="s">
        <v>250</v>
      </c>
      <c r="C9829" s="38" t="s">
        <v>8234</v>
      </c>
      <c r="D9829" s="18">
        <v>2022</v>
      </c>
      <c r="E9829" s="18" t="s">
        <v>0</v>
      </c>
      <c r="F9829" s="42">
        <v>1</v>
      </c>
      <c r="G9829" s="4">
        <v>10</v>
      </c>
      <c r="H9829" s="18">
        <v>31.474669999999996</v>
      </c>
    </row>
    <row r="9830" spans="1:8" s="15" customFormat="1" ht="16.5" hidden="1" customHeight="1" outlineLevel="1" x14ac:dyDescent="0.25">
      <c r="A9830" s="18">
        <v>2317</v>
      </c>
      <c r="B9830" s="4" t="s">
        <v>250</v>
      </c>
      <c r="C9830" s="38" t="s">
        <v>4156</v>
      </c>
      <c r="D9830" s="18">
        <v>2022</v>
      </c>
      <c r="E9830" s="18" t="s">
        <v>0</v>
      </c>
      <c r="F9830" s="42">
        <v>1</v>
      </c>
      <c r="G9830" s="4">
        <v>15</v>
      </c>
      <c r="H9830" s="18">
        <v>28.213069999999998</v>
      </c>
    </row>
    <row r="9831" spans="1:8" s="15" customFormat="1" ht="16.5" hidden="1" customHeight="1" outlineLevel="1" x14ac:dyDescent="0.25">
      <c r="A9831" s="18">
        <v>2356</v>
      </c>
      <c r="B9831" s="4" t="s">
        <v>250</v>
      </c>
      <c r="C9831" s="38" t="s">
        <v>8235</v>
      </c>
      <c r="D9831" s="18">
        <v>2022</v>
      </c>
      <c r="E9831" s="18" t="s">
        <v>0</v>
      </c>
      <c r="F9831" s="42">
        <v>1</v>
      </c>
      <c r="G9831" s="4">
        <v>15</v>
      </c>
      <c r="H9831" s="18">
        <v>35.151949999999992</v>
      </c>
    </row>
    <row r="9832" spans="1:8" s="15" customFormat="1" ht="16.5" hidden="1" customHeight="1" outlineLevel="1" x14ac:dyDescent="0.25">
      <c r="A9832" s="18">
        <v>2363</v>
      </c>
      <c r="B9832" s="4" t="s">
        <v>250</v>
      </c>
      <c r="C9832" s="38" t="s">
        <v>4157</v>
      </c>
      <c r="D9832" s="18">
        <v>2022</v>
      </c>
      <c r="E9832" s="18" t="s">
        <v>0</v>
      </c>
      <c r="F9832" s="42">
        <v>1</v>
      </c>
      <c r="G9832" s="4">
        <v>15</v>
      </c>
      <c r="H9832" s="18">
        <v>25.719720000000002</v>
      </c>
    </row>
    <row r="9833" spans="1:8" s="15" customFormat="1" ht="16.5" hidden="1" customHeight="1" outlineLevel="1" x14ac:dyDescent="0.25">
      <c r="A9833" s="18">
        <v>2398</v>
      </c>
      <c r="B9833" s="4" t="s">
        <v>250</v>
      </c>
      <c r="C9833" s="38" t="s">
        <v>8236</v>
      </c>
      <c r="D9833" s="18">
        <v>2022</v>
      </c>
      <c r="E9833" s="18" t="s">
        <v>0</v>
      </c>
      <c r="F9833" s="42">
        <v>1</v>
      </c>
      <c r="G9833" s="4">
        <v>85</v>
      </c>
      <c r="H9833" s="18">
        <v>53.759389999999996</v>
      </c>
    </row>
    <row r="9834" spans="1:8" s="15" customFormat="1" ht="16.5" hidden="1" customHeight="1" outlineLevel="1" x14ac:dyDescent="0.25">
      <c r="A9834" s="18">
        <v>2404</v>
      </c>
      <c r="B9834" s="4" t="s">
        <v>250</v>
      </c>
      <c r="C9834" s="38" t="s">
        <v>8237</v>
      </c>
      <c r="D9834" s="18">
        <v>2022</v>
      </c>
      <c r="E9834" s="18" t="s">
        <v>0</v>
      </c>
      <c r="F9834" s="42">
        <v>1</v>
      </c>
      <c r="G9834" s="4">
        <v>15</v>
      </c>
      <c r="H9834" s="18">
        <v>27.735849999999999</v>
      </c>
    </row>
    <row r="9835" spans="1:8" s="15" customFormat="1" ht="16.5" hidden="1" customHeight="1" outlineLevel="1" x14ac:dyDescent="0.25">
      <c r="A9835" s="18">
        <v>2406</v>
      </c>
      <c r="B9835" s="4" t="s">
        <v>250</v>
      </c>
      <c r="C9835" s="38" t="s">
        <v>4158</v>
      </c>
      <c r="D9835" s="18">
        <v>2022</v>
      </c>
      <c r="E9835" s="18" t="s">
        <v>0</v>
      </c>
      <c r="F9835" s="42">
        <v>1</v>
      </c>
      <c r="G9835" s="4">
        <v>30</v>
      </c>
      <c r="H9835" s="18">
        <v>24.94</v>
      </c>
    </row>
    <row r="9836" spans="1:8" s="15" customFormat="1" ht="16.5" hidden="1" customHeight="1" outlineLevel="1" x14ac:dyDescent="0.25">
      <c r="A9836" s="18">
        <v>2407</v>
      </c>
      <c r="B9836" s="4" t="s">
        <v>250</v>
      </c>
      <c r="C9836" s="38" t="s">
        <v>4159</v>
      </c>
      <c r="D9836" s="18">
        <v>2022</v>
      </c>
      <c r="E9836" s="18" t="s">
        <v>0</v>
      </c>
      <c r="F9836" s="42">
        <v>1</v>
      </c>
      <c r="G9836" s="4">
        <v>15</v>
      </c>
      <c r="H9836" s="18">
        <v>25.57695</v>
      </c>
    </row>
    <row r="9837" spans="1:8" s="15" customFormat="1" ht="16.5" hidden="1" customHeight="1" outlineLevel="1" x14ac:dyDescent="0.25">
      <c r="A9837" s="18">
        <v>2411</v>
      </c>
      <c r="B9837" s="4" t="s">
        <v>250</v>
      </c>
      <c r="C9837" s="38" t="s">
        <v>4160</v>
      </c>
      <c r="D9837" s="18">
        <v>2022</v>
      </c>
      <c r="E9837" s="18" t="s">
        <v>0</v>
      </c>
      <c r="F9837" s="42">
        <v>1</v>
      </c>
      <c r="G9837" s="4">
        <v>15</v>
      </c>
      <c r="H9837" s="18">
        <v>24.441000000000003</v>
      </c>
    </row>
    <row r="9838" spans="1:8" s="15" customFormat="1" ht="16.5" hidden="1" customHeight="1" outlineLevel="1" x14ac:dyDescent="0.25">
      <c r="A9838" s="18">
        <v>2419</v>
      </c>
      <c r="B9838" s="4" t="s">
        <v>250</v>
      </c>
      <c r="C9838" s="38" t="s">
        <v>4161</v>
      </c>
      <c r="D9838" s="18">
        <v>2022</v>
      </c>
      <c r="E9838" s="18" t="s">
        <v>0</v>
      </c>
      <c r="F9838" s="42">
        <v>1</v>
      </c>
      <c r="G9838" s="4">
        <v>15</v>
      </c>
      <c r="H9838" s="18">
        <v>31.012999999999998</v>
      </c>
    </row>
    <row r="9839" spans="1:8" s="15" customFormat="1" ht="16.5" hidden="1" customHeight="1" outlineLevel="1" x14ac:dyDescent="0.25">
      <c r="A9839" s="18">
        <v>2457</v>
      </c>
      <c r="B9839" s="4" t="s">
        <v>250</v>
      </c>
      <c r="C9839" s="38" t="s">
        <v>8238</v>
      </c>
      <c r="D9839" s="18">
        <v>2022</v>
      </c>
      <c r="E9839" s="18" t="s">
        <v>0</v>
      </c>
      <c r="F9839" s="42">
        <v>1</v>
      </c>
      <c r="G9839" s="4">
        <v>15</v>
      </c>
      <c r="H9839" s="18">
        <v>19.34084</v>
      </c>
    </row>
    <row r="9840" spans="1:8" s="15" customFormat="1" ht="16.5" hidden="1" customHeight="1" outlineLevel="1" x14ac:dyDescent="0.25">
      <c r="A9840" s="18">
        <v>2458</v>
      </c>
      <c r="B9840" s="4" t="s">
        <v>250</v>
      </c>
      <c r="C9840" s="38" t="s">
        <v>8239</v>
      </c>
      <c r="D9840" s="18">
        <v>2022</v>
      </c>
      <c r="E9840" s="18" t="s">
        <v>0</v>
      </c>
      <c r="F9840" s="42">
        <v>1</v>
      </c>
      <c r="G9840" s="4">
        <v>15</v>
      </c>
      <c r="H9840" s="18">
        <v>19.499970000000001</v>
      </c>
    </row>
    <row r="9841" spans="1:8" s="15" customFormat="1" ht="16.5" hidden="1" customHeight="1" outlineLevel="1" x14ac:dyDescent="0.25">
      <c r="A9841" s="18">
        <v>2459</v>
      </c>
      <c r="B9841" s="4" t="s">
        <v>250</v>
      </c>
      <c r="C9841" s="38" t="s">
        <v>8240</v>
      </c>
      <c r="D9841" s="18">
        <v>2022</v>
      </c>
      <c r="E9841" s="18" t="s">
        <v>0</v>
      </c>
      <c r="F9841" s="42">
        <v>1</v>
      </c>
      <c r="G9841" s="4">
        <v>15</v>
      </c>
      <c r="H9841" s="18">
        <v>23.566099999999999</v>
      </c>
    </row>
    <row r="9842" spans="1:8" s="15" customFormat="1" ht="16.5" hidden="1" customHeight="1" outlineLevel="1" x14ac:dyDescent="0.25">
      <c r="A9842" s="18">
        <v>2460</v>
      </c>
      <c r="B9842" s="4" t="s">
        <v>250</v>
      </c>
      <c r="C9842" s="38" t="s">
        <v>8241</v>
      </c>
      <c r="D9842" s="18">
        <v>2022</v>
      </c>
      <c r="E9842" s="18" t="s">
        <v>0</v>
      </c>
      <c r="F9842" s="42">
        <v>1</v>
      </c>
      <c r="G9842" s="4">
        <v>10</v>
      </c>
      <c r="H9842" s="18">
        <v>19.49532</v>
      </c>
    </row>
    <row r="9843" spans="1:8" s="15" customFormat="1" ht="16.5" hidden="1" customHeight="1" outlineLevel="1" x14ac:dyDescent="0.25">
      <c r="A9843" s="18">
        <v>2461</v>
      </c>
      <c r="B9843" s="4" t="s">
        <v>250</v>
      </c>
      <c r="C9843" s="38" t="s">
        <v>8242</v>
      </c>
      <c r="D9843" s="18">
        <v>2022</v>
      </c>
      <c r="E9843" s="18" t="s">
        <v>0</v>
      </c>
      <c r="F9843" s="42">
        <v>1</v>
      </c>
      <c r="G9843" s="4">
        <v>15</v>
      </c>
      <c r="H9843" s="18">
        <v>19.790459999999999</v>
      </c>
    </row>
    <row r="9844" spans="1:8" s="15" customFormat="1" ht="16.5" hidden="1" customHeight="1" outlineLevel="1" x14ac:dyDescent="0.25">
      <c r="A9844" s="18">
        <v>2462</v>
      </c>
      <c r="B9844" s="4" t="s">
        <v>250</v>
      </c>
      <c r="C9844" s="38" t="s">
        <v>8243</v>
      </c>
      <c r="D9844" s="18">
        <v>2022</v>
      </c>
      <c r="E9844" s="18" t="s">
        <v>0</v>
      </c>
      <c r="F9844" s="42">
        <v>1</v>
      </c>
      <c r="G9844" s="4">
        <v>15</v>
      </c>
      <c r="H9844" s="18">
        <v>22.161750000000001</v>
      </c>
    </row>
    <row r="9845" spans="1:8" s="15" customFormat="1" ht="16.5" hidden="1" customHeight="1" outlineLevel="1" x14ac:dyDescent="0.25">
      <c r="A9845" s="18">
        <v>2463</v>
      </c>
      <c r="B9845" s="4" t="s">
        <v>250</v>
      </c>
      <c r="C9845" s="38" t="s">
        <v>8244</v>
      </c>
      <c r="D9845" s="18">
        <v>2022</v>
      </c>
      <c r="E9845" s="18" t="s">
        <v>0</v>
      </c>
      <c r="F9845" s="42">
        <v>1</v>
      </c>
      <c r="G9845" s="4">
        <v>15</v>
      </c>
      <c r="H9845" s="18">
        <v>21.044750000000001</v>
      </c>
    </row>
    <row r="9846" spans="1:8" s="15" customFormat="1" ht="16.5" hidden="1" customHeight="1" outlineLevel="1" x14ac:dyDescent="0.25">
      <c r="A9846" s="18">
        <v>2464</v>
      </c>
      <c r="B9846" s="4" t="s">
        <v>250</v>
      </c>
      <c r="C9846" s="38" t="s">
        <v>8245</v>
      </c>
      <c r="D9846" s="18">
        <v>2022</v>
      </c>
      <c r="E9846" s="18" t="s">
        <v>0</v>
      </c>
      <c r="F9846" s="42">
        <v>1</v>
      </c>
      <c r="G9846" s="4">
        <v>15</v>
      </c>
      <c r="H9846" s="18">
        <v>20.897860000000001</v>
      </c>
    </row>
    <row r="9847" spans="1:8" s="15" customFormat="1" ht="16.5" hidden="1" customHeight="1" outlineLevel="1" x14ac:dyDescent="0.25">
      <c r="A9847" s="18">
        <v>2465</v>
      </c>
      <c r="B9847" s="4" t="s">
        <v>250</v>
      </c>
      <c r="C9847" s="38" t="s">
        <v>8246</v>
      </c>
      <c r="D9847" s="18">
        <v>2022</v>
      </c>
      <c r="E9847" s="18" t="s">
        <v>0</v>
      </c>
      <c r="F9847" s="42">
        <v>1</v>
      </c>
      <c r="G9847" s="4">
        <v>15</v>
      </c>
      <c r="H9847" s="18">
        <v>19.20036</v>
      </c>
    </row>
    <row r="9848" spans="1:8" s="15" customFormat="1" ht="16.5" hidden="1" customHeight="1" outlineLevel="1" x14ac:dyDescent="0.25">
      <c r="A9848" s="18">
        <v>2466</v>
      </c>
      <c r="B9848" s="4" t="s">
        <v>250</v>
      </c>
      <c r="C9848" s="38" t="s">
        <v>8247</v>
      </c>
      <c r="D9848" s="18">
        <v>2022</v>
      </c>
      <c r="E9848" s="18" t="s">
        <v>0</v>
      </c>
      <c r="F9848" s="42">
        <v>1</v>
      </c>
      <c r="G9848" s="4">
        <v>15</v>
      </c>
      <c r="H9848" s="18">
        <v>19.493380000000002</v>
      </c>
    </row>
    <row r="9849" spans="1:8" s="15" customFormat="1" ht="16.5" hidden="1" customHeight="1" outlineLevel="1" x14ac:dyDescent="0.25">
      <c r="A9849" s="18">
        <v>2467</v>
      </c>
      <c r="B9849" s="4" t="s">
        <v>250</v>
      </c>
      <c r="C9849" s="38" t="s">
        <v>8248</v>
      </c>
      <c r="D9849" s="18">
        <v>2022</v>
      </c>
      <c r="E9849" s="18" t="s">
        <v>0</v>
      </c>
      <c r="F9849" s="42">
        <v>1</v>
      </c>
      <c r="G9849" s="4">
        <v>15</v>
      </c>
      <c r="H9849" s="18">
        <v>19.07441</v>
      </c>
    </row>
    <row r="9850" spans="1:8" s="15" customFormat="1" ht="16.5" hidden="1" customHeight="1" outlineLevel="1" x14ac:dyDescent="0.25">
      <c r="A9850" s="18">
        <v>2468</v>
      </c>
      <c r="B9850" s="4" t="s">
        <v>250</v>
      </c>
      <c r="C9850" s="38" t="s">
        <v>8249</v>
      </c>
      <c r="D9850" s="18">
        <v>2022</v>
      </c>
      <c r="E9850" s="18" t="s">
        <v>0</v>
      </c>
      <c r="F9850" s="42">
        <v>1</v>
      </c>
      <c r="G9850" s="4">
        <v>15</v>
      </c>
      <c r="H9850" s="18">
        <v>21.044760000000004</v>
      </c>
    </row>
    <row r="9851" spans="1:8" s="15" customFormat="1" ht="16.5" hidden="1" customHeight="1" outlineLevel="1" x14ac:dyDescent="0.25">
      <c r="A9851" s="18">
        <v>2469</v>
      </c>
      <c r="B9851" s="4" t="s">
        <v>250</v>
      </c>
      <c r="C9851" s="38" t="s">
        <v>8250</v>
      </c>
      <c r="D9851" s="18">
        <v>2022</v>
      </c>
      <c r="E9851" s="18" t="s">
        <v>0</v>
      </c>
      <c r="F9851" s="42">
        <v>1</v>
      </c>
      <c r="G9851" s="4">
        <v>15</v>
      </c>
      <c r="H9851" s="18">
        <v>21.044650000000001</v>
      </c>
    </row>
    <row r="9852" spans="1:8" s="15" customFormat="1" ht="16.5" hidden="1" customHeight="1" outlineLevel="1" x14ac:dyDescent="0.25">
      <c r="A9852" s="18">
        <v>2470</v>
      </c>
      <c r="B9852" s="4" t="s">
        <v>250</v>
      </c>
      <c r="C9852" s="38" t="s">
        <v>8251</v>
      </c>
      <c r="D9852" s="18">
        <v>2022</v>
      </c>
      <c r="E9852" s="18" t="s">
        <v>0</v>
      </c>
      <c r="F9852" s="42">
        <v>1</v>
      </c>
      <c r="G9852" s="4">
        <v>15</v>
      </c>
      <c r="H9852" s="18">
        <v>20.89968</v>
      </c>
    </row>
    <row r="9853" spans="1:8" s="15" customFormat="1" ht="16.5" hidden="1" customHeight="1" outlineLevel="1" x14ac:dyDescent="0.25">
      <c r="A9853" s="18">
        <v>2471</v>
      </c>
      <c r="B9853" s="4" t="s">
        <v>250</v>
      </c>
      <c r="C9853" s="38" t="s">
        <v>8252</v>
      </c>
      <c r="D9853" s="18">
        <v>2022</v>
      </c>
      <c r="E9853" s="18" t="s">
        <v>0</v>
      </c>
      <c r="F9853" s="42">
        <v>1</v>
      </c>
      <c r="G9853" s="4">
        <v>14</v>
      </c>
      <c r="H9853" s="18">
        <v>19.212630000000001</v>
      </c>
    </row>
    <row r="9854" spans="1:8" s="15" customFormat="1" ht="16.5" hidden="1" customHeight="1" outlineLevel="1" x14ac:dyDescent="0.25">
      <c r="A9854" s="18">
        <v>2472</v>
      </c>
      <c r="B9854" s="4" t="s">
        <v>250</v>
      </c>
      <c r="C9854" s="38" t="s">
        <v>8253</v>
      </c>
      <c r="D9854" s="18">
        <v>2022</v>
      </c>
      <c r="E9854" s="18" t="s">
        <v>0</v>
      </c>
      <c r="F9854" s="42">
        <v>1</v>
      </c>
      <c r="G9854" s="4">
        <v>15</v>
      </c>
      <c r="H9854" s="18">
        <v>20.904349999999997</v>
      </c>
    </row>
    <row r="9855" spans="1:8" s="15" customFormat="1" ht="16.5" hidden="1" customHeight="1" outlineLevel="1" x14ac:dyDescent="0.25">
      <c r="A9855" s="18">
        <v>2473</v>
      </c>
      <c r="B9855" s="4" t="s">
        <v>250</v>
      </c>
      <c r="C9855" s="38" t="s">
        <v>8254</v>
      </c>
      <c r="D9855" s="18">
        <v>2022</v>
      </c>
      <c r="E9855" s="18" t="s">
        <v>0</v>
      </c>
      <c r="F9855" s="42">
        <v>1</v>
      </c>
      <c r="G9855" s="4">
        <v>15</v>
      </c>
      <c r="H9855" s="18">
        <v>20.329150000000002</v>
      </c>
    </row>
    <row r="9856" spans="1:8" s="15" customFormat="1" ht="16.5" hidden="1" customHeight="1" outlineLevel="1" x14ac:dyDescent="0.25">
      <c r="A9856" s="18">
        <v>2474</v>
      </c>
      <c r="B9856" s="4" t="s">
        <v>250</v>
      </c>
      <c r="C9856" s="38" t="s">
        <v>8255</v>
      </c>
      <c r="D9856" s="18">
        <v>2022</v>
      </c>
      <c r="E9856" s="18" t="s">
        <v>0</v>
      </c>
      <c r="F9856" s="42">
        <v>1</v>
      </c>
      <c r="G9856" s="4">
        <v>3</v>
      </c>
      <c r="H9856" s="18">
        <v>17.955169999999999</v>
      </c>
    </row>
    <row r="9857" spans="1:8" s="15" customFormat="1" ht="16.5" hidden="1" customHeight="1" outlineLevel="1" x14ac:dyDescent="0.25">
      <c r="A9857" s="18">
        <v>2475</v>
      </c>
      <c r="B9857" s="4" t="s">
        <v>250</v>
      </c>
      <c r="C9857" s="38" t="s">
        <v>8256</v>
      </c>
      <c r="D9857" s="18">
        <v>2022</v>
      </c>
      <c r="E9857" s="18" t="s">
        <v>0</v>
      </c>
      <c r="F9857" s="42">
        <v>1</v>
      </c>
      <c r="G9857" s="4">
        <v>15</v>
      </c>
      <c r="H9857" s="18">
        <v>19.353009999999998</v>
      </c>
    </row>
    <row r="9858" spans="1:8" s="15" customFormat="1" ht="16.5" hidden="1" customHeight="1" outlineLevel="1" x14ac:dyDescent="0.25">
      <c r="A9858" s="18">
        <v>2476</v>
      </c>
      <c r="B9858" s="4" t="s">
        <v>250</v>
      </c>
      <c r="C9858" s="38" t="s">
        <v>8257</v>
      </c>
      <c r="D9858" s="18">
        <v>2022</v>
      </c>
      <c r="E9858" s="18" t="s">
        <v>0</v>
      </c>
      <c r="F9858" s="42">
        <v>1</v>
      </c>
      <c r="G9858" s="4">
        <v>15</v>
      </c>
      <c r="H9858" s="18">
        <v>17.950480000000002</v>
      </c>
    </row>
    <row r="9859" spans="1:8" s="15" customFormat="1" ht="16.5" hidden="1" customHeight="1" outlineLevel="1" x14ac:dyDescent="0.25">
      <c r="A9859" s="18">
        <v>2477</v>
      </c>
      <c r="B9859" s="4" t="s">
        <v>250</v>
      </c>
      <c r="C9859" s="38" t="s">
        <v>8258</v>
      </c>
      <c r="D9859" s="18">
        <v>2022</v>
      </c>
      <c r="E9859" s="18" t="s">
        <v>0</v>
      </c>
      <c r="F9859" s="42">
        <v>1</v>
      </c>
      <c r="G9859" s="4">
        <v>15</v>
      </c>
      <c r="H9859" s="18">
        <v>17.167459999999998</v>
      </c>
    </row>
    <row r="9860" spans="1:8" s="15" customFormat="1" ht="16.5" hidden="1" customHeight="1" outlineLevel="1" x14ac:dyDescent="0.25">
      <c r="A9860" s="18">
        <v>2478</v>
      </c>
      <c r="B9860" s="4" t="s">
        <v>250</v>
      </c>
      <c r="C9860" s="38" t="s">
        <v>8259</v>
      </c>
      <c r="D9860" s="18">
        <v>2022</v>
      </c>
      <c r="E9860" s="18" t="s">
        <v>0</v>
      </c>
      <c r="F9860" s="42">
        <v>1</v>
      </c>
      <c r="G9860" s="4">
        <v>15</v>
      </c>
      <c r="H9860" s="18">
        <v>20.386009999999999</v>
      </c>
    </row>
    <row r="9861" spans="1:8" s="15" customFormat="1" ht="16.5" hidden="1" customHeight="1" outlineLevel="1" x14ac:dyDescent="0.25">
      <c r="A9861" s="18">
        <v>2479</v>
      </c>
      <c r="B9861" s="4" t="s">
        <v>250</v>
      </c>
      <c r="C9861" s="38" t="s">
        <v>8260</v>
      </c>
      <c r="D9861" s="18">
        <v>2022</v>
      </c>
      <c r="E9861" s="18" t="s">
        <v>0</v>
      </c>
      <c r="F9861" s="42">
        <v>1</v>
      </c>
      <c r="G9861" s="4">
        <v>15</v>
      </c>
      <c r="H9861" s="18">
        <v>21.185220000000001</v>
      </c>
    </row>
    <row r="9862" spans="1:8" s="15" customFormat="1" ht="16.5" hidden="1" customHeight="1" outlineLevel="1" x14ac:dyDescent="0.25">
      <c r="A9862" s="18">
        <v>2485</v>
      </c>
      <c r="B9862" s="4" t="s">
        <v>250</v>
      </c>
      <c r="C9862" s="38" t="s">
        <v>8261</v>
      </c>
      <c r="D9862" s="18">
        <v>2022</v>
      </c>
      <c r="E9862" s="18" t="s">
        <v>0</v>
      </c>
      <c r="F9862" s="42">
        <v>1</v>
      </c>
      <c r="G9862" s="4">
        <v>15</v>
      </c>
      <c r="H9862" s="18">
        <v>19.26229</v>
      </c>
    </row>
    <row r="9863" spans="1:8" s="15" customFormat="1" ht="16.5" hidden="1" customHeight="1" outlineLevel="1" x14ac:dyDescent="0.25">
      <c r="A9863" s="18">
        <v>2487</v>
      </c>
      <c r="B9863" s="4" t="s">
        <v>250</v>
      </c>
      <c r="C9863" s="38" t="s">
        <v>8262</v>
      </c>
      <c r="D9863" s="18">
        <v>2022</v>
      </c>
      <c r="E9863" s="18" t="s">
        <v>0</v>
      </c>
      <c r="F9863" s="42">
        <v>1</v>
      </c>
      <c r="G9863" s="4">
        <v>15</v>
      </c>
      <c r="H9863" s="18">
        <v>24.458410000000001</v>
      </c>
    </row>
    <row r="9864" spans="1:8" s="15" customFormat="1" ht="16.5" hidden="1" customHeight="1" outlineLevel="1" x14ac:dyDescent="0.25">
      <c r="A9864" s="18">
        <v>2492</v>
      </c>
      <c r="B9864" s="4" t="s">
        <v>250</v>
      </c>
      <c r="C9864" s="38" t="s">
        <v>8263</v>
      </c>
      <c r="D9864" s="18">
        <v>2022</v>
      </c>
      <c r="E9864" s="18" t="s">
        <v>0</v>
      </c>
      <c r="F9864" s="42">
        <v>1</v>
      </c>
      <c r="G9864" s="4">
        <v>15</v>
      </c>
      <c r="H9864" s="18">
        <v>20.352049999999998</v>
      </c>
    </row>
    <row r="9865" spans="1:8" s="15" customFormat="1" ht="16.5" hidden="1" customHeight="1" outlineLevel="1" x14ac:dyDescent="0.25">
      <c r="A9865" s="18">
        <v>2493</v>
      </c>
      <c r="B9865" s="4" t="s">
        <v>250</v>
      </c>
      <c r="C9865" s="38" t="s">
        <v>8264</v>
      </c>
      <c r="D9865" s="18">
        <v>2022</v>
      </c>
      <c r="E9865" s="18" t="s">
        <v>0</v>
      </c>
      <c r="F9865" s="42">
        <v>1</v>
      </c>
      <c r="G9865" s="4">
        <v>15</v>
      </c>
      <c r="H9865" s="18">
        <v>20.492569999999997</v>
      </c>
    </row>
    <row r="9866" spans="1:8" s="15" customFormat="1" ht="16.5" hidden="1" customHeight="1" outlineLevel="1" x14ac:dyDescent="0.25">
      <c r="A9866" s="18">
        <v>2496</v>
      </c>
      <c r="B9866" s="4" t="s">
        <v>250</v>
      </c>
      <c r="C9866" s="38" t="s">
        <v>8265</v>
      </c>
      <c r="D9866" s="18">
        <v>2022</v>
      </c>
      <c r="E9866" s="18" t="s">
        <v>0</v>
      </c>
      <c r="F9866" s="42">
        <v>1</v>
      </c>
      <c r="G9866" s="4">
        <v>3</v>
      </c>
      <c r="H9866" s="18">
        <v>19.35998</v>
      </c>
    </row>
    <row r="9867" spans="1:8" s="15" customFormat="1" ht="16.5" hidden="1" customHeight="1" outlineLevel="1" x14ac:dyDescent="0.25">
      <c r="A9867" s="18">
        <v>2497</v>
      </c>
      <c r="B9867" s="4" t="s">
        <v>250</v>
      </c>
      <c r="C9867" s="38" t="s">
        <v>8266</v>
      </c>
      <c r="D9867" s="18">
        <v>2022</v>
      </c>
      <c r="E9867" s="18" t="s">
        <v>0</v>
      </c>
      <c r="F9867" s="42">
        <v>1</v>
      </c>
      <c r="G9867" s="4">
        <v>3</v>
      </c>
      <c r="H9867" s="18">
        <v>19.402709999999999</v>
      </c>
    </row>
    <row r="9868" spans="1:8" s="15" customFormat="1" ht="16.5" hidden="1" customHeight="1" outlineLevel="1" x14ac:dyDescent="0.25">
      <c r="A9868" s="18">
        <v>2499</v>
      </c>
      <c r="B9868" s="4" t="s">
        <v>250</v>
      </c>
      <c r="C9868" s="38" t="s">
        <v>8267</v>
      </c>
      <c r="D9868" s="18">
        <v>2022</v>
      </c>
      <c r="E9868" s="18" t="s">
        <v>0</v>
      </c>
      <c r="F9868" s="42">
        <v>1</v>
      </c>
      <c r="G9868" s="4">
        <v>10</v>
      </c>
      <c r="H9868" s="18">
        <v>19.95438</v>
      </c>
    </row>
    <row r="9869" spans="1:8" s="15" customFormat="1" ht="16.5" hidden="1" customHeight="1" outlineLevel="1" x14ac:dyDescent="0.25">
      <c r="A9869" s="18">
        <v>2500</v>
      </c>
      <c r="B9869" s="4" t="s">
        <v>250</v>
      </c>
      <c r="C9869" s="38" t="s">
        <v>8268</v>
      </c>
      <c r="D9869" s="18">
        <v>2022</v>
      </c>
      <c r="E9869" s="18" t="s">
        <v>0</v>
      </c>
      <c r="F9869" s="42">
        <v>1</v>
      </c>
      <c r="G9869" s="4">
        <v>15</v>
      </c>
      <c r="H9869" s="18">
        <v>22.021659999999997</v>
      </c>
    </row>
    <row r="9870" spans="1:8" s="15" customFormat="1" ht="16.5" hidden="1" customHeight="1" outlineLevel="1" x14ac:dyDescent="0.25">
      <c r="A9870" s="18">
        <v>2501</v>
      </c>
      <c r="B9870" s="4" t="s">
        <v>250</v>
      </c>
      <c r="C9870" s="38" t="s">
        <v>8269</v>
      </c>
      <c r="D9870" s="18">
        <v>2022</v>
      </c>
      <c r="E9870" s="18" t="s">
        <v>0</v>
      </c>
      <c r="F9870" s="42">
        <v>1</v>
      </c>
      <c r="G9870" s="4">
        <v>15</v>
      </c>
      <c r="H9870" s="18">
        <v>18.035249999999998</v>
      </c>
    </row>
    <row r="9871" spans="1:8" s="15" customFormat="1" ht="16.5" hidden="1" customHeight="1" outlineLevel="1" x14ac:dyDescent="0.25">
      <c r="A9871" s="18">
        <v>2502</v>
      </c>
      <c r="B9871" s="4" t="s">
        <v>250</v>
      </c>
      <c r="C9871" s="38" t="s">
        <v>8270</v>
      </c>
      <c r="D9871" s="18">
        <v>2022</v>
      </c>
      <c r="E9871" s="18" t="s">
        <v>0</v>
      </c>
      <c r="F9871" s="42">
        <v>1</v>
      </c>
      <c r="G9871" s="4">
        <v>15</v>
      </c>
      <c r="H9871" s="18">
        <v>18.035209999999999</v>
      </c>
    </row>
    <row r="9872" spans="1:8" s="15" customFormat="1" ht="16.5" hidden="1" customHeight="1" outlineLevel="1" x14ac:dyDescent="0.25">
      <c r="A9872" s="18">
        <v>2503</v>
      </c>
      <c r="B9872" s="4" t="s">
        <v>250</v>
      </c>
      <c r="C9872" s="38" t="s">
        <v>8271</v>
      </c>
      <c r="D9872" s="18">
        <v>2022</v>
      </c>
      <c r="E9872" s="18" t="s">
        <v>0</v>
      </c>
      <c r="F9872" s="42">
        <v>1</v>
      </c>
      <c r="G9872" s="4">
        <v>15</v>
      </c>
      <c r="H9872" s="18">
        <v>18.044779999999999</v>
      </c>
    </row>
    <row r="9873" spans="1:8" s="15" customFormat="1" ht="16.5" hidden="1" customHeight="1" outlineLevel="1" x14ac:dyDescent="0.25">
      <c r="A9873" s="18">
        <v>2504</v>
      </c>
      <c r="B9873" s="4" t="s">
        <v>250</v>
      </c>
      <c r="C9873" s="38" t="s">
        <v>8272</v>
      </c>
      <c r="D9873" s="18">
        <v>2022</v>
      </c>
      <c r="E9873" s="18" t="s">
        <v>0</v>
      </c>
      <c r="F9873" s="42">
        <v>1</v>
      </c>
      <c r="G9873" s="4">
        <v>15</v>
      </c>
      <c r="H9873" s="18">
        <v>18.035249999999998</v>
      </c>
    </row>
    <row r="9874" spans="1:8" s="15" customFormat="1" ht="16.5" hidden="1" customHeight="1" outlineLevel="1" x14ac:dyDescent="0.25">
      <c r="A9874" s="18">
        <v>2505</v>
      </c>
      <c r="B9874" s="4" t="s">
        <v>250</v>
      </c>
      <c r="C9874" s="38" t="s">
        <v>8273</v>
      </c>
      <c r="D9874" s="18">
        <v>2022</v>
      </c>
      <c r="E9874" s="18" t="s">
        <v>0</v>
      </c>
      <c r="F9874" s="42">
        <v>1</v>
      </c>
      <c r="G9874" s="4">
        <v>15</v>
      </c>
      <c r="H9874" s="18">
        <v>18.0352</v>
      </c>
    </row>
    <row r="9875" spans="1:8" s="15" customFormat="1" ht="16.5" hidden="1" customHeight="1" outlineLevel="1" x14ac:dyDescent="0.25">
      <c r="A9875" s="18">
        <v>2506</v>
      </c>
      <c r="B9875" s="4" t="s">
        <v>250</v>
      </c>
      <c r="C9875" s="38" t="s">
        <v>8274</v>
      </c>
      <c r="D9875" s="18">
        <v>2022</v>
      </c>
      <c r="E9875" s="18" t="s">
        <v>0</v>
      </c>
      <c r="F9875" s="42">
        <v>1</v>
      </c>
      <c r="G9875" s="4">
        <v>15</v>
      </c>
      <c r="H9875" s="18">
        <v>19.490470000000002</v>
      </c>
    </row>
    <row r="9876" spans="1:8" s="15" customFormat="1" ht="16.5" hidden="1" customHeight="1" outlineLevel="1" x14ac:dyDescent="0.25">
      <c r="A9876" s="18">
        <v>1865</v>
      </c>
      <c r="B9876" s="4" t="s">
        <v>250</v>
      </c>
      <c r="C9876" s="38" t="s">
        <v>4162</v>
      </c>
      <c r="D9876" s="18">
        <v>2022</v>
      </c>
      <c r="E9876" s="18" t="s">
        <v>0</v>
      </c>
      <c r="F9876" s="42">
        <v>1</v>
      </c>
      <c r="G9876" s="4">
        <v>15</v>
      </c>
      <c r="H9876" s="18">
        <v>25.669259999999998</v>
      </c>
    </row>
    <row r="9877" spans="1:8" s="15" customFormat="1" ht="16.5" hidden="1" customHeight="1" outlineLevel="1" x14ac:dyDescent="0.25">
      <c r="A9877" s="18">
        <v>2062</v>
      </c>
      <c r="B9877" s="4" t="s">
        <v>250</v>
      </c>
      <c r="C9877" s="38" t="s">
        <v>4163</v>
      </c>
      <c r="D9877" s="18">
        <v>2022</v>
      </c>
      <c r="E9877" s="18" t="s">
        <v>0</v>
      </c>
      <c r="F9877" s="42">
        <v>1</v>
      </c>
      <c r="G9877" s="4">
        <v>10</v>
      </c>
      <c r="H9877" s="18">
        <v>16.431930000000001</v>
      </c>
    </row>
    <row r="9878" spans="1:8" s="15" customFormat="1" ht="16.5" hidden="1" customHeight="1" outlineLevel="1" x14ac:dyDescent="0.25">
      <c r="A9878" s="18">
        <v>2182</v>
      </c>
      <c r="B9878" s="4" t="s">
        <v>250</v>
      </c>
      <c r="C9878" s="38" t="s">
        <v>8275</v>
      </c>
      <c r="D9878" s="18">
        <v>2022</v>
      </c>
      <c r="E9878" s="18" t="s">
        <v>0</v>
      </c>
      <c r="F9878" s="42">
        <v>1</v>
      </c>
      <c r="G9878" s="4">
        <v>5</v>
      </c>
      <c r="H9878" s="18">
        <v>26.478560000000002</v>
      </c>
    </row>
    <row r="9879" spans="1:8" s="15" customFormat="1" ht="16.5" hidden="1" customHeight="1" outlineLevel="1" x14ac:dyDescent="0.25">
      <c r="A9879" s="18">
        <v>2189</v>
      </c>
      <c r="B9879" s="4" t="s">
        <v>250</v>
      </c>
      <c r="C9879" s="38" t="s">
        <v>8276</v>
      </c>
      <c r="D9879" s="18">
        <v>2022</v>
      </c>
      <c r="E9879" s="18" t="s">
        <v>0</v>
      </c>
      <c r="F9879" s="42">
        <v>1</v>
      </c>
      <c r="G9879" s="4">
        <v>10</v>
      </c>
      <c r="H9879" s="18">
        <v>28.218599999999999</v>
      </c>
    </row>
    <row r="9880" spans="1:8" s="15" customFormat="1" ht="16.5" hidden="1" customHeight="1" outlineLevel="1" x14ac:dyDescent="0.25">
      <c r="A9880" s="18">
        <v>2327</v>
      </c>
      <c r="B9880" s="4" t="s">
        <v>250</v>
      </c>
      <c r="C9880" s="38" t="s">
        <v>8277</v>
      </c>
      <c r="D9880" s="18">
        <v>2022</v>
      </c>
      <c r="E9880" s="18" t="s">
        <v>0</v>
      </c>
      <c r="F9880" s="42">
        <v>1</v>
      </c>
      <c r="G9880" s="4">
        <v>1.5</v>
      </c>
      <c r="H9880" s="18">
        <v>25.761659999999999</v>
      </c>
    </row>
    <row r="9881" spans="1:8" s="15" customFormat="1" ht="16.5" hidden="1" customHeight="1" outlineLevel="1" x14ac:dyDescent="0.25">
      <c r="A9881" s="18">
        <v>2329</v>
      </c>
      <c r="B9881" s="4" t="s">
        <v>250</v>
      </c>
      <c r="C9881" s="38" t="s">
        <v>8278</v>
      </c>
      <c r="D9881" s="18">
        <v>2022</v>
      </c>
      <c r="E9881" s="18" t="s">
        <v>0</v>
      </c>
      <c r="F9881" s="42">
        <v>1</v>
      </c>
      <c r="G9881" s="4">
        <v>15</v>
      </c>
      <c r="H9881" s="18">
        <v>24.021560000000001</v>
      </c>
    </row>
    <row r="9882" spans="1:8" s="15" customFormat="1" ht="16.5" hidden="1" customHeight="1" outlineLevel="1" x14ac:dyDescent="0.25">
      <c r="A9882" s="18">
        <v>2331</v>
      </c>
      <c r="B9882" s="4" t="s">
        <v>250</v>
      </c>
      <c r="C9882" s="38" t="s">
        <v>8279</v>
      </c>
      <c r="D9882" s="18">
        <v>2022</v>
      </c>
      <c r="E9882" s="18" t="s">
        <v>0</v>
      </c>
      <c r="F9882" s="42">
        <v>1</v>
      </c>
      <c r="G9882" s="4">
        <v>15</v>
      </c>
      <c r="H9882" s="18">
        <v>24.891639999999999</v>
      </c>
    </row>
    <row r="9883" spans="1:8" s="15" customFormat="1" ht="16.5" hidden="1" customHeight="1" outlineLevel="1" x14ac:dyDescent="0.25">
      <c r="A9883" s="18">
        <v>2334</v>
      </c>
      <c r="B9883" s="4" t="s">
        <v>250</v>
      </c>
      <c r="C9883" s="38" t="s">
        <v>8280</v>
      </c>
      <c r="D9883" s="18">
        <v>2022</v>
      </c>
      <c r="E9883" s="18" t="s">
        <v>0</v>
      </c>
      <c r="F9883" s="42">
        <v>1</v>
      </c>
      <c r="G9883" s="4">
        <v>10</v>
      </c>
      <c r="H9883" s="18">
        <v>24.195630000000001</v>
      </c>
    </row>
    <row r="9884" spans="1:8" s="15" customFormat="1" ht="16.5" hidden="1" customHeight="1" outlineLevel="1" x14ac:dyDescent="0.25">
      <c r="A9884" s="18">
        <v>2335</v>
      </c>
      <c r="B9884" s="4" t="s">
        <v>250</v>
      </c>
      <c r="C9884" s="38" t="s">
        <v>8281</v>
      </c>
      <c r="D9884" s="18">
        <v>2022</v>
      </c>
      <c r="E9884" s="18" t="s">
        <v>0</v>
      </c>
      <c r="F9884" s="42">
        <v>1</v>
      </c>
      <c r="G9884" s="4">
        <v>15</v>
      </c>
      <c r="H9884" s="18">
        <v>27.501650000000001</v>
      </c>
    </row>
    <row r="9885" spans="1:8" s="15" customFormat="1" ht="16.5" hidden="1" customHeight="1" outlineLevel="1" x14ac:dyDescent="0.25">
      <c r="A9885" s="18">
        <v>2338</v>
      </c>
      <c r="B9885" s="4" t="s">
        <v>250</v>
      </c>
      <c r="C9885" s="38" t="s">
        <v>8282</v>
      </c>
      <c r="D9885" s="18">
        <v>2022</v>
      </c>
      <c r="E9885" s="18" t="s">
        <v>0</v>
      </c>
      <c r="F9885" s="42">
        <v>1</v>
      </c>
      <c r="G9885" s="4">
        <v>15</v>
      </c>
      <c r="H9885" s="18">
        <v>25.761669999999995</v>
      </c>
    </row>
    <row r="9886" spans="1:8" s="15" customFormat="1" ht="16.5" hidden="1" customHeight="1" outlineLevel="1" x14ac:dyDescent="0.25">
      <c r="A9886" s="18">
        <v>2339</v>
      </c>
      <c r="B9886" s="4" t="s">
        <v>250</v>
      </c>
      <c r="C9886" s="38" t="s">
        <v>8283</v>
      </c>
      <c r="D9886" s="18">
        <v>2022</v>
      </c>
      <c r="E9886" s="18" t="s">
        <v>0</v>
      </c>
      <c r="F9886" s="42">
        <v>1</v>
      </c>
      <c r="G9886" s="4">
        <v>15</v>
      </c>
      <c r="H9886" s="18">
        <v>24.8916</v>
      </c>
    </row>
    <row r="9887" spans="1:8" s="15" customFormat="1" ht="16.5" hidden="1" customHeight="1" outlineLevel="1" x14ac:dyDescent="0.25">
      <c r="A9887" s="18">
        <v>2340</v>
      </c>
      <c r="B9887" s="4" t="s">
        <v>250</v>
      </c>
      <c r="C9887" s="38" t="s">
        <v>8284</v>
      </c>
      <c r="D9887" s="18">
        <v>2022</v>
      </c>
      <c r="E9887" s="18" t="s">
        <v>0</v>
      </c>
      <c r="F9887" s="42">
        <v>1</v>
      </c>
      <c r="G9887" s="4">
        <v>15</v>
      </c>
      <c r="H9887" s="18">
        <v>25.23959</v>
      </c>
    </row>
    <row r="9888" spans="1:8" s="15" customFormat="1" ht="16.5" hidden="1" customHeight="1" outlineLevel="1" x14ac:dyDescent="0.25">
      <c r="A9888" s="18">
        <v>2342</v>
      </c>
      <c r="B9888" s="4" t="s">
        <v>250</v>
      </c>
      <c r="C9888" s="38" t="s">
        <v>8285</v>
      </c>
      <c r="D9888" s="18">
        <v>2022</v>
      </c>
      <c r="E9888" s="18" t="s">
        <v>0</v>
      </c>
      <c r="F9888" s="42">
        <v>1</v>
      </c>
      <c r="G9888" s="4">
        <v>15</v>
      </c>
      <c r="H9888" s="18">
        <v>24.010560000000002</v>
      </c>
    </row>
    <row r="9889" spans="1:8" s="15" customFormat="1" ht="16.5" hidden="1" customHeight="1" outlineLevel="1" x14ac:dyDescent="0.25">
      <c r="A9889" s="18">
        <v>2362</v>
      </c>
      <c r="B9889" s="4" t="s">
        <v>250</v>
      </c>
      <c r="C9889" s="38" t="s">
        <v>4166</v>
      </c>
      <c r="D9889" s="18">
        <v>2022</v>
      </c>
      <c r="E9889" s="18" t="s">
        <v>0</v>
      </c>
      <c r="F9889" s="42">
        <v>1</v>
      </c>
      <c r="G9889" s="4">
        <v>15</v>
      </c>
      <c r="H9889" s="18">
        <v>30.670999999999999</v>
      </c>
    </row>
    <row r="9890" spans="1:8" s="15" customFormat="1" ht="16.5" hidden="1" customHeight="1" outlineLevel="1" x14ac:dyDescent="0.25">
      <c r="A9890" s="18">
        <v>2371</v>
      </c>
      <c r="B9890" s="4" t="s">
        <v>250</v>
      </c>
      <c r="C9890" s="38" t="s">
        <v>4167</v>
      </c>
      <c r="D9890" s="18">
        <v>2022</v>
      </c>
      <c r="E9890" s="18" t="s">
        <v>0</v>
      </c>
      <c r="F9890" s="42">
        <v>1</v>
      </c>
      <c r="G9890" s="4">
        <v>15</v>
      </c>
      <c r="H9890" s="18">
        <v>27.376999999999999</v>
      </c>
    </row>
    <row r="9891" spans="1:8" s="15" customFormat="1" ht="16.5" hidden="1" customHeight="1" outlineLevel="1" x14ac:dyDescent="0.25">
      <c r="A9891" s="18">
        <v>2373</v>
      </c>
      <c r="B9891" s="4" t="s">
        <v>250</v>
      </c>
      <c r="C9891" s="38" t="s">
        <v>4168</v>
      </c>
      <c r="D9891" s="18">
        <v>2022</v>
      </c>
      <c r="E9891" s="18" t="s">
        <v>0</v>
      </c>
      <c r="F9891" s="42">
        <v>1</v>
      </c>
      <c r="G9891" s="4">
        <v>15</v>
      </c>
      <c r="H9891" s="18">
        <v>27.712</v>
      </c>
    </row>
    <row r="9892" spans="1:8" s="15" customFormat="1" ht="16.5" hidden="1" customHeight="1" outlineLevel="1" x14ac:dyDescent="0.25">
      <c r="A9892" s="18">
        <v>2378</v>
      </c>
      <c r="B9892" s="4" t="s">
        <v>250</v>
      </c>
      <c r="C9892" s="38" t="s">
        <v>8286</v>
      </c>
      <c r="D9892" s="18">
        <v>2022</v>
      </c>
      <c r="E9892" s="18" t="s">
        <v>0</v>
      </c>
      <c r="F9892" s="42">
        <v>1</v>
      </c>
      <c r="G9892" s="4">
        <v>15</v>
      </c>
      <c r="H9892" s="18">
        <v>25.848559999999999</v>
      </c>
    </row>
    <row r="9893" spans="1:8" s="15" customFormat="1" ht="16.5" hidden="1" customHeight="1" outlineLevel="1" x14ac:dyDescent="0.25">
      <c r="A9893" s="18">
        <v>2381</v>
      </c>
      <c r="B9893" s="4" t="s">
        <v>250</v>
      </c>
      <c r="C9893" s="38" t="s">
        <v>8287</v>
      </c>
      <c r="D9893" s="18">
        <v>2022</v>
      </c>
      <c r="E9893" s="18" t="s">
        <v>0</v>
      </c>
      <c r="F9893" s="42">
        <v>1</v>
      </c>
      <c r="G9893" s="4">
        <v>10</v>
      </c>
      <c r="H9893" s="18">
        <v>24.282439999999998</v>
      </c>
    </row>
    <row r="9894" spans="1:8" s="15" customFormat="1" ht="16.5" hidden="1" customHeight="1" outlineLevel="1" x14ac:dyDescent="0.25">
      <c r="A9894" s="18">
        <v>2386</v>
      </c>
      <c r="B9894" s="4" t="s">
        <v>250</v>
      </c>
      <c r="C9894" s="38" t="s">
        <v>8288</v>
      </c>
      <c r="D9894" s="18">
        <v>2022</v>
      </c>
      <c r="E9894" s="18" t="s">
        <v>0</v>
      </c>
      <c r="F9894" s="42">
        <v>1</v>
      </c>
      <c r="G9894" s="4">
        <v>15</v>
      </c>
      <c r="H9894" s="18">
        <v>24.108490000000003</v>
      </c>
    </row>
    <row r="9895" spans="1:8" s="15" customFormat="1" ht="16.5" hidden="1" customHeight="1" outlineLevel="1" x14ac:dyDescent="0.25">
      <c r="A9895" s="18">
        <v>2391</v>
      </c>
      <c r="B9895" s="4" t="s">
        <v>250</v>
      </c>
      <c r="C9895" s="38" t="s">
        <v>8289</v>
      </c>
      <c r="D9895" s="18">
        <v>2022</v>
      </c>
      <c r="E9895" s="18" t="s">
        <v>0</v>
      </c>
      <c r="F9895" s="42">
        <v>1</v>
      </c>
      <c r="G9895" s="4">
        <v>15</v>
      </c>
      <c r="H9895" s="18">
        <v>24.630470000000003</v>
      </c>
    </row>
    <row r="9896" spans="1:8" s="15" customFormat="1" ht="16.5" hidden="1" customHeight="1" outlineLevel="1" x14ac:dyDescent="0.25">
      <c r="A9896" s="18">
        <v>2395</v>
      </c>
      <c r="B9896" s="4" t="s">
        <v>250</v>
      </c>
      <c r="C9896" s="38" t="s">
        <v>8290</v>
      </c>
      <c r="D9896" s="18">
        <v>2022</v>
      </c>
      <c r="E9896" s="18" t="s">
        <v>0</v>
      </c>
      <c r="F9896" s="42">
        <v>1</v>
      </c>
      <c r="G9896" s="4">
        <v>15</v>
      </c>
      <c r="H9896" s="18">
        <v>24.108470000000001</v>
      </c>
    </row>
    <row r="9897" spans="1:8" s="15" customFormat="1" ht="16.5" hidden="1" customHeight="1" outlineLevel="1" x14ac:dyDescent="0.25">
      <c r="A9897" s="18">
        <v>2401</v>
      </c>
      <c r="B9897" s="4" t="s">
        <v>250</v>
      </c>
      <c r="C9897" s="38" t="s">
        <v>8291</v>
      </c>
      <c r="D9897" s="18">
        <v>2022</v>
      </c>
      <c r="E9897" s="18" t="s">
        <v>0</v>
      </c>
      <c r="F9897" s="42">
        <v>1</v>
      </c>
      <c r="G9897" s="4">
        <v>15</v>
      </c>
      <c r="H9897" s="18">
        <v>28.430029999999999</v>
      </c>
    </row>
    <row r="9898" spans="1:8" s="15" customFormat="1" ht="16.5" hidden="1" customHeight="1" outlineLevel="1" x14ac:dyDescent="0.25">
      <c r="A9898" s="18">
        <v>2412</v>
      </c>
      <c r="B9898" s="4" t="s">
        <v>250</v>
      </c>
      <c r="C9898" s="38" t="s">
        <v>4169</v>
      </c>
      <c r="D9898" s="18">
        <v>2022</v>
      </c>
      <c r="E9898" s="18" t="s">
        <v>0</v>
      </c>
      <c r="F9898" s="42">
        <v>1</v>
      </c>
      <c r="G9898" s="4">
        <v>15</v>
      </c>
      <c r="H9898" s="18">
        <v>26.146999999999998</v>
      </c>
    </row>
    <row r="9899" spans="1:8" s="15" customFormat="1" ht="16.5" hidden="1" customHeight="1" outlineLevel="1" x14ac:dyDescent="0.25">
      <c r="A9899" s="18">
        <v>2413</v>
      </c>
      <c r="B9899" s="4" t="s">
        <v>250</v>
      </c>
      <c r="C9899" s="38" t="s">
        <v>4170</v>
      </c>
      <c r="D9899" s="18">
        <v>2022</v>
      </c>
      <c r="E9899" s="18" t="s">
        <v>0</v>
      </c>
      <c r="F9899" s="42">
        <v>1</v>
      </c>
      <c r="G9899" s="4">
        <v>15</v>
      </c>
      <c r="H9899" s="18">
        <v>27.96266</v>
      </c>
    </row>
    <row r="9900" spans="1:8" s="15" customFormat="1" ht="16.5" hidden="1" customHeight="1" outlineLevel="1" x14ac:dyDescent="0.25">
      <c r="A9900" s="18">
        <v>2414</v>
      </c>
      <c r="B9900" s="4" t="s">
        <v>250</v>
      </c>
      <c r="C9900" s="38" t="s">
        <v>4171</v>
      </c>
      <c r="D9900" s="18">
        <v>2022</v>
      </c>
      <c r="E9900" s="18" t="s">
        <v>0</v>
      </c>
      <c r="F9900" s="42">
        <v>1</v>
      </c>
      <c r="G9900" s="4">
        <v>15</v>
      </c>
      <c r="H9900" s="18">
        <v>25.936</v>
      </c>
    </row>
    <row r="9901" spans="1:8" s="15" customFormat="1" ht="16.5" hidden="1" customHeight="1" outlineLevel="1" x14ac:dyDescent="0.25">
      <c r="A9901" s="18">
        <v>2416</v>
      </c>
      <c r="B9901" s="4" t="s">
        <v>250</v>
      </c>
      <c r="C9901" s="38" t="s">
        <v>4210</v>
      </c>
      <c r="D9901" s="18">
        <v>2022</v>
      </c>
      <c r="E9901" s="18" t="s">
        <v>0</v>
      </c>
      <c r="F9901" s="42">
        <v>1</v>
      </c>
      <c r="G9901" s="4">
        <v>150</v>
      </c>
      <c r="H9901" s="18">
        <v>18.37659</v>
      </c>
    </row>
    <row r="9902" spans="1:8" s="15" customFormat="1" ht="16.5" hidden="1" customHeight="1" outlineLevel="1" x14ac:dyDescent="0.25">
      <c r="A9902" s="18">
        <v>2456</v>
      </c>
      <c r="B9902" s="4" t="s">
        <v>250</v>
      </c>
      <c r="C9902" s="38" t="s">
        <v>4172</v>
      </c>
      <c r="D9902" s="18">
        <v>2022</v>
      </c>
      <c r="E9902" s="18" t="s">
        <v>0</v>
      </c>
      <c r="F9902" s="42">
        <v>1</v>
      </c>
      <c r="G9902" s="4">
        <v>15</v>
      </c>
      <c r="H9902" s="18">
        <v>31.857999999999997</v>
      </c>
    </row>
    <row r="9903" spans="1:8" s="15" customFormat="1" ht="16.5" hidden="1" customHeight="1" outlineLevel="1" x14ac:dyDescent="0.25">
      <c r="A9903" s="18">
        <v>2513</v>
      </c>
      <c r="B9903" s="4" t="s">
        <v>250</v>
      </c>
      <c r="C9903" s="38" t="s">
        <v>8292</v>
      </c>
      <c r="D9903" s="18">
        <v>2022</v>
      </c>
      <c r="E9903" s="18" t="s">
        <v>0</v>
      </c>
      <c r="F9903" s="42">
        <v>1</v>
      </c>
      <c r="G9903" s="4">
        <v>1</v>
      </c>
      <c r="H9903" s="18">
        <v>11.443069999999999</v>
      </c>
    </row>
    <row r="9904" spans="1:8" s="15" customFormat="1" ht="16.5" hidden="1" customHeight="1" outlineLevel="1" x14ac:dyDescent="0.25">
      <c r="A9904" s="18">
        <v>2523</v>
      </c>
      <c r="B9904" s="4" t="s">
        <v>250</v>
      </c>
      <c r="C9904" s="38" t="s">
        <v>8293</v>
      </c>
      <c r="D9904" s="18">
        <v>2022</v>
      </c>
      <c r="E9904" s="18" t="s">
        <v>0</v>
      </c>
      <c r="F9904" s="42">
        <v>1</v>
      </c>
      <c r="G9904" s="4">
        <v>15</v>
      </c>
      <c r="H9904" s="18">
        <v>20.464259999999999</v>
      </c>
    </row>
    <row r="9905" spans="1:8" s="15" customFormat="1" ht="16.5" hidden="1" customHeight="1" outlineLevel="1" x14ac:dyDescent="0.25">
      <c r="A9905" s="18">
        <v>2524</v>
      </c>
      <c r="B9905" s="4" t="s">
        <v>250</v>
      </c>
      <c r="C9905" s="38" t="s">
        <v>8294</v>
      </c>
      <c r="D9905" s="18">
        <v>2022</v>
      </c>
      <c r="E9905" s="18" t="s">
        <v>0</v>
      </c>
      <c r="F9905" s="42">
        <v>1</v>
      </c>
      <c r="G9905" s="4">
        <v>15</v>
      </c>
      <c r="H9905" s="18">
        <v>19.942239999999998</v>
      </c>
    </row>
    <row r="9906" spans="1:8" s="15" customFormat="1" ht="16.5" hidden="1" customHeight="1" outlineLevel="1" x14ac:dyDescent="0.25">
      <c r="A9906" s="18">
        <v>2525</v>
      </c>
      <c r="B9906" s="4" t="s">
        <v>250</v>
      </c>
      <c r="C9906" s="38" t="s">
        <v>8295</v>
      </c>
      <c r="D9906" s="18">
        <v>2022</v>
      </c>
      <c r="E9906" s="18" t="s">
        <v>0</v>
      </c>
      <c r="F9906" s="42">
        <v>1</v>
      </c>
      <c r="G9906" s="4">
        <v>15</v>
      </c>
      <c r="H9906" s="18">
        <v>20.46424</v>
      </c>
    </row>
    <row r="9907" spans="1:8" s="15" customFormat="1" ht="16.5" hidden="1" customHeight="1" outlineLevel="1" x14ac:dyDescent="0.25">
      <c r="A9907" s="18">
        <v>2526</v>
      </c>
      <c r="B9907" s="4" t="s">
        <v>250</v>
      </c>
      <c r="C9907" s="38" t="s">
        <v>8296</v>
      </c>
      <c r="D9907" s="18">
        <v>2022</v>
      </c>
      <c r="E9907" s="18" t="s">
        <v>0</v>
      </c>
      <c r="F9907" s="42">
        <v>1</v>
      </c>
      <c r="G9907" s="4">
        <v>15</v>
      </c>
      <c r="H9907" s="18">
        <v>20.143699999999999</v>
      </c>
    </row>
    <row r="9908" spans="1:8" s="15" customFormat="1" ht="16.5" hidden="1" customHeight="1" outlineLevel="1" x14ac:dyDescent="0.25">
      <c r="A9908" s="18">
        <v>2527</v>
      </c>
      <c r="B9908" s="4" t="s">
        <v>250</v>
      </c>
      <c r="C9908" s="38" t="s">
        <v>8297</v>
      </c>
      <c r="D9908" s="18">
        <v>2022</v>
      </c>
      <c r="E9908" s="18" t="s">
        <v>0</v>
      </c>
      <c r="F9908" s="42">
        <v>1</v>
      </c>
      <c r="G9908" s="4">
        <v>6</v>
      </c>
      <c r="H9908" s="18">
        <v>21.01258</v>
      </c>
    </row>
    <row r="9909" spans="1:8" s="15" customFormat="1" ht="16.5" hidden="1" customHeight="1" outlineLevel="1" x14ac:dyDescent="0.25">
      <c r="A9909" s="18">
        <v>2528</v>
      </c>
      <c r="B9909" s="4" t="s">
        <v>250</v>
      </c>
      <c r="C9909" s="38" t="s">
        <v>8298</v>
      </c>
      <c r="D9909" s="18">
        <v>2022</v>
      </c>
      <c r="E9909" s="18" t="s">
        <v>0</v>
      </c>
      <c r="F9909" s="42">
        <v>1</v>
      </c>
      <c r="G9909" s="4">
        <v>15</v>
      </c>
      <c r="H9909" s="18">
        <v>20.676290000000002</v>
      </c>
    </row>
    <row r="9910" spans="1:8" s="15" customFormat="1" ht="16.5" hidden="1" customHeight="1" outlineLevel="1" x14ac:dyDescent="0.25">
      <c r="A9910" s="18">
        <v>2529</v>
      </c>
      <c r="B9910" s="4" t="s">
        <v>250</v>
      </c>
      <c r="C9910" s="38" t="s">
        <v>8299</v>
      </c>
      <c r="D9910" s="18">
        <v>2022</v>
      </c>
      <c r="E9910" s="18" t="s">
        <v>0</v>
      </c>
      <c r="F9910" s="42">
        <v>1</v>
      </c>
      <c r="G9910" s="4">
        <v>6</v>
      </c>
      <c r="H9910" s="18">
        <v>24.282770000000003</v>
      </c>
    </row>
    <row r="9911" spans="1:8" s="15" customFormat="1" ht="16.5" hidden="1" customHeight="1" outlineLevel="1" x14ac:dyDescent="0.25">
      <c r="A9911" s="18">
        <v>2530</v>
      </c>
      <c r="B9911" s="4" t="s">
        <v>250</v>
      </c>
      <c r="C9911" s="38" t="s">
        <v>8300</v>
      </c>
      <c r="D9911" s="18">
        <v>2022</v>
      </c>
      <c r="E9911" s="18" t="s">
        <v>0</v>
      </c>
      <c r="F9911" s="42">
        <v>1</v>
      </c>
      <c r="G9911" s="4">
        <v>15</v>
      </c>
      <c r="H9911" s="18">
        <v>20.21048</v>
      </c>
    </row>
    <row r="9912" spans="1:8" s="15" customFormat="1" ht="16.5" hidden="1" customHeight="1" outlineLevel="1" x14ac:dyDescent="0.25">
      <c r="A9912" s="18">
        <v>2531</v>
      </c>
      <c r="B9912" s="4" t="s">
        <v>250</v>
      </c>
      <c r="C9912" s="38" t="s">
        <v>8301</v>
      </c>
      <c r="D9912" s="18">
        <v>2022</v>
      </c>
      <c r="E9912" s="18" t="s">
        <v>0</v>
      </c>
      <c r="F9912" s="42">
        <v>1</v>
      </c>
      <c r="G9912" s="4">
        <v>15</v>
      </c>
      <c r="H9912" s="18">
        <v>20.511299999999999</v>
      </c>
    </row>
    <row r="9913" spans="1:8" s="15" customFormat="1" ht="16.5" hidden="1" customHeight="1" outlineLevel="1" x14ac:dyDescent="0.25">
      <c r="A9913" s="18">
        <v>2532</v>
      </c>
      <c r="B9913" s="4" t="s">
        <v>250</v>
      </c>
      <c r="C9913" s="38" t="s">
        <v>8302</v>
      </c>
      <c r="D9913" s="18">
        <v>2022</v>
      </c>
      <c r="E9913" s="18" t="s">
        <v>0</v>
      </c>
      <c r="F9913" s="42">
        <v>1</v>
      </c>
      <c r="G9913" s="4">
        <v>15</v>
      </c>
      <c r="H9913" s="18">
        <v>18.081150000000001</v>
      </c>
    </row>
    <row r="9914" spans="1:8" s="15" customFormat="1" ht="16.5" hidden="1" customHeight="1" outlineLevel="1" x14ac:dyDescent="0.25">
      <c r="A9914" s="18">
        <v>2533</v>
      </c>
      <c r="B9914" s="4" t="s">
        <v>250</v>
      </c>
      <c r="C9914" s="38" t="s">
        <v>8303</v>
      </c>
      <c r="D9914" s="18">
        <v>2022</v>
      </c>
      <c r="E9914" s="18" t="s">
        <v>0</v>
      </c>
      <c r="F9914" s="42">
        <v>1</v>
      </c>
      <c r="G9914" s="4">
        <v>3</v>
      </c>
      <c r="H9914" s="18">
        <v>20.313680000000002</v>
      </c>
    </row>
    <row r="9915" spans="1:8" s="15" customFormat="1" ht="16.5" hidden="1" customHeight="1" outlineLevel="1" x14ac:dyDescent="0.25">
      <c r="A9915" s="18">
        <v>2534</v>
      </c>
      <c r="B9915" s="4" t="s">
        <v>250</v>
      </c>
      <c r="C9915" s="38" t="s">
        <v>8304</v>
      </c>
      <c r="D9915" s="18">
        <v>2022</v>
      </c>
      <c r="E9915" s="18" t="s">
        <v>0</v>
      </c>
      <c r="F9915" s="42">
        <v>1</v>
      </c>
      <c r="G9915" s="4">
        <v>5</v>
      </c>
      <c r="H9915" s="18">
        <v>20.575320000000001</v>
      </c>
    </row>
    <row r="9916" spans="1:8" s="15" customFormat="1" ht="16.5" hidden="1" customHeight="1" outlineLevel="1" x14ac:dyDescent="0.25">
      <c r="A9916" s="18">
        <v>2535</v>
      </c>
      <c r="B9916" s="4" t="s">
        <v>250</v>
      </c>
      <c r="C9916" s="38" t="s">
        <v>8305</v>
      </c>
      <c r="D9916" s="18">
        <v>2022</v>
      </c>
      <c r="E9916" s="18" t="s">
        <v>0</v>
      </c>
      <c r="F9916" s="42">
        <v>1</v>
      </c>
      <c r="G9916" s="4">
        <v>15</v>
      </c>
      <c r="H9916" s="18">
        <v>20.212720000000001</v>
      </c>
    </row>
    <row r="9917" spans="1:8" s="15" customFormat="1" ht="16.5" hidden="1" customHeight="1" outlineLevel="1" x14ac:dyDescent="0.25">
      <c r="A9917" s="18">
        <v>2536</v>
      </c>
      <c r="B9917" s="4" t="s">
        <v>250</v>
      </c>
      <c r="C9917" s="38" t="s">
        <v>8306</v>
      </c>
      <c r="D9917" s="18">
        <v>2022</v>
      </c>
      <c r="E9917" s="18" t="s">
        <v>0</v>
      </c>
      <c r="F9917" s="42">
        <v>1</v>
      </c>
      <c r="G9917" s="4">
        <v>15</v>
      </c>
      <c r="H9917" s="18">
        <v>20.216400000000004</v>
      </c>
    </row>
    <row r="9918" spans="1:8" s="15" customFormat="1" ht="16.5" hidden="1" customHeight="1" outlineLevel="1" x14ac:dyDescent="0.25">
      <c r="A9918" s="18">
        <v>2537</v>
      </c>
      <c r="B9918" s="4" t="s">
        <v>250</v>
      </c>
      <c r="C9918" s="38" t="s">
        <v>8307</v>
      </c>
      <c r="D9918" s="18">
        <v>2022</v>
      </c>
      <c r="E9918" s="18" t="s">
        <v>0</v>
      </c>
      <c r="F9918" s="42">
        <v>1</v>
      </c>
      <c r="G9918" s="4">
        <v>15</v>
      </c>
      <c r="H9918" s="18">
        <v>20.397099999999998</v>
      </c>
    </row>
    <row r="9919" spans="1:8" s="15" customFormat="1" ht="16.5" hidden="1" customHeight="1" outlineLevel="1" x14ac:dyDescent="0.25">
      <c r="A9919" s="18">
        <v>2538</v>
      </c>
      <c r="B9919" s="4" t="s">
        <v>250</v>
      </c>
      <c r="C9919" s="38" t="s">
        <v>8308</v>
      </c>
      <c r="D9919" s="18">
        <v>2022</v>
      </c>
      <c r="E9919" s="18" t="s">
        <v>0</v>
      </c>
      <c r="F9919" s="42">
        <v>1</v>
      </c>
      <c r="G9919" s="4">
        <v>5</v>
      </c>
      <c r="H9919" s="18">
        <v>19.952359999999995</v>
      </c>
    </row>
    <row r="9920" spans="1:8" s="15" customFormat="1" ht="16.5" hidden="1" customHeight="1" outlineLevel="1" x14ac:dyDescent="0.25">
      <c r="A9920" s="18">
        <v>2539</v>
      </c>
      <c r="B9920" s="4" t="s">
        <v>250</v>
      </c>
      <c r="C9920" s="38" t="s">
        <v>8309</v>
      </c>
      <c r="D9920" s="18">
        <v>2022</v>
      </c>
      <c r="E9920" s="18" t="s">
        <v>0</v>
      </c>
      <c r="F9920" s="42">
        <v>1</v>
      </c>
      <c r="G9920" s="4">
        <v>10</v>
      </c>
      <c r="H9920" s="18">
        <v>20.352240000000002</v>
      </c>
    </row>
    <row r="9921" spans="1:8" s="15" customFormat="1" ht="16.5" hidden="1" customHeight="1" outlineLevel="1" x14ac:dyDescent="0.25">
      <c r="A9921" s="18">
        <v>2540</v>
      </c>
      <c r="B9921" s="4" t="s">
        <v>250</v>
      </c>
      <c r="C9921" s="38" t="s">
        <v>8310</v>
      </c>
      <c r="D9921" s="18">
        <v>2022</v>
      </c>
      <c r="E9921" s="18" t="s">
        <v>0</v>
      </c>
      <c r="F9921" s="42">
        <v>1</v>
      </c>
      <c r="G9921" s="4">
        <v>15</v>
      </c>
      <c r="H9921" s="18">
        <v>20.64265</v>
      </c>
    </row>
    <row r="9922" spans="1:8" s="15" customFormat="1" ht="16.5" hidden="1" customHeight="1" outlineLevel="1" x14ac:dyDescent="0.25">
      <c r="A9922" s="18">
        <v>2541</v>
      </c>
      <c r="B9922" s="4" t="s">
        <v>250</v>
      </c>
      <c r="C9922" s="38" t="s">
        <v>4173</v>
      </c>
      <c r="D9922" s="18">
        <v>2022</v>
      </c>
      <c r="E9922" s="18" t="s">
        <v>0</v>
      </c>
      <c r="F9922" s="42">
        <v>1</v>
      </c>
      <c r="G9922" s="4">
        <v>15</v>
      </c>
      <c r="H9922" s="18">
        <v>119.66177999999999</v>
      </c>
    </row>
    <row r="9923" spans="1:8" s="15" customFormat="1" ht="16.5" hidden="1" customHeight="1" outlineLevel="1" x14ac:dyDescent="0.25">
      <c r="A9923" s="18">
        <v>2542</v>
      </c>
      <c r="B9923" s="4" t="s">
        <v>250</v>
      </c>
      <c r="C9923" s="38" t="s">
        <v>4226</v>
      </c>
      <c r="D9923" s="18">
        <v>2022</v>
      </c>
      <c r="E9923" s="18" t="s">
        <v>0</v>
      </c>
      <c r="F9923" s="42">
        <v>1</v>
      </c>
      <c r="G9923" s="4">
        <v>150</v>
      </c>
      <c r="H9923" s="18">
        <v>649.82300000000009</v>
      </c>
    </row>
    <row r="9924" spans="1:8" s="15" customFormat="1" ht="16.5" hidden="1" customHeight="1" outlineLevel="1" x14ac:dyDescent="0.25">
      <c r="A9924" s="18">
        <v>2543</v>
      </c>
      <c r="B9924" s="4" t="s">
        <v>250</v>
      </c>
      <c r="C9924" s="38" t="s">
        <v>4211</v>
      </c>
      <c r="D9924" s="18">
        <v>2022</v>
      </c>
      <c r="E9924" s="18" t="s">
        <v>0</v>
      </c>
      <c r="F9924" s="42">
        <v>1</v>
      </c>
      <c r="G9924" s="4">
        <v>150</v>
      </c>
      <c r="H9924" s="18">
        <v>108.96867</v>
      </c>
    </row>
    <row r="9925" spans="1:8" s="15" customFormat="1" ht="16.5" hidden="1" customHeight="1" outlineLevel="1" x14ac:dyDescent="0.25">
      <c r="A9925" s="18">
        <v>2544</v>
      </c>
      <c r="B9925" s="4" t="s">
        <v>250</v>
      </c>
      <c r="C9925" s="38" t="s">
        <v>4174</v>
      </c>
      <c r="D9925" s="18">
        <v>2022</v>
      </c>
      <c r="E9925" s="18" t="s">
        <v>0</v>
      </c>
      <c r="F9925" s="42">
        <v>1</v>
      </c>
      <c r="G9925" s="4">
        <v>15</v>
      </c>
      <c r="H9925" s="18">
        <v>106.30677</v>
      </c>
    </row>
    <row r="9926" spans="1:8" s="15" customFormat="1" ht="16.5" hidden="1" customHeight="1" outlineLevel="1" x14ac:dyDescent="0.25">
      <c r="A9926" s="18">
        <v>2545</v>
      </c>
      <c r="B9926" s="4" t="s">
        <v>250</v>
      </c>
      <c r="C9926" s="38" t="s">
        <v>4227</v>
      </c>
      <c r="D9926" s="18">
        <v>2022</v>
      </c>
      <c r="E9926" s="18" t="s">
        <v>0</v>
      </c>
      <c r="F9926" s="42">
        <v>2</v>
      </c>
      <c r="G9926" s="4">
        <v>30</v>
      </c>
      <c r="H9926" s="18">
        <v>238.91354000000001</v>
      </c>
    </row>
    <row r="9927" spans="1:8" s="15" customFormat="1" ht="16.5" hidden="1" customHeight="1" outlineLevel="1" x14ac:dyDescent="0.25">
      <c r="A9927" s="18">
        <v>2546</v>
      </c>
      <c r="B9927" s="4" t="s">
        <v>250</v>
      </c>
      <c r="C9927" s="38" t="s">
        <v>4175</v>
      </c>
      <c r="D9927" s="18">
        <v>2022</v>
      </c>
      <c r="E9927" s="18" t="s">
        <v>0</v>
      </c>
      <c r="F9927" s="42">
        <v>3</v>
      </c>
      <c r="G9927" s="4">
        <v>5</v>
      </c>
      <c r="H9927" s="18">
        <v>285.76085999999998</v>
      </c>
    </row>
    <row r="9928" spans="1:8" s="15" customFormat="1" ht="16.5" hidden="1" customHeight="1" outlineLevel="1" x14ac:dyDescent="0.25">
      <c r="A9928" s="18">
        <v>2547</v>
      </c>
      <c r="B9928" s="4" t="s">
        <v>250</v>
      </c>
      <c r="C9928" s="38" t="s">
        <v>4176</v>
      </c>
      <c r="D9928" s="18">
        <v>2022</v>
      </c>
      <c r="E9928" s="18" t="s">
        <v>0</v>
      </c>
      <c r="F9928" s="42">
        <v>1</v>
      </c>
      <c r="G9928" s="4">
        <v>15</v>
      </c>
      <c r="H9928" s="18">
        <v>144.94617000000002</v>
      </c>
    </row>
    <row r="9929" spans="1:8" s="15" customFormat="1" ht="16.5" hidden="1" customHeight="1" outlineLevel="1" x14ac:dyDescent="0.25">
      <c r="A9929" s="18">
        <v>2068</v>
      </c>
      <c r="B9929" s="4" t="s">
        <v>250</v>
      </c>
      <c r="C9929" s="38" t="s">
        <v>4212</v>
      </c>
      <c r="D9929" s="18">
        <v>2022</v>
      </c>
      <c r="E9929" s="18" t="s">
        <v>0</v>
      </c>
      <c r="F9929" s="42">
        <v>1</v>
      </c>
      <c r="G9929" s="4">
        <v>150</v>
      </c>
      <c r="H9929" s="18">
        <v>21.560960000000001</v>
      </c>
    </row>
    <row r="9930" spans="1:8" s="15" customFormat="1" ht="16.5" hidden="1" customHeight="1" outlineLevel="1" x14ac:dyDescent="0.25">
      <c r="A9930" s="18">
        <v>2069</v>
      </c>
      <c r="B9930" s="4" t="s">
        <v>250</v>
      </c>
      <c r="C9930" s="38" t="s">
        <v>4213</v>
      </c>
      <c r="D9930" s="18">
        <v>2022</v>
      </c>
      <c r="E9930" s="18" t="s">
        <v>0</v>
      </c>
      <c r="F9930" s="42">
        <v>1</v>
      </c>
      <c r="G9930" s="4">
        <v>80</v>
      </c>
      <c r="H9930" s="18">
        <v>24.043660000000003</v>
      </c>
    </row>
    <row r="9931" spans="1:8" s="15" customFormat="1" ht="16.5" hidden="1" customHeight="1" outlineLevel="1" x14ac:dyDescent="0.25">
      <c r="A9931" s="18">
        <v>2074</v>
      </c>
      <c r="B9931" s="4" t="s">
        <v>250</v>
      </c>
      <c r="C9931" s="38" t="s">
        <v>4177</v>
      </c>
      <c r="D9931" s="18">
        <v>2022</v>
      </c>
      <c r="E9931" s="18" t="s">
        <v>0</v>
      </c>
      <c r="F9931" s="42">
        <v>1</v>
      </c>
      <c r="G9931" s="4">
        <v>15</v>
      </c>
      <c r="H9931" s="18">
        <v>34.560899999999997</v>
      </c>
    </row>
    <row r="9932" spans="1:8" s="15" customFormat="1" ht="16.5" hidden="1" customHeight="1" outlineLevel="1" x14ac:dyDescent="0.25">
      <c r="A9932" s="18">
        <v>2263</v>
      </c>
      <c r="B9932" s="4" t="s">
        <v>250</v>
      </c>
      <c r="C9932" s="38" t="s">
        <v>8311</v>
      </c>
      <c r="D9932" s="18">
        <v>2022</v>
      </c>
      <c r="E9932" s="18" t="s">
        <v>0</v>
      </c>
      <c r="F9932" s="42">
        <v>1</v>
      </c>
      <c r="G9932" s="4">
        <v>15</v>
      </c>
      <c r="H9932" s="18">
        <v>25.290489999999998</v>
      </c>
    </row>
    <row r="9933" spans="1:8" s="15" customFormat="1" ht="16.5" hidden="1" customHeight="1" outlineLevel="1" x14ac:dyDescent="0.25">
      <c r="A9933" s="18">
        <v>2285</v>
      </c>
      <c r="B9933" s="4" t="s">
        <v>250</v>
      </c>
      <c r="C9933" s="38" t="s">
        <v>8312</v>
      </c>
      <c r="D9933" s="18">
        <v>2022</v>
      </c>
      <c r="E9933" s="18" t="s">
        <v>0</v>
      </c>
      <c r="F9933" s="42">
        <v>1</v>
      </c>
      <c r="G9933" s="4">
        <v>14</v>
      </c>
      <c r="H9933" s="18">
        <v>25.290480000000002</v>
      </c>
    </row>
    <row r="9934" spans="1:8" s="15" customFormat="1" ht="16.5" hidden="1" customHeight="1" outlineLevel="1" x14ac:dyDescent="0.25">
      <c r="A9934" s="18">
        <v>2298</v>
      </c>
      <c r="B9934" s="4" t="s">
        <v>250</v>
      </c>
      <c r="C9934" s="38" t="s">
        <v>8313</v>
      </c>
      <c r="D9934" s="18">
        <v>2022</v>
      </c>
      <c r="E9934" s="18" t="s">
        <v>0</v>
      </c>
      <c r="F9934" s="42">
        <v>1</v>
      </c>
      <c r="G9934" s="4">
        <v>480</v>
      </c>
      <c r="H9934" s="18">
        <v>449.57803999999993</v>
      </c>
    </row>
    <row r="9935" spans="1:8" s="15" customFormat="1" ht="16.5" hidden="1" customHeight="1" outlineLevel="1" x14ac:dyDescent="0.25">
      <c r="A9935" s="18">
        <v>2313</v>
      </c>
      <c r="B9935" s="4" t="s">
        <v>250</v>
      </c>
      <c r="C9935" s="38" t="s">
        <v>8314</v>
      </c>
      <c r="D9935" s="18">
        <v>2022</v>
      </c>
      <c r="E9935" s="18" t="s">
        <v>0</v>
      </c>
      <c r="F9935" s="42">
        <v>1</v>
      </c>
      <c r="G9935" s="4">
        <v>15</v>
      </c>
      <c r="H9935" s="18">
        <v>43.916360000000005</v>
      </c>
    </row>
    <row r="9936" spans="1:8" s="15" customFormat="1" ht="16.5" hidden="1" customHeight="1" outlineLevel="1" x14ac:dyDescent="0.25">
      <c r="A9936" s="18">
        <v>2314</v>
      </c>
      <c r="B9936" s="4" t="s">
        <v>250</v>
      </c>
      <c r="C9936" s="38" t="s">
        <v>8315</v>
      </c>
      <c r="D9936" s="18">
        <v>2022</v>
      </c>
      <c r="E9936" s="18" t="s">
        <v>0</v>
      </c>
      <c r="F9936" s="42">
        <v>1</v>
      </c>
      <c r="G9936" s="4">
        <v>15</v>
      </c>
      <c r="H9936" s="18">
        <v>43.740600000000001</v>
      </c>
    </row>
    <row r="9937" spans="1:8" s="15" customFormat="1" ht="16.5" hidden="1" customHeight="1" outlineLevel="1" x14ac:dyDescent="0.25">
      <c r="A9937" s="18">
        <v>2322</v>
      </c>
      <c r="B9937" s="4" t="s">
        <v>250</v>
      </c>
      <c r="C9937" s="38" t="s">
        <v>4179</v>
      </c>
      <c r="D9937" s="18">
        <v>2022</v>
      </c>
      <c r="E9937" s="18" t="s">
        <v>0</v>
      </c>
      <c r="F9937" s="42">
        <v>1</v>
      </c>
      <c r="G9937" s="4">
        <v>15</v>
      </c>
      <c r="H9937" s="18">
        <v>13.788</v>
      </c>
    </row>
    <row r="9938" spans="1:8" s="15" customFormat="1" ht="16.5" hidden="1" customHeight="1" outlineLevel="1" x14ac:dyDescent="0.25">
      <c r="A9938" s="18">
        <v>2365</v>
      </c>
      <c r="B9938" s="4" t="s">
        <v>250</v>
      </c>
      <c r="C9938" s="38" t="s">
        <v>8316</v>
      </c>
      <c r="D9938" s="18">
        <v>2022</v>
      </c>
      <c r="E9938" s="18" t="s">
        <v>0</v>
      </c>
      <c r="F9938" s="42">
        <v>1</v>
      </c>
      <c r="G9938" s="4">
        <v>15</v>
      </c>
      <c r="H9938" s="18">
        <v>61.592500000000001</v>
      </c>
    </row>
    <row r="9939" spans="1:8" s="15" customFormat="1" ht="16.5" hidden="1" customHeight="1" outlineLevel="1" x14ac:dyDescent="0.25">
      <c r="A9939" s="18">
        <v>2367</v>
      </c>
      <c r="B9939" s="4" t="s">
        <v>250</v>
      </c>
      <c r="C9939" s="38" t="s">
        <v>4180</v>
      </c>
      <c r="D9939" s="18">
        <v>2022</v>
      </c>
      <c r="E9939" s="18" t="s">
        <v>0</v>
      </c>
      <c r="F9939" s="42">
        <v>1</v>
      </c>
      <c r="G9939" s="4">
        <v>15</v>
      </c>
      <c r="H9939" s="18">
        <v>49.336999999999996</v>
      </c>
    </row>
    <row r="9940" spans="1:8" s="15" customFormat="1" ht="16.5" hidden="1" customHeight="1" outlineLevel="1" x14ac:dyDescent="0.25">
      <c r="A9940" s="18">
        <v>2368</v>
      </c>
      <c r="B9940" s="4" t="s">
        <v>250</v>
      </c>
      <c r="C9940" s="38" t="s">
        <v>4181</v>
      </c>
      <c r="D9940" s="18">
        <v>2022</v>
      </c>
      <c r="E9940" s="18" t="s">
        <v>0</v>
      </c>
      <c r="F9940" s="42">
        <v>1</v>
      </c>
      <c r="G9940" s="4">
        <v>30</v>
      </c>
      <c r="H9940" s="18">
        <v>60.515619999999998</v>
      </c>
    </row>
    <row r="9941" spans="1:8" s="15" customFormat="1" ht="16.5" hidden="1" customHeight="1" outlineLevel="1" x14ac:dyDescent="0.25">
      <c r="A9941" s="18">
        <v>2372</v>
      </c>
      <c r="B9941" s="4" t="s">
        <v>250</v>
      </c>
      <c r="C9941" s="38" t="s">
        <v>4183</v>
      </c>
      <c r="D9941" s="18">
        <v>2022</v>
      </c>
      <c r="E9941" s="18" t="s">
        <v>0</v>
      </c>
      <c r="F9941" s="42">
        <v>1</v>
      </c>
      <c r="G9941" s="4">
        <v>15</v>
      </c>
      <c r="H9941" s="18">
        <v>47.527999999999999</v>
      </c>
    </row>
    <row r="9942" spans="1:8" s="15" customFormat="1" ht="16.5" hidden="1" customHeight="1" outlineLevel="1" x14ac:dyDescent="0.25">
      <c r="A9942" s="18">
        <v>2382</v>
      </c>
      <c r="B9942" s="4" t="s">
        <v>250</v>
      </c>
      <c r="C9942" s="38" t="s">
        <v>8317</v>
      </c>
      <c r="D9942" s="18">
        <v>2022</v>
      </c>
      <c r="E9942" s="18" t="s">
        <v>0</v>
      </c>
      <c r="F9942" s="42">
        <v>1</v>
      </c>
      <c r="G9942" s="4">
        <v>15</v>
      </c>
      <c r="H9942" s="18">
        <v>45.394669999999998</v>
      </c>
    </row>
    <row r="9943" spans="1:8" s="15" customFormat="1" ht="16.5" hidden="1" customHeight="1" outlineLevel="1" x14ac:dyDescent="0.25">
      <c r="A9943" s="18">
        <v>2405</v>
      </c>
      <c r="B9943" s="4" t="s">
        <v>250</v>
      </c>
      <c r="C9943" s="38" t="s">
        <v>4184</v>
      </c>
      <c r="D9943" s="18">
        <v>2022</v>
      </c>
      <c r="E9943" s="18" t="s">
        <v>0</v>
      </c>
      <c r="F9943" s="42">
        <v>1</v>
      </c>
      <c r="G9943" s="4">
        <v>15</v>
      </c>
      <c r="H9943" s="18">
        <v>10.0456</v>
      </c>
    </row>
    <row r="9944" spans="1:8" s="15" customFormat="1" ht="16.5" hidden="1" customHeight="1" outlineLevel="1" x14ac:dyDescent="0.25">
      <c r="A9944" s="18">
        <v>2417</v>
      </c>
      <c r="B9944" s="4" t="s">
        <v>250</v>
      </c>
      <c r="C9944" s="38" t="s">
        <v>4185</v>
      </c>
      <c r="D9944" s="18">
        <v>2022</v>
      </c>
      <c r="E9944" s="18" t="s">
        <v>0</v>
      </c>
      <c r="F9944" s="42">
        <v>1</v>
      </c>
      <c r="G9944" s="4">
        <v>15</v>
      </c>
      <c r="H9944" s="18">
        <v>27.768000000000001</v>
      </c>
    </row>
    <row r="9945" spans="1:8" s="15" customFormat="1" ht="16.5" hidden="1" customHeight="1" outlineLevel="1" x14ac:dyDescent="0.25">
      <c r="A9945" s="18">
        <v>2418</v>
      </c>
      <c r="B9945" s="4" t="s">
        <v>250</v>
      </c>
      <c r="C9945" s="38" t="s">
        <v>4186</v>
      </c>
      <c r="D9945" s="18">
        <v>2022</v>
      </c>
      <c r="E9945" s="18" t="s">
        <v>0</v>
      </c>
      <c r="F9945" s="42">
        <v>1</v>
      </c>
      <c r="G9945" s="4">
        <v>15</v>
      </c>
      <c r="H9945" s="18">
        <v>27.723000000000003</v>
      </c>
    </row>
    <row r="9946" spans="1:8" s="15" customFormat="1" ht="16.5" hidden="1" customHeight="1" outlineLevel="1" x14ac:dyDescent="0.25">
      <c r="A9946" s="18">
        <v>2427</v>
      </c>
      <c r="B9946" s="4" t="s">
        <v>250</v>
      </c>
      <c r="C9946" s="38" t="s">
        <v>8318</v>
      </c>
      <c r="D9946" s="18">
        <v>2022</v>
      </c>
      <c r="E9946" s="18" t="s">
        <v>0</v>
      </c>
      <c r="F9946" s="42">
        <v>1</v>
      </c>
      <c r="G9946" s="4">
        <v>5</v>
      </c>
      <c r="H9946" s="18">
        <v>12.98348</v>
      </c>
    </row>
    <row r="9947" spans="1:8" s="15" customFormat="1" ht="16.5" hidden="1" customHeight="1" outlineLevel="1" x14ac:dyDescent="0.25">
      <c r="A9947" s="18">
        <v>2428</v>
      </c>
      <c r="B9947" s="4" t="s">
        <v>250</v>
      </c>
      <c r="C9947" s="38" t="s">
        <v>4187</v>
      </c>
      <c r="D9947" s="18">
        <v>2022</v>
      </c>
      <c r="E9947" s="18" t="s">
        <v>0</v>
      </c>
      <c r="F9947" s="42">
        <v>1</v>
      </c>
      <c r="G9947" s="4">
        <v>15</v>
      </c>
      <c r="H9947" s="18">
        <v>41.859550000000006</v>
      </c>
    </row>
    <row r="9948" spans="1:8" s="15" customFormat="1" ht="16.5" hidden="1" customHeight="1" outlineLevel="1" x14ac:dyDescent="0.25">
      <c r="A9948" s="18">
        <v>2430</v>
      </c>
      <c r="B9948" s="4" t="s">
        <v>250</v>
      </c>
      <c r="C9948" s="38" t="s">
        <v>4188</v>
      </c>
      <c r="D9948" s="18">
        <v>2022</v>
      </c>
      <c r="E9948" s="18" t="s">
        <v>0</v>
      </c>
      <c r="F9948" s="42">
        <v>1</v>
      </c>
      <c r="G9948" s="4">
        <v>15</v>
      </c>
      <c r="H9948" s="18">
        <v>19.025650000000002</v>
      </c>
    </row>
    <row r="9949" spans="1:8" s="15" customFormat="1" ht="16.5" hidden="1" customHeight="1" outlineLevel="1" x14ac:dyDescent="0.25">
      <c r="A9949" s="18">
        <v>2431</v>
      </c>
      <c r="B9949" s="4" t="s">
        <v>250</v>
      </c>
      <c r="C9949" s="38" t="s">
        <v>4214</v>
      </c>
      <c r="D9949" s="18">
        <v>2022</v>
      </c>
      <c r="E9949" s="18" t="s">
        <v>0</v>
      </c>
      <c r="F9949" s="42">
        <v>1</v>
      </c>
      <c r="G9949" s="4">
        <v>150</v>
      </c>
      <c r="H9949" s="18">
        <v>18.380659999999999</v>
      </c>
    </row>
    <row r="9950" spans="1:8" s="15" customFormat="1" ht="16.5" hidden="1" customHeight="1" outlineLevel="1" x14ac:dyDescent="0.25">
      <c r="A9950" s="18">
        <v>2455</v>
      </c>
      <c r="B9950" s="4" t="s">
        <v>250</v>
      </c>
      <c r="C9950" s="38" t="s">
        <v>4189</v>
      </c>
      <c r="D9950" s="18">
        <v>2022</v>
      </c>
      <c r="E9950" s="18" t="s">
        <v>0</v>
      </c>
      <c r="F9950" s="42">
        <v>1</v>
      </c>
      <c r="G9950" s="4">
        <v>15</v>
      </c>
      <c r="H9950" s="18">
        <v>46.260000000000005</v>
      </c>
    </row>
    <row r="9951" spans="1:8" s="15" customFormat="1" ht="16.5" hidden="1" customHeight="1" outlineLevel="1" x14ac:dyDescent="0.25">
      <c r="A9951" s="18">
        <v>2507</v>
      </c>
      <c r="B9951" s="4" t="s">
        <v>250</v>
      </c>
      <c r="C9951" s="38" t="s">
        <v>4190</v>
      </c>
      <c r="D9951" s="18">
        <v>2022</v>
      </c>
      <c r="E9951" s="18" t="s">
        <v>0</v>
      </c>
      <c r="F9951" s="42">
        <v>1</v>
      </c>
      <c r="G9951" s="4">
        <v>15</v>
      </c>
      <c r="H9951" s="18">
        <v>46.468899999999998</v>
      </c>
    </row>
    <row r="9952" spans="1:8" s="15" customFormat="1" ht="16.5" hidden="1" customHeight="1" outlineLevel="1" x14ac:dyDescent="0.25">
      <c r="A9952" s="18">
        <v>2508</v>
      </c>
      <c r="B9952" s="4" t="s">
        <v>250</v>
      </c>
      <c r="C9952" s="38" t="s">
        <v>4191</v>
      </c>
      <c r="D9952" s="18">
        <v>2022</v>
      </c>
      <c r="E9952" s="18" t="s">
        <v>0</v>
      </c>
      <c r="F9952" s="42">
        <v>1</v>
      </c>
      <c r="G9952" s="4">
        <v>15</v>
      </c>
      <c r="H9952" s="18">
        <v>28.227</v>
      </c>
    </row>
    <row r="9953" spans="1:8" s="15" customFormat="1" ht="16.5" hidden="1" customHeight="1" outlineLevel="1" x14ac:dyDescent="0.25">
      <c r="A9953" s="18">
        <v>2509</v>
      </c>
      <c r="B9953" s="4" t="s">
        <v>250</v>
      </c>
      <c r="C9953" s="38" t="s">
        <v>4192</v>
      </c>
      <c r="D9953" s="18">
        <v>2022</v>
      </c>
      <c r="E9953" s="18" t="s">
        <v>0</v>
      </c>
      <c r="F9953" s="42">
        <v>1</v>
      </c>
      <c r="G9953" s="4">
        <v>6</v>
      </c>
      <c r="H9953" s="18">
        <v>27.465769999999999</v>
      </c>
    </row>
    <row r="9954" spans="1:8" s="15" customFormat="1" ht="16.5" hidden="1" customHeight="1" outlineLevel="1" x14ac:dyDescent="0.25">
      <c r="A9954" s="18">
        <v>2510</v>
      </c>
      <c r="B9954" s="4" t="s">
        <v>250</v>
      </c>
      <c r="C9954" s="38" t="s">
        <v>4215</v>
      </c>
      <c r="D9954" s="18">
        <v>2022</v>
      </c>
      <c r="E9954" s="18" t="s">
        <v>0</v>
      </c>
      <c r="F9954" s="42">
        <v>1</v>
      </c>
      <c r="G9954" s="4">
        <v>200</v>
      </c>
      <c r="H9954" s="18">
        <v>20.376350000000002</v>
      </c>
    </row>
    <row r="9955" spans="1:8" s="15" customFormat="1" ht="16.5" hidden="1" customHeight="1" outlineLevel="1" x14ac:dyDescent="0.25">
      <c r="A9955" s="18">
        <v>2511</v>
      </c>
      <c r="B9955" s="4" t="s">
        <v>250</v>
      </c>
      <c r="C9955" s="38" t="s">
        <v>4193</v>
      </c>
      <c r="D9955" s="18">
        <v>2022</v>
      </c>
      <c r="E9955" s="18" t="s">
        <v>0</v>
      </c>
      <c r="F9955" s="42">
        <v>1</v>
      </c>
      <c r="G9955" s="4">
        <v>8</v>
      </c>
      <c r="H9955" s="18">
        <v>51.735000000000007</v>
      </c>
    </row>
    <row r="9956" spans="1:8" s="15" customFormat="1" ht="16.5" hidden="1" customHeight="1" outlineLevel="1" x14ac:dyDescent="0.25">
      <c r="A9956" s="18">
        <v>2548</v>
      </c>
      <c r="B9956" s="4" t="s">
        <v>250</v>
      </c>
      <c r="C9956" s="38" t="s">
        <v>4195</v>
      </c>
      <c r="D9956" s="18">
        <v>2022</v>
      </c>
      <c r="E9956" s="18" t="s">
        <v>0</v>
      </c>
      <c r="F9956" s="42">
        <v>1</v>
      </c>
      <c r="G9956" s="4">
        <v>15</v>
      </c>
      <c r="H9956" s="18">
        <v>45.877980000000001</v>
      </c>
    </row>
    <row r="9957" spans="1:8" s="15" customFormat="1" ht="16.5" hidden="1" customHeight="1" outlineLevel="1" x14ac:dyDescent="0.25">
      <c r="A9957" s="18">
        <v>2549</v>
      </c>
      <c r="B9957" s="4" t="s">
        <v>250</v>
      </c>
      <c r="C9957" s="38" t="s">
        <v>8319</v>
      </c>
      <c r="D9957" s="18">
        <v>2022</v>
      </c>
      <c r="E9957" s="18" t="s">
        <v>0</v>
      </c>
      <c r="F9957" s="42">
        <v>1</v>
      </c>
      <c r="G9957" s="4">
        <v>15</v>
      </c>
      <c r="H9957" s="18">
        <v>24.605990000000002</v>
      </c>
    </row>
    <row r="9958" spans="1:8" s="15" customFormat="1" ht="16.5" hidden="1" customHeight="1" outlineLevel="1" x14ac:dyDescent="0.25">
      <c r="A9958" s="18">
        <v>2550</v>
      </c>
      <c r="B9958" s="4" t="s">
        <v>250</v>
      </c>
      <c r="C9958" s="38" t="s">
        <v>8320</v>
      </c>
      <c r="D9958" s="18">
        <v>2022</v>
      </c>
      <c r="E9958" s="18" t="s">
        <v>0</v>
      </c>
      <c r="F9958" s="42">
        <v>1</v>
      </c>
      <c r="G9958" s="4">
        <v>15</v>
      </c>
      <c r="H9958" s="18">
        <v>23.152889999999999</v>
      </c>
    </row>
    <row r="9959" spans="1:8" s="15" customFormat="1" ht="16.5" hidden="1" customHeight="1" outlineLevel="1" x14ac:dyDescent="0.25">
      <c r="A9959" s="18">
        <v>2551</v>
      </c>
      <c r="B9959" s="4" t="s">
        <v>250</v>
      </c>
      <c r="C9959" s="38" t="s">
        <v>8321</v>
      </c>
      <c r="D9959" s="18">
        <v>2022</v>
      </c>
      <c r="E9959" s="18" t="s">
        <v>0</v>
      </c>
      <c r="F9959" s="42">
        <v>1</v>
      </c>
      <c r="G9959" s="4">
        <v>15</v>
      </c>
      <c r="H9959" s="18">
        <v>25.205209999999997</v>
      </c>
    </row>
    <row r="9960" spans="1:8" s="15" customFormat="1" ht="16.5" hidden="1" customHeight="1" outlineLevel="1" x14ac:dyDescent="0.25">
      <c r="A9960" s="18">
        <v>2552</v>
      </c>
      <c r="B9960" s="4" t="s">
        <v>250</v>
      </c>
      <c r="C9960" s="38" t="s">
        <v>8322</v>
      </c>
      <c r="D9960" s="18">
        <v>2022</v>
      </c>
      <c r="E9960" s="18" t="s">
        <v>0</v>
      </c>
      <c r="F9960" s="42">
        <v>1</v>
      </c>
      <c r="G9960" s="4">
        <v>15</v>
      </c>
      <c r="H9960" s="18">
        <v>23.42754</v>
      </c>
    </row>
    <row r="9961" spans="1:8" s="15" customFormat="1" ht="16.5" hidden="1" customHeight="1" outlineLevel="1" x14ac:dyDescent="0.25">
      <c r="A9961" s="18">
        <v>2553</v>
      </c>
      <c r="B9961" s="4" t="s">
        <v>250</v>
      </c>
      <c r="C9961" s="38" t="s">
        <v>8323</v>
      </c>
      <c r="D9961" s="18">
        <v>2022</v>
      </c>
      <c r="E9961" s="18" t="s">
        <v>0</v>
      </c>
      <c r="F9961" s="42">
        <v>1</v>
      </c>
      <c r="G9961" s="4">
        <v>15</v>
      </c>
      <c r="H9961" s="18">
        <v>26.051810000000003</v>
      </c>
    </row>
    <row r="9962" spans="1:8" s="15" customFormat="1" ht="16.5" hidden="1" customHeight="1" outlineLevel="1" x14ac:dyDescent="0.25">
      <c r="A9962" s="18">
        <v>2554</v>
      </c>
      <c r="B9962" s="4" t="s">
        <v>250</v>
      </c>
      <c r="C9962" s="38" t="s">
        <v>8324</v>
      </c>
      <c r="D9962" s="18">
        <v>2022</v>
      </c>
      <c r="E9962" s="18" t="s">
        <v>0</v>
      </c>
      <c r="F9962" s="42">
        <v>1</v>
      </c>
      <c r="G9962" s="4">
        <v>5</v>
      </c>
      <c r="H9962" s="18">
        <v>13.091989999999999</v>
      </c>
    </row>
    <row r="9963" spans="1:8" s="15" customFormat="1" ht="16.5" hidden="1" customHeight="1" outlineLevel="1" x14ac:dyDescent="0.25">
      <c r="A9963" s="18">
        <v>2555</v>
      </c>
      <c r="B9963" s="4" t="s">
        <v>250</v>
      </c>
      <c r="C9963" s="38" t="s">
        <v>8325</v>
      </c>
      <c r="D9963" s="18">
        <v>2022</v>
      </c>
      <c r="E9963" s="18" t="s">
        <v>0</v>
      </c>
      <c r="F9963" s="42">
        <v>1</v>
      </c>
      <c r="G9963" s="4">
        <v>15</v>
      </c>
      <c r="H9963" s="18">
        <v>23.529140000000002</v>
      </c>
    </row>
    <row r="9964" spans="1:8" s="15" customFormat="1" ht="16.5" hidden="1" customHeight="1" outlineLevel="1" x14ac:dyDescent="0.25">
      <c r="A9964" s="18">
        <v>2556</v>
      </c>
      <c r="B9964" s="4" t="s">
        <v>250</v>
      </c>
      <c r="C9964" s="38" t="s">
        <v>8326</v>
      </c>
      <c r="D9964" s="18">
        <v>2022</v>
      </c>
      <c r="E9964" s="18" t="s">
        <v>0</v>
      </c>
      <c r="F9964" s="42">
        <v>1</v>
      </c>
      <c r="G9964" s="4">
        <v>15</v>
      </c>
      <c r="H9964" s="18">
        <v>22.837819999999997</v>
      </c>
    </row>
    <row r="9965" spans="1:8" s="15" customFormat="1" ht="16.5" hidden="1" customHeight="1" outlineLevel="1" x14ac:dyDescent="0.25">
      <c r="A9965" s="18">
        <v>2557</v>
      </c>
      <c r="B9965" s="4" t="s">
        <v>250</v>
      </c>
      <c r="C9965" s="38" t="s">
        <v>8327</v>
      </c>
      <c r="D9965" s="18">
        <v>2022</v>
      </c>
      <c r="E9965" s="18" t="s">
        <v>0</v>
      </c>
      <c r="F9965" s="42">
        <v>1</v>
      </c>
      <c r="G9965" s="4">
        <v>2</v>
      </c>
      <c r="H9965" s="18">
        <v>12.588849999999999</v>
      </c>
    </row>
    <row r="9966" spans="1:8" s="15" customFormat="1" ht="16.5" hidden="1" customHeight="1" outlineLevel="1" x14ac:dyDescent="0.25">
      <c r="A9966" s="18">
        <v>2558</v>
      </c>
      <c r="B9966" s="4" t="s">
        <v>250</v>
      </c>
      <c r="C9966" s="38" t="s">
        <v>8328</v>
      </c>
      <c r="D9966" s="18">
        <v>2022</v>
      </c>
      <c r="E9966" s="18" t="s">
        <v>0</v>
      </c>
      <c r="F9966" s="42">
        <v>1</v>
      </c>
      <c r="G9966" s="4">
        <v>2</v>
      </c>
      <c r="H9966" s="18">
        <v>14.112879999999999</v>
      </c>
    </row>
    <row r="9967" spans="1:8" s="15" customFormat="1" ht="16.5" hidden="1" customHeight="1" outlineLevel="1" x14ac:dyDescent="0.25">
      <c r="A9967" s="18">
        <v>2559</v>
      </c>
      <c r="B9967" s="4" t="s">
        <v>250</v>
      </c>
      <c r="C9967" s="38" t="s">
        <v>8329</v>
      </c>
      <c r="D9967" s="18">
        <v>2022</v>
      </c>
      <c r="E9967" s="18" t="s">
        <v>0</v>
      </c>
      <c r="F9967" s="42">
        <v>1</v>
      </c>
      <c r="G9967" s="4">
        <v>2</v>
      </c>
      <c r="H9967" s="18">
        <v>14.112870000000001</v>
      </c>
    </row>
    <row r="9968" spans="1:8" s="15" customFormat="1" ht="16.5" hidden="1" customHeight="1" outlineLevel="1" x14ac:dyDescent="0.25">
      <c r="A9968" s="18">
        <v>2560</v>
      </c>
      <c r="B9968" s="4" t="s">
        <v>250</v>
      </c>
      <c r="C9968" s="38" t="s">
        <v>8330</v>
      </c>
      <c r="D9968" s="18">
        <v>2022</v>
      </c>
      <c r="E9968" s="18" t="s">
        <v>0</v>
      </c>
      <c r="F9968" s="42">
        <v>1</v>
      </c>
      <c r="G9968" s="4">
        <v>50</v>
      </c>
      <c r="H9968" s="18">
        <v>21.144720000000003</v>
      </c>
    </row>
    <row r="9969" spans="1:8" s="15" customFormat="1" ht="16.5" hidden="1" customHeight="1" outlineLevel="1" x14ac:dyDescent="0.25">
      <c r="A9969" s="18">
        <v>2561</v>
      </c>
      <c r="B9969" s="4" t="s">
        <v>250</v>
      </c>
      <c r="C9969" s="38" t="s">
        <v>8331</v>
      </c>
      <c r="D9969" s="18">
        <v>2022</v>
      </c>
      <c r="E9969" s="18" t="s">
        <v>0</v>
      </c>
      <c r="F9969" s="42">
        <v>1</v>
      </c>
      <c r="G9969" s="4">
        <v>12</v>
      </c>
      <c r="H9969" s="18">
        <v>21.350599999999996</v>
      </c>
    </row>
    <row r="9970" spans="1:8" s="15" customFormat="1" ht="16.5" hidden="1" customHeight="1" outlineLevel="1" x14ac:dyDescent="0.25">
      <c r="A9970" s="18">
        <v>2562</v>
      </c>
      <c r="B9970" s="4" t="s">
        <v>250</v>
      </c>
      <c r="C9970" s="38" t="s">
        <v>8332</v>
      </c>
      <c r="D9970" s="18">
        <v>2022</v>
      </c>
      <c r="E9970" s="18" t="s">
        <v>0</v>
      </c>
      <c r="F9970" s="42">
        <v>1</v>
      </c>
      <c r="G9970" s="4">
        <v>15</v>
      </c>
      <c r="H9970" s="18">
        <v>22.545119999999997</v>
      </c>
    </row>
    <row r="9971" spans="1:8" s="15" customFormat="1" ht="16.5" hidden="1" customHeight="1" outlineLevel="1" x14ac:dyDescent="0.25">
      <c r="A9971" s="18">
        <v>2563</v>
      </c>
      <c r="B9971" s="4" t="s">
        <v>250</v>
      </c>
      <c r="C9971" s="38" t="s">
        <v>8333</v>
      </c>
      <c r="D9971" s="18">
        <v>2022</v>
      </c>
      <c r="E9971" s="18" t="s">
        <v>0</v>
      </c>
      <c r="F9971" s="42">
        <v>1</v>
      </c>
      <c r="G9971" s="4">
        <v>1</v>
      </c>
      <c r="H9971" s="18">
        <v>11.92733</v>
      </c>
    </row>
    <row r="9972" spans="1:8" s="15" customFormat="1" ht="16.5" hidden="1" customHeight="1" outlineLevel="1" x14ac:dyDescent="0.25">
      <c r="A9972" s="18">
        <v>2565</v>
      </c>
      <c r="B9972" s="4" t="s">
        <v>250</v>
      </c>
      <c r="C9972" s="38" t="s">
        <v>4196</v>
      </c>
      <c r="D9972" s="18">
        <v>2022</v>
      </c>
      <c r="E9972" s="18" t="s">
        <v>0</v>
      </c>
      <c r="F9972" s="42">
        <v>1</v>
      </c>
      <c r="G9972" s="4">
        <v>15</v>
      </c>
      <c r="H9972" s="18">
        <v>86.843000000000004</v>
      </c>
    </row>
    <row r="9973" spans="1:8" s="15" customFormat="1" ht="16.5" hidden="1" customHeight="1" outlineLevel="1" x14ac:dyDescent="0.25">
      <c r="A9973" s="18">
        <v>2566</v>
      </c>
      <c r="B9973" s="4" t="s">
        <v>250</v>
      </c>
      <c r="C9973" s="38" t="s">
        <v>4197</v>
      </c>
      <c r="D9973" s="18">
        <v>2022</v>
      </c>
      <c r="E9973" s="18" t="s">
        <v>0</v>
      </c>
      <c r="F9973" s="42">
        <v>1</v>
      </c>
      <c r="G9973" s="4">
        <v>14</v>
      </c>
      <c r="H9973" s="18">
        <v>137.61100000000002</v>
      </c>
    </row>
    <row r="9974" spans="1:8" s="15" customFormat="1" ht="16.5" hidden="1" customHeight="1" outlineLevel="1" x14ac:dyDescent="0.25">
      <c r="A9974" s="18">
        <v>2567</v>
      </c>
      <c r="B9974" s="4" t="s">
        <v>250</v>
      </c>
      <c r="C9974" s="38" t="s">
        <v>4216</v>
      </c>
      <c r="D9974" s="18">
        <v>2022</v>
      </c>
      <c r="E9974" s="18" t="s">
        <v>0</v>
      </c>
      <c r="F9974" s="42">
        <v>1</v>
      </c>
      <c r="G9974" s="4">
        <v>150</v>
      </c>
      <c r="H9974" s="18">
        <v>125.646</v>
      </c>
    </row>
    <row r="9975" spans="1:8" s="15" customFormat="1" ht="16.5" hidden="1" customHeight="1" outlineLevel="1" x14ac:dyDescent="0.25">
      <c r="A9975" s="18">
        <v>2568</v>
      </c>
      <c r="B9975" s="4" t="s">
        <v>250</v>
      </c>
      <c r="C9975" s="38" t="s">
        <v>4198</v>
      </c>
      <c r="D9975" s="18">
        <v>2022</v>
      </c>
      <c r="E9975" s="18" t="s">
        <v>0</v>
      </c>
      <c r="F9975" s="42">
        <v>1</v>
      </c>
      <c r="G9975" s="4">
        <v>15</v>
      </c>
      <c r="H9975" s="18">
        <v>136.04759999999999</v>
      </c>
    </row>
    <row r="9976" spans="1:8" s="15" customFormat="1" ht="16.5" hidden="1" customHeight="1" outlineLevel="1" x14ac:dyDescent="0.25">
      <c r="A9976" s="18">
        <v>2613</v>
      </c>
      <c r="B9976" s="4" t="s">
        <v>250</v>
      </c>
      <c r="C9976" s="38" t="s">
        <v>8334</v>
      </c>
      <c r="D9976" s="18">
        <v>2022</v>
      </c>
      <c r="E9976" s="18" t="s">
        <v>0</v>
      </c>
      <c r="F9976" s="42">
        <v>1</v>
      </c>
      <c r="G9976" s="4">
        <v>15</v>
      </c>
      <c r="H9976" s="18">
        <v>5.3943700000000003</v>
      </c>
    </row>
    <row r="9977" spans="1:8" s="15" customFormat="1" ht="16.5" hidden="1" customHeight="1" outlineLevel="1" x14ac:dyDescent="0.25">
      <c r="A9977" s="18">
        <v>2614</v>
      </c>
      <c r="B9977" s="4" t="s">
        <v>250</v>
      </c>
      <c r="C9977" s="38" t="s">
        <v>8335</v>
      </c>
      <c r="D9977" s="18">
        <v>2022</v>
      </c>
      <c r="E9977" s="18" t="s">
        <v>0</v>
      </c>
      <c r="F9977" s="42">
        <v>1</v>
      </c>
      <c r="G9977" s="4">
        <v>15</v>
      </c>
      <c r="H9977" s="18">
        <v>5.3944399999999995</v>
      </c>
    </row>
    <row r="9978" spans="1:8" s="15" customFormat="1" ht="16.5" hidden="1" customHeight="1" outlineLevel="1" x14ac:dyDescent="0.25">
      <c r="A9978" s="18">
        <v>2615</v>
      </c>
      <c r="B9978" s="4" t="s">
        <v>250</v>
      </c>
      <c r="C9978" s="38" t="s">
        <v>8336</v>
      </c>
      <c r="D9978" s="18">
        <v>2022</v>
      </c>
      <c r="E9978" s="18" t="s">
        <v>0</v>
      </c>
      <c r="F9978" s="42">
        <v>1</v>
      </c>
      <c r="G9978" s="4">
        <v>15</v>
      </c>
      <c r="H9978" s="18">
        <v>6.7879099999999992</v>
      </c>
    </row>
    <row r="9979" spans="1:8" s="15" customFormat="1" ht="16.5" hidden="1" customHeight="1" outlineLevel="1" x14ac:dyDescent="0.25">
      <c r="A9979" s="18">
        <v>2616</v>
      </c>
      <c r="B9979" s="4" t="s">
        <v>250</v>
      </c>
      <c r="C9979" s="38" t="s">
        <v>8337</v>
      </c>
      <c r="D9979" s="18">
        <v>2022</v>
      </c>
      <c r="E9979" s="18" t="s">
        <v>0</v>
      </c>
      <c r="F9979" s="42">
        <v>1</v>
      </c>
      <c r="G9979" s="4">
        <v>15</v>
      </c>
      <c r="H9979" s="18">
        <v>9.5748700000000007</v>
      </c>
    </row>
    <row r="9980" spans="1:8" s="15" customFormat="1" ht="16.5" hidden="1" customHeight="1" outlineLevel="1" x14ac:dyDescent="0.25">
      <c r="A9980" s="18">
        <v>2617</v>
      </c>
      <c r="B9980" s="4" t="s">
        <v>250</v>
      </c>
      <c r="C9980" s="38" t="s">
        <v>8338</v>
      </c>
      <c r="D9980" s="18">
        <v>2022</v>
      </c>
      <c r="E9980" s="18" t="s">
        <v>0</v>
      </c>
      <c r="F9980" s="42">
        <v>1</v>
      </c>
      <c r="G9980" s="4">
        <v>15</v>
      </c>
      <c r="H9980" s="18">
        <v>5.3944000000000001</v>
      </c>
    </row>
    <row r="9981" spans="1:8" s="15" customFormat="1" ht="16.5" hidden="1" customHeight="1" outlineLevel="1" x14ac:dyDescent="0.25">
      <c r="A9981" s="18">
        <v>2618</v>
      </c>
      <c r="B9981" s="4" t="s">
        <v>250</v>
      </c>
      <c r="C9981" s="38" t="s">
        <v>8339</v>
      </c>
      <c r="D9981" s="18">
        <v>2022</v>
      </c>
      <c r="E9981" s="18" t="s">
        <v>0</v>
      </c>
      <c r="F9981" s="42">
        <v>1</v>
      </c>
      <c r="G9981" s="4">
        <v>15</v>
      </c>
      <c r="H9981" s="18">
        <v>5.3943399999999997</v>
      </c>
    </row>
    <row r="9982" spans="1:8" s="15" customFormat="1" ht="16.5" hidden="1" customHeight="1" outlineLevel="1" x14ac:dyDescent="0.25">
      <c r="A9982" s="18">
        <v>2619</v>
      </c>
      <c r="B9982" s="4" t="s">
        <v>250</v>
      </c>
      <c r="C9982" s="38" t="s">
        <v>8340</v>
      </c>
      <c r="D9982" s="18">
        <v>2022</v>
      </c>
      <c r="E9982" s="18" t="s">
        <v>0</v>
      </c>
      <c r="F9982" s="42">
        <v>1</v>
      </c>
      <c r="G9982" s="4">
        <v>15</v>
      </c>
      <c r="H9982" s="18">
        <v>5.3943500000000002</v>
      </c>
    </row>
    <row r="9983" spans="1:8" s="15" customFormat="1" ht="16.5" hidden="1" customHeight="1" outlineLevel="1" x14ac:dyDescent="0.25">
      <c r="A9983" s="18">
        <v>2620</v>
      </c>
      <c r="B9983" s="4" t="s">
        <v>250</v>
      </c>
      <c r="C9983" s="38" t="s">
        <v>8341</v>
      </c>
      <c r="D9983" s="18">
        <v>2022</v>
      </c>
      <c r="E9983" s="18" t="s">
        <v>0</v>
      </c>
      <c r="F9983" s="42">
        <v>1</v>
      </c>
      <c r="G9983" s="4">
        <v>15</v>
      </c>
      <c r="H9983" s="18">
        <v>6.6111399999999998</v>
      </c>
    </row>
    <row r="9984" spans="1:8" s="15" customFormat="1" ht="16.5" hidden="1" customHeight="1" outlineLevel="1" x14ac:dyDescent="0.25">
      <c r="A9984" s="18">
        <v>2621</v>
      </c>
      <c r="B9984" s="4" t="s">
        <v>250</v>
      </c>
      <c r="C9984" s="38" t="s">
        <v>8342</v>
      </c>
      <c r="D9984" s="18">
        <v>2022</v>
      </c>
      <c r="E9984" s="18" t="s">
        <v>0</v>
      </c>
      <c r="F9984" s="42">
        <v>1</v>
      </c>
      <c r="G9984" s="4">
        <v>15</v>
      </c>
      <c r="H9984" s="18">
        <v>6.6100899999999996</v>
      </c>
    </row>
    <row r="9985" spans="1:8" s="15" customFormat="1" ht="16.5" hidden="1" customHeight="1" outlineLevel="1" x14ac:dyDescent="0.25">
      <c r="A9985" s="18">
        <v>2622</v>
      </c>
      <c r="B9985" s="4" t="s">
        <v>250</v>
      </c>
      <c r="C9985" s="38" t="s">
        <v>8343</v>
      </c>
      <c r="D9985" s="18">
        <v>2022</v>
      </c>
      <c r="E9985" s="18" t="s">
        <v>0</v>
      </c>
      <c r="F9985" s="42">
        <v>1</v>
      </c>
      <c r="G9985" s="4">
        <v>15</v>
      </c>
      <c r="H9985" s="18">
        <v>10.6149</v>
      </c>
    </row>
    <row r="9986" spans="1:8" s="15" customFormat="1" ht="16.5" hidden="1" customHeight="1" outlineLevel="1" x14ac:dyDescent="0.25">
      <c r="A9986" s="18">
        <v>2623</v>
      </c>
      <c r="B9986" s="4" t="s">
        <v>250</v>
      </c>
      <c r="C9986" s="38" t="s">
        <v>8344</v>
      </c>
      <c r="D9986" s="18">
        <v>2022</v>
      </c>
      <c r="E9986" s="18" t="s">
        <v>0</v>
      </c>
      <c r="F9986" s="42">
        <v>1</v>
      </c>
      <c r="G9986" s="4">
        <v>15</v>
      </c>
      <c r="H9986" s="18">
        <v>5.3943500000000002</v>
      </c>
    </row>
    <row r="9987" spans="1:8" s="15" customFormat="1" ht="16.5" hidden="1" customHeight="1" outlineLevel="1" x14ac:dyDescent="0.25">
      <c r="A9987" s="18">
        <v>2624</v>
      </c>
      <c r="B9987" s="4" t="s">
        <v>250</v>
      </c>
      <c r="C9987" s="38" t="s">
        <v>8345</v>
      </c>
      <c r="D9987" s="18">
        <v>2022</v>
      </c>
      <c r="E9987" s="18" t="s">
        <v>0</v>
      </c>
      <c r="F9987" s="42">
        <v>1</v>
      </c>
      <c r="G9987" s="4">
        <v>15</v>
      </c>
      <c r="H9987" s="18">
        <v>5.3943399999999997</v>
      </c>
    </row>
    <row r="9988" spans="1:8" s="15" customFormat="1" ht="16.5" hidden="1" customHeight="1" outlineLevel="1" x14ac:dyDescent="0.25">
      <c r="A9988" s="18">
        <v>2625</v>
      </c>
      <c r="B9988" s="4" t="s">
        <v>250</v>
      </c>
      <c r="C9988" s="38" t="s">
        <v>8346</v>
      </c>
      <c r="D9988" s="18">
        <v>2022</v>
      </c>
      <c r="E9988" s="18" t="s">
        <v>0</v>
      </c>
      <c r="F9988" s="42">
        <v>1</v>
      </c>
      <c r="G9988" s="4">
        <v>15</v>
      </c>
      <c r="H9988" s="18">
        <v>5.3943500000000002</v>
      </c>
    </row>
    <row r="9989" spans="1:8" s="15" customFormat="1" ht="16.5" hidden="1" customHeight="1" outlineLevel="1" x14ac:dyDescent="0.25">
      <c r="A9989" s="18">
        <v>2626</v>
      </c>
      <c r="B9989" s="4" t="s">
        <v>250</v>
      </c>
      <c r="C9989" s="38" t="s">
        <v>8347</v>
      </c>
      <c r="D9989" s="18">
        <v>2022</v>
      </c>
      <c r="E9989" s="18" t="s">
        <v>0</v>
      </c>
      <c r="F9989" s="42">
        <v>1</v>
      </c>
      <c r="G9989" s="4">
        <v>10</v>
      </c>
      <c r="H9989" s="18">
        <v>5.3943399999999997</v>
      </c>
    </row>
    <row r="9990" spans="1:8" s="15" customFormat="1" ht="16.5" hidden="1" customHeight="1" outlineLevel="1" x14ac:dyDescent="0.25">
      <c r="A9990" s="18">
        <v>2627</v>
      </c>
      <c r="B9990" s="4" t="s">
        <v>250</v>
      </c>
      <c r="C9990" s="38" t="s">
        <v>8348</v>
      </c>
      <c r="D9990" s="18">
        <v>2022</v>
      </c>
      <c r="E9990" s="18" t="s">
        <v>0</v>
      </c>
      <c r="F9990" s="42">
        <v>1</v>
      </c>
      <c r="G9990" s="4">
        <v>15</v>
      </c>
      <c r="H9990" s="18">
        <v>5.3943500000000002</v>
      </c>
    </row>
    <row r="9991" spans="1:8" s="15" customFormat="1" ht="16.5" hidden="1" customHeight="1" outlineLevel="1" x14ac:dyDescent="0.25">
      <c r="A9991" s="18">
        <v>2628</v>
      </c>
      <c r="B9991" s="4" t="s">
        <v>250</v>
      </c>
      <c r="C9991" s="38" t="s">
        <v>8349</v>
      </c>
      <c r="D9991" s="18">
        <v>2022</v>
      </c>
      <c r="E9991" s="18" t="s">
        <v>0</v>
      </c>
      <c r="F9991" s="42">
        <v>1</v>
      </c>
      <c r="G9991" s="4">
        <v>15</v>
      </c>
      <c r="H9991" s="18">
        <v>6.6111400000000007</v>
      </c>
    </row>
    <row r="9992" spans="1:8" s="15" customFormat="1" ht="16.5" hidden="1" customHeight="1" outlineLevel="1" x14ac:dyDescent="0.25">
      <c r="A9992" s="18">
        <v>2629</v>
      </c>
      <c r="B9992" s="4" t="s">
        <v>250</v>
      </c>
      <c r="C9992" s="38" t="s">
        <v>8350</v>
      </c>
      <c r="D9992" s="18">
        <v>2022</v>
      </c>
      <c r="E9992" s="18" t="s">
        <v>0</v>
      </c>
      <c r="F9992" s="42">
        <v>1</v>
      </c>
      <c r="G9992" s="4">
        <v>15</v>
      </c>
      <c r="H9992" s="18">
        <v>6.6111499999999994</v>
      </c>
    </row>
    <row r="9993" spans="1:8" s="15" customFormat="1" ht="16.5" hidden="1" customHeight="1" outlineLevel="1" x14ac:dyDescent="0.25">
      <c r="A9993" s="18">
        <v>2630</v>
      </c>
      <c r="B9993" s="4" t="s">
        <v>250</v>
      </c>
      <c r="C9993" s="38" t="s">
        <v>8351</v>
      </c>
      <c r="D9993" s="18">
        <v>2022</v>
      </c>
      <c r="E9993" s="18" t="s">
        <v>0</v>
      </c>
      <c r="F9993" s="42">
        <v>1</v>
      </c>
      <c r="G9993" s="4">
        <v>15</v>
      </c>
      <c r="H9993" s="18">
        <v>10.6149</v>
      </c>
    </row>
    <row r="9994" spans="1:8" s="15" customFormat="1" ht="16.5" hidden="1" customHeight="1" outlineLevel="1" x14ac:dyDescent="0.25">
      <c r="A9994" s="18">
        <v>2631</v>
      </c>
      <c r="B9994" s="4" t="s">
        <v>250</v>
      </c>
      <c r="C9994" s="38" t="s">
        <v>8352</v>
      </c>
      <c r="D9994" s="18">
        <v>2022</v>
      </c>
      <c r="E9994" s="18" t="s">
        <v>0</v>
      </c>
      <c r="F9994" s="42">
        <v>1</v>
      </c>
      <c r="G9994" s="4">
        <v>15</v>
      </c>
      <c r="H9994" s="18">
        <v>10.96838</v>
      </c>
    </row>
    <row r="9995" spans="1:8" s="15" customFormat="1" ht="16.5" hidden="1" customHeight="1" outlineLevel="1" x14ac:dyDescent="0.25">
      <c r="A9995" s="18">
        <v>2632</v>
      </c>
      <c r="B9995" s="4" t="s">
        <v>250</v>
      </c>
      <c r="C9995" s="38" t="s">
        <v>8353</v>
      </c>
      <c r="D9995" s="18">
        <v>2022</v>
      </c>
      <c r="E9995" s="18" t="s">
        <v>0</v>
      </c>
      <c r="F9995" s="42">
        <v>1</v>
      </c>
      <c r="G9995" s="4">
        <v>15</v>
      </c>
      <c r="H9995" s="18">
        <v>20.62434</v>
      </c>
    </row>
    <row r="9996" spans="1:8" s="15" customFormat="1" ht="16.5" hidden="1" customHeight="1" outlineLevel="1" x14ac:dyDescent="0.25">
      <c r="A9996" s="18">
        <v>2633</v>
      </c>
      <c r="B9996" s="4" t="s">
        <v>250</v>
      </c>
      <c r="C9996" s="38" t="s">
        <v>8354</v>
      </c>
      <c r="D9996" s="18">
        <v>2022</v>
      </c>
      <c r="E9996" s="18" t="s">
        <v>0</v>
      </c>
      <c r="F9996" s="42">
        <v>1</v>
      </c>
      <c r="G9996" s="4">
        <v>15</v>
      </c>
      <c r="H9996" s="18">
        <v>6.7878699999999998</v>
      </c>
    </row>
    <row r="9997" spans="1:8" s="15" customFormat="1" ht="16.5" hidden="1" customHeight="1" outlineLevel="1" x14ac:dyDescent="0.25">
      <c r="A9997" s="18">
        <v>2634</v>
      </c>
      <c r="B9997" s="4" t="s">
        <v>250</v>
      </c>
      <c r="C9997" s="38" t="s">
        <v>8355</v>
      </c>
      <c r="D9997" s="18">
        <v>2022</v>
      </c>
      <c r="E9997" s="18" t="s">
        <v>0</v>
      </c>
      <c r="F9997" s="42">
        <v>1</v>
      </c>
      <c r="G9997" s="4">
        <v>15</v>
      </c>
      <c r="H9997" s="18">
        <v>5.3943399999999997</v>
      </c>
    </row>
    <row r="9998" spans="1:8" s="15" customFormat="1" ht="16.5" hidden="1" customHeight="1" outlineLevel="1" x14ac:dyDescent="0.25">
      <c r="A9998" s="18">
        <v>2635</v>
      </c>
      <c r="B9998" s="4" t="s">
        <v>250</v>
      </c>
      <c r="C9998" s="38" t="s">
        <v>8356</v>
      </c>
      <c r="D9998" s="18">
        <v>2022</v>
      </c>
      <c r="E9998" s="18" t="s">
        <v>0</v>
      </c>
      <c r="F9998" s="42">
        <v>1</v>
      </c>
      <c r="G9998" s="4">
        <v>15</v>
      </c>
      <c r="H9998" s="18">
        <v>4.0008999999999997</v>
      </c>
    </row>
    <row r="9999" spans="1:8" s="15" customFormat="1" ht="16.5" hidden="1" customHeight="1" outlineLevel="1" x14ac:dyDescent="0.25">
      <c r="A9999" s="18">
        <v>2636</v>
      </c>
      <c r="B9999" s="4" t="s">
        <v>250</v>
      </c>
      <c r="C9999" s="38" t="s">
        <v>8357</v>
      </c>
      <c r="D9999" s="18">
        <v>2022</v>
      </c>
      <c r="E9999" s="18" t="s">
        <v>0</v>
      </c>
      <c r="F9999" s="42">
        <v>1</v>
      </c>
      <c r="G9999" s="4">
        <v>150</v>
      </c>
      <c r="H9999" s="18">
        <v>5.3943399999999997</v>
      </c>
    </row>
    <row r="10000" spans="1:8" s="15" customFormat="1" ht="16.5" hidden="1" customHeight="1" outlineLevel="1" x14ac:dyDescent="0.25">
      <c r="A10000" s="18">
        <v>2637</v>
      </c>
      <c r="B10000" s="4" t="s">
        <v>250</v>
      </c>
      <c r="C10000" s="38" t="s">
        <v>8358</v>
      </c>
      <c r="D10000" s="18">
        <v>2022</v>
      </c>
      <c r="E10000" s="18" t="s">
        <v>0</v>
      </c>
      <c r="F10000" s="42">
        <v>1</v>
      </c>
      <c r="G10000" s="4">
        <v>6</v>
      </c>
      <c r="H10000" s="18">
        <v>5.3943500000000002</v>
      </c>
    </row>
    <row r="10001" spans="1:8" s="15" customFormat="1" ht="16.5" hidden="1" customHeight="1" outlineLevel="1" x14ac:dyDescent="0.25">
      <c r="A10001" s="18">
        <v>2638</v>
      </c>
      <c r="B10001" s="4" t="s">
        <v>250</v>
      </c>
      <c r="C10001" s="38" t="s">
        <v>8359</v>
      </c>
      <c r="D10001" s="18">
        <v>2022</v>
      </c>
      <c r="E10001" s="18" t="s">
        <v>0</v>
      </c>
      <c r="F10001" s="42">
        <v>1</v>
      </c>
      <c r="G10001" s="4">
        <v>10</v>
      </c>
      <c r="H10001" s="18">
        <v>6.6111400000000007</v>
      </c>
    </row>
    <row r="10002" spans="1:8" s="15" customFormat="1" ht="16.5" hidden="1" customHeight="1" outlineLevel="1" x14ac:dyDescent="0.25">
      <c r="A10002" s="18">
        <v>2639</v>
      </c>
      <c r="B10002" s="4" t="s">
        <v>250</v>
      </c>
      <c r="C10002" s="38" t="s">
        <v>8360</v>
      </c>
      <c r="D10002" s="18">
        <v>2022</v>
      </c>
      <c r="E10002" s="18" t="s">
        <v>0</v>
      </c>
      <c r="F10002" s="42">
        <v>1</v>
      </c>
      <c r="G10002" s="4">
        <v>15</v>
      </c>
      <c r="H10002" s="18">
        <v>4.0008999999999997</v>
      </c>
    </row>
    <row r="10003" spans="1:8" s="15" customFormat="1" ht="16.5" hidden="1" customHeight="1" outlineLevel="1" x14ac:dyDescent="0.25">
      <c r="A10003" s="18">
        <v>2640</v>
      </c>
      <c r="B10003" s="4" t="s">
        <v>250</v>
      </c>
      <c r="C10003" s="38" t="s">
        <v>8361</v>
      </c>
      <c r="D10003" s="18">
        <v>2022</v>
      </c>
      <c r="E10003" s="18" t="s">
        <v>0</v>
      </c>
      <c r="F10003" s="42">
        <v>1</v>
      </c>
      <c r="G10003" s="4">
        <v>15</v>
      </c>
      <c r="H10003" s="18">
        <v>5.3943700000000003</v>
      </c>
    </row>
    <row r="10004" spans="1:8" s="15" customFormat="1" ht="16.5" hidden="1" customHeight="1" outlineLevel="1" x14ac:dyDescent="0.25">
      <c r="A10004" s="18">
        <v>2641</v>
      </c>
      <c r="B10004" s="4" t="s">
        <v>250</v>
      </c>
      <c r="C10004" s="38" t="s">
        <v>8362</v>
      </c>
      <c r="D10004" s="18">
        <v>2022</v>
      </c>
      <c r="E10004" s="18" t="s">
        <v>0</v>
      </c>
      <c r="F10004" s="42">
        <v>1</v>
      </c>
      <c r="G10004" s="4">
        <v>15</v>
      </c>
      <c r="H10004" s="18">
        <v>10.6149</v>
      </c>
    </row>
    <row r="10005" spans="1:8" s="15" customFormat="1" ht="16.5" hidden="1" customHeight="1" outlineLevel="1" x14ac:dyDescent="0.25">
      <c r="A10005" s="18">
        <v>2642</v>
      </c>
      <c r="B10005" s="4" t="s">
        <v>250</v>
      </c>
      <c r="C10005" s="38" t="s">
        <v>8363</v>
      </c>
      <c r="D10005" s="18">
        <v>2022</v>
      </c>
      <c r="E10005" s="18" t="s">
        <v>0</v>
      </c>
      <c r="F10005" s="42">
        <v>1</v>
      </c>
      <c r="G10005" s="4">
        <v>7.5</v>
      </c>
      <c r="H10005" s="18">
        <v>5.3943900000000005</v>
      </c>
    </row>
    <row r="10006" spans="1:8" s="15" customFormat="1" ht="16.5" hidden="1" customHeight="1" outlineLevel="1" x14ac:dyDescent="0.25">
      <c r="A10006" s="18">
        <v>2643</v>
      </c>
      <c r="B10006" s="4" t="s">
        <v>250</v>
      </c>
      <c r="C10006" s="38" t="s">
        <v>8364</v>
      </c>
      <c r="D10006" s="18">
        <v>2022</v>
      </c>
      <c r="E10006" s="18" t="s">
        <v>0</v>
      </c>
      <c r="F10006" s="42">
        <v>1</v>
      </c>
      <c r="G10006" s="4">
        <v>15</v>
      </c>
      <c r="H10006" s="18">
        <v>6.6111400000000007</v>
      </c>
    </row>
    <row r="10007" spans="1:8" s="15" customFormat="1" ht="16.5" hidden="1" customHeight="1" outlineLevel="1" x14ac:dyDescent="0.25">
      <c r="A10007" s="18">
        <v>2644</v>
      </c>
      <c r="B10007" s="4" t="s">
        <v>250</v>
      </c>
      <c r="C10007" s="38" t="s">
        <v>8365</v>
      </c>
      <c r="D10007" s="18">
        <v>2022</v>
      </c>
      <c r="E10007" s="18" t="s">
        <v>0</v>
      </c>
      <c r="F10007" s="42">
        <v>1</v>
      </c>
      <c r="G10007" s="4">
        <v>15</v>
      </c>
      <c r="H10007" s="18">
        <v>36.094089999999994</v>
      </c>
    </row>
    <row r="10008" spans="1:8" s="15" customFormat="1" ht="16.5" hidden="1" customHeight="1" outlineLevel="1" x14ac:dyDescent="0.25">
      <c r="A10008" s="18">
        <v>2645</v>
      </c>
      <c r="B10008" s="4" t="s">
        <v>250</v>
      </c>
      <c r="C10008" s="38" t="s">
        <v>8366</v>
      </c>
      <c r="D10008" s="18">
        <v>2022</v>
      </c>
      <c r="E10008" s="18" t="s">
        <v>0</v>
      </c>
      <c r="F10008" s="42">
        <v>1</v>
      </c>
      <c r="G10008" s="4">
        <v>15</v>
      </c>
      <c r="H10008" s="18">
        <v>38.881089999999993</v>
      </c>
    </row>
    <row r="10009" spans="1:8" s="15" customFormat="1" ht="16.5" hidden="1" customHeight="1" outlineLevel="1" x14ac:dyDescent="0.25">
      <c r="A10009" s="18">
        <v>2646</v>
      </c>
      <c r="B10009" s="4" t="s">
        <v>250</v>
      </c>
      <c r="C10009" s="38" t="s">
        <v>8367</v>
      </c>
      <c r="D10009" s="18">
        <v>2022</v>
      </c>
      <c r="E10009" s="18" t="s">
        <v>0</v>
      </c>
      <c r="F10009" s="42">
        <v>1</v>
      </c>
      <c r="G10009" s="4">
        <v>15</v>
      </c>
      <c r="H10009" s="18">
        <v>38.704349999999998</v>
      </c>
    </row>
    <row r="10010" spans="1:8" s="15" customFormat="1" ht="16.5" hidden="1" customHeight="1" outlineLevel="1" x14ac:dyDescent="0.25">
      <c r="A10010" s="18">
        <v>2647</v>
      </c>
      <c r="B10010" s="4" t="s">
        <v>250</v>
      </c>
      <c r="C10010" s="38" t="s">
        <v>8368</v>
      </c>
      <c r="D10010" s="18">
        <v>2022</v>
      </c>
      <c r="E10010" s="18" t="s">
        <v>0</v>
      </c>
      <c r="F10010" s="42">
        <v>1</v>
      </c>
      <c r="G10010" s="4">
        <v>15</v>
      </c>
      <c r="H10010" s="18">
        <v>41.668120000000002</v>
      </c>
    </row>
    <row r="10011" spans="1:8" s="15" customFormat="1" ht="16.5" hidden="1" customHeight="1" outlineLevel="1" x14ac:dyDescent="0.25">
      <c r="A10011" s="18">
        <v>2648</v>
      </c>
      <c r="B10011" s="4" t="s">
        <v>250</v>
      </c>
      <c r="C10011" s="38" t="s">
        <v>8369</v>
      </c>
      <c r="D10011" s="18">
        <v>2022</v>
      </c>
      <c r="E10011" s="18" t="s">
        <v>0</v>
      </c>
      <c r="F10011" s="42">
        <v>1</v>
      </c>
      <c r="G10011" s="4">
        <v>5</v>
      </c>
      <c r="H10011" s="18">
        <v>37.487559999999995</v>
      </c>
    </row>
    <row r="10012" spans="1:8" s="15" customFormat="1" ht="16.5" hidden="1" customHeight="1" outlineLevel="1" x14ac:dyDescent="0.25">
      <c r="A10012" s="18">
        <v>2649</v>
      </c>
      <c r="B10012" s="4" t="s">
        <v>250</v>
      </c>
      <c r="C10012" s="38" t="s">
        <v>8370</v>
      </c>
      <c r="D10012" s="18">
        <v>2022</v>
      </c>
      <c r="E10012" s="18" t="s">
        <v>0</v>
      </c>
      <c r="F10012" s="42">
        <v>1</v>
      </c>
      <c r="G10012" s="4">
        <v>15</v>
      </c>
      <c r="H10012" s="18">
        <v>37.487569999999998</v>
      </c>
    </row>
    <row r="10013" spans="1:8" s="15" customFormat="1" ht="16.5" hidden="1" customHeight="1" outlineLevel="1" x14ac:dyDescent="0.25">
      <c r="A10013" s="18">
        <v>2650</v>
      </c>
      <c r="B10013" s="4" t="s">
        <v>250</v>
      </c>
      <c r="C10013" s="38" t="s">
        <v>8371</v>
      </c>
      <c r="D10013" s="18">
        <v>2022</v>
      </c>
      <c r="E10013" s="18" t="s">
        <v>0</v>
      </c>
      <c r="F10013" s="42">
        <v>1</v>
      </c>
      <c r="G10013" s="4">
        <v>15</v>
      </c>
      <c r="H10013" s="18">
        <v>36.094090000000001</v>
      </c>
    </row>
    <row r="10014" spans="1:8" s="15" customFormat="1" ht="16.5" hidden="1" customHeight="1" outlineLevel="1" x14ac:dyDescent="0.25">
      <c r="A10014" s="18">
        <v>2651</v>
      </c>
      <c r="B10014" s="4" t="s">
        <v>250</v>
      </c>
      <c r="C10014" s="38" t="s">
        <v>8372</v>
      </c>
      <c r="D10014" s="18">
        <v>2022</v>
      </c>
      <c r="E10014" s="18" t="s">
        <v>0</v>
      </c>
      <c r="F10014" s="42">
        <v>1</v>
      </c>
      <c r="G10014" s="4">
        <v>30</v>
      </c>
      <c r="H10014" s="18">
        <v>38.704339999999995</v>
      </c>
    </row>
    <row r="10015" spans="1:8" s="15" customFormat="1" ht="16.5" hidden="1" customHeight="1" outlineLevel="1" x14ac:dyDescent="0.25">
      <c r="A10015" s="18">
        <v>2652</v>
      </c>
      <c r="B10015" s="4" t="s">
        <v>250</v>
      </c>
      <c r="C10015" s="38" t="s">
        <v>8373</v>
      </c>
      <c r="D10015" s="18">
        <v>2022</v>
      </c>
      <c r="E10015" s="18" t="s">
        <v>0</v>
      </c>
      <c r="F10015" s="42">
        <v>1</v>
      </c>
      <c r="G10015" s="4">
        <v>10</v>
      </c>
      <c r="H10015" s="18">
        <v>38.704349999999998</v>
      </c>
    </row>
    <row r="10016" spans="1:8" s="15" customFormat="1" ht="16.5" hidden="1" customHeight="1" outlineLevel="1" x14ac:dyDescent="0.25">
      <c r="A10016" s="18">
        <v>2653</v>
      </c>
      <c r="B10016" s="4" t="s">
        <v>250</v>
      </c>
      <c r="C10016" s="38" t="s">
        <v>8374</v>
      </c>
      <c r="D10016" s="18">
        <v>2022</v>
      </c>
      <c r="E10016" s="18" t="s">
        <v>0</v>
      </c>
      <c r="F10016" s="42">
        <v>1</v>
      </c>
      <c r="G10016" s="4">
        <v>15</v>
      </c>
      <c r="H10016" s="18">
        <v>38.704360000000001</v>
      </c>
    </row>
    <row r="10017" spans="1:8" s="15" customFormat="1" ht="16.5" hidden="1" customHeight="1" outlineLevel="1" x14ac:dyDescent="0.25">
      <c r="A10017" s="18">
        <v>2654</v>
      </c>
      <c r="B10017" s="4" t="s">
        <v>250</v>
      </c>
      <c r="C10017" s="38" t="s">
        <v>8375</v>
      </c>
      <c r="D10017" s="18">
        <v>2022</v>
      </c>
      <c r="E10017" s="18" t="s">
        <v>0</v>
      </c>
      <c r="F10017" s="42">
        <v>1</v>
      </c>
      <c r="G10017" s="4">
        <v>15</v>
      </c>
      <c r="H10017" s="18">
        <v>38.881079999999997</v>
      </c>
    </row>
    <row r="10018" spans="1:8" s="15" customFormat="1" ht="16.5" hidden="1" customHeight="1" outlineLevel="1" x14ac:dyDescent="0.25">
      <c r="A10018" s="18">
        <v>2655</v>
      </c>
      <c r="B10018" s="4" t="s">
        <v>250</v>
      </c>
      <c r="C10018" s="38" t="s">
        <v>8376</v>
      </c>
      <c r="D10018" s="18">
        <v>2022</v>
      </c>
      <c r="E10018" s="18" t="s">
        <v>0</v>
      </c>
      <c r="F10018" s="42">
        <v>1</v>
      </c>
      <c r="G10018" s="4">
        <v>15</v>
      </c>
      <c r="H10018" s="18">
        <v>50.715619999999994</v>
      </c>
    </row>
    <row r="10019" spans="1:8" s="15" customFormat="1" ht="16.5" hidden="1" customHeight="1" outlineLevel="1" x14ac:dyDescent="0.25">
      <c r="A10019" s="18">
        <v>2656</v>
      </c>
      <c r="B10019" s="4" t="s">
        <v>250</v>
      </c>
      <c r="C10019" s="38" t="s">
        <v>8377</v>
      </c>
      <c r="D10019" s="18">
        <v>2022</v>
      </c>
      <c r="E10019" s="18" t="s">
        <v>0</v>
      </c>
      <c r="F10019" s="42">
        <v>1</v>
      </c>
      <c r="G10019" s="4">
        <v>15</v>
      </c>
      <c r="H10019" s="18">
        <v>5.3933200000000001</v>
      </c>
    </row>
    <row r="10020" spans="1:8" s="15" customFormat="1" ht="16.5" hidden="1" customHeight="1" outlineLevel="1" x14ac:dyDescent="0.25">
      <c r="A10020" s="18">
        <v>2657</v>
      </c>
      <c r="B10020" s="4" t="s">
        <v>250</v>
      </c>
      <c r="C10020" s="38" t="s">
        <v>8378</v>
      </c>
      <c r="D10020" s="18">
        <v>2022</v>
      </c>
      <c r="E10020" s="18" t="s">
        <v>0</v>
      </c>
      <c r="F10020" s="42">
        <v>1</v>
      </c>
      <c r="G10020" s="4">
        <v>15</v>
      </c>
      <c r="H10020" s="18">
        <v>5.3933299999999997</v>
      </c>
    </row>
    <row r="10021" spans="1:8" s="15" customFormat="1" ht="16.5" hidden="1" customHeight="1" outlineLevel="1" x14ac:dyDescent="0.25">
      <c r="A10021" s="18">
        <v>2658</v>
      </c>
      <c r="B10021" s="4" t="s">
        <v>250</v>
      </c>
      <c r="C10021" s="38" t="s">
        <v>8379</v>
      </c>
      <c r="D10021" s="18">
        <v>2022</v>
      </c>
      <c r="E10021" s="18" t="s">
        <v>0</v>
      </c>
      <c r="F10021" s="42">
        <v>1</v>
      </c>
      <c r="G10021" s="4">
        <v>15</v>
      </c>
      <c r="H10021" s="18">
        <v>6.7868399999999998</v>
      </c>
    </row>
    <row r="10022" spans="1:8" s="15" customFormat="1" ht="16.5" hidden="1" customHeight="1" outlineLevel="1" x14ac:dyDescent="0.25">
      <c r="A10022" s="18">
        <v>2659</v>
      </c>
      <c r="B10022" s="4" t="s">
        <v>250</v>
      </c>
      <c r="C10022" s="38" t="s">
        <v>8380</v>
      </c>
      <c r="D10022" s="18">
        <v>2022</v>
      </c>
      <c r="E10022" s="18" t="s">
        <v>0</v>
      </c>
      <c r="F10022" s="42">
        <v>1</v>
      </c>
      <c r="G10022" s="4">
        <v>15</v>
      </c>
      <c r="H10022" s="18">
        <v>8.1805699999999995</v>
      </c>
    </row>
    <row r="10023" spans="1:8" s="15" customFormat="1" ht="16.5" hidden="1" customHeight="1" outlineLevel="1" x14ac:dyDescent="0.25">
      <c r="A10023" s="18">
        <v>2660</v>
      </c>
      <c r="B10023" s="4" t="s">
        <v>250</v>
      </c>
      <c r="C10023" s="38" t="s">
        <v>8381</v>
      </c>
      <c r="D10023" s="18">
        <v>2022</v>
      </c>
      <c r="E10023" s="18" t="s">
        <v>0</v>
      </c>
      <c r="F10023" s="42">
        <v>1</v>
      </c>
      <c r="G10023" s="4">
        <v>15</v>
      </c>
      <c r="H10023" s="18">
        <v>10.613850000000001</v>
      </c>
    </row>
    <row r="10024" spans="1:8" s="15" customFormat="1" ht="16.5" hidden="1" customHeight="1" outlineLevel="1" x14ac:dyDescent="0.25">
      <c r="A10024" s="18">
        <v>2661</v>
      </c>
      <c r="B10024" s="4" t="s">
        <v>250</v>
      </c>
      <c r="C10024" s="38" t="s">
        <v>8382</v>
      </c>
      <c r="D10024" s="18">
        <v>2022</v>
      </c>
      <c r="E10024" s="18" t="s">
        <v>0</v>
      </c>
      <c r="F10024" s="42">
        <v>1</v>
      </c>
      <c r="G10024" s="4">
        <v>15</v>
      </c>
      <c r="H10024" s="18">
        <v>6.7868499999999994</v>
      </c>
    </row>
    <row r="10025" spans="1:8" s="15" customFormat="1" ht="16.5" hidden="1" customHeight="1" outlineLevel="1" x14ac:dyDescent="0.25">
      <c r="A10025" s="18">
        <v>2662</v>
      </c>
      <c r="B10025" s="4" t="s">
        <v>250</v>
      </c>
      <c r="C10025" s="38" t="s">
        <v>8383</v>
      </c>
      <c r="D10025" s="18">
        <v>2022</v>
      </c>
      <c r="E10025" s="18" t="s">
        <v>0</v>
      </c>
      <c r="F10025" s="42">
        <v>1</v>
      </c>
      <c r="G10025" s="4">
        <v>15</v>
      </c>
      <c r="H10025" s="18">
        <v>8.1803599999999985</v>
      </c>
    </row>
    <row r="10026" spans="1:8" s="15" customFormat="1" ht="16.5" hidden="1" customHeight="1" outlineLevel="1" x14ac:dyDescent="0.25">
      <c r="A10026" s="18">
        <v>2663</v>
      </c>
      <c r="B10026" s="4" t="s">
        <v>250</v>
      </c>
      <c r="C10026" s="38" t="s">
        <v>8384</v>
      </c>
      <c r="D10026" s="18">
        <v>2022</v>
      </c>
      <c r="E10026" s="18" t="s">
        <v>0</v>
      </c>
      <c r="F10026" s="42">
        <v>1</v>
      </c>
      <c r="G10026" s="4">
        <v>15</v>
      </c>
      <c r="H10026" s="18">
        <v>5.3933299999999997</v>
      </c>
    </row>
    <row r="10027" spans="1:8" s="15" customFormat="1" ht="16.5" hidden="1" customHeight="1" outlineLevel="1" x14ac:dyDescent="0.25">
      <c r="A10027" s="18">
        <v>2664</v>
      </c>
      <c r="B10027" s="4" t="s">
        <v>250</v>
      </c>
      <c r="C10027" s="38" t="s">
        <v>8385</v>
      </c>
      <c r="D10027" s="18">
        <v>2022</v>
      </c>
      <c r="E10027" s="18" t="s">
        <v>0</v>
      </c>
      <c r="F10027" s="42">
        <v>1</v>
      </c>
      <c r="G10027" s="4">
        <v>15</v>
      </c>
      <c r="H10027" s="18">
        <v>3.9998499999999999</v>
      </c>
    </row>
    <row r="10028" spans="1:8" s="15" customFormat="1" ht="16.5" hidden="1" customHeight="1" outlineLevel="1" x14ac:dyDescent="0.25">
      <c r="A10028" s="18">
        <v>2665</v>
      </c>
      <c r="B10028" s="4" t="s">
        <v>250</v>
      </c>
      <c r="C10028" s="38" t="s">
        <v>8386</v>
      </c>
      <c r="D10028" s="18">
        <v>2022</v>
      </c>
      <c r="E10028" s="18" t="s">
        <v>0</v>
      </c>
      <c r="F10028" s="42">
        <v>1</v>
      </c>
      <c r="G10028" s="4">
        <v>15</v>
      </c>
      <c r="H10028" s="18">
        <v>10.613860000000001</v>
      </c>
    </row>
    <row r="10029" spans="1:8" s="15" customFormat="1" ht="16.5" hidden="1" customHeight="1" outlineLevel="1" x14ac:dyDescent="0.25">
      <c r="A10029" s="18">
        <v>2666</v>
      </c>
      <c r="B10029" s="4" t="s">
        <v>250</v>
      </c>
      <c r="C10029" s="38" t="s">
        <v>8387</v>
      </c>
      <c r="D10029" s="18">
        <v>2022</v>
      </c>
      <c r="E10029" s="18" t="s">
        <v>0</v>
      </c>
      <c r="F10029" s="42">
        <v>1</v>
      </c>
      <c r="G10029" s="4">
        <v>15</v>
      </c>
      <c r="H10029" s="18">
        <v>18.62134</v>
      </c>
    </row>
    <row r="10030" spans="1:8" s="15" customFormat="1" ht="16.5" hidden="1" customHeight="1" outlineLevel="1" x14ac:dyDescent="0.25">
      <c r="A10030" s="18">
        <v>2667</v>
      </c>
      <c r="B10030" s="4" t="s">
        <v>250</v>
      </c>
      <c r="C10030" s="38" t="s">
        <v>8388</v>
      </c>
      <c r="D10030" s="18">
        <v>2022</v>
      </c>
      <c r="E10030" s="18" t="s">
        <v>0</v>
      </c>
      <c r="F10030" s="42">
        <v>1</v>
      </c>
      <c r="G10030" s="4">
        <v>15</v>
      </c>
      <c r="H10030" s="18">
        <v>5.3932900000000004</v>
      </c>
    </row>
    <row r="10031" spans="1:8" s="15" customFormat="1" ht="16.5" hidden="1" customHeight="1" outlineLevel="1" x14ac:dyDescent="0.25">
      <c r="A10031" s="18">
        <v>2668</v>
      </c>
      <c r="B10031" s="4" t="s">
        <v>250</v>
      </c>
      <c r="C10031" s="38" t="s">
        <v>8389</v>
      </c>
      <c r="D10031" s="18">
        <v>2022</v>
      </c>
      <c r="E10031" s="18" t="s">
        <v>0</v>
      </c>
      <c r="F10031" s="42">
        <v>1</v>
      </c>
      <c r="G10031" s="4">
        <v>15</v>
      </c>
      <c r="H10031" s="18">
        <v>5.3933200000000001</v>
      </c>
    </row>
    <row r="10032" spans="1:8" s="15" customFormat="1" ht="16.5" hidden="1" customHeight="1" outlineLevel="1" x14ac:dyDescent="0.25">
      <c r="A10032" s="18">
        <v>2669</v>
      </c>
      <c r="B10032" s="4" t="s">
        <v>250</v>
      </c>
      <c r="C10032" s="38" t="s">
        <v>8390</v>
      </c>
      <c r="D10032" s="18">
        <v>2022</v>
      </c>
      <c r="E10032" s="18" t="s">
        <v>0</v>
      </c>
      <c r="F10032" s="42">
        <v>1</v>
      </c>
      <c r="G10032" s="4">
        <v>15</v>
      </c>
      <c r="H10032" s="18">
        <v>6.7868500000000003</v>
      </c>
    </row>
    <row r="10033" spans="1:8" s="15" customFormat="1" ht="16.5" hidden="1" customHeight="1" outlineLevel="1" x14ac:dyDescent="0.25">
      <c r="A10033" s="18">
        <v>2670</v>
      </c>
      <c r="B10033" s="4" t="s">
        <v>250</v>
      </c>
      <c r="C10033" s="38" t="s">
        <v>8391</v>
      </c>
      <c r="D10033" s="18">
        <v>2022</v>
      </c>
      <c r="E10033" s="18" t="s">
        <v>0</v>
      </c>
      <c r="F10033" s="42">
        <v>1</v>
      </c>
      <c r="G10033" s="4">
        <v>15</v>
      </c>
      <c r="H10033" s="18">
        <v>5.3933299999999997</v>
      </c>
    </row>
    <row r="10034" spans="1:8" s="15" customFormat="1" ht="16.5" hidden="1" customHeight="1" outlineLevel="1" x14ac:dyDescent="0.25">
      <c r="A10034" s="18">
        <v>2671</v>
      </c>
      <c r="B10034" s="4" t="s">
        <v>250</v>
      </c>
      <c r="C10034" s="38" t="s">
        <v>8392</v>
      </c>
      <c r="D10034" s="18">
        <v>2022</v>
      </c>
      <c r="E10034" s="18" t="s">
        <v>0</v>
      </c>
      <c r="F10034" s="42">
        <v>1</v>
      </c>
      <c r="G10034" s="4">
        <v>15</v>
      </c>
      <c r="H10034" s="18">
        <v>5.3933</v>
      </c>
    </row>
    <row r="10035" spans="1:8" s="15" customFormat="1" ht="16.5" hidden="1" customHeight="1" outlineLevel="1" x14ac:dyDescent="0.25">
      <c r="A10035" s="18">
        <v>2672</v>
      </c>
      <c r="B10035" s="4" t="s">
        <v>250</v>
      </c>
      <c r="C10035" s="38" t="s">
        <v>8393</v>
      </c>
      <c r="D10035" s="18">
        <v>2022</v>
      </c>
      <c r="E10035" s="18" t="s">
        <v>0</v>
      </c>
      <c r="F10035" s="42">
        <v>1</v>
      </c>
      <c r="G10035" s="4">
        <v>15</v>
      </c>
      <c r="H10035" s="18">
        <v>24.375060000000001</v>
      </c>
    </row>
    <row r="10036" spans="1:8" s="15" customFormat="1" ht="16.5" hidden="1" customHeight="1" outlineLevel="1" x14ac:dyDescent="0.25">
      <c r="A10036" s="18">
        <v>2673</v>
      </c>
      <c r="B10036" s="4" t="s">
        <v>250</v>
      </c>
      <c r="C10036" s="38" t="s">
        <v>8394</v>
      </c>
      <c r="D10036" s="18">
        <v>2022</v>
      </c>
      <c r="E10036" s="18" t="s">
        <v>0</v>
      </c>
      <c r="F10036" s="42">
        <v>1</v>
      </c>
      <c r="G10036" s="4">
        <v>2</v>
      </c>
      <c r="H10036" s="18">
        <v>39.298390000000005</v>
      </c>
    </row>
    <row r="10037" spans="1:8" s="15" customFormat="1" ht="16.5" hidden="1" customHeight="1" outlineLevel="1" x14ac:dyDescent="0.25">
      <c r="A10037" s="18">
        <v>2674</v>
      </c>
      <c r="B10037" s="4" t="s">
        <v>250</v>
      </c>
      <c r="C10037" s="38" t="s">
        <v>8395</v>
      </c>
      <c r="D10037" s="18">
        <v>2022</v>
      </c>
      <c r="E10037" s="18" t="s">
        <v>0</v>
      </c>
      <c r="F10037" s="42">
        <v>1</v>
      </c>
      <c r="G10037" s="4">
        <v>5</v>
      </c>
      <c r="H10037" s="18">
        <v>26.747889999999998</v>
      </c>
    </row>
    <row r="10038" spans="1:8" s="15" customFormat="1" ht="16.5" hidden="1" customHeight="1" outlineLevel="1" x14ac:dyDescent="0.25">
      <c r="A10038" s="18">
        <v>2675</v>
      </c>
      <c r="B10038" s="4" t="s">
        <v>250</v>
      </c>
      <c r="C10038" s="38" t="s">
        <v>8396</v>
      </c>
      <c r="D10038" s="18">
        <v>2022</v>
      </c>
      <c r="E10038" s="18" t="s">
        <v>0</v>
      </c>
      <c r="F10038" s="42">
        <v>1</v>
      </c>
      <c r="G10038" s="4">
        <v>15</v>
      </c>
      <c r="H10038" s="18">
        <v>38.732240000000004</v>
      </c>
    </row>
    <row r="10039" spans="1:8" s="15" customFormat="1" ht="16.5" hidden="1" customHeight="1" outlineLevel="1" x14ac:dyDescent="0.25">
      <c r="A10039" s="18">
        <v>2676</v>
      </c>
      <c r="B10039" s="4" t="s">
        <v>250</v>
      </c>
      <c r="C10039" s="38" t="s">
        <v>8397</v>
      </c>
      <c r="D10039" s="18">
        <v>2022</v>
      </c>
      <c r="E10039" s="18" t="s">
        <v>0</v>
      </c>
      <c r="F10039" s="42">
        <v>1</v>
      </c>
      <c r="G10039" s="4">
        <v>14.5</v>
      </c>
      <c r="H10039" s="18">
        <v>41.368750000000006</v>
      </c>
    </row>
    <row r="10040" spans="1:8" s="15" customFormat="1" ht="16.5" hidden="1" customHeight="1" outlineLevel="1" x14ac:dyDescent="0.25">
      <c r="A10040" s="18">
        <v>2677</v>
      </c>
      <c r="B10040" s="4" t="s">
        <v>250</v>
      </c>
      <c r="C10040" s="38" t="s">
        <v>8398</v>
      </c>
      <c r="D10040" s="18">
        <v>2022</v>
      </c>
      <c r="E10040" s="18" t="s">
        <v>0</v>
      </c>
      <c r="F10040" s="42">
        <v>1</v>
      </c>
      <c r="G10040" s="4">
        <v>15</v>
      </c>
      <c r="H10040" s="18">
        <v>38.732250000000001</v>
      </c>
    </row>
    <row r="10041" spans="1:8" s="15" customFormat="1" ht="16.5" hidden="1" customHeight="1" outlineLevel="1" x14ac:dyDescent="0.25">
      <c r="A10041" s="18">
        <v>2678</v>
      </c>
      <c r="B10041" s="4" t="s">
        <v>250</v>
      </c>
      <c r="C10041" s="38" t="s">
        <v>8399</v>
      </c>
      <c r="D10041" s="18">
        <v>2022</v>
      </c>
      <c r="E10041" s="18" t="s">
        <v>0</v>
      </c>
      <c r="F10041" s="42">
        <v>1</v>
      </c>
      <c r="G10041" s="4">
        <v>6</v>
      </c>
      <c r="H10041" s="18">
        <v>40.077639999999995</v>
      </c>
    </row>
    <row r="10042" spans="1:8" s="15" customFormat="1" ht="16.5" hidden="1" customHeight="1" outlineLevel="1" x14ac:dyDescent="0.25">
      <c r="A10042" s="18">
        <v>2679</v>
      </c>
      <c r="B10042" s="4" t="s">
        <v>250</v>
      </c>
      <c r="C10042" s="38" t="s">
        <v>8400</v>
      </c>
      <c r="D10042" s="18">
        <v>2022</v>
      </c>
      <c r="E10042" s="18" t="s">
        <v>0</v>
      </c>
      <c r="F10042" s="42">
        <v>1</v>
      </c>
      <c r="G10042" s="4">
        <v>150</v>
      </c>
      <c r="H10042" s="18">
        <v>114.57234</v>
      </c>
    </row>
    <row r="10043" spans="1:8" s="15" customFormat="1" ht="16.5" hidden="1" customHeight="1" outlineLevel="1" x14ac:dyDescent="0.25">
      <c r="A10043" s="18">
        <v>2680</v>
      </c>
      <c r="B10043" s="4" t="s">
        <v>250</v>
      </c>
      <c r="C10043" s="38" t="s">
        <v>8401</v>
      </c>
      <c r="D10043" s="18">
        <v>2022</v>
      </c>
      <c r="E10043" s="18" t="s">
        <v>0</v>
      </c>
      <c r="F10043" s="42">
        <v>1</v>
      </c>
      <c r="G10043" s="4">
        <v>100</v>
      </c>
      <c r="H10043" s="18">
        <v>113.67014</v>
      </c>
    </row>
    <row r="10044" spans="1:8" s="15" customFormat="1" ht="16.5" hidden="1" customHeight="1" outlineLevel="1" x14ac:dyDescent="0.25">
      <c r="A10044" s="18">
        <v>2681</v>
      </c>
      <c r="B10044" s="4" t="s">
        <v>250</v>
      </c>
      <c r="C10044" s="38" t="s">
        <v>8402</v>
      </c>
      <c r="D10044" s="18">
        <v>2022</v>
      </c>
      <c r="E10044" s="18" t="s">
        <v>0</v>
      </c>
      <c r="F10044" s="42">
        <v>1</v>
      </c>
      <c r="G10044" s="4">
        <v>150</v>
      </c>
      <c r="H10044" s="18">
        <v>113.85755999999999</v>
      </c>
    </row>
    <row r="10045" spans="1:8" s="15" customFormat="1" ht="16.5" hidden="1" customHeight="1" outlineLevel="1" x14ac:dyDescent="0.25">
      <c r="A10045" s="18">
        <v>2682</v>
      </c>
      <c r="B10045" s="4" t="s">
        <v>250</v>
      </c>
      <c r="C10045" s="38" t="s">
        <v>8403</v>
      </c>
      <c r="D10045" s="18">
        <v>2022</v>
      </c>
      <c r="E10045" s="18" t="s">
        <v>0</v>
      </c>
      <c r="F10045" s="42">
        <v>1</v>
      </c>
      <c r="G10045" s="4">
        <v>2</v>
      </c>
      <c r="H10045" s="18">
        <v>21.436130000000002</v>
      </c>
    </row>
    <row r="10046" spans="1:8" s="15" customFormat="1" ht="16.5" hidden="1" customHeight="1" outlineLevel="1" x14ac:dyDescent="0.25">
      <c r="A10046" s="18">
        <v>2683</v>
      </c>
      <c r="B10046" s="4" t="s">
        <v>250</v>
      </c>
      <c r="C10046" s="38" t="s">
        <v>8404</v>
      </c>
      <c r="D10046" s="18">
        <v>2022</v>
      </c>
      <c r="E10046" s="18" t="s">
        <v>0</v>
      </c>
      <c r="F10046" s="42">
        <v>1</v>
      </c>
      <c r="G10046" s="4">
        <v>50</v>
      </c>
      <c r="H10046" s="18">
        <v>22.002219999999998</v>
      </c>
    </row>
    <row r="10047" spans="1:8" s="15" customFormat="1" ht="16.5" hidden="1" customHeight="1" outlineLevel="1" x14ac:dyDescent="0.25">
      <c r="A10047" s="18">
        <v>2684</v>
      </c>
      <c r="B10047" s="4" t="s">
        <v>250</v>
      </c>
      <c r="C10047" s="38" t="s">
        <v>8405</v>
      </c>
      <c r="D10047" s="18">
        <v>2022</v>
      </c>
      <c r="E10047" s="18" t="s">
        <v>0</v>
      </c>
      <c r="F10047" s="42">
        <v>1</v>
      </c>
      <c r="G10047" s="4">
        <v>150</v>
      </c>
      <c r="H10047" s="18">
        <v>115.46923</v>
      </c>
    </row>
    <row r="10048" spans="1:8" s="15" customFormat="1" ht="16.5" hidden="1" customHeight="1" outlineLevel="1" x14ac:dyDescent="0.25">
      <c r="A10048" s="18">
        <v>2685</v>
      </c>
      <c r="B10048" s="4" t="s">
        <v>250</v>
      </c>
      <c r="C10048" s="38" t="s">
        <v>8406</v>
      </c>
      <c r="D10048" s="18">
        <v>2022</v>
      </c>
      <c r="E10048" s="18" t="s">
        <v>0</v>
      </c>
      <c r="F10048" s="42">
        <v>1</v>
      </c>
      <c r="G10048" s="4">
        <v>6</v>
      </c>
      <c r="H10048" s="18">
        <v>20.684010000000001</v>
      </c>
    </row>
    <row r="10049" spans="1:8" s="15" customFormat="1" ht="16.5" hidden="1" customHeight="1" outlineLevel="1" x14ac:dyDescent="0.25">
      <c r="A10049" s="18">
        <v>2686</v>
      </c>
      <c r="B10049" s="4" t="s">
        <v>250</v>
      </c>
      <c r="C10049" s="38" t="s">
        <v>8407</v>
      </c>
      <c r="D10049" s="18">
        <v>2022</v>
      </c>
      <c r="E10049" s="18" t="s">
        <v>0</v>
      </c>
      <c r="F10049" s="42">
        <v>1</v>
      </c>
      <c r="G10049" s="4">
        <v>5</v>
      </c>
      <c r="H10049" s="18">
        <v>20.68402</v>
      </c>
    </row>
    <row r="10050" spans="1:8" s="15" customFormat="1" ht="16.5" hidden="1" customHeight="1" outlineLevel="1" x14ac:dyDescent="0.25">
      <c r="A10050" s="18">
        <v>2687</v>
      </c>
      <c r="B10050" s="4" t="s">
        <v>250</v>
      </c>
      <c r="C10050" s="38" t="s">
        <v>8408</v>
      </c>
      <c r="D10050" s="18">
        <v>2022</v>
      </c>
      <c r="E10050" s="18" t="s">
        <v>0</v>
      </c>
      <c r="F10050" s="42">
        <v>1</v>
      </c>
      <c r="G10050" s="4">
        <v>6</v>
      </c>
      <c r="H10050" s="18">
        <v>41.395870000000002</v>
      </c>
    </row>
    <row r="10051" spans="1:8" s="15" customFormat="1" ht="16.5" hidden="1" customHeight="1" outlineLevel="1" x14ac:dyDescent="0.25">
      <c r="A10051" s="18">
        <v>2688</v>
      </c>
      <c r="B10051" s="4" t="s">
        <v>250</v>
      </c>
      <c r="C10051" s="38" t="s">
        <v>8409</v>
      </c>
      <c r="D10051" s="18">
        <v>2022</v>
      </c>
      <c r="E10051" s="18" t="s">
        <v>0</v>
      </c>
      <c r="F10051" s="42">
        <v>1</v>
      </c>
      <c r="G10051" s="4">
        <v>15</v>
      </c>
      <c r="H10051" s="18">
        <v>19.551759999999998</v>
      </c>
    </row>
    <row r="10052" spans="1:8" s="15" customFormat="1" ht="16.5" hidden="1" customHeight="1" outlineLevel="1" x14ac:dyDescent="0.25">
      <c r="A10052" s="18">
        <v>2689</v>
      </c>
      <c r="B10052" s="4" t="s">
        <v>250</v>
      </c>
      <c r="C10052" s="38" t="s">
        <v>8410</v>
      </c>
      <c r="D10052" s="18">
        <v>2022</v>
      </c>
      <c r="E10052" s="18" t="s">
        <v>0</v>
      </c>
      <c r="F10052" s="42">
        <v>1</v>
      </c>
      <c r="G10052" s="4">
        <v>15</v>
      </c>
      <c r="H10052" s="18">
        <v>42.159649999999999</v>
      </c>
    </row>
    <row r="10053" spans="1:8" s="15" customFormat="1" ht="16.5" hidden="1" customHeight="1" outlineLevel="1" x14ac:dyDescent="0.25">
      <c r="A10053" s="18">
        <v>2690</v>
      </c>
      <c r="B10053" s="4" t="s">
        <v>250</v>
      </c>
      <c r="C10053" s="38" t="s">
        <v>8411</v>
      </c>
      <c r="D10053" s="18">
        <v>2022</v>
      </c>
      <c r="E10053" s="18" t="s">
        <v>0</v>
      </c>
      <c r="F10053" s="42">
        <v>1</v>
      </c>
      <c r="G10053" s="4">
        <v>5</v>
      </c>
      <c r="H10053" s="18">
        <v>27.43336</v>
      </c>
    </row>
    <row r="10054" spans="1:8" s="15" customFormat="1" ht="16.5" hidden="1" customHeight="1" outlineLevel="1" x14ac:dyDescent="0.25">
      <c r="A10054" s="18">
        <v>2691</v>
      </c>
      <c r="B10054" s="4" t="s">
        <v>250</v>
      </c>
      <c r="C10054" s="38" t="s">
        <v>8412</v>
      </c>
      <c r="D10054" s="18">
        <v>2022</v>
      </c>
      <c r="E10054" s="18" t="s">
        <v>0</v>
      </c>
      <c r="F10054" s="42">
        <v>1</v>
      </c>
      <c r="G10054" s="4">
        <v>15</v>
      </c>
      <c r="H10054" s="18">
        <v>28.85707</v>
      </c>
    </row>
    <row r="10055" spans="1:8" s="15" customFormat="1" ht="16.5" hidden="1" customHeight="1" outlineLevel="1" x14ac:dyDescent="0.25">
      <c r="A10055" s="18">
        <v>2692</v>
      </c>
      <c r="B10055" s="4" t="s">
        <v>250</v>
      </c>
      <c r="C10055" s="38" t="s">
        <v>8413</v>
      </c>
      <c r="D10055" s="18">
        <v>2022</v>
      </c>
      <c r="E10055" s="18" t="s">
        <v>0</v>
      </c>
      <c r="F10055" s="42">
        <v>1</v>
      </c>
      <c r="G10055" s="4">
        <v>6</v>
      </c>
      <c r="H10055" s="18">
        <v>24.111400000000003</v>
      </c>
    </row>
    <row r="10056" spans="1:8" s="15" customFormat="1" ht="16.5" hidden="1" customHeight="1" outlineLevel="1" x14ac:dyDescent="0.25">
      <c r="A10056" s="18">
        <v>2693</v>
      </c>
      <c r="B10056" s="4" t="s">
        <v>250</v>
      </c>
      <c r="C10056" s="38" t="s">
        <v>8414</v>
      </c>
      <c r="D10056" s="18">
        <v>2022</v>
      </c>
      <c r="E10056" s="18" t="s">
        <v>0</v>
      </c>
      <c r="F10056" s="42">
        <v>1</v>
      </c>
      <c r="G10056" s="4">
        <v>6</v>
      </c>
      <c r="H10056" s="18">
        <v>41.923099999999998</v>
      </c>
    </row>
    <row r="10057" spans="1:8" s="15" customFormat="1" ht="16.5" hidden="1" customHeight="1" outlineLevel="1" x14ac:dyDescent="0.25">
      <c r="A10057" s="18">
        <v>2694</v>
      </c>
      <c r="B10057" s="4" t="s">
        <v>250</v>
      </c>
      <c r="C10057" s="38" t="s">
        <v>8415</v>
      </c>
      <c r="D10057" s="18">
        <v>2022</v>
      </c>
      <c r="E10057" s="18" t="s">
        <v>0</v>
      </c>
      <c r="F10057" s="42">
        <v>1</v>
      </c>
      <c r="G10057" s="4">
        <v>14</v>
      </c>
      <c r="H10057" s="18">
        <v>27.725260000000002</v>
      </c>
    </row>
    <row r="10058" spans="1:8" s="15" customFormat="1" ht="16.5" hidden="1" customHeight="1" outlineLevel="1" x14ac:dyDescent="0.25">
      <c r="A10058" s="18">
        <v>2695</v>
      </c>
      <c r="B10058" s="4" t="s">
        <v>250</v>
      </c>
      <c r="C10058" s="38" t="s">
        <v>8416</v>
      </c>
      <c r="D10058" s="18">
        <v>2022</v>
      </c>
      <c r="E10058" s="18" t="s">
        <v>0</v>
      </c>
      <c r="F10058" s="42">
        <v>1</v>
      </c>
      <c r="G10058" s="4">
        <v>14</v>
      </c>
      <c r="H10058" s="18">
        <v>27.698090000000001</v>
      </c>
    </row>
    <row r="10059" spans="1:8" s="15" customFormat="1" ht="16.5" hidden="1" customHeight="1" outlineLevel="1" x14ac:dyDescent="0.25">
      <c r="A10059" s="18">
        <v>2696</v>
      </c>
      <c r="B10059" s="4" t="s">
        <v>250</v>
      </c>
      <c r="C10059" s="38" t="s">
        <v>8417</v>
      </c>
      <c r="D10059" s="18">
        <v>2022</v>
      </c>
      <c r="E10059" s="18" t="s">
        <v>0</v>
      </c>
      <c r="F10059" s="42">
        <v>1</v>
      </c>
      <c r="G10059" s="4">
        <v>14</v>
      </c>
      <c r="H10059" s="18">
        <v>26.670729999999999</v>
      </c>
    </row>
    <row r="10060" spans="1:8" s="15" customFormat="1" ht="16.5" hidden="1" customHeight="1" outlineLevel="1" x14ac:dyDescent="0.25">
      <c r="A10060" s="18">
        <v>2697</v>
      </c>
      <c r="B10060" s="4" t="s">
        <v>250</v>
      </c>
      <c r="C10060" s="38" t="s">
        <v>8418</v>
      </c>
      <c r="D10060" s="18">
        <v>2022</v>
      </c>
      <c r="E10060" s="18" t="s">
        <v>0</v>
      </c>
      <c r="F10060" s="42">
        <v>1</v>
      </c>
      <c r="G10060" s="4">
        <v>14</v>
      </c>
      <c r="H10060" s="18">
        <v>26.670700000000004</v>
      </c>
    </row>
    <row r="10061" spans="1:8" s="15" customFormat="1" ht="16.5" hidden="1" customHeight="1" outlineLevel="1" x14ac:dyDescent="0.25">
      <c r="A10061" s="18">
        <v>2698</v>
      </c>
      <c r="B10061" s="4" t="s">
        <v>250</v>
      </c>
      <c r="C10061" s="38" t="s">
        <v>8419</v>
      </c>
      <c r="D10061" s="18">
        <v>2022</v>
      </c>
      <c r="E10061" s="18" t="s">
        <v>0</v>
      </c>
      <c r="F10061" s="42">
        <v>1</v>
      </c>
      <c r="G10061" s="4">
        <v>14</v>
      </c>
      <c r="H10061" s="18">
        <v>26.608730000000001</v>
      </c>
    </row>
    <row r="10062" spans="1:8" s="15" customFormat="1" ht="16.5" hidden="1" customHeight="1" outlineLevel="1" x14ac:dyDescent="0.25">
      <c r="A10062" s="18">
        <v>5579</v>
      </c>
      <c r="B10062" s="4" t="s">
        <v>250</v>
      </c>
      <c r="C10062" s="38" t="s">
        <v>3613</v>
      </c>
      <c r="D10062" s="18">
        <v>2022</v>
      </c>
      <c r="E10062" s="18" t="s">
        <v>0</v>
      </c>
      <c r="F10062" s="42">
        <v>1</v>
      </c>
      <c r="G10062" s="4">
        <v>50</v>
      </c>
      <c r="H10062" s="18">
        <v>39.200000000000003</v>
      </c>
    </row>
    <row r="10063" spans="1:8" s="15" customFormat="1" ht="16.5" hidden="1" customHeight="1" outlineLevel="1" x14ac:dyDescent="0.25">
      <c r="A10063" s="18">
        <v>5443</v>
      </c>
      <c r="B10063" s="4" t="s">
        <v>250</v>
      </c>
      <c r="C10063" s="38" t="s">
        <v>8420</v>
      </c>
      <c r="D10063" s="18">
        <v>2022</v>
      </c>
      <c r="E10063" s="18" t="s">
        <v>0</v>
      </c>
      <c r="F10063" s="42">
        <v>1</v>
      </c>
      <c r="G10063" s="4">
        <v>10</v>
      </c>
      <c r="H10063" s="18">
        <v>42.457999999999998</v>
      </c>
    </row>
    <row r="10064" spans="1:8" s="15" customFormat="1" ht="16.5" hidden="1" customHeight="1" outlineLevel="1" x14ac:dyDescent="0.25">
      <c r="A10064" s="18">
        <v>5499</v>
      </c>
      <c r="B10064" s="4" t="s">
        <v>250</v>
      </c>
      <c r="C10064" s="38" t="s">
        <v>8421</v>
      </c>
      <c r="D10064" s="18">
        <v>2022</v>
      </c>
      <c r="E10064" s="18" t="s">
        <v>0</v>
      </c>
      <c r="F10064" s="42">
        <v>1</v>
      </c>
      <c r="G10064" s="4">
        <v>15</v>
      </c>
      <c r="H10064" s="18">
        <v>67.95</v>
      </c>
    </row>
    <row r="10065" spans="1:8" s="15" customFormat="1" ht="16.5" hidden="1" customHeight="1" outlineLevel="1" x14ac:dyDescent="0.25">
      <c r="A10065" s="18">
        <v>5502</v>
      </c>
      <c r="B10065" s="4" t="s">
        <v>250</v>
      </c>
      <c r="C10065" s="38" t="s">
        <v>8422</v>
      </c>
      <c r="D10065" s="18">
        <v>2022</v>
      </c>
      <c r="E10065" s="18" t="s">
        <v>0</v>
      </c>
      <c r="F10065" s="42">
        <v>1</v>
      </c>
      <c r="G10065" s="4">
        <v>62</v>
      </c>
      <c r="H10065" s="18">
        <v>71.269000000000005</v>
      </c>
    </row>
    <row r="10066" spans="1:8" s="15" customFormat="1" ht="16.5" hidden="1" customHeight="1" outlineLevel="1" x14ac:dyDescent="0.25">
      <c r="A10066" s="18">
        <v>5544</v>
      </c>
      <c r="B10066" s="4" t="s">
        <v>250</v>
      </c>
      <c r="C10066" s="38" t="s">
        <v>8423</v>
      </c>
      <c r="D10066" s="18">
        <v>2022</v>
      </c>
      <c r="E10066" s="18" t="s">
        <v>0</v>
      </c>
      <c r="F10066" s="42">
        <v>1</v>
      </c>
      <c r="G10066" s="4">
        <v>60</v>
      </c>
      <c r="H10066" s="18">
        <v>40.546999999999997</v>
      </c>
    </row>
    <row r="10067" spans="1:8" s="15" customFormat="1" ht="16.5" hidden="1" customHeight="1" outlineLevel="1" x14ac:dyDescent="0.25">
      <c r="A10067" s="18">
        <v>5576</v>
      </c>
      <c r="B10067" s="4" t="s">
        <v>250</v>
      </c>
      <c r="C10067" s="38" t="s">
        <v>3614</v>
      </c>
      <c r="D10067" s="18">
        <v>2022</v>
      </c>
      <c r="E10067" s="18" t="s">
        <v>0</v>
      </c>
      <c r="F10067" s="42">
        <v>3</v>
      </c>
      <c r="G10067" s="4">
        <v>35</v>
      </c>
      <c r="H10067" s="18">
        <v>107.672</v>
      </c>
    </row>
    <row r="10068" spans="1:8" s="15" customFormat="1" ht="16.5" hidden="1" customHeight="1" outlineLevel="1" x14ac:dyDescent="0.25">
      <c r="A10068" s="18">
        <v>5603</v>
      </c>
      <c r="B10068" s="4" t="s">
        <v>250</v>
      </c>
      <c r="C10068" s="38" t="s">
        <v>3615</v>
      </c>
      <c r="D10068" s="18">
        <v>2022</v>
      </c>
      <c r="E10068" s="18" t="s">
        <v>0</v>
      </c>
      <c r="F10068" s="42">
        <v>1</v>
      </c>
      <c r="G10068" s="4">
        <v>15</v>
      </c>
      <c r="H10068" s="18">
        <v>46.372</v>
      </c>
    </row>
    <row r="10069" spans="1:8" s="15" customFormat="1" ht="16.5" hidden="1" customHeight="1" outlineLevel="1" x14ac:dyDescent="0.25">
      <c r="A10069" s="18">
        <v>5435</v>
      </c>
      <c r="B10069" s="4" t="s">
        <v>250</v>
      </c>
      <c r="C10069" s="38" t="s">
        <v>3616</v>
      </c>
      <c r="D10069" s="18">
        <v>2022</v>
      </c>
      <c r="E10069" s="18" t="s">
        <v>0</v>
      </c>
      <c r="F10069" s="42">
        <v>1</v>
      </c>
      <c r="G10069" s="4">
        <v>15</v>
      </c>
      <c r="H10069" s="18">
        <v>44.49</v>
      </c>
    </row>
    <row r="10070" spans="1:8" s="15" customFormat="1" ht="16.5" hidden="1" customHeight="1" outlineLevel="1" x14ac:dyDescent="0.25">
      <c r="A10070" s="18">
        <v>5898</v>
      </c>
      <c r="B10070" s="4" t="s">
        <v>250</v>
      </c>
      <c r="C10070" s="38" t="s">
        <v>8424</v>
      </c>
      <c r="D10070" s="18">
        <v>2022</v>
      </c>
      <c r="E10070" s="18" t="s">
        <v>0</v>
      </c>
      <c r="F10070" s="42">
        <v>1</v>
      </c>
      <c r="G10070" s="4">
        <v>15</v>
      </c>
      <c r="H10070" s="18">
        <v>45.12</v>
      </c>
    </row>
    <row r="10071" spans="1:8" s="15" customFormat="1" ht="16.5" hidden="1" customHeight="1" outlineLevel="1" x14ac:dyDescent="0.25">
      <c r="A10071" s="18">
        <v>5655</v>
      </c>
      <c r="B10071" s="4" t="s">
        <v>250</v>
      </c>
      <c r="C10071" s="38" t="s">
        <v>8425</v>
      </c>
      <c r="D10071" s="18">
        <v>2022</v>
      </c>
      <c r="E10071" s="18" t="s">
        <v>0</v>
      </c>
      <c r="F10071" s="42">
        <v>1</v>
      </c>
      <c r="G10071" s="4">
        <v>15</v>
      </c>
      <c r="H10071" s="18">
        <v>68.491</v>
      </c>
    </row>
    <row r="10072" spans="1:8" s="15" customFormat="1" ht="16.5" hidden="1" customHeight="1" outlineLevel="1" x14ac:dyDescent="0.25">
      <c r="A10072" s="18">
        <v>5446</v>
      </c>
      <c r="B10072" s="4" t="s">
        <v>250</v>
      </c>
      <c r="C10072" s="38" t="s">
        <v>8426</v>
      </c>
      <c r="D10072" s="18">
        <v>2022</v>
      </c>
      <c r="E10072" s="18" t="s">
        <v>0</v>
      </c>
      <c r="F10072" s="42">
        <v>1</v>
      </c>
      <c r="G10072" s="4">
        <v>15</v>
      </c>
      <c r="H10072" s="18">
        <v>55.405000000000001</v>
      </c>
    </row>
    <row r="10073" spans="1:8" s="15" customFormat="1" ht="16.5" hidden="1" customHeight="1" outlineLevel="1" x14ac:dyDescent="0.25">
      <c r="A10073" s="18">
        <v>5447</v>
      </c>
      <c r="B10073" s="4" t="s">
        <v>250</v>
      </c>
      <c r="C10073" s="38" t="s">
        <v>8427</v>
      </c>
      <c r="D10073" s="18">
        <v>2022</v>
      </c>
      <c r="E10073" s="18" t="s">
        <v>0</v>
      </c>
      <c r="F10073" s="42">
        <v>1</v>
      </c>
      <c r="G10073" s="4">
        <v>15</v>
      </c>
      <c r="H10073" s="18">
        <v>63.231999999999999</v>
      </c>
    </row>
    <row r="10074" spans="1:8" s="15" customFormat="1" ht="16.5" hidden="1" customHeight="1" outlineLevel="1" x14ac:dyDescent="0.25">
      <c r="A10074" s="18">
        <v>5457</v>
      </c>
      <c r="B10074" s="4" t="s">
        <v>250</v>
      </c>
      <c r="C10074" s="38" t="s">
        <v>8428</v>
      </c>
      <c r="D10074" s="18">
        <v>2022</v>
      </c>
      <c r="E10074" s="18" t="s">
        <v>0</v>
      </c>
      <c r="F10074" s="42">
        <v>1</v>
      </c>
      <c r="G10074" s="4">
        <v>15</v>
      </c>
      <c r="H10074" s="18">
        <v>53.963999999999999</v>
      </c>
    </row>
    <row r="10075" spans="1:8" s="15" customFormat="1" ht="16.5" hidden="1" customHeight="1" outlineLevel="1" x14ac:dyDescent="0.25">
      <c r="A10075" s="18">
        <v>5455</v>
      </c>
      <c r="B10075" s="4" t="s">
        <v>250</v>
      </c>
      <c r="C10075" s="38" t="s">
        <v>8429</v>
      </c>
      <c r="D10075" s="18">
        <v>2022</v>
      </c>
      <c r="E10075" s="18" t="s">
        <v>0</v>
      </c>
      <c r="F10075" s="42">
        <v>1</v>
      </c>
      <c r="G10075" s="4">
        <v>15</v>
      </c>
      <c r="H10075" s="18">
        <v>41.716000000000001</v>
      </c>
    </row>
    <row r="10076" spans="1:8" s="15" customFormat="1" ht="16.5" hidden="1" customHeight="1" outlineLevel="1" x14ac:dyDescent="0.25">
      <c r="A10076" s="18">
        <v>5431</v>
      </c>
      <c r="B10076" s="4" t="s">
        <v>250</v>
      </c>
      <c r="C10076" s="38" t="s">
        <v>8430</v>
      </c>
      <c r="D10076" s="18">
        <v>2022</v>
      </c>
      <c r="E10076" s="18" t="s">
        <v>0</v>
      </c>
      <c r="F10076" s="42">
        <v>1</v>
      </c>
      <c r="G10076" s="4">
        <v>15</v>
      </c>
      <c r="H10076" s="18">
        <v>38.789000000000001</v>
      </c>
    </row>
    <row r="10077" spans="1:8" s="15" customFormat="1" ht="16.5" hidden="1" customHeight="1" outlineLevel="1" x14ac:dyDescent="0.25">
      <c r="A10077" s="18">
        <v>5591</v>
      </c>
      <c r="B10077" s="4" t="s">
        <v>250</v>
      </c>
      <c r="C10077" s="38" t="s">
        <v>8431</v>
      </c>
      <c r="D10077" s="18">
        <v>2022</v>
      </c>
      <c r="E10077" s="18" t="s">
        <v>0</v>
      </c>
      <c r="F10077" s="42">
        <v>1</v>
      </c>
      <c r="G10077" s="4">
        <v>15</v>
      </c>
      <c r="H10077" s="18">
        <v>33.448</v>
      </c>
    </row>
    <row r="10078" spans="1:8" s="15" customFormat="1" ht="16.5" hidden="1" customHeight="1" outlineLevel="1" x14ac:dyDescent="0.25">
      <c r="A10078" s="18">
        <v>5593</v>
      </c>
      <c r="B10078" s="4" t="s">
        <v>250</v>
      </c>
      <c r="C10078" s="38" t="s">
        <v>8432</v>
      </c>
      <c r="D10078" s="18">
        <v>2022</v>
      </c>
      <c r="E10078" s="18" t="s">
        <v>0</v>
      </c>
      <c r="F10078" s="42">
        <v>1</v>
      </c>
      <c r="G10078" s="4">
        <v>15</v>
      </c>
      <c r="H10078" s="18">
        <v>32.645000000000003</v>
      </c>
    </row>
    <row r="10079" spans="1:8" s="15" customFormat="1" ht="16.5" hidden="1" customHeight="1" outlineLevel="1" x14ac:dyDescent="0.25">
      <c r="A10079" s="18">
        <v>5645</v>
      </c>
      <c r="B10079" s="4" t="s">
        <v>250</v>
      </c>
      <c r="C10079" s="38" t="s">
        <v>8433</v>
      </c>
      <c r="D10079" s="18">
        <v>2022</v>
      </c>
      <c r="E10079" s="18" t="s">
        <v>0</v>
      </c>
      <c r="F10079" s="42">
        <v>1</v>
      </c>
      <c r="G10079" s="4">
        <v>15</v>
      </c>
      <c r="H10079" s="18">
        <v>28.876999999999999</v>
      </c>
    </row>
    <row r="10080" spans="1:8" s="15" customFormat="1" ht="16.5" hidden="1" customHeight="1" outlineLevel="1" x14ac:dyDescent="0.25">
      <c r="A10080" s="18">
        <v>5656</v>
      </c>
      <c r="B10080" s="4" t="s">
        <v>250</v>
      </c>
      <c r="C10080" s="38" t="s">
        <v>8434</v>
      </c>
      <c r="D10080" s="18">
        <v>2022</v>
      </c>
      <c r="E10080" s="18" t="s">
        <v>0</v>
      </c>
      <c r="F10080" s="42">
        <v>1</v>
      </c>
      <c r="G10080" s="4">
        <v>10</v>
      </c>
      <c r="H10080" s="18">
        <v>28.631</v>
      </c>
    </row>
    <row r="10081" spans="1:8" s="15" customFormat="1" ht="16.5" hidden="1" customHeight="1" outlineLevel="1" x14ac:dyDescent="0.25">
      <c r="A10081" s="18">
        <v>5895</v>
      </c>
      <c r="B10081" s="4" t="s">
        <v>250</v>
      </c>
      <c r="C10081" s="38" t="s">
        <v>8435</v>
      </c>
      <c r="D10081" s="18">
        <v>2022</v>
      </c>
      <c r="E10081" s="18" t="s">
        <v>0</v>
      </c>
      <c r="F10081" s="42">
        <v>1</v>
      </c>
      <c r="G10081" s="4">
        <v>15</v>
      </c>
      <c r="H10081" s="18">
        <v>32.356999999999999</v>
      </c>
    </row>
    <row r="10082" spans="1:8" s="15" customFormat="1" ht="16.5" hidden="1" customHeight="1" outlineLevel="1" x14ac:dyDescent="0.25">
      <c r="A10082" s="18">
        <v>5893</v>
      </c>
      <c r="B10082" s="4" t="s">
        <v>250</v>
      </c>
      <c r="C10082" s="38" t="s">
        <v>8436</v>
      </c>
      <c r="D10082" s="18">
        <v>2022</v>
      </c>
      <c r="E10082" s="18" t="s">
        <v>0</v>
      </c>
      <c r="F10082" s="42">
        <v>1</v>
      </c>
      <c r="G10082" s="4">
        <v>15</v>
      </c>
      <c r="H10082" s="18">
        <v>32.853000000000002</v>
      </c>
    </row>
    <row r="10083" spans="1:8" s="15" customFormat="1" ht="16.5" hidden="1" customHeight="1" outlineLevel="1" x14ac:dyDescent="0.25">
      <c r="A10083" s="18">
        <v>5894</v>
      </c>
      <c r="B10083" s="4" t="s">
        <v>250</v>
      </c>
      <c r="C10083" s="38" t="s">
        <v>8437</v>
      </c>
      <c r="D10083" s="18">
        <v>2022</v>
      </c>
      <c r="E10083" s="18" t="s">
        <v>0</v>
      </c>
      <c r="F10083" s="42">
        <v>1</v>
      </c>
      <c r="G10083" s="4">
        <v>15</v>
      </c>
      <c r="H10083" s="18">
        <v>31.204999999999998</v>
      </c>
    </row>
    <row r="10084" spans="1:8" s="15" customFormat="1" ht="16.5" hidden="1" customHeight="1" outlineLevel="1" x14ac:dyDescent="0.25">
      <c r="A10084" s="18">
        <v>5583</v>
      </c>
      <c r="B10084" s="4" t="s">
        <v>250</v>
      </c>
      <c r="C10084" s="38" t="s">
        <v>8438</v>
      </c>
      <c r="D10084" s="18">
        <v>2022</v>
      </c>
      <c r="E10084" s="18" t="s">
        <v>0</v>
      </c>
      <c r="F10084" s="42">
        <v>1</v>
      </c>
      <c r="G10084" s="4">
        <v>15</v>
      </c>
      <c r="H10084" s="18">
        <v>31.576000000000001</v>
      </c>
    </row>
    <row r="10085" spans="1:8" s="15" customFormat="1" ht="16.5" hidden="1" customHeight="1" outlineLevel="1" x14ac:dyDescent="0.25">
      <c r="A10085" s="18">
        <v>5668</v>
      </c>
      <c r="B10085" s="4" t="s">
        <v>250</v>
      </c>
      <c r="C10085" s="38" t="s">
        <v>8439</v>
      </c>
      <c r="D10085" s="18">
        <v>2022</v>
      </c>
      <c r="E10085" s="18" t="s">
        <v>0</v>
      </c>
      <c r="F10085" s="42">
        <v>1</v>
      </c>
      <c r="G10085" s="4">
        <v>15</v>
      </c>
      <c r="H10085" s="18">
        <v>29.885000000000002</v>
      </c>
    </row>
    <row r="10086" spans="1:8" s="15" customFormat="1" ht="16.5" hidden="1" customHeight="1" outlineLevel="1" x14ac:dyDescent="0.25">
      <c r="A10086" s="18">
        <v>5532</v>
      </c>
      <c r="B10086" s="4" t="s">
        <v>250</v>
      </c>
      <c r="C10086" s="38" t="s">
        <v>8440</v>
      </c>
      <c r="D10086" s="18">
        <v>2022</v>
      </c>
      <c r="E10086" s="18" t="s">
        <v>0</v>
      </c>
      <c r="F10086" s="42">
        <v>1</v>
      </c>
      <c r="G10086" s="4">
        <v>15</v>
      </c>
      <c r="H10086" s="18">
        <v>28.581</v>
      </c>
    </row>
    <row r="10087" spans="1:8" s="15" customFormat="1" ht="16.5" hidden="1" customHeight="1" outlineLevel="1" x14ac:dyDescent="0.25">
      <c r="A10087" s="18">
        <v>5563</v>
      </c>
      <c r="B10087" s="4" t="s">
        <v>250</v>
      </c>
      <c r="C10087" s="38" t="s">
        <v>8441</v>
      </c>
      <c r="D10087" s="18">
        <v>2022</v>
      </c>
      <c r="E10087" s="18" t="s">
        <v>0</v>
      </c>
      <c r="F10087" s="42">
        <v>1</v>
      </c>
      <c r="G10087" s="4">
        <v>15</v>
      </c>
      <c r="H10087" s="18">
        <v>28.238</v>
      </c>
    </row>
    <row r="10088" spans="1:8" s="15" customFormat="1" ht="16.5" hidden="1" customHeight="1" outlineLevel="1" x14ac:dyDescent="0.25">
      <c r="A10088" s="18">
        <v>5590</v>
      </c>
      <c r="B10088" s="4" t="s">
        <v>250</v>
      </c>
      <c r="C10088" s="38" t="s">
        <v>8442</v>
      </c>
      <c r="D10088" s="18">
        <v>2022</v>
      </c>
      <c r="E10088" s="18" t="s">
        <v>0</v>
      </c>
      <c r="F10088" s="42">
        <v>1</v>
      </c>
      <c r="G10088" s="4">
        <v>15</v>
      </c>
      <c r="H10088" s="18">
        <v>30.98</v>
      </c>
    </row>
    <row r="10089" spans="1:8" s="15" customFormat="1" ht="16.5" hidden="1" customHeight="1" outlineLevel="1" x14ac:dyDescent="0.25">
      <c r="A10089" s="18">
        <v>5451</v>
      </c>
      <c r="B10089" s="4" t="s">
        <v>250</v>
      </c>
      <c r="C10089" s="38" t="s">
        <v>8443</v>
      </c>
      <c r="D10089" s="18">
        <v>2022</v>
      </c>
      <c r="E10089" s="18" t="s">
        <v>0</v>
      </c>
      <c r="F10089" s="42">
        <v>1</v>
      </c>
      <c r="G10089" s="4">
        <v>15</v>
      </c>
      <c r="H10089" s="18">
        <v>35.338999999999999</v>
      </c>
    </row>
    <row r="10090" spans="1:8" s="15" customFormat="1" ht="16.5" hidden="1" customHeight="1" outlineLevel="1" x14ac:dyDescent="0.25">
      <c r="A10090" s="18">
        <v>5466</v>
      </c>
      <c r="B10090" s="4" t="s">
        <v>250</v>
      </c>
      <c r="C10090" s="38" t="s">
        <v>8444</v>
      </c>
      <c r="D10090" s="18">
        <v>2022</v>
      </c>
      <c r="E10090" s="18" t="s">
        <v>0</v>
      </c>
      <c r="F10090" s="42">
        <v>1</v>
      </c>
      <c r="G10090" s="4">
        <v>15</v>
      </c>
      <c r="H10090" s="18">
        <v>50.53</v>
      </c>
    </row>
    <row r="10091" spans="1:8" s="15" customFormat="1" ht="16.5" hidden="1" customHeight="1" outlineLevel="1" x14ac:dyDescent="0.25">
      <c r="A10091" s="18">
        <v>5510</v>
      </c>
      <c r="B10091" s="4" t="s">
        <v>250</v>
      </c>
      <c r="C10091" s="38" t="s">
        <v>8445</v>
      </c>
      <c r="D10091" s="18">
        <v>2022</v>
      </c>
      <c r="E10091" s="18" t="s">
        <v>0</v>
      </c>
      <c r="F10091" s="42">
        <v>1</v>
      </c>
      <c r="G10091" s="4">
        <v>15</v>
      </c>
      <c r="H10091" s="18">
        <v>45.851999999999997</v>
      </c>
    </row>
    <row r="10092" spans="1:8" s="15" customFormat="1" ht="16.5" hidden="1" customHeight="1" outlineLevel="1" x14ac:dyDescent="0.25">
      <c r="A10092" s="18">
        <v>5424</v>
      </c>
      <c r="B10092" s="4" t="s">
        <v>250</v>
      </c>
      <c r="C10092" s="38" t="s">
        <v>3618</v>
      </c>
      <c r="D10092" s="18">
        <v>2022</v>
      </c>
      <c r="E10092" s="18" t="s">
        <v>0</v>
      </c>
      <c r="F10092" s="42">
        <v>1</v>
      </c>
      <c r="G10092" s="4">
        <v>15</v>
      </c>
      <c r="H10092" s="18">
        <v>75.024000000000001</v>
      </c>
    </row>
    <row r="10093" spans="1:8" s="15" customFormat="1" ht="16.5" hidden="1" customHeight="1" outlineLevel="1" x14ac:dyDescent="0.25">
      <c r="A10093" s="18">
        <v>5492</v>
      </c>
      <c r="B10093" s="4" t="s">
        <v>250</v>
      </c>
      <c r="C10093" s="38" t="s">
        <v>8446</v>
      </c>
      <c r="D10093" s="18">
        <v>2022</v>
      </c>
      <c r="E10093" s="18" t="s">
        <v>0</v>
      </c>
      <c r="F10093" s="42">
        <v>1</v>
      </c>
      <c r="G10093" s="4">
        <v>15</v>
      </c>
      <c r="H10093" s="18">
        <v>90.927000000000007</v>
      </c>
    </row>
    <row r="10094" spans="1:8" s="15" customFormat="1" ht="16.5" hidden="1" customHeight="1" outlineLevel="1" x14ac:dyDescent="0.25">
      <c r="A10094" s="18">
        <v>5566</v>
      </c>
      <c r="B10094" s="4" t="s">
        <v>250</v>
      </c>
      <c r="C10094" s="38" t="s">
        <v>8447</v>
      </c>
      <c r="D10094" s="18">
        <v>2022</v>
      </c>
      <c r="E10094" s="18" t="s">
        <v>0</v>
      </c>
      <c r="F10094" s="42">
        <v>1</v>
      </c>
      <c r="G10094" s="4">
        <v>15</v>
      </c>
      <c r="H10094" s="18">
        <v>87.575999999999993</v>
      </c>
    </row>
    <row r="10095" spans="1:8" s="15" customFormat="1" ht="16.5" hidden="1" customHeight="1" outlineLevel="1" x14ac:dyDescent="0.25">
      <c r="A10095" s="18">
        <v>5614</v>
      </c>
      <c r="B10095" s="4" t="s">
        <v>250</v>
      </c>
      <c r="C10095" s="38" t="s">
        <v>8448</v>
      </c>
      <c r="D10095" s="18">
        <v>2022</v>
      </c>
      <c r="E10095" s="18" t="s">
        <v>0</v>
      </c>
      <c r="F10095" s="42">
        <v>1</v>
      </c>
      <c r="G10095" s="4">
        <v>20</v>
      </c>
      <c r="H10095" s="18">
        <v>93.510999999999996</v>
      </c>
    </row>
    <row r="10096" spans="1:8" s="15" customFormat="1" ht="16.5" hidden="1" customHeight="1" outlineLevel="1" x14ac:dyDescent="0.25">
      <c r="A10096" s="18">
        <v>5506</v>
      </c>
      <c r="B10096" s="4" t="s">
        <v>250</v>
      </c>
      <c r="C10096" s="38" t="s">
        <v>8449</v>
      </c>
      <c r="D10096" s="18">
        <v>2022</v>
      </c>
      <c r="E10096" s="18" t="s">
        <v>0</v>
      </c>
      <c r="F10096" s="42">
        <v>1</v>
      </c>
      <c r="G10096" s="4">
        <v>15</v>
      </c>
      <c r="H10096" s="18">
        <v>96.83</v>
      </c>
    </row>
    <row r="10097" spans="1:8" s="15" customFormat="1" ht="16.5" hidden="1" customHeight="1" outlineLevel="1" x14ac:dyDescent="0.25">
      <c r="A10097" s="18">
        <v>5557</v>
      </c>
      <c r="B10097" s="4" t="s">
        <v>250</v>
      </c>
      <c r="C10097" s="38" t="s">
        <v>8450</v>
      </c>
      <c r="D10097" s="18">
        <v>2022</v>
      </c>
      <c r="E10097" s="18" t="s">
        <v>0</v>
      </c>
      <c r="F10097" s="42">
        <v>1</v>
      </c>
      <c r="G10097" s="4">
        <v>15</v>
      </c>
      <c r="H10097" s="18">
        <v>94.311000000000007</v>
      </c>
    </row>
    <row r="10098" spans="1:8" s="15" customFormat="1" ht="16.5" hidden="1" customHeight="1" outlineLevel="1" x14ac:dyDescent="0.25">
      <c r="A10098" s="18">
        <v>5464</v>
      </c>
      <c r="B10098" s="4" t="s">
        <v>250</v>
      </c>
      <c r="C10098" s="38" t="s">
        <v>8451</v>
      </c>
      <c r="D10098" s="18">
        <v>2022</v>
      </c>
      <c r="E10098" s="18" t="s">
        <v>0</v>
      </c>
      <c r="F10098" s="42">
        <v>1</v>
      </c>
      <c r="G10098" s="4">
        <v>15</v>
      </c>
      <c r="H10098" s="18">
        <v>90.733999999999995</v>
      </c>
    </row>
    <row r="10099" spans="1:8" s="15" customFormat="1" ht="16.5" hidden="1" customHeight="1" outlineLevel="1" x14ac:dyDescent="0.25">
      <c r="A10099" s="18">
        <v>5426</v>
      </c>
      <c r="B10099" s="4" t="s">
        <v>250</v>
      </c>
      <c r="C10099" s="38" t="s">
        <v>8452</v>
      </c>
      <c r="D10099" s="18">
        <v>2022</v>
      </c>
      <c r="E10099" s="18" t="s">
        <v>0</v>
      </c>
      <c r="F10099" s="42">
        <v>1</v>
      </c>
      <c r="G10099" s="4">
        <v>10</v>
      </c>
      <c r="H10099" s="18">
        <v>97.006</v>
      </c>
    </row>
    <row r="10100" spans="1:8" s="15" customFormat="1" ht="16.5" hidden="1" customHeight="1" outlineLevel="1" x14ac:dyDescent="0.25">
      <c r="A10100" s="18">
        <v>5481</v>
      </c>
      <c r="B10100" s="4" t="s">
        <v>250</v>
      </c>
      <c r="C10100" s="38" t="s">
        <v>8453</v>
      </c>
      <c r="D10100" s="18">
        <v>2022</v>
      </c>
      <c r="E10100" s="18" t="s">
        <v>0</v>
      </c>
      <c r="F10100" s="42">
        <v>1</v>
      </c>
      <c r="G10100" s="4">
        <v>15</v>
      </c>
      <c r="H10100" s="18">
        <v>91.052000000000007</v>
      </c>
    </row>
    <row r="10101" spans="1:8" s="15" customFormat="1" ht="16.5" hidden="1" customHeight="1" outlineLevel="1" x14ac:dyDescent="0.25">
      <c r="A10101" s="18">
        <v>5430</v>
      </c>
      <c r="B10101" s="4" t="s">
        <v>250</v>
      </c>
      <c r="C10101" s="38" t="s">
        <v>8454</v>
      </c>
      <c r="D10101" s="18">
        <v>2022</v>
      </c>
      <c r="E10101" s="18" t="s">
        <v>0</v>
      </c>
      <c r="F10101" s="42">
        <v>1</v>
      </c>
      <c r="G10101" s="4">
        <v>15</v>
      </c>
      <c r="H10101" s="18">
        <v>90.869</v>
      </c>
    </row>
    <row r="10102" spans="1:8" s="15" customFormat="1" ht="16.5" hidden="1" customHeight="1" outlineLevel="1" x14ac:dyDescent="0.25">
      <c r="A10102" s="18">
        <v>5489</v>
      </c>
      <c r="B10102" s="4" t="s">
        <v>250</v>
      </c>
      <c r="C10102" s="38" t="s">
        <v>8455</v>
      </c>
      <c r="D10102" s="18">
        <v>2022</v>
      </c>
      <c r="E10102" s="18" t="s">
        <v>0</v>
      </c>
      <c r="F10102" s="42">
        <v>1</v>
      </c>
      <c r="G10102" s="4">
        <v>15</v>
      </c>
      <c r="H10102" s="18">
        <v>91.293000000000006</v>
      </c>
    </row>
    <row r="10103" spans="1:8" s="15" customFormat="1" ht="16.5" hidden="1" customHeight="1" outlineLevel="1" x14ac:dyDescent="0.25">
      <c r="A10103" s="18">
        <v>5449</v>
      </c>
      <c r="B10103" s="4" t="s">
        <v>250</v>
      </c>
      <c r="C10103" s="38" t="s">
        <v>3619</v>
      </c>
      <c r="D10103" s="18">
        <v>2022</v>
      </c>
      <c r="E10103" s="18" t="s">
        <v>0</v>
      </c>
      <c r="F10103" s="42">
        <v>1</v>
      </c>
      <c r="G10103" s="4">
        <v>15</v>
      </c>
      <c r="H10103" s="18">
        <v>65.789000000000001</v>
      </c>
    </row>
    <row r="10104" spans="1:8" s="15" customFormat="1" ht="16.5" hidden="1" customHeight="1" outlineLevel="1" x14ac:dyDescent="0.25">
      <c r="A10104" s="18">
        <v>5537</v>
      </c>
      <c r="B10104" s="4" t="s">
        <v>250</v>
      </c>
      <c r="C10104" s="38" t="s">
        <v>3620</v>
      </c>
      <c r="D10104" s="18">
        <v>2022</v>
      </c>
      <c r="E10104" s="18" t="s">
        <v>0</v>
      </c>
      <c r="F10104" s="42">
        <v>1</v>
      </c>
      <c r="G10104" s="4">
        <v>15</v>
      </c>
      <c r="H10104" s="18">
        <v>67.650000000000006</v>
      </c>
    </row>
    <row r="10105" spans="1:8" s="15" customFormat="1" ht="16.5" hidden="1" customHeight="1" outlineLevel="1" x14ac:dyDescent="0.25">
      <c r="A10105" s="18">
        <v>5682</v>
      </c>
      <c r="B10105" s="4" t="s">
        <v>250</v>
      </c>
      <c r="C10105" s="38" t="s">
        <v>8456</v>
      </c>
      <c r="D10105" s="18">
        <v>2022</v>
      </c>
      <c r="E10105" s="18" t="s">
        <v>0</v>
      </c>
      <c r="F10105" s="42">
        <v>1</v>
      </c>
      <c r="G10105" s="4">
        <v>4</v>
      </c>
      <c r="H10105" s="18">
        <v>80.97</v>
      </c>
    </row>
    <row r="10106" spans="1:8" s="15" customFormat="1" ht="16.5" hidden="1" customHeight="1" outlineLevel="1" x14ac:dyDescent="0.25">
      <c r="A10106" s="18">
        <v>5896</v>
      </c>
      <c r="B10106" s="4" t="s">
        <v>250</v>
      </c>
      <c r="C10106" s="38" t="s">
        <v>8457</v>
      </c>
      <c r="D10106" s="18">
        <v>2022</v>
      </c>
      <c r="E10106" s="18" t="s">
        <v>0</v>
      </c>
      <c r="F10106" s="42">
        <v>1</v>
      </c>
      <c r="G10106" s="4">
        <v>15</v>
      </c>
      <c r="H10106" s="18">
        <v>88.352000000000004</v>
      </c>
    </row>
    <row r="10107" spans="1:8" s="15" customFormat="1" ht="16.5" hidden="1" customHeight="1" outlineLevel="1" x14ac:dyDescent="0.25">
      <c r="A10107" s="18">
        <v>5442</v>
      </c>
      <c r="B10107" s="4" t="s">
        <v>250</v>
      </c>
      <c r="C10107" s="38" t="s">
        <v>8458</v>
      </c>
      <c r="D10107" s="18">
        <v>2022</v>
      </c>
      <c r="E10107" s="18" t="s">
        <v>0</v>
      </c>
      <c r="F10107" s="42">
        <v>1</v>
      </c>
      <c r="G10107" s="4">
        <v>15</v>
      </c>
      <c r="H10107" s="18">
        <v>104.407</v>
      </c>
    </row>
    <row r="10108" spans="1:8" s="15" customFormat="1" ht="16.5" hidden="1" customHeight="1" outlineLevel="1" x14ac:dyDescent="0.25">
      <c r="A10108" s="18">
        <v>5538</v>
      </c>
      <c r="B10108" s="4" t="s">
        <v>250</v>
      </c>
      <c r="C10108" s="38" t="s">
        <v>8459</v>
      </c>
      <c r="D10108" s="18">
        <v>2022</v>
      </c>
      <c r="E10108" s="18" t="s">
        <v>0</v>
      </c>
      <c r="F10108" s="42">
        <v>1</v>
      </c>
      <c r="G10108" s="4">
        <v>15</v>
      </c>
      <c r="H10108" s="18">
        <v>94.478999999999999</v>
      </c>
    </row>
    <row r="10109" spans="1:8" s="15" customFormat="1" ht="16.5" hidden="1" customHeight="1" outlineLevel="1" x14ac:dyDescent="0.25">
      <c r="A10109" s="18">
        <v>5479</v>
      </c>
      <c r="B10109" s="4" t="s">
        <v>250</v>
      </c>
      <c r="C10109" s="38" t="s">
        <v>8460</v>
      </c>
      <c r="D10109" s="18">
        <v>2022</v>
      </c>
      <c r="E10109" s="18" t="s">
        <v>0</v>
      </c>
      <c r="F10109" s="42">
        <v>1</v>
      </c>
      <c r="G10109" s="4">
        <v>15</v>
      </c>
      <c r="H10109" s="18">
        <v>98.492999999999995</v>
      </c>
    </row>
    <row r="10110" spans="1:8" s="15" customFormat="1" ht="16.5" hidden="1" customHeight="1" outlineLevel="1" x14ac:dyDescent="0.25">
      <c r="A10110" s="18">
        <v>5427</v>
      </c>
      <c r="B10110" s="4" t="s">
        <v>250</v>
      </c>
      <c r="C10110" s="38" t="s">
        <v>8461</v>
      </c>
      <c r="D10110" s="18">
        <v>2022</v>
      </c>
      <c r="E10110" s="18" t="s">
        <v>0</v>
      </c>
      <c r="F10110" s="42">
        <v>1</v>
      </c>
      <c r="G10110" s="4">
        <v>15</v>
      </c>
      <c r="H10110" s="18">
        <v>95.245999999999995</v>
      </c>
    </row>
    <row r="10111" spans="1:8" s="15" customFormat="1" ht="16.5" hidden="1" customHeight="1" outlineLevel="1" x14ac:dyDescent="0.25">
      <c r="A10111" s="18">
        <v>5527</v>
      </c>
      <c r="B10111" s="4" t="s">
        <v>250</v>
      </c>
      <c r="C10111" s="38" t="s">
        <v>8462</v>
      </c>
      <c r="D10111" s="18">
        <v>2022</v>
      </c>
      <c r="E10111" s="18" t="s">
        <v>0</v>
      </c>
      <c r="F10111" s="42">
        <v>1</v>
      </c>
      <c r="G10111" s="4">
        <v>15</v>
      </c>
      <c r="H10111" s="18">
        <v>94.629000000000005</v>
      </c>
    </row>
    <row r="10112" spans="1:8" s="15" customFormat="1" ht="16.5" hidden="1" customHeight="1" outlineLevel="1" x14ac:dyDescent="0.25">
      <c r="A10112" s="18">
        <v>5573</v>
      </c>
      <c r="B10112" s="4" t="s">
        <v>250</v>
      </c>
      <c r="C10112" s="38" t="s">
        <v>8463</v>
      </c>
      <c r="D10112" s="18">
        <v>2022</v>
      </c>
      <c r="E10112" s="18" t="s">
        <v>0</v>
      </c>
      <c r="F10112" s="42">
        <v>1</v>
      </c>
      <c r="G10112" s="4">
        <v>15</v>
      </c>
      <c r="H10112" s="18">
        <v>93.858000000000004</v>
      </c>
    </row>
    <row r="10113" spans="1:8" s="15" customFormat="1" ht="16.5" hidden="1" customHeight="1" outlineLevel="1" x14ac:dyDescent="0.25">
      <c r="A10113" s="18">
        <v>5456</v>
      </c>
      <c r="B10113" s="4" t="s">
        <v>250</v>
      </c>
      <c r="C10113" s="38" t="s">
        <v>8464</v>
      </c>
      <c r="D10113" s="18">
        <v>2022</v>
      </c>
      <c r="E10113" s="18" t="s">
        <v>0</v>
      </c>
      <c r="F10113" s="42">
        <v>1</v>
      </c>
      <c r="G10113" s="4">
        <v>5</v>
      </c>
      <c r="H10113" s="18">
        <v>103.114</v>
      </c>
    </row>
    <row r="10114" spans="1:8" s="15" customFormat="1" ht="16.5" hidden="1" customHeight="1" outlineLevel="1" x14ac:dyDescent="0.25">
      <c r="A10114" s="18">
        <v>5536</v>
      </c>
      <c r="B10114" s="4" t="s">
        <v>250</v>
      </c>
      <c r="C10114" s="38" t="s">
        <v>3621</v>
      </c>
      <c r="D10114" s="18">
        <v>2022</v>
      </c>
      <c r="E10114" s="18" t="s">
        <v>0</v>
      </c>
      <c r="F10114" s="42">
        <v>1</v>
      </c>
      <c r="G10114" s="4">
        <v>15</v>
      </c>
      <c r="H10114" s="18">
        <v>63.432000000000002</v>
      </c>
    </row>
    <row r="10115" spans="1:8" s="15" customFormat="1" ht="16.5" hidden="1" customHeight="1" outlineLevel="1" x14ac:dyDescent="0.25">
      <c r="A10115" s="18">
        <v>5616</v>
      </c>
      <c r="B10115" s="4" t="s">
        <v>250</v>
      </c>
      <c r="C10115" s="38" t="s">
        <v>8465</v>
      </c>
      <c r="D10115" s="18">
        <v>2022</v>
      </c>
      <c r="E10115" s="18" t="s">
        <v>0</v>
      </c>
      <c r="F10115" s="42">
        <v>1</v>
      </c>
      <c r="G10115" s="4">
        <v>15</v>
      </c>
      <c r="H10115" s="18">
        <v>74.918000000000006</v>
      </c>
    </row>
    <row r="10116" spans="1:8" s="15" customFormat="1" ht="16.5" hidden="1" customHeight="1" outlineLevel="1" x14ac:dyDescent="0.25">
      <c r="A10116" s="18">
        <v>5661</v>
      </c>
      <c r="B10116" s="4" t="s">
        <v>250</v>
      </c>
      <c r="C10116" s="38" t="s">
        <v>8466</v>
      </c>
      <c r="D10116" s="18">
        <v>2022</v>
      </c>
      <c r="E10116" s="18" t="s">
        <v>0</v>
      </c>
      <c r="F10116" s="42">
        <v>1</v>
      </c>
      <c r="G10116" s="4">
        <v>10</v>
      </c>
      <c r="H10116" s="18">
        <v>72.77</v>
      </c>
    </row>
    <row r="10117" spans="1:8" s="15" customFormat="1" ht="16.5" hidden="1" customHeight="1" outlineLevel="1" x14ac:dyDescent="0.25">
      <c r="A10117" s="18">
        <v>5619</v>
      </c>
      <c r="B10117" s="4" t="s">
        <v>250</v>
      </c>
      <c r="C10117" s="38" t="s">
        <v>8467</v>
      </c>
      <c r="D10117" s="18">
        <v>2022</v>
      </c>
      <c r="E10117" s="18" t="s">
        <v>0</v>
      </c>
      <c r="F10117" s="42">
        <v>1</v>
      </c>
      <c r="G10117" s="4">
        <v>14</v>
      </c>
      <c r="H10117" s="18">
        <v>72.956999999999994</v>
      </c>
    </row>
    <row r="10118" spans="1:8" s="15" customFormat="1" ht="16.5" hidden="1" customHeight="1" outlineLevel="1" x14ac:dyDescent="0.25">
      <c r="A10118" s="18">
        <v>5630</v>
      </c>
      <c r="B10118" s="4" t="s">
        <v>250</v>
      </c>
      <c r="C10118" s="38" t="s">
        <v>8468</v>
      </c>
      <c r="D10118" s="18">
        <v>2022</v>
      </c>
      <c r="E10118" s="18" t="s">
        <v>0</v>
      </c>
      <c r="F10118" s="42">
        <v>1</v>
      </c>
      <c r="G10118" s="4">
        <v>14</v>
      </c>
      <c r="H10118" s="18">
        <v>73.19</v>
      </c>
    </row>
    <row r="10119" spans="1:8" s="15" customFormat="1" ht="16.5" hidden="1" customHeight="1" outlineLevel="1" x14ac:dyDescent="0.25">
      <c r="A10119" s="18">
        <v>5620</v>
      </c>
      <c r="B10119" s="4" t="s">
        <v>250</v>
      </c>
      <c r="C10119" s="38" t="s">
        <v>8469</v>
      </c>
      <c r="D10119" s="18">
        <v>2022</v>
      </c>
      <c r="E10119" s="18" t="s">
        <v>0</v>
      </c>
      <c r="F10119" s="42">
        <v>1</v>
      </c>
      <c r="G10119" s="4">
        <v>14</v>
      </c>
      <c r="H10119" s="18">
        <v>72.23</v>
      </c>
    </row>
    <row r="10120" spans="1:8" s="15" customFormat="1" ht="16.5" hidden="1" customHeight="1" outlineLevel="1" x14ac:dyDescent="0.25">
      <c r="A10120" s="18">
        <v>5437</v>
      </c>
      <c r="B10120" s="4" t="s">
        <v>250</v>
      </c>
      <c r="C10120" s="38" t="s">
        <v>8470</v>
      </c>
      <c r="D10120" s="18">
        <v>2022</v>
      </c>
      <c r="E10120" s="18" t="s">
        <v>0</v>
      </c>
      <c r="F10120" s="42">
        <v>1</v>
      </c>
      <c r="G10120" s="4">
        <v>15</v>
      </c>
      <c r="H10120" s="18">
        <v>77.332999999999998</v>
      </c>
    </row>
    <row r="10121" spans="1:8" s="15" customFormat="1" ht="16.5" hidden="1" customHeight="1" outlineLevel="1" x14ac:dyDescent="0.25">
      <c r="A10121" s="18">
        <v>5698</v>
      </c>
      <c r="B10121" s="4" t="s">
        <v>250</v>
      </c>
      <c r="C10121" s="38" t="s">
        <v>8471</v>
      </c>
      <c r="D10121" s="18">
        <v>2022</v>
      </c>
      <c r="E10121" s="18" t="s">
        <v>0</v>
      </c>
      <c r="F10121" s="42">
        <v>1</v>
      </c>
      <c r="G10121" s="4">
        <v>15</v>
      </c>
      <c r="H10121" s="18">
        <v>91.456999999999994</v>
      </c>
    </row>
    <row r="10122" spans="1:8" s="15" customFormat="1" ht="16.5" hidden="1" customHeight="1" outlineLevel="1" x14ac:dyDescent="0.25">
      <c r="A10122" s="18">
        <v>5542</v>
      </c>
      <c r="B10122" s="4" t="s">
        <v>250</v>
      </c>
      <c r="C10122" s="38" t="s">
        <v>8472</v>
      </c>
      <c r="D10122" s="18">
        <v>2022</v>
      </c>
      <c r="E10122" s="18" t="s">
        <v>0</v>
      </c>
      <c r="F10122" s="42">
        <v>1</v>
      </c>
      <c r="G10122" s="4">
        <v>15</v>
      </c>
      <c r="H10122" s="18">
        <v>83.268000000000001</v>
      </c>
    </row>
    <row r="10123" spans="1:8" s="15" customFormat="1" ht="16.5" hidden="1" customHeight="1" outlineLevel="1" x14ac:dyDescent="0.25">
      <c r="A10123" s="18">
        <v>5701</v>
      </c>
      <c r="B10123" s="4" t="s">
        <v>250</v>
      </c>
      <c r="C10123" s="38" t="s">
        <v>8473</v>
      </c>
      <c r="D10123" s="18">
        <v>2022</v>
      </c>
      <c r="E10123" s="18" t="s">
        <v>0</v>
      </c>
      <c r="F10123" s="42">
        <v>1</v>
      </c>
      <c r="G10123" s="4">
        <v>15</v>
      </c>
      <c r="H10123" s="18">
        <v>81.962999999999994</v>
      </c>
    </row>
    <row r="10124" spans="1:8" s="15" customFormat="1" ht="16.5" hidden="1" customHeight="1" outlineLevel="1" x14ac:dyDescent="0.25">
      <c r="A10124" s="18">
        <v>5586</v>
      </c>
      <c r="B10124" s="4" t="s">
        <v>250</v>
      </c>
      <c r="C10124" s="38" t="s">
        <v>8474</v>
      </c>
      <c r="D10124" s="18">
        <v>2022</v>
      </c>
      <c r="E10124" s="18" t="s">
        <v>0</v>
      </c>
      <c r="F10124" s="42">
        <v>1</v>
      </c>
      <c r="G10124" s="4">
        <v>14</v>
      </c>
      <c r="H10124" s="18">
        <v>84.132000000000005</v>
      </c>
    </row>
    <row r="10125" spans="1:8" s="15" customFormat="1" ht="16.5" hidden="1" customHeight="1" outlineLevel="1" x14ac:dyDescent="0.25">
      <c r="A10125" s="18">
        <v>5584</v>
      </c>
      <c r="B10125" s="4" t="s">
        <v>250</v>
      </c>
      <c r="C10125" s="38" t="s">
        <v>8475</v>
      </c>
      <c r="D10125" s="18">
        <v>2022</v>
      </c>
      <c r="E10125" s="18" t="s">
        <v>0</v>
      </c>
      <c r="F10125" s="42">
        <v>1</v>
      </c>
      <c r="G10125" s="4">
        <v>14</v>
      </c>
      <c r="H10125" s="18">
        <v>84.463999999999999</v>
      </c>
    </row>
    <row r="10126" spans="1:8" s="15" customFormat="1" ht="16.5" hidden="1" customHeight="1" outlineLevel="1" x14ac:dyDescent="0.25">
      <c r="A10126" s="18">
        <v>5585</v>
      </c>
      <c r="B10126" s="4" t="s">
        <v>250</v>
      </c>
      <c r="C10126" s="38" t="s">
        <v>8476</v>
      </c>
      <c r="D10126" s="18">
        <v>2022</v>
      </c>
      <c r="E10126" s="18" t="s">
        <v>0</v>
      </c>
      <c r="F10126" s="42">
        <v>1</v>
      </c>
      <c r="G10126" s="4">
        <v>14</v>
      </c>
      <c r="H10126" s="18">
        <v>84.132000000000005</v>
      </c>
    </row>
    <row r="10127" spans="1:8" s="15" customFormat="1" ht="16.5" hidden="1" customHeight="1" outlineLevel="1" x14ac:dyDescent="0.25">
      <c r="A10127" s="18">
        <v>5617</v>
      </c>
      <c r="B10127" s="4" t="s">
        <v>250</v>
      </c>
      <c r="C10127" s="38" t="s">
        <v>8477</v>
      </c>
      <c r="D10127" s="18">
        <v>2022</v>
      </c>
      <c r="E10127" s="18" t="s">
        <v>0</v>
      </c>
      <c r="F10127" s="42">
        <v>1</v>
      </c>
      <c r="G10127" s="4">
        <v>15</v>
      </c>
      <c r="H10127" s="18">
        <v>84.745999999999995</v>
      </c>
    </row>
    <row r="10128" spans="1:8" s="15" customFormat="1" ht="16.5" hidden="1" customHeight="1" outlineLevel="1" x14ac:dyDescent="0.25">
      <c r="A10128" s="18">
        <v>5518</v>
      </c>
      <c r="B10128" s="4" t="s">
        <v>250</v>
      </c>
      <c r="C10128" s="38" t="s">
        <v>8478</v>
      </c>
      <c r="D10128" s="18">
        <v>2022</v>
      </c>
      <c r="E10128" s="18" t="s">
        <v>0</v>
      </c>
      <c r="F10128" s="42">
        <v>1</v>
      </c>
      <c r="G10128" s="4">
        <v>15</v>
      </c>
      <c r="H10128" s="18">
        <v>85.841999999999999</v>
      </c>
    </row>
    <row r="10129" spans="1:8" s="15" customFormat="1" ht="16.5" hidden="1" customHeight="1" outlineLevel="1" x14ac:dyDescent="0.25">
      <c r="A10129" s="18">
        <v>5728</v>
      </c>
      <c r="B10129" s="4" t="s">
        <v>250</v>
      </c>
      <c r="C10129" s="38" t="s">
        <v>3623</v>
      </c>
      <c r="D10129" s="18">
        <v>2022</v>
      </c>
      <c r="E10129" s="18" t="s">
        <v>0</v>
      </c>
      <c r="F10129" s="42">
        <v>1</v>
      </c>
      <c r="G10129" s="4">
        <v>50</v>
      </c>
      <c r="H10129" s="18">
        <v>52.686</v>
      </c>
    </row>
    <row r="10130" spans="1:8" s="15" customFormat="1" ht="16.5" hidden="1" customHeight="1" outlineLevel="1" x14ac:dyDescent="0.25">
      <c r="A10130" s="18">
        <v>5623</v>
      </c>
      <c r="B10130" s="4" t="s">
        <v>250</v>
      </c>
      <c r="C10130" s="38" t="s">
        <v>3625</v>
      </c>
      <c r="D10130" s="18">
        <v>2022</v>
      </c>
      <c r="E10130" s="18" t="s">
        <v>0</v>
      </c>
      <c r="F10130" s="42">
        <v>1</v>
      </c>
      <c r="G10130" s="4">
        <v>15</v>
      </c>
      <c r="H10130" s="18">
        <v>29.436</v>
      </c>
    </row>
    <row r="10131" spans="1:8" s="15" customFormat="1" ht="16.5" hidden="1" customHeight="1" outlineLevel="1" x14ac:dyDescent="0.25">
      <c r="A10131" s="18">
        <v>5758</v>
      </c>
      <c r="B10131" s="4" t="s">
        <v>250</v>
      </c>
      <c r="C10131" s="38" t="s">
        <v>8479</v>
      </c>
      <c r="D10131" s="18">
        <v>2022</v>
      </c>
      <c r="E10131" s="18" t="s">
        <v>0</v>
      </c>
      <c r="F10131" s="42">
        <v>1</v>
      </c>
      <c r="G10131" s="4">
        <v>15</v>
      </c>
      <c r="H10131" s="18">
        <v>20.097999999999999</v>
      </c>
    </row>
    <row r="10132" spans="1:8" s="15" customFormat="1" ht="16.5" hidden="1" customHeight="1" outlineLevel="1" x14ac:dyDescent="0.25">
      <c r="A10132" s="18">
        <v>5629</v>
      </c>
      <c r="B10132" s="4" t="s">
        <v>250</v>
      </c>
      <c r="C10132" s="38" t="s">
        <v>8480</v>
      </c>
      <c r="D10132" s="18">
        <v>2022</v>
      </c>
      <c r="E10132" s="18" t="s">
        <v>0</v>
      </c>
      <c r="F10132" s="42">
        <v>1</v>
      </c>
      <c r="G10132" s="4">
        <v>15</v>
      </c>
      <c r="H10132" s="18">
        <v>29.498000000000001</v>
      </c>
    </row>
    <row r="10133" spans="1:8" s="15" customFormat="1" ht="16.5" hidden="1" customHeight="1" outlineLevel="1" x14ac:dyDescent="0.25">
      <c r="A10133" s="18">
        <v>5529</v>
      </c>
      <c r="B10133" s="4" t="s">
        <v>250</v>
      </c>
      <c r="C10133" s="38" t="s">
        <v>8481</v>
      </c>
      <c r="D10133" s="18">
        <v>2022</v>
      </c>
      <c r="E10133" s="18" t="s">
        <v>0</v>
      </c>
      <c r="F10133" s="42">
        <v>1</v>
      </c>
      <c r="G10133" s="4">
        <v>10</v>
      </c>
      <c r="H10133" s="18">
        <v>30.79</v>
      </c>
    </row>
    <row r="10134" spans="1:8" s="15" customFormat="1" ht="16.5" hidden="1" customHeight="1" outlineLevel="1" x14ac:dyDescent="0.25">
      <c r="A10134" s="18">
        <v>5460</v>
      </c>
      <c r="B10134" s="4" t="s">
        <v>250</v>
      </c>
      <c r="C10134" s="38" t="s">
        <v>8482</v>
      </c>
      <c r="D10134" s="18">
        <v>2022</v>
      </c>
      <c r="E10134" s="18" t="s">
        <v>0</v>
      </c>
      <c r="F10134" s="42">
        <v>1</v>
      </c>
      <c r="G10134" s="4">
        <v>15</v>
      </c>
      <c r="H10134" s="18">
        <v>36.799999999999997</v>
      </c>
    </row>
    <row r="10135" spans="1:8" s="15" customFormat="1" ht="16.5" hidden="1" customHeight="1" outlineLevel="1" x14ac:dyDescent="0.25">
      <c r="A10135" s="18">
        <v>5533</v>
      </c>
      <c r="B10135" s="4" t="s">
        <v>250</v>
      </c>
      <c r="C10135" s="38" t="s">
        <v>8483</v>
      </c>
      <c r="D10135" s="18">
        <v>2022</v>
      </c>
      <c r="E10135" s="18" t="s">
        <v>0</v>
      </c>
      <c r="F10135" s="42">
        <v>1</v>
      </c>
      <c r="G10135" s="4">
        <v>15</v>
      </c>
      <c r="H10135" s="18">
        <v>43.856999999999999</v>
      </c>
    </row>
    <row r="10136" spans="1:8" s="15" customFormat="1" ht="16.5" hidden="1" customHeight="1" outlineLevel="1" x14ac:dyDescent="0.25">
      <c r="A10136" s="18">
        <v>5512</v>
      </c>
      <c r="B10136" s="4" t="s">
        <v>250</v>
      </c>
      <c r="C10136" s="38" t="s">
        <v>8484</v>
      </c>
      <c r="D10136" s="18">
        <v>2022</v>
      </c>
      <c r="E10136" s="18" t="s">
        <v>0</v>
      </c>
      <c r="F10136" s="42">
        <v>1</v>
      </c>
      <c r="G10136" s="4">
        <v>15</v>
      </c>
      <c r="H10136" s="18">
        <v>40.92</v>
      </c>
    </row>
    <row r="10137" spans="1:8" s="15" customFormat="1" ht="16.5" hidden="1" customHeight="1" outlineLevel="1" x14ac:dyDescent="0.25">
      <c r="A10137" s="18">
        <v>5552</v>
      </c>
      <c r="B10137" s="4" t="s">
        <v>250</v>
      </c>
      <c r="C10137" s="38" t="s">
        <v>8485</v>
      </c>
      <c r="D10137" s="18">
        <v>2022</v>
      </c>
      <c r="E10137" s="18" t="s">
        <v>0</v>
      </c>
      <c r="F10137" s="42">
        <v>1</v>
      </c>
      <c r="G10137" s="4">
        <v>14</v>
      </c>
      <c r="H10137" s="18">
        <v>30.548999999999999</v>
      </c>
    </row>
    <row r="10138" spans="1:8" s="15" customFormat="1" ht="16.5" hidden="1" customHeight="1" outlineLevel="1" x14ac:dyDescent="0.25">
      <c r="A10138" s="18">
        <v>5553</v>
      </c>
      <c r="B10138" s="4" t="s">
        <v>250</v>
      </c>
      <c r="C10138" s="38" t="s">
        <v>8486</v>
      </c>
      <c r="D10138" s="18">
        <v>2022</v>
      </c>
      <c r="E10138" s="18" t="s">
        <v>0</v>
      </c>
      <c r="F10138" s="42">
        <v>1</v>
      </c>
      <c r="G10138" s="4">
        <v>14</v>
      </c>
      <c r="H10138" s="18">
        <v>32.180999999999997</v>
      </c>
    </row>
    <row r="10139" spans="1:8" s="15" customFormat="1" ht="16.5" hidden="1" customHeight="1" outlineLevel="1" x14ac:dyDescent="0.25">
      <c r="A10139" s="18">
        <v>5551</v>
      </c>
      <c r="B10139" s="4" t="s">
        <v>250</v>
      </c>
      <c r="C10139" s="38" t="s">
        <v>8487</v>
      </c>
      <c r="D10139" s="18">
        <v>2022</v>
      </c>
      <c r="E10139" s="18" t="s">
        <v>0</v>
      </c>
      <c r="F10139" s="42">
        <v>1</v>
      </c>
      <c r="G10139" s="4">
        <v>14</v>
      </c>
      <c r="H10139" s="18">
        <v>31.925000000000001</v>
      </c>
    </row>
    <row r="10140" spans="1:8" s="15" customFormat="1" ht="16.5" hidden="1" customHeight="1" outlineLevel="1" x14ac:dyDescent="0.25">
      <c r="A10140" s="18">
        <v>5550</v>
      </c>
      <c r="B10140" s="4" t="s">
        <v>250</v>
      </c>
      <c r="C10140" s="38" t="s">
        <v>8488</v>
      </c>
      <c r="D10140" s="18">
        <v>2022</v>
      </c>
      <c r="E10140" s="18" t="s">
        <v>0</v>
      </c>
      <c r="F10140" s="42">
        <v>1</v>
      </c>
      <c r="G10140" s="4">
        <v>14</v>
      </c>
      <c r="H10140" s="18">
        <v>28.140999999999998</v>
      </c>
    </row>
    <row r="10141" spans="1:8" s="15" customFormat="1" ht="16.5" hidden="1" customHeight="1" outlineLevel="1" x14ac:dyDescent="0.25">
      <c r="A10141" s="18">
        <v>5530</v>
      </c>
      <c r="B10141" s="4" t="s">
        <v>250</v>
      </c>
      <c r="C10141" s="38" t="s">
        <v>8489</v>
      </c>
      <c r="D10141" s="18">
        <v>2022</v>
      </c>
      <c r="E10141" s="18" t="s">
        <v>0</v>
      </c>
      <c r="F10141" s="42">
        <v>1</v>
      </c>
      <c r="G10141" s="4">
        <v>7.5</v>
      </c>
      <c r="H10141" s="18">
        <v>29.073</v>
      </c>
    </row>
    <row r="10142" spans="1:8" s="15" customFormat="1" ht="16.5" hidden="1" customHeight="1" outlineLevel="1" x14ac:dyDescent="0.25">
      <c r="A10142" s="18">
        <v>5501</v>
      </c>
      <c r="B10142" s="4" t="s">
        <v>250</v>
      </c>
      <c r="C10142" s="38" t="s">
        <v>3626</v>
      </c>
      <c r="D10142" s="18">
        <v>2022</v>
      </c>
      <c r="E10142" s="18" t="s">
        <v>0</v>
      </c>
      <c r="F10142" s="42">
        <v>1</v>
      </c>
      <c r="G10142" s="4">
        <v>15</v>
      </c>
      <c r="H10142" s="18">
        <v>81.652000000000001</v>
      </c>
    </row>
    <row r="10143" spans="1:8" s="15" customFormat="1" ht="16.5" hidden="1" customHeight="1" outlineLevel="1" x14ac:dyDescent="0.25">
      <c r="A10143" s="18">
        <v>5522</v>
      </c>
      <c r="B10143" s="4" t="s">
        <v>250</v>
      </c>
      <c r="C10143" s="38" t="s">
        <v>3627</v>
      </c>
      <c r="D10143" s="18">
        <v>2022</v>
      </c>
      <c r="E10143" s="18" t="s">
        <v>0</v>
      </c>
      <c r="F10143" s="42">
        <v>1</v>
      </c>
      <c r="G10143" s="4">
        <v>15</v>
      </c>
      <c r="H10143" s="18">
        <v>70.085999999999999</v>
      </c>
    </row>
    <row r="10144" spans="1:8" s="15" customFormat="1" ht="16.5" hidden="1" customHeight="1" outlineLevel="1" x14ac:dyDescent="0.25">
      <c r="A10144" s="18">
        <v>5549</v>
      </c>
      <c r="B10144" s="4" t="s">
        <v>250</v>
      </c>
      <c r="C10144" s="38" t="s">
        <v>3628</v>
      </c>
      <c r="D10144" s="18">
        <v>2022</v>
      </c>
      <c r="E10144" s="18" t="s">
        <v>0</v>
      </c>
      <c r="F10144" s="42">
        <v>1</v>
      </c>
      <c r="G10144" s="4">
        <v>15</v>
      </c>
      <c r="H10144" s="18">
        <v>66.320999999999998</v>
      </c>
    </row>
    <row r="10145" spans="1:8" s="15" customFormat="1" ht="16.5" hidden="1" customHeight="1" outlineLevel="1" x14ac:dyDescent="0.25">
      <c r="A10145" s="18">
        <v>5693</v>
      </c>
      <c r="B10145" s="4" t="s">
        <v>250</v>
      </c>
      <c r="C10145" s="38" t="s">
        <v>3629</v>
      </c>
      <c r="D10145" s="18">
        <v>2022</v>
      </c>
      <c r="E10145" s="18" t="s">
        <v>0</v>
      </c>
      <c r="F10145" s="42">
        <v>1</v>
      </c>
      <c r="G10145" s="4">
        <v>15</v>
      </c>
      <c r="H10145" s="18">
        <v>65.302999999999997</v>
      </c>
    </row>
    <row r="10146" spans="1:8" s="15" customFormat="1" ht="16.5" hidden="1" customHeight="1" outlineLevel="1" x14ac:dyDescent="0.25">
      <c r="A10146" s="18">
        <v>5713</v>
      </c>
      <c r="B10146" s="4" t="s">
        <v>250</v>
      </c>
      <c r="C10146" s="38" t="s">
        <v>8490</v>
      </c>
      <c r="D10146" s="18">
        <v>2022</v>
      </c>
      <c r="E10146" s="18" t="s">
        <v>0</v>
      </c>
      <c r="F10146" s="42">
        <v>1</v>
      </c>
      <c r="G10146" s="4">
        <v>15</v>
      </c>
      <c r="H10146" s="18">
        <v>21.297000000000001</v>
      </c>
    </row>
    <row r="10147" spans="1:8" s="15" customFormat="1" ht="16.5" hidden="1" customHeight="1" outlineLevel="1" x14ac:dyDescent="0.25">
      <c r="A10147" s="18">
        <v>5495</v>
      </c>
      <c r="B10147" s="4" t="s">
        <v>250</v>
      </c>
      <c r="C10147" s="38" t="s">
        <v>8491</v>
      </c>
      <c r="D10147" s="18">
        <v>2022</v>
      </c>
      <c r="E10147" s="18" t="s">
        <v>0</v>
      </c>
      <c r="F10147" s="42">
        <v>1</v>
      </c>
      <c r="G10147" s="4">
        <v>15</v>
      </c>
      <c r="H10147" s="18">
        <v>30.751000000000001</v>
      </c>
    </row>
    <row r="10148" spans="1:8" s="15" customFormat="1" ht="16.5" hidden="1" customHeight="1" outlineLevel="1" x14ac:dyDescent="0.25">
      <c r="A10148" s="18">
        <v>5658</v>
      </c>
      <c r="B10148" s="4" t="s">
        <v>250</v>
      </c>
      <c r="C10148" s="38" t="s">
        <v>8492</v>
      </c>
      <c r="D10148" s="18">
        <v>2022</v>
      </c>
      <c r="E10148" s="18" t="s">
        <v>0</v>
      </c>
      <c r="F10148" s="42">
        <v>1</v>
      </c>
      <c r="G10148" s="4">
        <v>15</v>
      </c>
      <c r="H10148" s="18">
        <v>32.033999999999999</v>
      </c>
    </row>
    <row r="10149" spans="1:8" s="15" customFormat="1" ht="16.5" hidden="1" customHeight="1" outlineLevel="1" x14ac:dyDescent="0.25">
      <c r="A10149" s="18">
        <v>5467</v>
      </c>
      <c r="B10149" s="4" t="s">
        <v>250</v>
      </c>
      <c r="C10149" s="38" t="s">
        <v>8493</v>
      </c>
      <c r="D10149" s="18">
        <v>2022</v>
      </c>
      <c r="E10149" s="18" t="s">
        <v>0</v>
      </c>
      <c r="F10149" s="42">
        <v>1</v>
      </c>
      <c r="G10149" s="4">
        <v>15</v>
      </c>
      <c r="H10149" s="18">
        <v>28.47</v>
      </c>
    </row>
    <row r="10150" spans="1:8" s="15" customFormat="1" ht="16.5" hidden="1" customHeight="1" outlineLevel="1" x14ac:dyDescent="0.25">
      <c r="A10150" s="18">
        <v>5486</v>
      </c>
      <c r="B10150" s="4" t="s">
        <v>250</v>
      </c>
      <c r="C10150" s="38" t="s">
        <v>8494</v>
      </c>
      <c r="D10150" s="18">
        <v>2022</v>
      </c>
      <c r="E10150" s="18" t="s">
        <v>0</v>
      </c>
      <c r="F10150" s="42">
        <v>1</v>
      </c>
      <c r="G10150" s="4">
        <v>15</v>
      </c>
      <c r="H10150" s="18">
        <v>30.221</v>
      </c>
    </row>
    <row r="10151" spans="1:8" s="15" customFormat="1" ht="16.5" hidden="1" customHeight="1" outlineLevel="1" x14ac:dyDescent="0.25">
      <c r="A10151" s="18">
        <v>5476</v>
      </c>
      <c r="B10151" s="4" t="s">
        <v>250</v>
      </c>
      <c r="C10151" s="38" t="s">
        <v>8495</v>
      </c>
      <c r="D10151" s="18">
        <v>2022</v>
      </c>
      <c r="E10151" s="18" t="s">
        <v>0</v>
      </c>
      <c r="F10151" s="42">
        <v>1</v>
      </c>
      <c r="G10151" s="4">
        <v>15</v>
      </c>
      <c r="H10151" s="18">
        <v>30.547000000000001</v>
      </c>
    </row>
    <row r="10152" spans="1:8" s="15" customFormat="1" ht="16.5" hidden="1" customHeight="1" outlineLevel="1" x14ac:dyDescent="0.25">
      <c r="A10152" s="18">
        <v>5639</v>
      </c>
      <c r="B10152" s="4" t="s">
        <v>250</v>
      </c>
      <c r="C10152" s="38" t="s">
        <v>8496</v>
      </c>
      <c r="D10152" s="18">
        <v>2022</v>
      </c>
      <c r="E10152" s="18" t="s">
        <v>0</v>
      </c>
      <c r="F10152" s="42">
        <v>1</v>
      </c>
      <c r="G10152" s="4">
        <v>15</v>
      </c>
      <c r="H10152" s="18">
        <v>31.158000000000001</v>
      </c>
    </row>
    <row r="10153" spans="1:8" s="15" customFormat="1" ht="16.5" hidden="1" customHeight="1" outlineLevel="1" x14ac:dyDescent="0.25">
      <c r="A10153" s="18">
        <v>5567</v>
      </c>
      <c r="B10153" s="4" t="s">
        <v>250</v>
      </c>
      <c r="C10153" s="38" t="s">
        <v>8497</v>
      </c>
      <c r="D10153" s="18">
        <v>2022</v>
      </c>
      <c r="E10153" s="18" t="s">
        <v>0</v>
      </c>
      <c r="F10153" s="42">
        <v>1</v>
      </c>
      <c r="G10153" s="4">
        <v>15</v>
      </c>
      <c r="H10153" s="18">
        <v>31.533999999999999</v>
      </c>
    </row>
    <row r="10154" spans="1:8" s="15" customFormat="1" ht="16.5" hidden="1" customHeight="1" outlineLevel="1" x14ac:dyDescent="0.25">
      <c r="A10154" s="18">
        <v>5571</v>
      </c>
      <c r="B10154" s="4" t="s">
        <v>250</v>
      </c>
      <c r="C10154" s="38" t="s">
        <v>8498</v>
      </c>
      <c r="D10154" s="18">
        <v>2022</v>
      </c>
      <c r="E10154" s="18" t="s">
        <v>0</v>
      </c>
      <c r="F10154" s="42">
        <v>1</v>
      </c>
      <c r="G10154" s="4">
        <v>15</v>
      </c>
      <c r="H10154" s="18">
        <v>31.8</v>
      </c>
    </row>
    <row r="10155" spans="1:8" s="15" customFormat="1" ht="16.5" hidden="1" customHeight="1" outlineLevel="1" x14ac:dyDescent="0.25">
      <c r="A10155" s="18">
        <v>5504</v>
      </c>
      <c r="B10155" s="4" t="s">
        <v>250</v>
      </c>
      <c r="C10155" s="38" t="s">
        <v>8499</v>
      </c>
      <c r="D10155" s="18">
        <v>2022</v>
      </c>
      <c r="E10155" s="18" t="s">
        <v>0</v>
      </c>
      <c r="F10155" s="42">
        <v>1</v>
      </c>
      <c r="G10155" s="4">
        <v>15</v>
      </c>
      <c r="H10155" s="18">
        <v>28.321000000000002</v>
      </c>
    </row>
    <row r="10156" spans="1:8" s="15" customFormat="1" ht="16.5" hidden="1" customHeight="1" outlineLevel="1" x14ac:dyDescent="0.25">
      <c r="A10156" s="18">
        <v>5487</v>
      </c>
      <c r="B10156" s="4" t="s">
        <v>250</v>
      </c>
      <c r="C10156" s="38" t="s">
        <v>8500</v>
      </c>
      <c r="D10156" s="18">
        <v>2022</v>
      </c>
      <c r="E10156" s="18" t="s">
        <v>0</v>
      </c>
      <c r="F10156" s="42">
        <v>1</v>
      </c>
      <c r="G10156" s="4">
        <v>15</v>
      </c>
      <c r="H10156" s="18">
        <v>29.832000000000001</v>
      </c>
    </row>
    <row r="10157" spans="1:8" s="15" customFormat="1" ht="16.5" hidden="1" customHeight="1" outlineLevel="1" x14ac:dyDescent="0.25">
      <c r="A10157" s="18">
        <v>5554</v>
      </c>
      <c r="B10157" s="4" t="s">
        <v>250</v>
      </c>
      <c r="C10157" s="38" t="s">
        <v>8501</v>
      </c>
      <c r="D10157" s="18">
        <v>2022</v>
      </c>
      <c r="E10157" s="18" t="s">
        <v>0</v>
      </c>
      <c r="F10157" s="42">
        <v>1</v>
      </c>
      <c r="G10157" s="4">
        <v>15</v>
      </c>
      <c r="H10157" s="18">
        <v>33.773000000000003</v>
      </c>
    </row>
    <row r="10158" spans="1:8" s="15" customFormat="1" ht="16.5" hidden="1" customHeight="1" outlineLevel="1" x14ac:dyDescent="0.25">
      <c r="A10158" s="18">
        <v>5472</v>
      </c>
      <c r="B10158" s="4" t="s">
        <v>250</v>
      </c>
      <c r="C10158" s="38" t="s">
        <v>8502</v>
      </c>
      <c r="D10158" s="18">
        <v>2022</v>
      </c>
      <c r="E10158" s="18" t="s">
        <v>0</v>
      </c>
      <c r="F10158" s="42">
        <v>1</v>
      </c>
      <c r="G10158" s="4">
        <v>15</v>
      </c>
      <c r="H10158" s="18">
        <v>30.998000000000001</v>
      </c>
    </row>
    <row r="10159" spans="1:8" s="15" customFormat="1" ht="16.5" hidden="1" customHeight="1" outlineLevel="1" x14ac:dyDescent="0.25">
      <c r="A10159" s="18">
        <v>5555</v>
      </c>
      <c r="B10159" s="4" t="s">
        <v>250</v>
      </c>
      <c r="C10159" s="38" t="s">
        <v>8503</v>
      </c>
      <c r="D10159" s="18">
        <v>2022</v>
      </c>
      <c r="E10159" s="18" t="s">
        <v>0</v>
      </c>
      <c r="F10159" s="42">
        <v>1</v>
      </c>
      <c r="G10159" s="4">
        <v>15</v>
      </c>
      <c r="H10159" s="18">
        <v>32.014000000000003</v>
      </c>
    </row>
    <row r="10160" spans="1:8" s="15" customFormat="1" ht="16.5" hidden="1" customHeight="1" outlineLevel="1" x14ac:dyDescent="0.25">
      <c r="A10160" s="18">
        <v>5643</v>
      </c>
      <c r="B10160" s="4" t="s">
        <v>250</v>
      </c>
      <c r="C10160" s="38" t="s">
        <v>3630</v>
      </c>
      <c r="D10160" s="18">
        <v>2022</v>
      </c>
      <c r="E10160" s="18" t="s">
        <v>0</v>
      </c>
      <c r="F10160" s="42">
        <v>1</v>
      </c>
      <c r="G10160" s="4">
        <v>15</v>
      </c>
      <c r="H10160" s="18">
        <v>57.478000000000002</v>
      </c>
    </row>
    <row r="10161" spans="1:8" s="15" customFormat="1" ht="16.5" hidden="1" customHeight="1" outlineLevel="1" x14ac:dyDescent="0.25">
      <c r="A10161" s="18">
        <v>5644</v>
      </c>
      <c r="B10161" s="4" t="s">
        <v>250</v>
      </c>
      <c r="C10161" s="38" t="s">
        <v>3631</v>
      </c>
      <c r="D10161" s="18">
        <v>2022</v>
      </c>
      <c r="E10161" s="18" t="s">
        <v>0</v>
      </c>
      <c r="F10161" s="42">
        <v>1</v>
      </c>
      <c r="G10161" s="4">
        <v>15</v>
      </c>
      <c r="H10161" s="18">
        <v>44.762999999999998</v>
      </c>
    </row>
    <row r="10162" spans="1:8" s="15" customFormat="1" ht="16.5" hidden="1" customHeight="1" outlineLevel="1" x14ac:dyDescent="0.25">
      <c r="A10162" s="18">
        <v>5732</v>
      </c>
      <c r="B10162" s="4" t="s">
        <v>250</v>
      </c>
      <c r="C10162" s="38" t="s">
        <v>8504</v>
      </c>
      <c r="D10162" s="18">
        <v>2022</v>
      </c>
      <c r="E10162" s="18" t="s">
        <v>0</v>
      </c>
      <c r="F10162" s="42">
        <v>1</v>
      </c>
      <c r="G10162" s="4">
        <v>100</v>
      </c>
      <c r="H10162" s="18">
        <v>46.21</v>
      </c>
    </row>
    <row r="10163" spans="1:8" s="15" customFormat="1" ht="16.5" hidden="1" customHeight="1" outlineLevel="1" x14ac:dyDescent="0.25">
      <c r="A10163" s="18">
        <v>5699</v>
      </c>
      <c r="B10163" s="4" t="s">
        <v>250</v>
      </c>
      <c r="C10163" s="38" t="s">
        <v>8505</v>
      </c>
      <c r="D10163" s="18">
        <v>2022</v>
      </c>
      <c r="E10163" s="18" t="s">
        <v>0</v>
      </c>
      <c r="F10163" s="42">
        <v>1</v>
      </c>
      <c r="G10163" s="4">
        <v>15</v>
      </c>
      <c r="H10163" s="18">
        <v>28.986999999999998</v>
      </c>
    </row>
    <row r="10164" spans="1:8" s="15" customFormat="1" ht="16.5" hidden="1" customHeight="1" outlineLevel="1" x14ac:dyDescent="0.25">
      <c r="A10164" s="18">
        <v>5678</v>
      </c>
      <c r="B10164" s="4" t="s">
        <v>250</v>
      </c>
      <c r="C10164" s="38" t="s">
        <v>8506</v>
      </c>
      <c r="D10164" s="18">
        <v>2022</v>
      </c>
      <c r="E10164" s="18" t="s">
        <v>0</v>
      </c>
      <c r="F10164" s="42">
        <v>1</v>
      </c>
      <c r="G10164" s="4">
        <v>15</v>
      </c>
      <c r="H10164" s="18">
        <v>30.794</v>
      </c>
    </row>
    <row r="10165" spans="1:8" s="15" customFormat="1" ht="16.5" hidden="1" customHeight="1" outlineLevel="1" x14ac:dyDescent="0.25">
      <c r="A10165" s="18">
        <v>5642</v>
      </c>
      <c r="B10165" s="4" t="s">
        <v>250</v>
      </c>
      <c r="C10165" s="38" t="s">
        <v>3632</v>
      </c>
      <c r="D10165" s="18">
        <v>2022</v>
      </c>
      <c r="E10165" s="18" t="s">
        <v>0</v>
      </c>
      <c r="F10165" s="42">
        <v>1</v>
      </c>
      <c r="G10165" s="4">
        <v>13</v>
      </c>
      <c r="H10165" s="18">
        <v>51.177999999999997</v>
      </c>
    </row>
    <row r="10166" spans="1:8" s="15" customFormat="1" ht="16.5" hidden="1" customHeight="1" outlineLevel="1" x14ac:dyDescent="0.25">
      <c r="A10166" s="18">
        <v>5422</v>
      </c>
      <c r="B10166" s="4" t="s">
        <v>250</v>
      </c>
      <c r="C10166" s="38" t="s">
        <v>3633</v>
      </c>
      <c r="D10166" s="18">
        <v>2022</v>
      </c>
      <c r="E10166" s="18" t="s">
        <v>0</v>
      </c>
      <c r="F10166" s="42">
        <v>1</v>
      </c>
      <c r="G10166" s="4">
        <v>25</v>
      </c>
      <c r="H10166" s="18">
        <v>52.929000000000002</v>
      </c>
    </row>
    <row r="10167" spans="1:8" s="15" customFormat="1" ht="16.5" hidden="1" customHeight="1" outlineLevel="1" x14ac:dyDescent="0.25">
      <c r="A10167" s="18">
        <v>5423</v>
      </c>
      <c r="B10167" s="4" t="s">
        <v>250</v>
      </c>
      <c r="C10167" s="38" t="s">
        <v>3634</v>
      </c>
      <c r="D10167" s="18">
        <v>2022</v>
      </c>
      <c r="E10167" s="18" t="s">
        <v>0</v>
      </c>
      <c r="F10167" s="42">
        <v>1</v>
      </c>
      <c r="G10167" s="4">
        <v>15</v>
      </c>
      <c r="H10167" s="18">
        <v>75.266000000000005</v>
      </c>
    </row>
    <row r="10168" spans="1:8" s="15" customFormat="1" ht="16.5" hidden="1" customHeight="1" outlineLevel="1" x14ac:dyDescent="0.25">
      <c r="A10168" s="18">
        <v>5425</v>
      </c>
      <c r="B10168" s="4" t="s">
        <v>250</v>
      </c>
      <c r="C10168" s="38" t="s">
        <v>8507</v>
      </c>
      <c r="D10168" s="18">
        <v>2022</v>
      </c>
      <c r="E10168" s="18" t="s">
        <v>0</v>
      </c>
      <c r="F10168" s="42">
        <v>1</v>
      </c>
      <c r="G10168" s="4">
        <v>10</v>
      </c>
      <c r="H10168" s="18">
        <v>26.097999999999999</v>
      </c>
    </row>
    <row r="10169" spans="1:8" s="15" customFormat="1" ht="16.5" hidden="1" customHeight="1" outlineLevel="1" x14ac:dyDescent="0.25">
      <c r="A10169" s="18">
        <v>5427</v>
      </c>
      <c r="B10169" s="4" t="s">
        <v>250</v>
      </c>
      <c r="C10169" s="38" t="s">
        <v>8508</v>
      </c>
      <c r="D10169" s="18">
        <v>2022</v>
      </c>
      <c r="E10169" s="18" t="s">
        <v>0</v>
      </c>
      <c r="F10169" s="42">
        <v>1</v>
      </c>
      <c r="G10169" s="4">
        <v>15</v>
      </c>
      <c r="H10169" s="18">
        <v>26.550999999999998</v>
      </c>
    </row>
    <row r="10170" spans="1:8" s="15" customFormat="1" ht="16.5" hidden="1" customHeight="1" outlineLevel="1" x14ac:dyDescent="0.25">
      <c r="A10170" s="18">
        <v>5439</v>
      </c>
      <c r="B10170" s="4" t="s">
        <v>250</v>
      </c>
      <c r="C10170" s="38" t="s">
        <v>8509</v>
      </c>
      <c r="D10170" s="18">
        <v>2022</v>
      </c>
      <c r="E10170" s="18" t="s">
        <v>0</v>
      </c>
      <c r="F10170" s="42">
        <v>1</v>
      </c>
      <c r="G10170" s="4">
        <v>15</v>
      </c>
      <c r="H10170" s="18">
        <v>42.726999999999997</v>
      </c>
    </row>
    <row r="10171" spans="1:8" s="15" customFormat="1" ht="16.5" hidden="1" customHeight="1" outlineLevel="1" x14ac:dyDescent="0.25">
      <c r="A10171" s="18">
        <v>5445</v>
      </c>
      <c r="B10171" s="4" t="s">
        <v>250</v>
      </c>
      <c r="C10171" s="38" t="s">
        <v>8510</v>
      </c>
      <c r="D10171" s="18">
        <v>2022</v>
      </c>
      <c r="E10171" s="18" t="s">
        <v>0</v>
      </c>
      <c r="F10171" s="42">
        <v>1</v>
      </c>
      <c r="G10171" s="4">
        <v>15</v>
      </c>
      <c r="H10171" s="18">
        <v>33.173999999999999</v>
      </c>
    </row>
    <row r="10172" spans="1:8" s="15" customFormat="1" ht="16.5" hidden="1" customHeight="1" outlineLevel="1" x14ac:dyDescent="0.25">
      <c r="A10172" s="18">
        <v>5448</v>
      </c>
      <c r="B10172" s="4" t="s">
        <v>250</v>
      </c>
      <c r="C10172" s="38" t="s">
        <v>8511</v>
      </c>
      <c r="D10172" s="18">
        <v>2022</v>
      </c>
      <c r="E10172" s="18" t="s">
        <v>0</v>
      </c>
      <c r="F10172" s="42">
        <v>1</v>
      </c>
      <c r="G10172" s="4">
        <v>10</v>
      </c>
      <c r="H10172" s="18">
        <v>30.395</v>
      </c>
    </row>
    <row r="10173" spans="1:8" s="15" customFormat="1" ht="16.5" hidden="1" customHeight="1" outlineLevel="1" x14ac:dyDescent="0.25">
      <c r="A10173" s="18">
        <v>5450</v>
      </c>
      <c r="B10173" s="4" t="s">
        <v>250</v>
      </c>
      <c r="C10173" s="38" t="s">
        <v>8512</v>
      </c>
      <c r="D10173" s="18">
        <v>2022</v>
      </c>
      <c r="E10173" s="18" t="s">
        <v>0</v>
      </c>
      <c r="F10173" s="42">
        <v>1</v>
      </c>
      <c r="G10173" s="4">
        <v>15</v>
      </c>
      <c r="H10173" s="18">
        <v>33.366</v>
      </c>
    </row>
    <row r="10174" spans="1:8" s="15" customFormat="1" ht="16.5" hidden="1" customHeight="1" outlineLevel="1" x14ac:dyDescent="0.25">
      <c r="A10174" s="18">
        <v>5463</v>
      </c>
      <c r="B10174" s="4" t="s">
        <v>250</v>
      </c>
      <c r="C10174" s="38" t="s">
        <v>8513</v>
      </c>
      <c r="D10174" s="18">
        <v>2022</v>
      </c>
      <c r="E10174" s="18" t="s">
        <v>0</v>
      </c>
      <c r="F10174" s="42">
        <v>1</v>
      </c>
      <c r="G10174" s="4">
        <v>15</v>
      </c>
      <c r="H10174" s="18">
        <v>29.356000000000002</v>
      </c>
    </row>
    <row r="10175" spans="1:8" s="15" customFormat="1" ht="16.5" hidden="1" customHeight="1" outlineLevel="1" x14ac:dyDescent="0.25">
      <c r="A10175" s="18">
        <v>5468</v>
      </c>
      <c r="B10175" s="4" t="s">
        <v>250</v>
      </c>
      <c r="C10175" s="38" t="s">
        <v>8514</v>
      </c>
      <c r="D10175" s="18">
        <v>2022</v>
      </c>
      <c r="E10175" s="18" t="s">
        <v>0</v>
      </c>
      <c r="F10175" s="42">
        <v>1</v>
      </c>
      <c r="G10175" s="4">
        <v>10</v>
      </c>
      <c r="H10175" s="18">
        <v>21.922000000000001</v>
      </c>
    </row>
    <row r="10176" spans="1:8" s="15" customFormat="1" ht="16.5" hidden="1" customHeight="1" outlineLevel="1" x14ac:dyDescent="0.25">
      <c r="A10176" s="18">
        <v>5469</v>
      </c>
      <c r="B10176" s="4" t="s">
        <v>250</v>
      </c>
      <c r="C10176" s="38" t="s">
        <v>8515</v>
      </c>
      <c r="D10176" s="18">
        <v>2022</v>
      </c>
      <c r="E10176" s="18" t="s">
        <v>0</v>
      </c>
      <c r="F10176" s="42">
        <v>1</v>
      </c>
      <c r="G10176" s="4">
        <v>8</v>
      </c>
      <c r="H10176" s="18">
        <v>28.759</v>
      </c>
    </row>
    <row r="10177" spans="1:8" s="15" customFormat="1" ht="16.5" hidden="1" customHeight="1" outlineLevel="1" x14ac:dyDescent="0.25">
      <c r="A10177" s="18">
        <v>5470</v>
      </c>
      <c r="B10177" s="4" t="s">
        <v>250</v>
      </c>
      <c r="C10177" s="38" t="s">
        <v>8516</v>
      </c>
      <c r="D10177" s="18">
        <v>2022</v>
      </c>
      <c r="E10177" s="18" t="s">
        <v>0</v>
      </c>
      <c r="F10177" s="42">
        <v>1</v>
      </c>
      <c r="G10177" s="4">
        <v>11</v>
      </c>
      <c r="H10177" s="18">
        <v>24.370999999999999</v>
      </c>
    </row>
    <row r="10178" spans="1:8" s="15" customFormat="1" ht="16.5" hidden="1" customHeight="1" outlineLevel="1" x14ac:dyDescent="0.25">
      <c r="A10178" s="18">
        <v>5478</v>
      </c>
      <c r="B10178" s="4" t="s">
        <v>250</v>
      </c>
      <c r="C10178" s="38" t="s">
        <v>3635</v>
      </c>
      <c r="D10178" s="18">
        <v>2022</v>
      </c>
      <c r="E10178" s="18" t="s">
        <v>0</v>
      </c>
      <c r="F10178" s="42">
        <v>1</v>
      </c>
      <c r="G10178" s="4">
        <v>15</v>
      </c>
      <c r="H10178" s="18">
        <v>98.37</v>
      </c>
    </row>
    <row r="10179" spans="1:8" s="15" customFormat="1" ht="16.5" hidden="1" customHeight="1" outlineLevel="1" x14ac:dyDescent="0.25">
      <c r="A10179" s="18">
        <v>5482</v>
      </c>
      <c r="B10179" s="4" t="s">
        <v>250</v>
      </c>
      <c r="C10179" s="38" t="s">
        <v>8517</v>
      </c>
      <c r="D10179" s="18">
        <v>2022</v>
      </c>
      <c r="E10179" s="18" t="s">
        <v>0</v>
      </c>
      <c r="F10179" s="42">
        <v>1</v>
      </c>
      <c r="G10179" s="4">
        <v>10</v>
      </c>
      <c r="H10179" s="18">
        <v>29.187000000000001</v>
      </c>
    </row>
    <row r="10180" spans="1:8" s="15" customFormat="1" ht="16.5" hidden="1" customHeight="1" outlineLevel="1" x14ac:dyDescent="0.25">
      <c r="A10180" s="18">
        <v>5483</v>
      </c>
      <c r="B10180" s="4" t="s">
        <v>250</v>
      </c>
      <c r="C10180" s="38" t="s">
        <v>8518</v>
      </c>
      <c r="D10180" s="18">
        <v>2022</v>
      </c>
      <c r="E10180" s="18" t="s">
        <v>0</v>
      </c>
      <c r="F10180" s="42">
        <v>1</v>
      </c>
      <c r="G10180" s="4">
        <v>10</v>
      </c>
      <c r="H10180" s="18">
        <v>24.571000000000002</v>
      </c>
    </row>
    <row r="10181" spans="1:8" s="15" customFormat="1" ht="16.5" hidden="1" customHeight="1" outlineLevel="1" x14ac:dyDescent="0.25">
      <c r="A10181" s="18">
        <v>5488</v>
      </c>
      <c r="B10181" s="4" t="s">
        <v>250</v>
      </c>
      <c r="C10181" s="38" t="s">
        <v>8519</v>
      </c>
      <c r="D10181" s="18">
        <v>2022</v>
      </c>
      <c r="E10181" s="18" t="s">
        <v>0</v>
      </c>
      <c r="F10181" s="42">
        <v>1</v>
      </c>
      <c r="G10181" s="4">
        <v>15</v>
      </c>
      <c r="H10181" s="18">
        <v>31.082000000000001</v>
      </c>
    </row>
    <row r="10182" spans="1:8" s="15" customFormat="1" ht="16.5" hidden="1" customHeight="1" outlineLevel="1" x14ac:dyDescent="0.25">
      <c r="A10182" s="18">
        <v>5496</v>
      </c>
      <c r="B10182" s="4" t="s">
        <v>250</v>
      </c>
      <c r="C10182" s="38" t="s">
        <v>8520</v>
      </c>
      <c r="D10182" s="18">
        <v>2022</v>
      </c>
      <c r="E10182" s="18" t="s">
        <v>0</v>
      </c>
      <c r="F10182" s="42">
        <v>1</v>
      </c>
      <c r="G10182" s="4">
        <v>10</v>
      </c>
      <c r="H10182" s="18">
        <v>26.498999999999999</v>
      </c>
    </row>
    <row r="10183" spans="1:8" s="15" customFormat="1" ht="16.5" hidden="1" customHeight="1" outlineLevel="1" x14ac:dyDescent="0.25">
      <c r="A10183" s="18">
        <v>5500</v>
      </c>
      <c r="B10183" s="4" t="s">
        <v>250</v>
      </c>
      <c r="C10183" s="38" t="s">
        <v>3636</v>
      </c>
      <c r="D10183" s="18">
        <v>2022</v>
      </c>
      <c r="E10183" s="18" t="s">
        <v>0</v>
      </c>
      <c r="F10183" s="42">
        <v>1</v>
      </c>
      <c r="G10183" s="4">
        <v>15</v>
      </c>
      <c r="H10183" s="18">
        <v>75.367000000000004</v>
      </c>
    </row>
    <row r="10184" spans="1:8" s="15" customFormat="1" ht="16.5" hidden="1" customHeight="1" outlineLevel="1" x14ac:dyDescent="0.25">
      <c r="A10184" s="18">
        <v>5505</v>
      </c>
      <c r="B10184" s="4" t="s">
        <v>250</v>
      </c>
      <c r="C10184" s="38" t="s">
        <v>8521</v>
      </c>
      <c r="D10184" s="18">
        <v>2022</v>
      </c>
      <c r="E10184" s="18" t="s">
        <v>0</v>
      </c>
      <c r="F10184" s="42">
        <v>1</v>
      </c>
      <c r="G10184" s="4">
        <v>15</v>
      </c>
      <c r="H10184" s="18">
        <v>30.821000000000002</v>
      </c>
    </row>
    <row r="10185" spans="1:8" s="15" customFormat="1" ht="16.5" hidden="1" customHeight="1" outlineLevel="1" x14ac:dyDescent="0.25">
      <c r="A10185" s="18">
        <v>5507</v>
      </c>
      <c r="B10185" s="4" t="s">
        <v>250</v>
      </c>
      <c r="C10185" s="38" t="s">
        <v>8522</v>
      </c>
      <c r="D10185" s="18">
        <v>2022</v>
      </c>
      <c r="E10185" s="18" t="s">
        <v>0</v>
      </c>
      <c r="F10185" s="42">
        <v>1</v>
      </c>
      <c r="G10185" s="4">
        <v>15</v>
      </c>
      <c r="H10185" s="18">
        <v>31.28</v>
      </c>
    </row>
    <row r="10186" spans="1:8" s="15" customFormat="1" ht="16.5" hidden="1" customHeight="1" outlineLevel="1" x14ac:dyDescent="0.25">
      <c r="A10186" s="18">
        <v>5509</v>
      </c>
      <c r="B10186" s="4" t="s">
        <v>250</v>
      </c>
      <c r="C10186" s="38" t="s">
        <v>8523</v>
      </c>
      <c r="D10186" s="18">
        <v>2022</v>
      </c>
      <c r="E10186" s="18" t="s">
        <v>0</v>
      </c>
      <c r="F10186" s="42">
        <v>1</v>
      </c>
      <c r="G10186" s="4">
        <v>15</v>
      </c>
      <c r="H10186" s="18">
        <v>34.273000000000003</v>
      </c>
    </row>
    <row r="10187" spans="1:8" s="15" customFormat="1" ht="16.5" hidden="1" customHeight="1" outlineLevel="1" x14ac:dyDescent="0.25">
      <c r="A10187" s="18">
        <v>5521</v>
      </c>
      <c r="B10187" s="4" t="s">
        <v>250</v>
      </c>
      <c r="C10187" s="38" t="s">
        <v>3637</v>
      </c>
      <c r="D10187" s="18">
        <v>2022</v>
      </c>
      <c r="E10187" s="18" t="s">
        <v>0</v>
      </c>
      <c r="F10187" s="42">
        <v>1</v>
      </c>
      <c r="G10187" s="4">
        <v>15</v>
      </c>
      <c r="H10187" s="18">
        <v>75.150999999999996</v>
      </c>
    </row>
    <row r="10188" spans="1:8" s="15" customFormat="1" ht="16.5" hidden="1" customHeight="1" outlineLevel="1" x14ac:dyDescent="0.25">
      <c r="A10188" s="18">
        <v>5523</v>
      </c>
      <c r="B10188" s="4" t="s">
        <v>250</v>
      </c>
      <c r="C10188" s="38" t="s">
        <v>3638</v>
      </c>
      <c r="D10188" s="18">
        <v>2022</v>
      </c>
      <c r="E10188" s="18" t="s">
        <v>0</v>
      </c>
      <c r="F10188" s="42">
        <v>1</v>
      </c>
      <c r="G10188" s="4">
        <v>15</v>
      </c>
      <c r="H10188" s="18">
        <v>80.004000000000005</v>
      </c>
    </row>
    <row r="10189" spans="1:8" s="15" customFormat="1" ht="16.5" hidden="1" customHeight="1" outlineLevel="1" x14ac:dyDescent="0.25">
      <c r="A10189" s="18">
        <v>5524</v>
      </c>
      <c r="B10189" s="4" t="s">
        <v>250</v>
      </c>
      <c r="C10189" s="38" t="s">
        <v>8524</v>
      </c>
      <c r="D10189" s="18">
        <v>2022</v>
      </c>
      <c r="E10189" s="18" t="s">
        <v>0</v>
      </c>
      <c r="F10189" s="42">
        <v>1</v>
      </c>
      <c r="G10189" s="4">
        <v>15</v>
      </c>
      <c r="H10189" s="18">
        <v>32.156999999999996</v>
      </c>
    </row>
    <row r="10190" spans="1:8" s="15" customFormat="1" ht="16.5" hidden="1" customHeight="1" outlineLevel="1" x14ac:dyDescent="0.25">
      <c r="A10190" s="18">
        <v>5525</v>
      </c>
      <c r="B10190" s="4" t="s">
        <v>250</v>
      </c>
      <c r="C10190" s="38" t="s">
        <v>8525</v>
      </c>
      <c r="D10190" s="18">
        <v>2022</v>
      </c>
      <c r="E10190" s="18" t="s">
        <v>0</v>
      </c>
      <c r="F10190" s="42">
        <v>1</v>
      </c>
      <c r="G10190" s="4">
        <v>10</v>
      </c>
      <c r="H10190" s="18">
        <v>26.759</v>
      </c>
    </row>
    <row r="10191" spans="1:8" s="15" customFormat="1" ht="16.5" hidden="1" customHeight="1" outlineLevel="1" x14ac:dyDescent="0.25">
      <c r="A10191" s="18">
        <v>5526</v>
      </c>
      <c r="B10191" s="4" t="s">
        <v>250</v>
      </c>
      <c r="C10191" s="38" t="s">
        <v>8526</v>
      </c>
      <c r="D10191" s="18">
        <v>2022</v>
      </c>
      <c r="E10191" s="18" t="s">
        <v>0</v>
      </c>
      <c r="F10191" s="42">
        <v>1</v>
      </c>
      <c r="G10191" s="4">
        <v>15</v>
      </c>
      <c r="H10191" s="18">
        <v>32.216000000000001</v>
      </c>
    </row>
    <row r="10192" spans="1:8" s="15" customFormat="1" ht="16.5" hidden="1" customHeight="1" outlineLevel="1" x14ac:dyDescent="0.25">
      <c r="A10192" s="18">
        <v>5528</v>
      </c>
      <c r="B10192" s="4" t="s">
        <v>250</v>
      </c>
      <c r="C10192" s="38" t="s">
        <v>8527</v>
      </c>
      <c r="D10192" s="18">
        <v>2022</v>
      </c>
      <c r="E10192" s="18" t="s">
        <v>0</v>
      </c>
      <c r="F10192" s="42">
        <v>1</v>
      </c>
      <c r="G10192" s="4">
        <v>15</v>
      </c>
      <c r="H10192" s="18">
        <v>32.985999999999997</v>
      </c>
    </row>
    <row r="10193" spans="1:8" s="15" customFormat="1" ht="16.5" hidden="1" customHeight="1" outlineLevel="1" x14ac:dyDescent="0.25">
      <c r="A10193" s="18">
        <v>5531</v>
      </c>
      <c r="B10193" s="4" t="s">
        <v>250</v>
      </c>
      <c r="C10193" s="38" t="s">
        <v>8528</v>
      </c>
      <c r="D10193" s="18">
        <v>2022</v>
      </c>
      <c r="E10193" s="18" t="s">
        <v>0</v>
      </c>
      <c r="F10193" s="42">
        <v>1</v>
      </c>
      <c r="G10193" s="4">
        <v>15</v>
      </c>
      <c r="H10193" s="18">
        <v>28.344999999999999</v>
      </c>
    </row>
    <row r="10194" spans="1:8" s="15" customFormat="1" ht="16.5" hidden="1" customHeight="1" outlineLevel="1" x14ac:dyDescent="0.25">
      <c r="A10194" s="18">
        <v>5535</v>
      </c>
      <c r="B10194" s="4" t="s">
        <v>250</v>
      </c>
      <c r="C10194" s="38" t="s">
        <v>3639</v>
      </c>
      <c r="D10194" s="18">
        <v>2022</v>
      </c>
      <c r="E10194" s="18" t="s">
        <v>0</v>
      </c>
      <c r="F10194" s="42">
        <v>1</v>
      </c>
      <c r="G10194" s="4">
        <v>15</v>
      </c>
      <c r="H10194" s="18">
        <v>83.539000000000001</v>
      </c>
    </row>
    <row r="10195" spans="1:8" s="15" customFormat="1" ht="16.5" hidden="1" customHeight="1" outlineLevel="1" x14ac:dyDescent="0.25">
      <c r="A10195" s="18">
        <v>5541</v>
      </c>
      <c r="B10195" s="4" t="s">
        <v>250</v>
      </c>
      <c r="C10195" s="38" t="s">
        <v>8529</v>
      </c>
      <c r="D10195" s="18">
        <v>2022</v>
      </c>
      <c r="E10195" s="18" t="s">
        <v>0</v>
      </c>
      <c r="F10195" s="42">
        <v>1</v>
      </c>
      <c r="G10195" s="4">
        <v>15</v>
      </c>
      <c r="H10195" s="18">
        <v>32.284999999999997</v>
      </c>
    </row>
    <row r="10196" spans="1:8" s="15" customFormat="1" ht="16.5" hidden="1" customHeight="1" outlineLevel="1" x14ac:dyDescent="0.25">
      <c r="A10196" s="18">
        <v>5543</v>
      </c>
      <c r="B10196" s="4" t="s">
        <v>250</v>
      </c>
      <c r="C10196" s="38" t="s">
        <v>8530</v>
      </c>
      <c r="D10196" s="18">
        <v>2022</v>
      </c>
      <c r="E10196" s="18" t="s">
        <v>0</v>
      </c>
      <c r="F10196" s="42">
        <v>1</v>
      </c>
      <c r="G10196" s="4">
        <v>15</v>
      </c>
      <c r="H10196" s="18">
        <v>32.435000000000002</v>
      </c>
    </row>
    <row r="10197" spans="1:8" s="15" customFormat="1" ht="16.5" hidden="1" customHeight="1" outlineLevel="1" x14ac:dyDescent="0.25">
      <c r="A10197" s="18">
        <v>5546</v>
      </c>
      <c r="B10197" s="4" t="s">
        <v>250</v>
      </c>
      <c r="C10197" s="38" t="s">
        <v>8531</v>
      </c>
      <c r="D10197" s="18">
        <v>2022</v>
      </c>
      <c r="E10197" s="18" t="s">
        <v>0</v>
      </c>
      <c r="F10197" s="42">
        <v>1</v>
      </c>
      <c r="G10197" s="4">
        <v>15</v>
      </c>
      <c r="H10197" s="18">
        <v>32.119999999999997</v>
      </c>
    </row>
    <row r="10198" spans="1:8" s="15" customFormat="1" ht="16.5" hidden="1" customHeight="1" outlineLevel="1" x14ac:dyDescent="0.25">
      <c r="A10198" s="18">
        <v>5558</v>
      </c>
      <c r="B10198" s="4" t="s">
        <v>250</v>
      </c>
      <c r="C10198" s="38" t="s">
        <v>8532</v>
      </c>
      <c r="D10198" s="18">
        <v>2022</v>
      </c>
      <c r="E10198" s="18" t="s">
        <v>0</v>
      </c>
      <c r="F10198" s="42">
        <v>1</v>
      </c>
      <c r="G10198" s="4">
        <v>12</v>
      </c>
      <c r="H10198" s="18">
        <v>26.585000000000001</v>
      </c>
    </row>
    <row r="10199" spans="1:8" s="15" customFormat="1" ht="16.5" hidden="1" customHeight="1" outlineLevel="1" x14ac:dyDescent="0.25">
      <c r="A10199" s="18">
        <v>5562</v>
      </c>
      <c r="B10199" s="4" t="s">
        <v>250</v>
      </c>
      <c r="C10199" s="38" t="s">
        <v>8533</v>
      </c>
      <c r="D10199" s="18">
        <v>2022</v>
      </c>
      <c r="E10199" s="18" t="s">
        <v>0</v>
      </c>
      <c r="F10199" s="42">
        <v>1</v>
      </c>
      <c r="G10199" s="4">
        <v>15</v>
      </c>
      <c r="H10199" s="18">
        <v>32.329000000000001</v>
      </c>
    </row>
    <row r="10200" spans="1:8" s="15" customFormat="1" ht="16.5" hidden="1" customHeight="1" outlineLevel="1" x14ac:dyDescent="0.25">
      <c r="A10200" s="18">
        <v>5569</v>
      </c>
      <c r="B10200" s="4" t="s">
        <v>250</v>
      </c>
      <c r="C10200" s="38" t="s">
        <v>8534</v>
      </c>
      <c r="D10200" s="18">
        <v>2022</v>
      </c>
      <c r="E10200" s="18" t="s">
        <v>0</v>
      </c>
      <c r="F10200" s="42">
        <v>1</v>
      </c>
      <c r="G10200" s="4">
        <v>15</v>
      </c>
      <c r="H10200" s="18">
        <v>28.962</v>
      </c>
    </row>
    <row r="10201" spans="1:8" s="15" customFormat="1" ht="16.5" hidden="1" customHeight="1" outlineLevel="1" x14ac:dyDescent="0.25">
      <c r="A10201" s="18">
        <v>5572</v>
      </c>
      <c r="B10201" s="4" t="s">
        <v>250</v>
      </c>
      <c r="C10201" s="38" t="s">
        <v>8535</v>
      </c>
      <c r="D10201" s="18">
        <v>2022</v>
      </c>
      <c r="E10201" s="18" t="s">
        <v>0</v>
      </c>
      <c r="F10201" s="42">
        <v>1</v>
      </c>
      <c r="G10201" s="4">
        <v>15</v>
      </c>
      <c r="H10201" s="18">
        <v>31.048999999999999</v>
      </c>
    </row>
    <row r="10202" spans="1:8" s="15" customFormat="1" ht="16.5" hidden="1" customHeight="1" outlineLevel="1" x14ac:dyDescent="0.25">
      <c r="A10202" s="18">
        <v>5578</v>
      </c>
      <c r="B10202" s="4" t="s">
        <v>250</v>
      </c>
      <c r="C10202" s="38" t="s">
        <v>3640</v>
      </c>
      <c r="D10202" s="18">
        <v>2022</v>
      </c>
      <c r="E10202" s="18" t="s">
        <v>0</v>
      </c>
      <c r="F10202" s="42">
        <v>2</v>
      </c>
      <c r="G10202" s="4">
        <v>24</v>
      </c>
      <c r="H10202" s="18">
        <v>61.311999999999998</v>
      </c>
    </row>
    <row r="10203" spans="1:8" s="15" customFormat="1" ht="16.5" hidden="1" customHeight="1" outlineLevel="1" x14ac:dyDescent="0.25">
      <c r="A10203" s="18">
        <v>5581</v>
      </c>
      <c r="B10203" s="4" t="s">
        <v>250</v>
      </c>
      <c r="C10203" s="38" t="s">
        <v>8536</v>
      </c>
      <c r="D10203" s="18">
        <v>2022</v>
      </c>
      <c r="E10203" s="18" t="s">
        <v>0</v>
      </c>
      <c r="F10203" s="42">
        <v>1</v>
      </c>
      <c r="G10203" s="4">
        <v>15</v>
      </c>
      <c r="H10203" s="18">
        <v>32.921999999999997</v>
      </c>
    </row>
    <row r="10204" spans="1:8" s="15" customFormat="1" ht="16.5" hidden="1" customHeight="1" outlineLevel="1" x14ac:dyDescent="0.25">
      <c r="A10204" s="18">
        <v>5589</v>
      </c>
      <c r="B10204" s="4" t="s">
        <v>250</v>
      </c>
      <c r="C10204" s="38" t="s">
        <v>8537</v>
      </c>
      <c r="D10204" s="18">
        <v>2022</v>
      </c>
      <c r="E10204" s="18" t="s">
        <v>0</v>
      </c>
      <c r="F10204" s="42">
        <v>1</v>
      </c>
      <c r="G10204" s="4">
        <v>15</v>
      </c>
      <c r="H10204" s="18">
        <v>29.867999999999999</v>
      </c>
    </row>
    <row r="10205" spans="1:8" s="15" customFormat="1" ht="16.5" hidden="1" customHeight="1" outlineLevel="1" x14ac:dyDescent="0.25">
      <c r="A10205" s="18">
        <v>5592</v>
      </c>
      <c r="B10205" s="4" t="s">
        <v>250</v>
      </c>
      <c r="C10205" s="38" t="s">
        <v>8538</v>
      </c>
      <c r="D10205" s="18">
        <v>2022</v>
      </c>
      <c r="E10205" s="18" t="s">
        <v>0</v>
      </c>
      <c r="F10205" s="42">
        <v>1</v>
      </c>
      <c r="G10205" s="4">
        <v>10</v>
      </c>
      <c r="H10205" s="18">
        <v>27.184000000000001</v>
      </c>
    </row>
    <row r="10206" spans="1:8" s="15" customFormat="1" ht="16.5" hidden="1" customHeight="1" outlineLevel="1" x14ac:dyDescent="0.25">
      <c r="A10206" s="18">
        <v>5595</v>
      </c>
      <c r="B10206" s="4" t="s">
        <v>250</v>
      </c>
      <c r="C10206" s="38" t="s">
        <v>8539</v>
      </c>
      <c r="D10206" s="18">
        <v>2022</v>
      </c>
      <c r="E10206" s="18" t="s">
        <v>0</v>
      </c>
      <c r="F10206" s="42">
        <v>1</v>
      </c>
      <c r="G10206" s="4">
        <v>7</v>
      </c>
      <c r="H10206" s="18">
        <v>26.893999999999998</v>
      </c>
    </row>
    <row r="10207" spans="1:8" s="15" customFormat="1" ht="16.5" hidden="1" customHeight="1" outlineLevel="1" x14ac:dyDescent="0.25">
      <c r="A10207" s="18">
        <v>5597</v>
      </c>
      <c r="B10207" s="4" t="s">
        <v>250</v>
      </c>
      <c r="C10207" s="38" t="s">
        <v>8540</v>
      </c>
      <c r="D10207" s="18">
        <v>2022</v>
      </c>
      <c r="E10207" s="18" t="s">
        <v>0</v>
      </c>
      <c r="F10207" s="42">
        <v>1</v>
      </c>
      <c r="G10207" s="4">
        <v>15</v>
      </c>
      <c r="H10207" s="18">
        <v>36.087000000000003</v>
      </c>
    </row>
    <row r="10208" spans="1:8" s="15" customFormat="1" ht="16.5" hidden="1" customHeight="1" outlineLevel="1" x14ac:dyDescent="0.25">
      <c r="A10208" s="18">
        <v>5601</v>
      </c>
      <c r="B10208" s="4" t="s">
        <v>250</v>
      </c>
      <c r="C10208" s="38" t="s">
        <v>8541</v>
      </c>
      <c r="D10208" s="18">
        <v>2022</v>
      </c>
      <c r="E10208" s="18" t="s">
        <v>0</v>
      </c>
      <c r="F10208" s="42">
        <v>1</v>
      </c>
      <c r="G10208" s="4">
        <v>15</v>
      </c>
      <c r="H10208" s="18">
        <v>30.800999999999998</v>
      </c>
    </row>
    <row r="10209" spans="1:8" s="15" customFormat="1" ht="16.5" hidden="1" customHeight="1" outlineLevel="1" x14ac:dyDescent="0.25">
      <c r="A10209" s="18">
        <v>5602</v>
      </c>
      <c r="B10209" s="4" t="s">
        <v>250</v>
      </c>
      <c r="C10209" s="38" t="s">
        <v>8542</v>
      </c>
      <c r="D10209" s="18">
        <v>2022</v>
      </c>
      <c r="E10209" s="18" t="s">
        <v>0</v>
      </c>
      <c r="F10209" s="42">
        <v>1</v>
      </c>
      <c r="G10209" s="4">
        <v>15</v>
      </c>
      <c r="H10209" s="18">
        <v>29.562000000000001</v>
      </c>
    </row>
    <row r="10210" spans="1:8" s="15" customFormat="1" ht="16.5" hidden="1" customHeight="1" outlineLevel="1" x14ac:dyDescent="0.25">
      <c r="A10210" s="18">
        <v>5604</v>
      </c>
      <c r="B10210" s="4" t="s">
        <v>250</v>
      </c>
      <c r="C10210" s="38" t="s">
        <v>3641</v>
      </c>
      <c r="D10210" s="18">
        <v>2022</v>
      </c>
      <c r="E10210" s="18" t="s">
        <v>0</v>
      </c>
      <c r="F10210" s="42">
        <v>1</v>
      </c>
      <c r="G10210" s="4">
        <v>15</v>
      </c>
      <c r="H10210" s="18">
        <v>55.451000000000001</v>
      </c>
    </row>
    <row r="10211" spans="1:8" s="15" customFormat="1" ht="16.5" hidden="1" customHeight="1" outlineLevel="1" x14ac:dyDescent="0.25">
      <c r="A10211" s="18">
        <v>5605</v>
      </c>
      <c r="B10211" s="4" t="s">
        <v>250</v>
      </c>
      <c r="C10211" s="38" t="s">
        <v>3642</v>
      </c>
      <c r="D10211" s="18">
        <v>2022</v>
      </c>
      <c r="E10211" s="18" t="s">
        <v>0</v>
      </c>
      <c r="F10211" s="42">
        <v>1</v>
      </c>
      <c r="G10211" s="4">
        <v>15</v>
      </c>
      <c r="H10211" s="18">
        <v>60.871000000000002</v>
      </c>
    </row>
    <row r="10212" spans="1:8" s="15" customFormat="1" ht="16.5" hidden="1" customHeight="1" outlineLevel="1" x14ac:dyDescent="0.25">
      <c r="A10212" s="18">
        <v>5606</v>
      </c>
      <c r="B10212" s="4" t="s">
        <v>250</v>
      </c>
      <c r="C10212" s="38" t="s">
        <v>3643</v>
      </c>
      <c r="D10212" s="18">
        <v>2022</v>
      </c>
      <c r="E10212" s="18" t="s">
        <v>0</v>
      </c>
      <c r="F10212" s="42">
        <v>2</v>
      </c>
      <c r="G10212" s="4">
        <v>25</v>
      </c>
      <c r="H10212" s="18">
        <v>74.879000000000005</v>
      </c>
    </row>
    <row r="10213" spans="1:8" s="15" customFormat="1" ht="16.5" hidden="1" customHeight="1" outlineLevel="1" x14ac:dyDescent="0.25">
      <c r="A10213" s="18">
        <v>5610</v>
      </c>
      <c r="B10213" s="4" t="s">
        <v>250</v>
      </c>
      <c r="C10213" s="38" t="s">
        <v>8543</v>
      </c>
      <c r="D10213" s="18">
        <v>2022</v>
      </c>
      <c r="E10213" s="18" t="s">
        <v>0</v>
      </c>
      <c r="F10213" s="42">
        <v>1</v>
      </c>
      <c r="G10213" s="4">
        <v>15</v>
      </c>
      <c r="H10213" s="18">
        <v>29.919</v>
      </c>
    </row>
    <row r="10214" spans="1:8" s="15" customFormat="1" ht="16.5" hidden="1" customHeight="1" outlineLevel="1" x14ac:dyDescent="0.25">
      <c r="A10214" s="18">
        <v>5611</v>
      </c>
      <c r="B10214" s="4" t="s">
        <v>250</v>
      </c>
      <c r="C10214" s="38" t="s">
        <v>8544</v>
      </c>
      <c r="D10214" s="18">
        <v>2022</v>
      </c>
      <c r="E10214" s="18" t="s">
        <v>0</v>
      </c>
      <c r="F10214" s="42">
        <v>1</v>
      </c>
      <c r="G10214" s="4">
        <v>15</v>
      </c>
      <c r="H10214" s="18">
        <v>29.524000000000001</v>
      </c>
    </row>
    <row r="10215" spans="1:8" s="15" customFormat="1" ht="16.5" hidden="1" customHeight="1" outlineLevel="1" x14ac:dyDescent="0.25">
      <c r="A10215" s="18">
        <v>5612</v>
      </c>
      <c r="B10215" s="4" t="s">
        <v>250</v>
      </c>
      <c r="C10215" s="38" t="s">
        <v>8545</v>
      </c>
      <c r="D10215" s="18">
        <v>2022</v>
      </c>
      <c r="E10215" s="18" t="s">
        <v>0</v>
      </c>
      <c r="F10215" s="42">
        <v>1</v>
      </c>
      <c r="G10215" s="4">
        <v>15</v>
      </c>
      <c r="H10215" s="18">
        <v>29.562000000000001</v>
      </c>
    </row>
    <row r="10216" spans="1:8" s="15" customFormat="1" ht="16.5" hidden="1" customHeight="1" outlineLevel="1" x14ac:dyDescent="0.25">
      <c r="A10216" s="18">
        <v>5613</v>
      </c>
      <c r="B10216" s="4" t="s">
        <v>250</v>
      </c>
      <c r="C10216" s="38" t="s">
        <v>8546</v>
      </c>
      <c r="D10216" s="18">
        <v>2022</v>
      </c>
      <c r="E10216" s="18" t="s">
        <v>0</v>
      </c>
      <c r="F10216" s="42">
        <v>1</v>
      </c>
      <c r="G10216" s="4">
        <v>10</v>
      </c>
      <c r="H10216" s="18">
        <v>30.623000000000001</v>
      </c>
    </row>
    <row r="10217" spans="1:8" s="15" customFormat="1" ht="16.5" hidden="1" customHeight="1" outlineLevel="1" x14ac:dyDescent="0.25">
      <c r="A10217" s="18">
        <v>5626</v>
      </c>
      <c r="B10217" s="4" t="s">
        <v>250</v>
      </c>
      <c r="C10217" s="38" t="s">
        <v>8547</v>
      </c>
      <c r="D10217" s="18">
        <v>2022</v>
      </c>
      <c r="E10217" s="18" t="s">
        <v>0</v>
      </c>
      <c r="F10217" s="42">
        <v>1</v>
      </c>
      <c r="G10217" s="4">
        <v>15</v>
      </c>
      <c r="H10217" s="18">
        <v>31.117999999999999</v>
      </c>
    </row>
    <row r="10218" spans="1:8" s="15" customFormat="1" ht="16.5" hidden="1" customHeight="1" outlineLevel="1" x14ac:dyDescent="0.25">
      <c r="A10218" s="18">
        <v>5627</v>
      </c>
      <c r="B10218" s="4" t="s">
        <v>250</v>
      </c>
      <c r="C10218" s="38" t="s">
        <v>8548</v>
      </c>
      <c r="D10218" s="18">
        <v>2022</v>
      </c>
      <c r="E10218" s="18" t="s">
        <v>0</v>
      </c>
      <c r="F10218" s="42">
        <v>1</v>
      </c>
      <c r="G10218" s="4">
        <v>15</v>
      </c>
      <c r="H10218" s="18">
        <v>31.83</v>
      </c>
    </row>
    <row r="10219" spans="1:8" s="15" customFormat="1" ht="16.5" hidden="1" customHeight="1" outlineLevel="1" x14ac:dyDescent="0.25">
      <c r="A10219" s="18">
        <v>5631</v>
      </c>
      <c r="B10219" s="4" t="s">
        <v>250</v>
      </c>
      <c r="C10219" s="38" t="s">
        <v>8549</v>
      </c>
      <c r="D10219" s="18">
        <v>2022</v>
      </c>
      <c r="E10219" s="18" t="s">
        <v>0</v>
      </c>
      <c r="F10219" s="42">
        <v>1</v>
      </c>
      <c r="G10219" s="4">
        <v>15</v>
      </c>
      <c r="H10219" s="18">
        <v>34.523000000000003</v>
      </c>
    </row>
    <row r="10220" spans="1:8" s="15" customFormat="1" ht="16.5" hidden="1" customHeight="1" outlineLevel="1" x14ac:dyDescent="0.25">
      <c r="A10220" s="18">
        <v>5632</v>
      </c>
      <c r="B10220" s="4" t="s">
        <v>250</v>
      </c>
      <c r="C10220" s="38" t="s">
        <v>8550</v>
      </c>
      <c r="D10220" s="18">
        <v>2022</v>
      </c>
      <c r="E10220" s="18" t="s">
        <v>0</v>
      </c>
      <c r="F10220" s="42">
        <v>1</v>
      </c>
      <c r="G10220" s="4">
        <v>10</v>
      </c>
      <c r="H10220" s="18">
        <v>29.562000000000001</v>
      </c>
    </row>
    <row r="10221" spans="1:8" s="15" customFormat="1" ht="16.5" hidden="1" customHeight="1" outlineLevel="1" x14ac:dyDescent="0.25">
      <c r="A10221" s="18">
        <v>5638</v>
      </c>
      <c r="B10221" s="4" t="s">
        <v>250</v>
      </c>
      <c r="C10221" s="38" t="s">
        <v>8551</v>
      </c>
      <c r="D10221" s="18">
        <v>2022</v>
      </c>
      <c r="E10221" s="18" t="s">
        <v>0</v>
      </c>
      <c r="F10221" s="42">
        <v>1</v>
      </c>
      <c r="G10221" s="4">
        <v>10</v>
      </c>
      <c r="H10221" s="18">
        <v>30.355</v>
      </c>
    </row>
    <row r="10222" spans="1:8" s="15" customFormat="1" ht="16.5" hidden="1" customHeight="1" outlineLevel="1" x14ac:dyDescent="0.25">
      <c r="A10222" s="18">
        <v>5647</v>
      </c>
      <c r="B10222" s="4" t="s">
        <v>250</v>
      </c>
      <c r="C10222" s="38" t="s">
        <v>8552</v>
      </c>
      <c r="D10222" s="18">
        <v>2022</v>
      </c>
      <c r="E10222" s="18" t="s">
        <v>0</v>
      </c>
      <c r="F10222" s="42">
        <v>1</v>
      </c>
      <c r="G10222" s="4">
        <v>10</v>
      </c>
      <c r="H10222" s="18">
        <v>29.876000000000001</v>
      </c>
    </row>
    <row r="10223" spans="1:8" s="15" customFormat="1" ht="16.5" hidden="1" customHeight="1" outlineLevel="1" x14ac:dyDescent="0.25">
      <c r="A10223" s="18">
        <v>5653</v>
      </c>
      <c r="B10223" s="4" t="s">
        <v>250</v>
      </c>
      <c r="C10223" s="38" t="s">
        <v>8553</v>
      </c>
      <c r="D10223" s="18">
        <v>2022</v>
      </c>
      <c r="E10223" s="18" t="s">
        <v>0</v>
      </c>
      <c r="F10223" s="42">
        <v>1</v>
      </c>
      <c r="G10223" s="4">
        <v>10</v>
      </c>
      <c r="H10223" s="18">
        <v>29.876000000000001</v>
      </c>
    </row>
    <row r="10224" spans="1:8" s="15" customFormat="1" ht="16.5" hidden="1" customHeight="1" outlineLevel="1" x14ac:dyDescent="0.25">
      <c r="A10224" s="18">
        <v>5654</v>
      </c>
      <c r="B10224" s="4" t="s">
        <v>250</v>
      </c>
      <c r="C10224" s="38" t="s">
        <v>8554</v>
      </c>
      <c r="D10224" s="18">
        <v>2022</v>
      </c>
      <c r="E10224" s="18" t="s">
        <v>0</v>
      </c>
      <c r="F10224" s="42">
        <v>1</v>
      </c>
      <c r="G10224" s="4">
        <v>8</v>
      </c>
      <c r="H10224" s="18">
        <v>25.933</v>
      </c>
    </row>
    <row r="10225" spans="1:8" s="15" customFormat="1" ht="16.5" hidden="1" customHeight="1" outlineLevel="1" x14ac:dyDescent="0.25">
      <c r="A10225" s="18">
        <v>5659</v>
      </c>
      <c r="B10225" s="4" t="s">
        <v>250</v>
      </c>
      <c r="C10225" s="38" t="s">
        <v>8555</v>
      </c>
      <c r="D10225" s="18">
        <v>2022</v>
      </c>
      <c r="E10225" s="18" t="s">
        <v>0</v>
      </c>
      <c r="F10225" s="42">
        <v>1</v>
      </c>
      <c r="G10225" s="4">
        <v>15</v>
      </c>
      <c r="H10225" s="18">
        <v>30.992000000000001</v>
      </c>
    </row>
    <row r="10226" spans="1:8" s="15" customFormat="1" ht="16.5" hidden="1" customHeight="1" outlineLevel="1" x14ac:dyDescent="0.25">
      <c r="A10226" s="18">
        <v>5665</v>
      </c>
      <c r="B10226" s="4" t="s">
        <v>250</v>
      </c>
      <c r="C10226" s="38" t="s">
        <v>8556</v>
      </c>
      <c r="D10226" s="18">
        <v>2022</v>
      </c>
      <c r="E10226" s="18" t="s">
        <v>0</v>
      </c>
      <c r="F10226" s="42">
        <v>1</v>
      </c>
      <c r="G10226" s="4">
        <v>15</v>
      </c>
      <c r="H10226" s="18">
        <v>21.524000000000001</v>
      </c>
    </row>
    <row r="10227" spans="1:8" s="15" customFormat="1" ht="16.5" hidden="1" customHeight="1" outlineLevel="1" x14ac:dyDescent="0.25">
      <c r="A10227" s="18">
        <v>5669</v>
      </c>
      <c r="B10227" s="4" t="s">
        <v>250</v>
      </c>
      <c r="C10227" s="38" t="s">
        <v>8557</v>
      </c>
      <c r="D10227" s="18">
        <v>2022</v>
      </c>
      <c r="E10227" s="18" t="s">
        <v>0</v>
      </c>
      <c r="F10227" s="42">
        <v>1</v>
      </c>
      <c r="G10227" s="4">
        <v>15</v>
      </c>
      <c r="H10227" s="18">
        <v>31.143000000000001</v>
      </c>
    </row>
    <row r="10228" spans="1:8" s="15" customFormat="1" ht="16.5" hidden="1" customHeight="1" outlineLevel="1" x14ac:dyDescent="0.25">
      <c r="A10228" s="18">
        <v>5671</v>
      </c>
      <c r="B10228" s="4" t="s">
        <v>250</v>
      </c>
      <c r="C10228" s="38" t="s">
        <v>8558</v>
      </c>
      <c r="D10228" s="18">
        <v>2022</v>
      </c>
      <c r="E10228" s="18" t="s">
        <v>0</v>
      </c>
      <c r="F10228" s="42">
        <v>1</v>
      </c>
      <c r="G10228" s="4">
        <v>10</v>
      </c>
      <c r="H10228" s="18">
        <v>31.837</v>
      </c>
    </row>
    <row r="10229" spans="1:8" s="15" customFormat="1" ht="16.5" hidden="1" customHeight="1" outlineLevel="1" x14ac:dyDescent="0.25">
      <c r="A10229" s="18">
        <v>5674</v>
      </c>
      <c r="B10229" s="4" t="s">
        <v>250</v>
      </c>
      <c r="C10229" s="38" t="s">
        <v>8559</v>
      </c>
      <c r="D10229" s="18">
        <v>2022</v>
      </c>
      <c r="E10229" s="18" t="s">
        <v>0</v>
      </c>
      <c r="F10229" s="42">
        <v>1</v>
      </c>
      <c r="G10229" s="4">
        <v>9</v>
      </c>
      <c r="H10229" s="18">
        <v>26.202999999999999</v>
      </c>
    </row>
    <row r="10230" spans="1:8" s="15" customFormat="1" ht="16.5" hidden="1" customHeight="1" outlineLevel="1" x14ac:dyDescent="0.25">
      <c r="A10230" s="18">
        <v>5684</v>
      </c>
      <c r="B10230" s="4" t="s">
        <v>250</v>
      </c>
      <c r="C10230" s="38" t="s">
        <v>8560</v>
      </c>
      <c r="D10230" s="18">
        <v>2022</v>
      </c>
      <c r="E10230" s="18" t="s">
        <v>0</v>
      </c>
      <c r="F10230" s="42">
        <v>1</v>
      </c>
      <c r="G10230" s="4">
        <v>15</v>
      </c>
      <c r="H10230" s="18">
        <v>26.202999999999999</v>
      </c>
    </row>
    <row r="10231" spans="1:8" s="15" customFormat="1" ht="16.5" hidden="1" customHeight="1" outlineLevel="1" x14ac:dyDescent="0.25">
      <c r="A10231" s="18">
        <v>5687</v>
      </c>
      <c r="B10231" s="4" t="s">
        <v>250</v>
      </c>
      <c r="C10231" s="38" t="s">
        <v>3644</v>
      </c>
      <c r="D10231" s="18">
        <v>2022</v>
      </c>
      <c r="E10231" s="18" t="s">
        <v>0</v>
      </c>
      <c r="F10231" s="42">
        <v>1</v>
      </c>
      <c r="G10231" s="4">
        <v>15</v>
      </c>
      <c r="H10231" s="18">
        <v>34.398000000000003</v>
      </c>
    </row>
    <row r="10232" spans="1:8" s="15" customFormat="1" ht="16.5" hidden="1" customHeight="1" outlineLevel="1" x14ac:dyDescent="0.25">
      <c r="A10232" s="18">
        <v>5694</v>
      </c>
      <c r="B10232" s="4" t="s">
        <v>250</v>
      </c>
      <c r="C10232" s="38" t="s">
        <v>8561</v>
      </c>
      <c r="D10232" s="18">
        <v>2022</v>
      </c>
      <c r="E10232" s="18" t="s">
        <v>0</v>
      </c>
      <c r="F10232" s="42">
        <v>1</v>
      </c>
      <c r="G10232" s="4">
        <v>4.4400000000000004</v>
      </c>
      <c r="H10232" s="18">
        <v>30.965</v>
      </c>
    </row>
    <row r="10233" spans="1:8" s="15" customFormat="1" ht="16.5" hidden="1" customHeight="1" outlineLevel="1" x14ac:dyDescent="0.25">
      <c r="A10233" s="18">
        <v>5695</v>
      </c>
      <c r="B10233" s="4" t="s">
        <v>250</v>
      </c>
      <c r="C10233" s="38" t="s">
        <v>8562</v>
      </c>
      <c r="D10233" s="18">
        <v>2022</v>
      </c>
      <c r="E10233" s="18" t="s">
        <v>0</v>
      </c>
      <c r="F10233" s="42">
        <v>1</v>
      </c>
      <c r="G10233" s="4">
        <v>4.07</v>
      </c>
      <c r="H10233" s="18">
        <v>29.375</v>
      </c>
    </row>
    <row r="10234" spans="1:8" s="15" customFormat="1" ht="16.5" hidden="1" customHeight="1" outlineLevel="1" x14ac:dyDescent="0.25">
      <c r="A10234" s="18">
        <v>5696</v>
      </c>
      <c r="B10234" s="4" t="s">
        <v>250</v>
      </c>
      <c r="C10234" s="38" t="s">
        <v>8563</v>
      </c>
      <c r="D10234" s="18">
        <v>2022</v>
      </c>
      <c r="E10234" s="18" t="s">
        <v>0</v>
      </c>
      <c r="F10234" s="42">
        <v>1</v>
      </c>
      <c r="G10234" s="4">
        <v>15</v>
      </c>
      <c r="H10234" s="18">
        <v>31.568999999999999</v>
      </c>
    </row>
    <row r="10235" spans="1:8" s="15" customFormat="1" ht="16.5" hidden="1" customHeight="1" outlineLevel="1" x14ac:dyDescent="0.25">
      <c r="A10235" s="18">
        <v>5697</v>
      </c>
      <c r="B10235" s="4" t="s">
        <v>250</v>
      </c>
      <c r="C10235" s="38" t="s">
        <v>8564</v>
      </c>
      <c r="D10235" s="18">
        <v>2022</v>
      </c>
      <c r="E10235" s="18" t="s">
        <v>0</v>
      </c>
      <c r="F10235" s="42">
        <v>1</v>
      </c>
      <c r="G10235" s="4">
        <v>15</v>
      </c>
      <c r="H10235" s="18">
        <v>31.960999999999999</v>
      </c>
    </row>
    <row r="10236" spans="1:8" s="15" customFormat="1" ht="16.5" hidden="1" customHeight="1" outlineLevel="1" x14ac:dyDescent="0.25">
      <c r="A10236" s="18">
        <v>5700</v>
      </c>
      <c r="B10236" s="4" t="s">
        <v>250</v>
      </c>
      <c r="C10236" s="38" t="s">
        <v>8565</v>
      </c>
      <c r="D10236" s="18">
        <v>2022</v>
      </c>
      <c r="E10236" s="18" t="s">
        <v>0</v>
      </c>
      <c r="F10236" s="42">
        <v>1</v>
      </c>
      <c r="G10236" s="4">
        <v>15</v>
      </c>
      <c r="H10236" s="18">
        <v>29.565999999999999</v>
      </c>
    </row>
    <row r="10237" spans="1:8" s="15" customFormat="1" ht="16.5" hidden="1" customHeight="1" outlineLevel="1" x14ac:dyDescent="0.25">
      <c r="A10237" s="18">
        <v>5703</v>
      </c>
      <c r="B10237" s="4" t="s">
        <v>250</v>
      </c>
      <c r="C10237" s="38" t="s">
        <v>8566</v>
      </c>
      <c r="D10237" s="18">
        <v>2022</v>
      </c>
      <c r="E10237" s="18" t="s">
        <v>0</v>
      </c>
      <c r="F10237" s="42">
        <v>1</v>
      </c>
      <c r="G10237" s="4">
        <v>10</v>
      </c>
      <c r="H10237" s="18">
        <v>29.375</v>
      </c>
    </row>
    <row r="10238" spans="1:8" s="15" customFormat="1" ht="16.5" hidden="1" customHeight="1" outlineLevel="1" x14ac:dyDescent="0.25">
      <c r="A10238" s="18">
        <v>5707</v>
      </c>
      <c r="B10238" s="4" t="s">
        <v>250</v>
      </c>
      <c r="C10238" s="38" t="s">
        <v>8567</v>
      </c>
      <c r="D10238" s="18">
        <v>2022</v>
      </c>
      <c r="E10238" s="18" t="s">
        <v>0</v>
      </c>
      <c r="F10238" s="42">
        <v>1</v>
      </c>
      <c r="G10238" s="4">
        <v>10</v>
      </c>
      <c r="H10238" s="18">
        <v>29.661999999999999</v>
      </c>
    </row>
    <row r="10239" spans="1:8" s="15" customFormat="1" ht="16.5" hidden="1" customHeight="1" outlineLevel="1" x14ac:dyDescent="0.25">
      <c r="A10239" s="18">
        <v>5714</v>
      </c>
      <c r="B10239" s="4" t="s">
        <v>250</v>
      </c>
      <c r="C10239" s="38" t="s">
        <v>8568</v>
      </c>
      <c r="D10239" s="18">
        <v>2022</v>
      </c>
      <c r="E10239" s="18" t="s">
        <v>0</v>
      </c>
      <c r="F10239" s="42">
        <v>1</v>
      </c>
      <c r="G10239" s="4">
        <v>15</v>
      </c>
      <c r="H10239" s="18">
        <v>19.361999999999998</v>
      </c>
    </row>
    <row r="10240" spans="1:8" s="15" customFormat="1" ht="16.5" hidden="1" customHeight="1" outlineLevel="1" x14ac:dyDescent="0.25">
      <c r="A10240" s="18">
        <v>5719</v>
      </c>
      <c r="B10240" s="4" t="s">
        <v>250</v>
      </c>
      <c r="C10240" s="38" t="s">
        <v>8569</v>
      </c>
      <c r="D10240" s="18">
        <v>2022</v>
      </c>
      <c r="E10240" s="18" t="s">
        <v>0</v>
      </c>
      <c r="F10240" s="42">
        <v>1</v>
      </c>
      <c r="G10240" s="4">
        <v>15</v>
      </c>
      <c r="H10240" s="18">
        <v>21.119</v>
      </c>
    </row>
    <row r="10241" spans="1:8" s="15" customFormat="1" ht="16.5" hidden="1" customHeight="1" outlineLevel="1" x14ac:dyDescent="0.25">
      <c r="A10241" s="18">
        <v>5720</v>
      </c>
      <c r="B10241" s="4" t="s">
        <v>250</v>
      </c>
      <c r="C10241" s="38" t="s">
        <v>8570</v>
      </c>
      <c r="D10241" s="18">
        <v>2022</v>
      </c>
      <c r="E10241" s="18" t="s">
        <v>0</v>
      </c>
      <c r="F10241" s="42">
        <v>1</v>
      </c>
      <c r="G10241" s="4">
        <v>15</v>
      </c>
      <c r="H10241" s="18">
        <v>20.690999999999999</v>
      </c>
    </row>
    <row r="10242" spans="1:8" s="15" customFormat="1" ht="16.5" hidden="1" customHeight="1" outlineLevel="1" x14ac:dyDescent="0.25">
      <c r="A10242" s="18">
        <v>5722</v>
      </c>
      <c r="B10242" s="4" t="s">
        <v>250</v>
      </c>
      <c r="C10242" s="38" t="s">
        <v>8571</v>
      </c>
      <c r="D10242" s="18">
        <v>2022</v>
      </c>
      <c r="E10242" s="18" t="s">
        <v>0</v>
      </c>
      <c r="F10242" s="42">
        <v>1</v>
      </c>
      <c r="G10242" s="4">
        <v>15</v>
      </c>
      <c r="H10242" s="18">
        <v>22.613</v>
      </c>
    </row>
    <row r="10243" spans="1:8" s="15" customFormat="1" ht="16.5" hidden="1" customHeight="1" outlineLevel="1" x14ac:dyDescent="0.25">
      <c r="A10243" s="18">
        <v>5723</v>
      </c>
      <c r="B10243" s="4" t="s">
        <v>250</v>
      </c>
      <c r="C10243" s="38" t="s">
        <v>8572</v>
      </c>
      <c r="D10243" s="18">
        <v>2022</v>
      </c>
      <c r="E10243" s="18" t="s">
        <v>0</v>
      </c>
      <c r="F10243" s="42">
        <v>1</v>
      </c>
      <c r="G10243" s="4">
        <v>15</v>
      </c>
      <c r="H10243" s="18">
        <v>23.396000000000001</v>
      </c>
    </row>
    <row r="10244" spans="1:8" s="15" customFormat="1" ht="16.5" hidden="1" customHeight="1" outlineLevel="1" x14ac:dyDescent="0.25">
      <c r="A10244" s="18">
        <v>5725</v>
      </c>
      <c r="B10244" s="4" t="s">
        <v>250</v>
      </c>
      <c r="C10244" s="38" t="s">
        <v>8573</v>
      </c>
      <c r="D10244" s="18">
        <v>2022</v>
      </c>
      <c r="E10244" s="18" t="s">
        <v>0</v>
      </c>
      <c r="F10244" s="42">
        <v>1</v>
      </c>
      <c r="G10244" s="4">
        <v>15</v>
      </c>
      <c r="H10244" s="18">
        <v>20.687999999999999</v>
      </c>
    </row>
    <row r="10245" spans="1:8" s="15" customFormat="1" ht="16.5" hidden="1" customHeight="1" outlineLevel="1" x14ac:dyDescent="0.25">
      <c r="A10245" s="18">
        <v>5730</v>
      </c>
      <c r="B10245" s="4" t="s">
        <v>250</v>
      </c>
      <c r="C10245" s="38" t="s">
        <v>8574</v>
      </c>
      <c r="D10245" s="18">
        <v>2022</v>
      </c>
      <c r="E10245" s="18" t="s">
        <v>0</v>
      </c>
      <c r="F10245" s="42">
        <v>1</v>
      </c>
      <c r="G10245" s="4">
        <v>12</v>
      </c>
      <c r="H10245" s="18">
        <v>17.532</v>
      </c>
    </row>
    <row r="10246" spans="1:8" s="15" customFormat="1" ht="16.5" hidden="1" customHeight="1" outlineLevel="1" x14ac:dyDescent="0.25">
      <c r="A10246" s="18">
        <v>5731</v>
      </c>
      <c r="B10246" s="4" t="s">
        <v>250</v>
      </c>
      <c r="C10246" s="38" t="s">
        <v>8575</v>
      </c>
      <c r="D10246" s="18">
        <v>2022</v>
      </c>
      <c r="E10246" s="18" t="s">
        <v>0</v>
      </c>
      <c r="F10246" s="42">
        <v>1</v>
      </c>
      <c r="G10246" s="4">
        <v>15</v>
      </c>
      <c r="H10246" s="18">
        <v>18.347000000000001</v>
      </c>
    </row>
    <row r="10247" spans="1:8" s="15" customFormat="1" ht="16.5" hidden="1" customHeight="1" outlineLevel="1" x14ac:dyDescent="0.25">
      <c r="A10247" s="18">
        <v>5735</v>
      </c>
      <c r="B10247" s="4" t="s">
        <v>250</v>
      </c>
      <c r="C10247" s="38" t="s">
        <v>8576</v>
      </c>
      <c r="D10247" s="18">
        <v>2022</v>
      </c>
      <c r="E10247" s="18" t="s">
        <v>0</v>
      </c>
      <c r="F10247" s="42">
        <v>1</v>
      </c>
      <c r="G10247" s="4">
        <v>15</v>
      </c>
      <c r="H10247" s="18">
        <v>21.686</v>
      </c>
    </row>
    <row r="10248" spans="1:8" s="15" customFormat="1" ht="16.5" hidden="1" customHeight="1" outlineLevel="1" x14ac:dyDescent="0.25">
      <c r="A10248" s="18">
        <v>5740</v>
      </c>
      <c r="B10248" s="4" t="s">
        <v>250</v>
      </c>
      <c r="C10248" s="38" t="s">
        <v>8577</v>
      </c>
      <c r="D10248" s="18">
        <v>2022</v>
      </c>
      <c r="E10248" s="18" t="s">
        <v>0</v>
      </c>
      <c r="F10248" s="42">
        <v>1</v>
      </c>
      <c r="G10248" s="4">
        <v>15</v>
      </c>
      <c r="H10248" s="18">
        <v>18.8</v>
      </c>
    </row>
    <row r="10249" spans="1:8" s="15" customFormat="1" ht="16.5" hidden="1" customHeight="1" outlineLevel="1" x14ac:dyDescent="0.25">
      <c r="A10249" s="18">
        <v>5741</v>
      </c>
      <c r="B10249" s="4" t="s">
        <v>250</v>
      </c>
      <c r="C10249" s="38" t="s">
        <v>8578</v>
      </c>
      <c r="D10249" s="18">
        <v>2022</v>
      </c>
      <c r="E10249" s="18" t="s">
        <v>0</v>
      </c>
      <c r="F10249" s="42">
        <v>1</v>
      </c>
      <c r="G10249" s="4">
        <v>1.2</v>
      </c>
      <c r="H10249" s="18">
        <v>18.498000000000001</v>
      </c>
    </row>
    <row r="10250" spans="1:8" s="15" customFormat="1" ht="16.5" hidden="1" customHeight="1" outlineLevel="1" x14ac:dyDescent="0.25">
      <c r="A10250" s="18">
        <v>5744</v>
      </c>
      <c r="B10250" s="4" t="s">
        <v>250</v>
      </c>
      <c r="C10250" s="38" t="s">
        <v>8579</v>
      </c>
      <c r="D10250" s="18">
        <v>2022</v>
      </c>
      <c r="E10250" s="18" t="s">
        <v>0</v>
      </c>
      <c r="F10250" s="42">
        <v>1</v>
      </c>
      <c r="G10250" s="4">
        <v>15</v>
      </c>
      <c r="H10250" s="18">
        <v>20.151</v>
      </c>
    </row>
    <row r="10251" spans="1:8" s="15" customFormat="1" ht="16.5" hidden="1" customHeight="1" outlineLevel="1" x14ac:dyDescent="0.25">
      <c r="A10251" s="18">
        <v>5745</v>
      </c>
      <c r="B10251" s="4" t="s">
        <v>250</v>
      </c>
      <c r="C10251" s="38" t="s">
        <v>8580</v>
      </c>
      <c r="D10251" s="18">
        <v>2022</v>
      </c>
      <c r="E10251" s="18" t="s">
        <v>0</v>
      </c>
      <c r="F10251" s="42">
        <v>1</v>
      </c>
      <c r="G10251" s="4">
        <v>7</v>
      </c>
      <c r="H10251" s="18">
        <v>18.498000000000001</v>
      </c>
    </row>
    <row r="10252" spans="1:8" s="15" customFormat="1" ht="16.5" hidden="1" customHeight="1" outlineLevel="1" x14ac:dyDescent="0.25">
      <c r="A10252" s="18">
        <v>5746</v>
      </c>
      <c r="B10252" s="4" t="s">
        <v>250</v>
      </c>
      <c r="C10252" s="38" t="s">
        <v>8581</v>
      </c>
      <c r="D10252" s="18">
        <v>2022</v>
      </c>
      <c r="E10252" s="18" t="s">
        <v>0</v>
      </c>
      <c r="F10252" s="42">
        <v>1</v>
      </c>
      <c r="G10252" s="4">
        <v>15</v>
      </c>
      <c r="H10252" s="18">
        <v>21.006</v>
      </c>
    </row>
    <row r="10253" spans="1:8" s="15" customFormat="1" ht="16.5" hidden="1" customHeight="1" outlineLevel="1" x14ac:dyDescent="0.25">
      <c r="A10253" s="18">
        <v>5749</v>
      </c>
      <c r="B10253" s="4" t="s">
        <v>250</v>
      </c>
      <c r="C10253" s="38" t="s">
        <v>4053</v>
      </c>
      <c r="D10253" s="18">
        <v>2022</v>
      </c>
      <c r="E10253" s="18" t="s">
        <v>0</v>
      </c>
      <c r="F10253" s="42">
        <v>1</v>
      </c>
      <c r="G10253" s="4">
        <v>150</v>
      </c>
      <c r="H10253" s="18">
        <v>68.465999999999994</v>
      </c>
    </row>
    <row r="10254" spans="1:8" s="15" customFormat="1" ht="16.5" hidden="1" customHeight="1" outlineLevel="1" x14ac:dyDescent="0.25">
      <c r="A10254" s="18">
        <v>5750</v>
      </c>
      <c r="B10254" s="4" t="s">
        <v>250</v>
      </c>
      <c r="C10254" s="38" t="s">
        <v>8582</v>
      </c>
      <c r="D10254" s="18">
        <v>2022</v>
      </c>
      <c r="E10254" s="18" t="s">
        <v>0</v>
      </c>
      <c r="F10254" s="42" t="s">
        <v>2204</v>
      </c>
      <c r="G10254" s="4">
        <v>15</v>
      </c>
      <c r="H10254" s="18">
        <v>16.802</v>
      </c>
    </row>
    <row r="10255" spans="1:8" s="15" customFormat="1" ht="16.5" hidden="1" customHeight="1" outlineLevel="1" x14ac:dyDescent="0.25">
      <c r="A10255" s="18">
        <v>5751</v>
      </c>
      <c r="B10255" s="4" t="s">
        <v>250</v>
      </c>
      <c r="C10255" s="38" t="s">
        <v>8583</v>
      </c>
      <c r="D10255" s="18">
        <v>2022</v>
      </c>
      <c r="E10255" s="18" t="s">
        <v>0</v>
      </c>
      <c r="F10255" s="42" t="s">
        <v>2204</v>
      </c>
      <c r="G10255" s="4">
        <v>15</v>
      </c>
      <c r="H10255" s="18">
        <v>17.797999999999998</v>
      </c>
    </row>
    <row r="10256" spans="1:8" s="15" customFormat="1" ht="16.5" hidden="1" customHeight="1" outlineLevel="1" x14ac:dyDescent="0.25">
      <c r="A10256" s="18">
        <v>5752</v>
      </c>
      <c r="B10256" s="4" t="s">
        <v>250</v>
      </c>
      <c r="C10256" s="38" t="s">
        <v>8584</v>
      </c>
      <c r="D10256" s="18">
        <v>2022</v>
      </c>
      <c r="E10256" s="18" t="s">
        <v>0</v>
      </c>
      <c r="F10256" s="42" t="s">
        <v>2204</v>
      </c>
      <c r="G10256" s="4">
        <v>5</v>
      </c>
      <c r="H10256" s="18">
        <v>18.696999999999999</v>
      </c>
    </row>
    <row r="10257" spans="1:8" s="15" customFormat="1" ht="16.5" hidden="1" customHeight="1" outlineLevel="1" x14ac:dyDescent="0.25">
      <c r="A10257" s="18">
        <v>5753</v>
      </c>
      <c r="B10257" s="4" t="s">
        <v>250</v>
      </c>
      <c r="C10257" s="38" t="s">
        <v>8585</v>
      </c>
      <c r="D10257" s="18">
        <v>2022</v>
      </c>
      <c r="E10257" s="18" t="s">
        <v>0</v>
      </c>
      <c r="F10257" s="42" t="s">
        <v>2204</v>
      </c>
      <c r="G10257" s="4">
        <v>15</v>
      </c>
      <c r="H10257" s="18">
        <v>20.303999999999998</v>
      </c>
    </row>
    <row r="10258" spans="1:8" s="15" customFormat="1" ht="16.5" hidden="1" customHeight="1" outlineLevel="1" x14ac:dyDescent="0.25">
      <c r="A10258" s="18">
        <v>5754</v>
      </c>
      <c r="B10258" s="4" t="s">
        <v>250</v>
      </c>
      <c r="C10258" s="38" t="s">
        <v>8586</v>
      </c>
      <c r="D10258" s="18">
        <v>2022</v>
      </c>
      <c r="E10258" s="18" t="s">
        <v>0</v>
      </c>
      <c r="F10258" s="42" t="s">
        <v>2204</v>
      </c>
      <c r="G10258" s="4">
        <v>15</v>
      </c>
      <c r="H10258" s="18">
        <v>17.532</v>
      </c>
    </row>
    <row r="10259" spans="1:8" s="15" customFormat="1" ht="16.5" hidden="1" customHeight="1" outlineLevel="1" x14ac:dyDescent="0.25">
      <c r="A10259" s="18">
        <v>5756</v>
      </c>
      <c r="B10259" s="4" t="s">
        <v>250</v>
      </c>
      <c r="C10259" s="38" t="s">
        <v>8587</v>
      </c>
      <c r="D10259" s="18">
        <v>2022</v>
      </c>
      <c r="E10259" s="18" t="s">
        <v>0</v>
      </c>
      <c r="F10259" s="42" t="s">
        <v>2204</v>
      </c>
      <c r="G10259" s="4">
        <v>15</v>
      </c>
      <c r="H10259" s="18">
        <v>20.721</v>
      </c>
    </row>
    <row r="10260" spans="1:8" s="15" customFormat="1" ht="16.5" hidden="1" customHeight="1" outlineLevel="1" x14ac:dyDescent="0.25">
      <c r="A10260" s="18">
        <v>5757</v>
      </c>
      <c r="B10260" s="4" t="s">
        <v>250</v>
      </c>
      <c r="C10260" s="38" t="s">
        <v>8588</v>
      </c>
      <c r="D10260" s="18">
        <v>2022</v>
      </c>
      <c r="E10260" s="18" t="s">
        <v>0</v>
      </c>
      <c r="F10260" s="42" t="s">
        <v>2204</v>
      </c>
      <c r="G10260" s="4">
        <v>15</v>
      </c>
      <c r="H10260" s="18">
        <v>17.623000000000001</v>
      </c>
    </row>
    <row r="10261" spans="1:8" s="15" customFormat="1" ht="16.5" hidden="1" customHeight="1" outlineLevel="1" x14ac:dyDescent="0.25">
      <c r="A10261" s="18">
        <v>5759</v>
      </c>
      <c r="B10261" s="4" t="s">
        <v>250</v>
      </c>
      <c r="C10261" s="38" t="s">
        <v>8589</v>
      </c>
      <c r="D10261" s="18">
        <v>2022</v>
      </c>
      <c r="E10261" s="18" t="s">
        <v>0</v>
      </c>
      <c r="F10261" s="42" t="s">
        <v>2204</v>
      </c>
      <c r="G10261" s="4">
        <v>15</v>
      </c>
      <c r="H10261" s="18">
        <v>19.649000000000001</v>
      </c>
    </row>
    <row r="10262" spans="1:8" s="15" customFormat="1" ht="16.5" hidden="1" customHeight="1" outlineLevel="1" x14ac:dyDescent="0.25">
      <c r="A10262" s="18">
        <v>5761</v>
      </c>
      <c r="B10262" s="4" t="s">
        <v>250</v>
      </c>
      <c r="C10262" s="38" t="s">
        <v>8590</v>
      </c>
      <c r="D10262" s="18">
        <v>2022</v>
      </c>
      <c r="E10262" s="18" t="s">
        <v>0</v>
      </c>
      <c r="F10262" s="42">
        <v>1</v>
      </c>
      <c r="G10262" s="4">
        <v>15</v>
      </c>
      <c r="H10262" s="18">
        <v>21.148</v>
      </c>
    </row>
    <row r="10263" spans="1:8" s="15" customFormat="1" ht="16.5" hidden="1" customHeight="1" outlineLevel="1" x14ac:dyDescent="0.25">
      <c r="A10263" s="18">
        <v>5774</v>
      </c>
      <c r="B10263" s="4" t="s">
        <v>250</v>
      </c>
      <c r="C10263" s="38" t="s">
        <v>8591</v>
      </c>
      <c r="D10263" s="18">
        <v>2022</v>
      </c>
      <c r="E10263" s="18" t="s">
        <v>0</v>
      </c>
      <c r="F10263" s="42">
        <v>1</v>
      </c>
      <c r="G10263" s="4">
        <v>15</v>
      </c>
      <c r="H10263" s="18">
        <v>21.562000000000001</v>
      </c>
    </row>
    <row r="10264" spans="1:8" s="15" customFormat="1" ht="16.5" hidden="1" customHeight="1" outlineLevel="1" x14ac:dyDescent="0.25">
      <c r="A10264" s="18">
        <v>5776</v>
      </c>
      <c r="B10264" s="4" t="s">
        <v>250</v>
      </c>
      <c r="C10264" s="38" t="s">
        <v>8592</v>
      </c>
      <c r="D10264" s="18">
        <v>2022</v>
      </c>
      <c r="E10264" s="18" t="s">
        <v>0</v>
      </c>
      <c r="F10264" s="42">
        <v>1</v>
      </c>
      <c r="G10264" s="4">
        <v>15</v>
      </c>
      <c r="H10264" s="18">
        <v>19.361999999999998</v>
      </c>
    </row>
    <row r="10265" spans="1:8" s="15" customFormat="1" ht="16.5" hidden="1" customHeight="1" outlineLevel="1" x14ac:dyDescent="0.25">
      <c r="A10265" s="18">
        <v>5778</v>
      </c>
      <c r="B10265" s="4" t="s">
        <v>250</v>
      </c>
      <c r="C10265" s="38" t="s">
        <v>8593</v>
      </c>
      <c r="D10265" s="18">
        <v>2022</v>
      </c>
      <c r="E10265" s="18" t="s">
        <v>0</v>
      </c>
      <c r="F10265" s="42">
        <v>1</v>
      </c>
      <c r="G10265" s="4">
        <v>15</v>
      </c>
      <c r="H10265" s="18">
        <v>19.553000000000001</v>
      </c>
    </row>
    <row r="10266" spans="1:8" s="15" customFormat="1" ht="16.5" hidden="1" customHeight="1" outlineLevel="1" x14ac:dyDescent="0.25">
      <c r="A10266" s="18">
        <v>5779</v>
      </c>
      <c r="B10266" s="4" t="s">
        <v>250</v>
      </c>
      <c r="C10266" s="38" t="s">
        <v>8594</v>
      </c>
      <c r="D10266" s="18">
        <v>2022</v>
      </c>
      <c r="E10266" s="18" t="s">
        <v>0</v>
      </c>
      <c r="F10266" s="42">
        <v>1</v>
      </c>
      <c r="G10266" s="4">
        <v>15</v>
      </c>
      <c r="H10266" s="18">
        <v>21.148</v>
      </c>
    </row>
    <row r="10267" spans="1:8" s="15" customFormat="1" ht="16.5" hidden="1" customHeight="1" outlineLevel="1" x14ac:dyDescent="0.25">
      <c r="A10267" s="18">
        <v>5780</v>
      </c>
      <c r="B10267" s="4" t="s">
        <v>250</v>
      </c>
      <c r="C10267" s="38" t="s">
        <v>8595</v>
      </c>
      <c r="D10267" s="18">
        <v>2022</v>
      </c>
      <c r="E10267" s="18" t="s">
        <v>0</v>
      </c>
      <c r="F10267" s="42">
        <v>1</v>
      </c>
      <c r="G10267" s="4">
        <v>15</v>
      </c>
      <c r="H10267" s="18">
        <v>20.318999999999999</v>
      </c>
    </row>
    <row r="10268" spans="1:8" s="15" customFormat="1" ht="16.5" hidden="1" customHeight="1" outlineLevel="1" x14ac:dyDescent="0.25">
      <c r="A10268" s="18">
        <v>5783</v>
      </c>
      <c r="B10268" s="4" t="s">
        <v>250</v>
      </c>
      <c r="C10268" s="38" t="s">
        <v>8596</v>
      </c>
      <c r="D10268" s="18">
        <v>2022</v>
      </c>
      <c r="E10268" s="18" t="s">
        <v>0</v>
      </c>
      <c r="F10268" s="42">
        <v>1</v>
      </c>
      <c r="G10268" s="4">
        <v>10</v>
      </c>
      <c r="H10268" s="18">
        <v>18.696999999999999</v>
      </c>
    </row>
    <row r="10269" spans="1:8" s="15" customFormat="1" ht="16.5" hidden="1" customHeight="1" outlineLevel="1" x14ac:dyDescent="0.25">
      <c r="A10269" s="18">
        <v>5787</v>
      </c>
      <c r="B10269" s="4" t="s">
        <v>250</v>
      </c>
      <c r="C10269" s="38" t="s">
        <v>8597</v>
      </c>
      <c r="D10269" s="18">
        <v>2022</v>
      </c>
      <c r="E10269" s="18" t="s">
        <v>0</v>
      </c>
      <c r="F10269" s="42">
        <v>1</v>
      </c>
      <c r="G10269" s="4">
        <v>15</v>
      </c>
      <c r="H10269" s="18">
        <v>19.631</v>
      </c>
    </row>
    <row r="10270" spans="1:8" s="15" customFormat="1" ht="16.5" hidden="1" customHeight="1" outlineLevel="1" x14ac:dyDescent="0.25">
      <c r="A10270" s="18">
        <v>5789</v>
      </c>
      <c r="B10270" s="4" t="s">
        <v>250</v>
      </c>
      <c r="C10270" s="38" t="s">
        <v>8598</v>
      </c>
      <c r="D10270" s="18">
        <v>2022</v>
      </c>
      <c r="E10270" s="18" t="s">
        <v>0</v>
      </c>
      <c r="F10270" s="42">
        <v>1</v>
      </c>
      <c r="G10270" s="4">
        <v>15</v>
      </c>
      <c r="H10270" s="18">
        <v>19.991</v>
      </c>
    </row>
    <row r="10271" spans="1:8" s="15" customFormat="1" ht="16.5" hidden="1" customHeight="1" outlineLevel="1" x14ac:dyDescent="0.25">
      <c r="A10271" s="18">
        <v>5790</v>
      </c>
      <c r="B10271" s="4" t="s">
        <v>250</v>
      </c>
      <c r="C10271" s="38" t="s">
        <v>8599</v>
      </c>
      <c r="D10271" s="18">
        <v>2022</v>
      </c>
      <c r="E10271" s="18" t="s">
        <v>0</v>
      </c>
      <c r="F10271" s="42">
        <v>1</v>
      </c>
      <c r="G10271" s="4">
        <v>15</v>
      </c>
      <c r="H10271" s="18">
        <v>19.991</v>
      </c>
    </row>
    <row r="10272" spans="1:8" s="15" customFormat="1" ht="16.5" hidden="1" customHeight="1" outlineLevel="1" x14ac:dyDescent="0.25">
      <c r="A10272" s="18">
        <v>5791</v>
      </c>
      <c r="B10272" s="4" t="s">
        <v>250</v>
      </c>
      <c r="C10272" s="38" t="s">
        <v>8600</v>
      </c>
      <c r="D10272" s="18">
        <v>2022</v>
      </c>
      <c r="E10272" s="18" t="s">
        <v>0</v>
      </c>
      <c r="F10272" s="42">
        <v>1</v>
      </c>
      <c r="G10272" s="4">
        <v>15</v>
      </c>
      <c r="H10272" s="18">
        <v>19.795000000000002</v>
      </c>
    </row>
    <row r="10273" spans="1:8" s="15" customFormat="1" ht="16.5" hidden="1" customHeight="1" outlineLevel="1" x14ac:dyDescent="0.25">
      <c r="A10273" s="18">
        <v>5792</v>
      </c>
      <c r="B10273" s="4" t="s">
        <v>250</v>
      </c>
      <c r="C10273" s="38" t="s">
        <v>8601</v>
      </c>
      <c r="D10273" s="18">
        <v>2022</v>
      </c>
      <c r="E10273" s="18" t="s">
        <v>0</v>
      </c>
      <c r="F10273" s="42">
        <v>1</v>
      </c>
      <c r="G10273" s="4">
        <v>15</v>
      </c>
      <c r="H10273" s="18">
        <v>18.498000000000001</v>
      </c>
    </row>
    <row r="10274" spans="1:8" s="15" customFormat="1" ht="16.5" hidden="1" customHeight="1" outlineLevel="1" x14ac:dyDescent="0.25">
      <c r="A10274" s="18">
        <v>5793</v>
      </c>
      <c r="B10274" s="4" t="s">
        <v>250</v>
      </c>
      <c r="C10274" s="38" t="s">
        <v>8602</v>
      </c>
      <c r="D10274" s="18">
        <v>2022</v>
      </c>
      <c r="E10274" s="18" t="s">
        <v>0</v>
      </c>
      <c r="F10274" s="42">
        <v>1</v>
      </c>
      <c r="G10274" s="4">
        <v>15</v>
      </c>
      <c r="H10274" s="18">
        <v>18.696999999999999</v>
      </c>
    </row>
    <row r="10275" spans="1:8" s="15" customFormat="1" ht="16.5" hidden="1" customHeight="1" outlineLevel="1" x14ac:dyDescent="0.25">
      <c r="A10275" s="18">
        <v>5795</v>
      </c>
      <c r="B10275" s="4" t="s">
        <v>250</v>
      </c>
      <c r="C10275" s="38" t="s">
        <v>8603</v>
      </c>
      <c r="D10275" s="18">
        <v>2022</v>
      </c>
      <c r="E10275" s="18" t="s">
        <v>0</v>
      </c>
      <c r="F10275" s="42">
        <v>1</v>
      </c>
      <c r="G10275" s="4">
        <v>15</v>
      </c>
      <c r="H10275" s="18">
        <v>19.795000000000002</v>
      </c>
    </row>
    <row r="10276" spans="1:8" s="15" customFormat="1" ht="16.5" hidden="1" customHeight="1" outlineLevel="1" x14ac:dyDescent="0.25">
      <c r="A10276" s="18">
        <v>5797</v>
      </c>
      <c r="B10276" s="4" t="s">
        <v>250</v>
      </c>
      <c r="C10276" s="38" t="s">
        <v>8604</v>
      </c>
      <c r="D10276" s="18">
        <v>2022</v>
      </c>
      <c r="E10276" s="18" t="s">
        <v>0</v>
      </c>
      <c r="F10276" s="42">
        <v>1</v>
      </c>
      <c r="G10276" s="4">
        <v>15</v>
      </c>
      <c r="H10276" s="18">
        <v>19.795000000000002</v>
      </c>
    </row>
    <row r="10277" spans="1:8" s="15" customFormat="1" ht="16.5" hidden="1" customHeight="1" outlineLevel="1" x14ac:dyDescent="0.25">
      <c r="A10277" s="18">
        <v>5801</v>
      </c>
      <c r="B10277" s="4" t="s">
        <v>250</v>
      </c>
      <c r="C10277" s="38" t="s">
        <v>8605</v>
      </c>
      <c r="D10277" s="18">
        <v>2022</v>
      </c>
      <c r="E10277" s="18" t="s">
        <v>0</v>
      </c>
      <c r="F10277" s="42">
        <v>1</v>
      </c>
      <c r="G10277" s="4">
        <v>15</v>
      </c>
      <c r="H10277" s="18">
        <v>20.736000000000001</v>
      </c>
    </row>
    <row r="10278" spans="1:8" s="15" customFormat="1" ht="16.5" hidden="1" customHeight="1" outlineLevel="1" x14ac:dyDescent="0.25">
      <c r="A10278" s="18">
        <v>5813</v>
      </c>
      <c r="B10278" s="4" t="s">
        <v>250</v>
      </c>
      <c r="C10278" s="38" t="s">
        <v>8606</v>
      </c>
      <c r="D10278" s="18">
        <v>2022</v>
      </c>
      <c r="E10278" s="18" t="s">
        <v>0</v>
      </c>
      <c r="F10278" s="42">
        <v>1</v>
      </c>
      <c r="G10278" s="4">
        <v>15</v>
      </c>
      <c r="H10278" s="18">
        <v>22.003</v>
      </c>
    </row>
    <row r="10279" spans="1:8" s="15" customFormat="1" ht="16.5" hidden="1" customHeight="1" outlineLevel="1" x14ac:dyDescent="0.25">
      <c r="A10279" s="18">
        <v>5822</v>
      </c>
      <c r="B10279" s="4" t="s">
        <v>250</v>
      </c>
      <c r="C10279" s="38" t="s">
        <v>8607</v>
      </c>
      <c r="D10279" s="18">
        <v>2022</v>
      </c>
      <c r="E10279" s="18" t="s">
        <v>0</v>
      </c>
      <c r="F10279" s="42">
        <v>1</v>
      </c>
      <c r="G10279" s="4">
        <v>15</v>
      </c>
      <c r="H10279" s="18">
        <v>20.510999999999999</v>
      </c>
    </row>
    <row r="10280" spans="1:8" s="15" customFormat="1" ht="16.5" hidden="1" customHeight="1" outlineLevel="1" x14ac:dyDescent="0.25">
      <c r="A10280" s="18">
        <v>5842</v>
      </c>
      <c r="B10280" s="4" t="s">
        <v>250</v>
      </c>
      <c r="C10280" s="38" t="s">
        <v>8608</v>
      </c>
      <c r="D10280" s="18">
        <v>2022</v>
      </c>
      <c r="E10280" s="18" t="s">
        <v>0</v>
      </c>
      <c r="F10280" s="42">
        <v>1</v>
      </c>
      <c r="G10280" s="4">
        <v>15</v>
      </c>
      <c r="H10280" s="18">
        <v>20.428999999999998</v>
      </c>
    </row>
    <row r="10281" spans="1:8" s="15" customFormat="1" ht="16.5" hidden="1" customHeight="1" outlineLevel="1" x14ac:dyDescent="0.25">
      <c r="A10281" s="18">
        <v>5897</v>
      </c>
      <c r="B10281" s="4" t="s">
        <v>250</v>
      </c>
      <c r="C10281" s="38" t="s">
        <v>8609</v>
      </c>
      <c r="D10281" s="18">
        <v>2022</v>
      </c>
      <c r="E10281" s="18" t="s">
        <v>0</v>
      </c>
      <c r="F10281" s="42">
        <v>1</v>
      </c>
      <c r="G10281" s="4">
        <v>15</v>
      </c>
      <c r="H10281" s="18">
        <v>37.923000000000002</v>
      </c>
    </row>
    <row r="10282" spans="1:8" s="15" customFormat="1" ht="16.5" hidden="1" customHeight="1" outlineLevel="1" x14ac:dyDescent="0.25">
      <c r="A10282" s="18">
        <v>5901</v>
      </c>
      <c r="B10282" s="4" t="s">
        <v>250</v>
      </c>
      <c r="C10282" s="38" t="s">
        <v>8610</v>
      </c>
      <c r="D10282" s="18">
        <v>2022</v>
      </c>
      <c r="E10282" s="18" t="s">
        <v>0</v>
      </c>
      <c r="F10282" s="42">
        <v>1</v>
      </c>
      <c r="G10282" s="4">
        <v>15</v>
      </c>
      <c r="H10282" s="18">
        <v>21.715</v>
      </c>
    </row>
    <row r="10283" spans="1:8" s="15" customFormat="1" ht="16.5" hidden="1" customHeight="1" outlineLevel="1" x14ac:dyDescent="0.25">
      <c r="A10283" s="18">
        <v>5902</v>
      </c>
      <c r="B10283" s="4" t="s">
        <v>250</v>
      </c>
      <c r="C10283" s="38" t="s">
        <v>3646</v>
      </c>
      <c r="D10283" s="18">
        <v>2022</v>
      </c>
      <c r="E10283" s="18" t="s">
        <v>0</v>
      </c>
      <c r="F10283" s="42">
        <v>1</v>
      </c>
      <c r="G10283" s="4">
        <v>15</v>
      </c>
      <c r="H10283" s="18">
        <v>70.405000000000001</v>
      </c>
    </row>
    <row r="10284" spans="1:8" s="15" customFormat="1" ht="16.5" hidden="1" customHeight="1" outlineLevel="1" x14ac:dyDescent="0.25">
      <c r="A10284" s="18">
        <v>5903</v>
      </c>
      <c r="B10284" s="4" t="s">
        <v>250</v>
      </c>
      <c r="C10284" s="38" t="s">
        <v>3647</v>
      </c>
      <c r="D10284" s="18">
        <v>2022</v>
      </c>
      <c r="E10284" s="18" t="s">
        <v>0</v>
      </c>
      <c r="F10284" s="42">
        <v>1</v>
      </c>
      <c r="G10284" s="4">
        <v>15</v>
      </c>
      <c r="H10284" s="18">
        <v>71.159000000000006</v>
      </c>
    </row>
    <row r="10285" spans="1:8" s="15" customFormat="1" ht="16.5" hidden="1" customHeight="1" outlineLevel="1" x14ac:dyDescent="0.25">
      <c r="A10285" s="18">
        <v>5904</v>
      </c>
      <c r="B10285" s="4" t="s">
        <v>250</v>
      </c>
      <c r="C10285" s="38" t="s">
        <v>3648</v>
      </c>
      <c r="D10285" s="18">
        <v>2022</v>
      </c>
      <c r="E10285" s="18" t="s">
        <v>0</v>
      </c>
      <c r="F10285" s="42">
        <v>1</v>
      </c>
      <c r="G10285" s="4">
        <v>15</v>
      </c>
      <c r="H10285" s="18">
        <v>73.631</v>
      </c>
    </row>
    <row r="10286" spans="1:8" s="15" customFormat="1" ht="16.5" hidden="1" customHeight="1" outlineLevel="1" x14ac:dyDescent="0.25">
      <c r="A10286" s="18">
        <v>5474</v>
      </c>
      <c r="B10286" s="4" t="s">
        <v>250</v>
      </c>
      <c r="C10286" s="38" t="s">
        <v>8611</v>
      </c>
      <c r="D10286" s="18">
        <v>2022</v>
      </c>
      <c r="E10286" s="18" t="s">
        <v>0</v>
      </c>
      <c r="F10286" s="42">
        <v>1</v>
      </c>
      <c r="G10286" s="4">
        <v>8.41</v>
      </c>
      <c r="H10286" s="18">
        <v>28.477</v>
      </c>
    </row>
    <row r="10287" spans="1:8" s="15" customFormat="1" ht="16.5" hidden="1" customHeight="1" outlineLevel="1" x14ac:dyDescent="0.25">
      <c r="A10287" s="18">
        <v>5491</v>
      </c>
      <c r="B10287" s="4" t="s">
        <v>250</v>
      </c>
      <c r="C10287" s="38" t="s">
        <v>2702</v>
      </c>
      <c r="D10287" s="18">
        <v>2022</v>
      </c>
      <c r="E10287" s="18" t="s">
        <v>0</v>
      </c>
      <c r="F10287" s="42">
        <v>1</v>
      </c>
      <c r="G10287" s="4">
        <v>3.12</v>
      </c>
      <c r="H10287" s="18">
        <v>23.353000000000002</v>
      </c>
    </row>
    <row r="10288" spans="1:8" s="15" customFormat="1" ht="16.5" hidden="1" customHeight="1" outlineLevel="1" x14ac:dyDescent="0.25">
      <c r="A10288" s="18">
        <v>5618</v>
      </c>
      <c r="B10288" s="4" t="s">
        <v>250</v>
      </c>
      <c r="C10288" s="38" t="s">
        <v>8612</v>
      </c>
      <c r="D10288" s="18">
        <v>2022</v>
      </c>
      <c r="E10288" s="18" t="s">
        <v>0</v>
      </c>
      <c r="F10288" s="42">
        <v>1</v>
      </c>
      <c r="G10288" s="4">
        <v>15</v>
      </c>
      <c r="H10288" s="18">
        <v>25.831</v>
      </c>
    </row>
    <row r="10289" spans="1:8" s="15" customFormat="1" ht="16.5" hidden="1" customHeight="1" outlineLevel="1" x14ac:dyDescent="0.25">
      <c r="A10289" s="18">
        <v>5624</v>
      </c>
      <c r="B10289" s="4" t="s">
        <v>250</v>
      </c>
      <c r="C10289" s="38" t="s">
        <v>3649</v>
      </c>
      <c r="D10289" s="18">
        <v>2022</v>
      </c>
      <c r="E10289" s="18" t="s">
        <v>0</v>
      </c>
      <c r="F10289" s="42">
        <v>1</v>
      </c>
      <c r="G10289" s="4">
        <v>15</v>
      </c>
      <c r="H10289" s="18">
        <v>59.959000000000003</v>
      </c>
    </row>
    <row r="10290" spans="1:8" s="15" customFormat="1" ht="16.5" hidden="1" customHeight="1" outlineLevel="1" x14ac:dyDescent="0.25">
      <c r="A10290" s="18">
        <v>5724</v>
      </c>
      <c r="B10290" s="4" t="s">
        <v>250</v>
      </c>
      <c r="C10290" s="38" t="s">
        <v>8613</v>
      </c>
      <c r="D10290" s="18">
        <v>2022</v>
      </c>
      <c r="E10290" s="18" t="s">
        <v>0</v>
      </c>
      <c r="F10290" s="42">
        <v>1</v>
      </c>
      <c r="G10290" s="4">
        <v>15</v>
      </c>
      <c r="H10290" s="18">
        <v>23.742000000000001</v>
      </c>
    </row>
    <row r="10291" spans="1:8" s="15" customFormat="1" ht="16.5" hidden="1" customHeight="1" outlineLevel="1" x14ac:dyDescent="0.25">
      <c r="A10291" s="18">
        <v>5727</v>
      </c>
      <c r="B10291" s="4" t="s">
        <v>250</v>
      </c>
      <c r="C10291" s="38" t="s">
        <v>3650</v>
      </c>
      <c r="D10291" s="18">
        <v>2022</v>
      </c>
      <c r="E10291" s="18" t="s">
        <v>0</v>
      </c>
      <c r="F10291" s="42">
        <v>1</v>
      </c>
      <c r="G10291" s="4">
        <v>15</v>
      </c>
      <c r="H10291" s="18">
        <v>64.328000000000003</v>
      </c>
    </row>
    <row r="10292" spans="1:8" s="15" customFormat="1" ht="16.5" hidden="1" customHeight="1" outlineLevel="1" x14ac:dyDescent="0.25">
      <c r="A10292" s="18">
        <v>5736</v>
      </c>
      <c r="B10292" s="4" t="s">
        <v>250</v>
      </c>
      <c r="C10292" s="38" t="s">
        <v>8614</v>
      </c>
      <c r="D10292" s="18">
        <v>2022</v>
      </c>
      <c r="E10292" s="18" t="s">
        <v>0</v>
      </c>
      <c r="F10292" s="42">
        <v>1</v>
      </c>
      <c r="G10292" s="4">
        <v>15</v>
      </c>
      <c r="H10292" s="18">
        <v>17.398</v>
      </c>
    </row>
    <row r="10293" spans="1:8" s="15" customFormat="1" ht="16.5" hidden="1" customHeight="1" outlineLevel="1" x14ac:dyDescent="0.25">
      <c r="A10293" s="18">
        <v>5804</v>
      </c>
      <c r="B10293" s="4" t="s">
        <v>250</v>
      </c>
      <c r="C10293" s="38" t="s">
        <v>8615</v>
      </c>
      <c r="D10293" s="18">
        <v>2022</v>
      </c>
      <c r="E10293" s="18" t="s">
        <v>0</v>
      </c>
      <c r="F10293" s="42">
        <v>1</v>
      </c>
      <c r="G10293" s="4">
        <v>9</v>
      </c>
      <c r="H10293" s="18">
        <v>18.917000000000002</v>
      </c>
    </row>
    <row r="10294" spans="1:8" s="15" customFormat="1" ht="16.5" hidden="1" customHeight="1" outlineLevel="1" x14ac:dyDescent="0.25">
      <c r="A10294" s="18">
        <v>5807</v>
      </c>
      <c r="B10294" s="4" t="s">
        <v>250</v>
      </c>
      <c r="C10294" s="38" t="s">
        <v>8616</v>
      </c>
      <c r="D10294" s="18">
        <v>2022</v>
      </c>
      <c r="E10294" s="18" t="s">
        <v>0</v>
      </c>
      <c r="F10294" s="42">
        <v>1</v>
      </c>
      <c r="G10294" s="4">
        <v>7.5</v>
      </c>
      <c r="H10294" s="18">
        <v>17.202000000000002</v>
      </c>
    </row>
    <row r="10295" spans="1:8" s="15" customFormat="1" ht="16.5" hidden="1" customHeight="1" outlineLevel="1" x14ac:dyDescent="0.25">
      <c r="A10295" s="18">
        <v>5808</v>
      </c>
      <c r="B10295" s="4" t="s">
        <v>250</v>
      </c>
      <c r="C10295" s="38" t="s">
        <v>8617</v>
      </c>
      <c r="D10295" s="18">
        <v>2022</v>
      </c>
      <c r="E10295" s="18" t="s">
        <v>0</v>
      </c>
      <c r="F10295" s="42">
        <v>1</v>
      </c>
      <c r="G10295" s="4">
        <v>7.5</v>
      </c>
      <c r="H10295" s="18">
        <v>17.202000000000002</v>
      </c>
    </row>
    <row r="10296" spans="1:8" s="15" customFormat="1" ht="16.5" hidden="1" customHeight="1" outlineLevel="1" x14ac:dyDescent="0.25">
      <c r="A10296" s="18">
        <v>5809</v>
      </c>
      <c r="B10296" s="4" t="s">
        <v>250</v>
      </c>
      <c r="C10296" s="38" t="s">
        <v>8618</v>
      </c>
      <c r="D10296" s="18">
        <v>2022</v>
      </c>
      <c r="E10296" s="18" t="s">
        <v>0</v>
      </c>
      <c r="F10296" s="42">
        <v>1</v>
      </c>
      <c r="G10296" s="4">
        <v>7.5</v>
      </c>
      <c r="H10296" s="18">
        <v>16.940000000000001</v>
      </c>
    </row>
    <row r="10297" spans="1:8" s="15" customFormat="1" ht="16.5" hidden="1" customHeight="1" outlineLevel="1" x14ac:dyDescent="0.25">
      <c r="A10297" s="18">
        <v>5817</v>
      </c>
      <c r="B10297" s="4" t="s">
        <v>250</v>
      </c>
      <c r="C10297" s="38" t="s">
        <v>8619</v>
      </c>
      <c r="D10297" s="18">
        <v>2022</v>
      </c>
      <c r="E10297" s="18" t="s">
        <v>0</v>
      </c>
      <c r="F10297" s="42">
        <v>1</v>
      </c>
      <c r="G10297" s="4">
        <v>6</v>
      </c>
      <c r="H10297" s="18">
        <v>16.940000000000001</v>
      </c>
    </row>
    <row r="10298" spans="1:8" s="15" customFormat="1" ht="16.5" hidden="1" customHeight="1" outlineLevel="1" x14ac:dyDescent="0.25">
      <c r="A10298" s="18">
        <v>5818</v>
      </c>
      <c r="B10298" s="4" t="s">
        <v>250</v>
      </c>
      <c r="C10298" s="38" t="s">
        <v>8620</v>
      </c>
      <c r="D10298" s="18">
        <v>2022</v>
      </c>
      <c r="E10298" s="18" t="s">
        <v>0</v>
      </c>
      <c r="F10298" s="42">
        <v>1</v>
      </c>
      <c r="G10298" s="4">
        <v>15</v>
      </c>
      <c r="H10298" s="18">
        <v>17.334</v>
      </c>
    </row>
    <row r="10299" spans="1:8" s="15" customFormat="1" ht="16.5" hidden="1" customHeight="1" outlineLevel="1" x14ac:dyDescent="0.25">
      <c r="A10299" s="18">
        <v>5844</v>
      </c>
      <c r="B10299" s="4" t="s">
        <v>250</v>
      </c>
      <c r="C10299" s="38" t="s">
        <v>8621</v>
      </c>
      <c r="D10299" s="18">
        <v>2022</v>
      </c>
      <c r="E10299" s="18" t="s">
        <v>0</v>
      </c>
      <c r="F10299" s="42">
        <v>1</v>
      </c>
      <c r="G10299" s="4">
        <v>15</v>
      </c>
      <c r="H10299" s="18">
        <v>22.547000000000001</v>
      </c>
    </row>
    <row r="10300" spans="1:8" s="15" customFormat="1" ht="16.5" hidden="1" customHeight="1" outlineLevel="1" x14ac:dyDescent="0.25">
      <c r="A10300" s="18">
        <v>5461</v>
      </c>
      <c r="B10300" s="4" t="s">
        <v>250</v>
      </c>
      <c r="C10300" s="38" t="s">
        <v>8622</v>
      </c>
      <c r="D10300" s="18">
        <v>2022</v>
      </c>
      <c r="E10300" s="18" t="s">
        <v>0</v>
      </c>
      <c r="F10300" s="42" t="s">
        <v>2204</v>
      </c>
      <c r="G10300" s="4">
        <v>15</v>
      </c>
      <c r="H10300" s="18">
        <v>31.725999999999999</v>
      </c>
    </row>
    <row r="10301" spans="1:8" s="15" customFormat="1" ht="16.5" hidden="1" customHeight="1" outlineLevel="1" x14ac:dyDescent="0.25">
      <c r="A10301" s="18">
        <v>5685</v>
      </c>
      <c r="B10301" s="4" t="s">
        <v>250</v>
      </c>
      <c r="C10301" s="38" t="s">
        <v>3651</v>
      </c>
      <c r="D10301" s="18">
        <v>2022</v>
      </c>
      <c r="E10301" s="18" t="s">
        <v>0</v>
      </c>
      <c r="F10301" s="42" t="s">
        <v>2204</v>
      </c>
      <c r="G10301" s="4">
        <v>15</v>
      </c>
      <c r="H10301" s="18">
        <v>34.729999999999997</v>
      </c>
    </row>
    <row r="10302" spans="1:8" s="15" customFormat="1" ht="16.5" hidden="1" customHeight="1" outlineLevel="1" x14ac:dyDescent="0.25">
      <c r="A10302" s="18">
        <v>5688</v>
      </c>
      <c r="B10302" s="4" t="s">
        <v>250</v>
      </c>
      <c r="C10302" s="38" t="s">
        <v>3652</v>
      </c>
      <c r="D10302" s="18">
        <v>2022</v>
      </c>
      <c r="E10302" s="18" t="s">
        <v>0</v>
      </c>
      <c r="F10302" s="42" t="s">
        <v>2204</v>
      </c>
      <c r="G10302" s="4">
        <v>3.8849999999999998</v>
      </c>
      <c r="H10302" s="18">
        <v>45.198999999999998</v>
      </c>
    </row>
    <row r="10303" spans="1:8" s="15" customFormat="1" ht="16.5" hidden="1" customHeight="1" outlineLevel="1" x14ac:dyDescent="0.25">
      <c r="A10303" s="18">
        <v>5689</v>
      </c>
      <c r="B10303" s="4" t="s">
        <v>250</v>
      </c>
      <c r="C10303" s="38" t="s">
        <v>3653</v>
      </c>
      <c r="D10303" s="18">
        <v>2022</v>
      </c>
      <c r="E10303" s="18" t="s">
        <v>0</v>
      </c>
      <c r="F10303" s="42" t="s">
        <v>2204</v>
      </c>
      <c r="G10303" s="4">
        <v>3.145</v>
      </c>
      <c r="H10303" s="18">
        <v>49.112000000000002</v>
      </c>
    </row>
    <row r="10304" spans="1:8" s="15" customFormat="1" ht="16.5" hidden="1" customHeight="1" outlineLevel="1" x14ac:dyDescent="0.25">
      <c r="A10304" s="18">
        <v>5705</v>
      </c>
      <c r="B10304" s="4" t="s">
        <v>250</v>
      </c>
      <c r="C10304" s="38" t="s">
        <v>8623</v>
      </c>
      <c r="D10304" s="18">
        <v>2022</v>
      </c>
      <c r="E10304" s="18" t="s">
        <v>0</v>
      </c>
      <c r="F10304" s="42" t="s">
        <v>2204</v>
      </c>
      <c r="G10304" s="4">
        <v>10</v>
      </c>
      <c r="H10304" s="18">
        <v>29.408999999999999</v>
      </c>
    </row>
    <row r="10305" spans="1:8" s="15" customFormat="1" ht="16.5" hidden="1" customHeight="1" outlineLevel="1" x14ac:dyDescent="0.25">
      <c r="A10305" s="18">
        <v>5742</v>
      </c>
      <c r="B10305" s="4" t="s">
        <v>250</v>
      </c>
      <c r="C10305" s="38" t="s">
        <v>8624</v>
      </c>
      <c r="D10305" s="18">
        <v>2022</v>
      </c>
      <c r="E10305" s="18" t="s">
        <v>0</v>
      </c>
      <c r="F10305" s="42" t="s">
        <v>2204</v>
      </c>
      <c r="G10305" s="4">
        <v>15</v>
      </c>
      <c r="H10305" s="18">
        <v>22.576000000000001</v>
      </c>
    </row>
    <row r="10306" spans="1:8" s="15" customFormat="1" ht="16.5" hidden="1" customHeight="1" outlineLevel="1" x14ac:dyDescent="0.25">
      <c r="A10306" s="18">
        <v>5747</v>
      </c>
      <c r="B10306" s="4" t="s">
        <v>250</v>
      </c>
      <c r="C10306" s="38" t="s">
        <v>3654</v>
      </c>
      <c r="D10306" s="18">
        <v>2022</v>
      </c>
      <c r="E10306" s="18" t="s">
        <v>0</v>
      </c>
      <c r="F10306" s="42" t="s">
        <v>2204</v>
      </c>
      <c r="G10306" s="4">
        <v>7.5</v>
      </c>
      <c r="H10306" s="18">
        <v>60.911000000000001</v>
      </c>
    </row>
    <row r="10307" spans="1:8" s="15" customFormat="1" ht="16.5" hidden="1" customHeight="1" outlineLevel="1" x14ac:dyDescent="0.25">
      <c r="A10307" s="18">
        <v>5748</v>
      </c>
      <c r="B10307" s="4" t="s">
        <v>250</v>
      </c>
      <c r="C10307" s="38" t="s">
        <v>3655</v>
      </c>
      <c r="D10307" s="18">
        <v>2022</v>
      </c>
      <c r="E10307" s="18" t="s">
        <v>0</v>
      </c>
      <c r="F10307" s="42" t="s">
        <v>2204</v>
      </c>
      <c r="G10307" s="4">
        <v>7.5</v>
      </c>
      <c r="H10307" s="18">
        <v>45.588000000000001</v>
      </c>
    </row>
    <row r="10308" spans="1:8" s="15" customFormat="1" ht="16.5" hidden="1" customHeight="1" outlineLevel="1" x14ac:dyDescent="0.25">
      <c r="A10308" s="18">
        <v>5755</v>
      </c>
      <c r="B10308" s="4" t="s">
        <v>250</v>
      </c>
      <c r="C10308" s="38" t="s">
        <v>8625</v>
      </c>
      <c r="D10308" s="18">
        <v>2022</v>
      </c>
      <c r="E10308" s="18" t="s">
        <v>0</v>
      </c>
      <c r="F10308" s="42" t="s">
        <v>2204</v>
      </c>
      <c r="G10308" s="4">
        <v>7.1</v>
      </c>
      <c r="H10308" s="18">
        <v>20.010999999999999</v>
      </c>
    </row>
    <row r="10309" spans="1:8" s="15" customFormat="1" ht="16.5" hidden="1" customHeight="1" outlineLevel="1" x14ac:dyDescent="0.25">
      <c r="A10309" s="18">
        <v>5769</v>
      </c>
      <c r="B10309" s="4" t="s">
        <v>250</v>
      </c>
      <c r="C10309" s="38" t="s">
        <v>8626</v>
      </c>
      <c r="D10309" s="18">
        <v>2022</v>
      </c>
      <c r="E10309" s="18" t="s">
        <v>0</v>
      </c>
      <c r="F10309" s="42" t="s">
        <v>2204</v>
      </c>
      <c r="G10309" s="4">
        <v>15</v>
      </c>
      <c r="H10309" s="18">
        <v>22.001999999999999</v>
      </c>
    </row>
    <row r="10310" spans="1:8" s="15" customFormat="1" ht="16.5" hidden="1" customHeight="1" outlineLevel="1" x14ac:dyDescent="0.25">
      <c r="A10310" s="18">
        <v>5770</v>
      </c>
      <c r="B10310" s="4" t="s">
        <v>250</v>
      </c>
      <c r="C10310" s="38" t="s">
        <v>8627</v>
      </c>
      <c r="D10310" s="18">
        <v>2022</v>
      </c>
      <c r="E10310" s="18" t="s">
        <v>0</v>
      </c>
      <c r="F10310" s="42" t="s">
        <v>2204</v>
      </c>
      <c r="G10310" s="4">
        <v>15</v>
      </c>
      <c r="H10310" s="18">
        <v>19.279</v>
      </c>
    </row>
    <row r="10311" spans="1:8" s="15" customFormat="1" ht="16.5" hidden="1" customHeight="1" outlineLevel="1" x14ac:dyDescent="0.25">
      <c r="A10311" s="18">
        <v>5772</v>
      </c>
      <c r="B10311" s="4" t="s">
        <v>250</v>
      </c>
      <c r="C10311" s="38" t="s">
        <v>8628</v>
      </c>
      <c r="D10311" s="18">
        <v>2022</v>
      </c>
      <c r="E10311" s="18" t="s">
        <v>0</v>
      </c>
      <c r="F10311" s="42" t="s">
        <v>2204</v>
      </c>
      <c r="G10311" s="4">
        <v>15</v>
      </c>
      <c r="H10311" s="18">
        <v>18.363</v>
      </c>
    </row>
    <row r="10312" spans="1:8" s="15" customFormat="1" ht="16.5" hidden="1" customHeight="1" outlineLevel="1" x14ac:dyDescent="0.25">
      <c r="A10312" s="18">
        <v>5773</v>
      </c>
      <c r="B10312" s="4" t="s">
        <v>250</v>
      </c>
      <c r="C10312" s="38" t="s">
        <v>8629</v>
      </c>
      <c r="D10312" s="18">
        <v>2022</v>
      </c>
      <c r="E10312" s="18" t="s">
        <v>0</v>
      </c>
      <c r="F10312" s="42" t="s">
        <v>2204</v>
      </c>
      <c r="G10312" s="4">
        <v>15</v>
      </c>
      <c r="H10312" s="18">
        <v>22.096</v>
      </c>
    </row>
    <row r="10313" spans="1:8" s="15" customFormat="1" ht="16.5" hidden="1" customHeight="1" outlineLevel="1" x14ac:dyDescent="0.25">
      <c r="A10313" s="18">
        <v>5782</v>
      </c>
      <c r="B10313" s="4" t="s">
        <v>250</v>
      </c>
      <c r="C10313" s="38" t="s">
        <v>8630</v>
      </c>
      <c r="D10313" s="18">
        <v>2022</v>
      </c>
      <c r="E10313" s="18" t="s">
        <v>0</v>
      </c>
      <c r="F10313" s="42" t="s">
        <v>2204</v>
      </c>
      <c r="G10313" s="4">
        <v>15</v>
      </c>
      <c r="H10313" s="18">
        <v>21.779</v>
      </c>
    </row>
    <row r="10314" spans="1:8" s="15" customFormat="1" ht="16.5" hidden="1" customHeight="1" outlineLevel="1" x14ac:dyDescent="0.25">
      <c r="A10314" s="18">
        <v>5834</v>
      </c>
      <c r="B10314" s="4" t="s">
        <v>250</v>
      </c>
      <c r="C10314" s="38" t="s">
        <v>3656</v>
      </c>
      <c r="D10314" s="18">
        <v>2022</v>
      </c>
      <c r="E10314" s="18" t="s">
        <v>0</v>
      </c>
      <c r="F10314" s="42" t="s">
        <v>2204</v>
      </c>
      <c r="G10314" s="4">
        <v>100</v>
      </c>
      <c r="H10314" s="18">
        <v>53.552999999999997</v>
      </c>
    </row>
    <row r="10315" spans="1:8" s="15" customFormat="1" ht="16.5" hidden="1" customHeight="1" outlineLevel="1" x14ac:dyDescent="0.25">
      <c r="A10315" s="18">
        <v>5843</v>
      </c>
      <c r="B10315" s="4" t="s">
        <v>250</v>
      </c>
      <c r="C10315" s="38" t="s">
        <v>8631</v>
      </c>
      <c r="D10315" s="18">
        <v>2022</v>
      </c>
      <c r="E10315" s="18" t="s">
        <v>0</v>
      </c>
      <c r="F10315" s="42" t="s">
        <v>2204</v>
      </c>
      <c r="G10315" s="4">
        <v>15</v>
      </c>
      <c r="H10315" s="18">
        <v>29.666</v>
      </c>
    </row>
    <row r="10316" spans="1:8" s="15" customFormat="1" ht="16.5" hidden="1" customHeight="1" outlineLevel="1" x14ac:dyDescent="0.25">
      <c r="A10316" s="18">
        <v>5420</v>
      </c>
      <c r="B10316" s="4" t="s">
        <v>250</v>
      </c>
      <c r="C10316" s="38" t="s">
        <v>3657</v>
      </c>
      <c r="D10316" s="18">
        <v>2022</v>
      </c>
      <c r="E10316" s="18" t="s">
        <v>0</v>
      </c>
      <c r="F10316" s="42">
        <v>1</v>
      </c>
      <c r="G10316" s="4">
        <v>30</v>
      </c>
      <c r="H10316" s="18">
        <v>59.915999999999997</v>
      </c>
    </row>
    <row r="10317" spans="1:8" s="15" customFormat="1" ht="16.5" hidden="1" customHeight="1" outlineLevel="1" x14ac:dyDescent="0.25">
      <c r="A10317" s="18">
        <v>5429</v>
      </c>
      <c r="B10317" s="4" t="s">
        <v>250</v>
      </c>
      <c r="C10317" s="38" t="s">
        <v>8632</v>
      </c>
      <c r="D10317" s="18">
        <v>2022</v>
      </c>
      <c r="E10317" s="18" t="s">
        <v>0</v>
      </c>
      <c r="F10317" s="42">
        <v>1</v>
      </c>
      <c r="G10317" s="4">
        <v>15</v>
      </c>
      <c r="H10317" s="18">
        <v>31.434000000000001</v>
      </c>
    </row>
    <row r="10318" spans="1:8" s="15" customFormat="1" ht="16.5" hidden="1" customHeight="1" outlineLevel="1" x14ac:dyDescent="0.25">
      <c r="A10318" s="18">
        <v>5440</v>
      </c>
      <c r="B10318" s="4" t="s">
        <v>250</v>
      </c>
      <c r="C10318" s="38" t="s">
        <v>8633</v>
      </c>
      <c r="D10318" s="18">
        <v>2022</v>
      </c>
      <c r="E10318" s="18" t="s">
        <v>0</v>
      </c>
      <c r="F10318" s="42">
        <v>1</v>
      </c>
      <c r="G10318" s="4">
        <v>10</v>
      </c>
      <c r="H10318" s="18">
        <v>32.01</v>
      </c>
    </row>
    <row r="10319" spans="1:8" s="15" customFormat="1" ht="16.5" hidden="1" customHeight="1" outlineLevel="1" x14ac:dyDescent="0.25">
      <c r="A10319" s="18">
        <v>5473</v>
      </c>
      <c r="B10319" s="4" t="s">
        <v>250</v>
      </c>
      <c r="C10319" s="38" t="s">
        <v>8634</v>
      </c>
      <c r="D10319" s="18">
        <v>2022</v>
      </c>
      <c r="E10319" s="18" t="s">
        <v>0</v>
      </c>
      <c r="F10319" s="42">
        <v>1</v>
      </c>
      <c r="G10319" s="4">
        <v>15</v>
      </c>
      <c r="H10319" s="18">
        <v>32.036000000000001</v>
      </c>
    </row>
    <row r="10320" spans="1:8" s="15" customFormat="1" ht="16.5" hidden="1" customHeight="1" outlineLevel="1" x14ac:dyDescent="0.25">
      <c r="A10320" s="18">
        <v>5477</v>
      </c>
      <c r="B10320" s="4" t="s">
        <v>250</v>
      </c>
      <c r="C10320" s="38" t="s">
        <v>3658</v>
      </c>
      <c r="D10320" s="18">
        <v>2022</v>
      </c>
      <c r="E10320" s="18" t="s">
        <v>0</v>
      </c>
      <c r="F10320" s="42">
        <v>1</v>
      </c>
      <c r="G10320" s="4">
        <v>15</v>
      </c>
      <c r="H10320" s="18">
        <v>90.459000000000003</v>
      </c>
    </row>
    <row r="10321" spans="1:8" s="15" customFormat="1" ht="16.5" hidden="1" customHeight="1" outlineLevel="1" x14ac:dyDescent="0.25">
      <c r="A10321" s="18">
        <v>5485</v>
      </c>
      <c r="B10321" s="4" t="s">
        <v>250</v>
      </c>
      <c r="C10321" s="38" t="s">
        <v>8635</v>
      </c>
      <c r="D10321" s="18">
        <v>2022</v>
      </c>
      <c r="E10321" s="18" t="s">
        <v>0</v>
      </c>
      <c r="F10321" s="42">
        <v>1</v>
      </c>
      <c r="G10321" s="4">
        <v>3</v>
      </c>
      <c r="H10321" s="18">
        <v>33.844000000000001</v>
      </c>
    </row>
    <row r="10322" spans="1:8" s="15" customFormat="1" ht="16.5" hidden="1" customHeight="1" outlineLevel="1" x14ac:dyDescent="0.25">
      <c r="A10322" s="18">
        <v>5513</v>
      </c>
      <c r="B10322" s="4" t="s">
        <v>250</v>
      </c>
      <c r="C10322" s="38" t="s">
        <v>8636</v>
      </c>
      <c r="D10322" s="18">
        <v>2022</v>
      </c>
      <c r="E10322" s="18" t="s">
        <v>0</v>
      </c>
      <c r="F10322" s="42">
        <v>1</v>
      </c>
      <c r="G10322" s="4">
        <v>15</v>
      </c>
      <c r="H10322" s="18">
        <v>33.536999999999999</v>
      </c>
    </row>
    <row r="10323" spans="1:8" s="15" customFormat="1" ht="16.5" hidden="1" customHeight="1" outlineLevel="1" x14ac:dyDescent="0.25">
      <c r="A10323" s="18">
        <v>5556</v>
      </c>
      <c r="B10323" s="4" t="s">
        <v>250</v>
      </c>
      <c r="C10323" s="38" t="s">
        <v>8637</v>
      </c>
      <c r="D10323" s="18">
        <v>2022</v>
      </c>
      <c r="E10323" s="18" t="s">
        <v>0</v>
      </c>
      <c r="F10323" s="42">
        <v>1</v>
      </c>
      <c r="G10323" s="4">
        <v>15</v>
      </c>
      <c r="H10323" s="18">
        <v>36.152999999999999</v>
      </c>
    </row>
    <row r="10324" spans="1:8" s="15" customFormat="1" ht="16.5" hidden="1" customHeight="1" outlineLevel="1" x14ac:dyDescent="0.25">
      <c r="A10324" s="18">
        <v>5580</v>
      </c>
      <c r="B10324" s="4" t="s">
        <v>250</v>
      </c>
      <c r="C10324" s="38" t="s">
        <v>8638</v>
      </c>
      <c r="D10324" s="18">
        <v>2022</v>
      </c>
      <c r="E10324" s="18" t="s">
        <v>0</v>
      </c>
      <c r="F10324" s="42">
        <v>1</v>
      </c>
      <c r="G10324" s="4">
        <v>15</v>
      </c>
      <c r="H10324" s="18">
        <v>30.463999999999999</v>
      </c>
    </row>
    <row r="10325" spans="1:8" s="15" customFormat="1" ht="16.5" hidden="1" customHeight="1" outlineLevel="1" x14ac:dyDescent="0.25">
      <c r="A10325" s="18">
        <v>5587</v>
      </c>
      <c r="B10325" s="4" t="s">
        <v>250</v>
      </c>
      <c r="C10325" s="38" t="s">
        <v>8639</v>
      </c>
      <c r="D10325" s="18">
        <v>2022</v>
      </c>
      <c r="E10325" s="18" t="s">
        <v>0</v>
      </c>
      <c r="F10325" s="42">
        <v>1</v>
      </c>
      <c r="G10325" s="4">
        <v>15</v>
      </c>
      <c r="H10325" s="18">
        <v>32.667999999999999</v>
      </c>
    </row>
    <row r="10326" spans="1:8" s="15" customFormat="1" ht="16.5" hidden="1" customHeight="1" outlineLevel="1" x14ac:dyDescent="0.25">
      <c r="A10326" s="18">
        <v>5588</v>
      </c>
      <c r="B10326" s="4" t="s">
        <v>250</v>
      </c>
      <c r="C10326" s="38" t="s">
        <v>8640</v>
      </c>
      <c r="D10326" s="18">
        <v>2022</v>
      </c>
      <c r="E10326" s="18" t="s">
        <v>0</v>
      </c>
      <c r="F10326" s="42">
        <v>1</v>
      </c>
      <c r="G10326" s="4">
        <v>14</v>
      </c>
      <c r="H10326" s="18">
        <v>28.991</v>
      </c>
    </row>
    <row r="10327" spans="1:8" s="15" customFormat="1" ht="16.5" hidden="1" customHeight="1" outlineLevel="1" x14ac:dyDescent="0.25">
      <c r="A10327" s="18">
        <v>5594</v>
      </c>
      <c r="B10327" s="4" t="s">
        <v>250</v>
      </c>
      <c r="C10327" s="38" t="s">
        <v>8641</v>
      </c>
      <c r="D10327" s="18">
        <v>2022</v>
      </c>
      <c r="E10327" s="18" t="s">
        <v>0</v>
      </c>
      <c r="F10327" s="42">
        <v>1</v>
      </c>
      <c r="G10327" s="4">
        <v>15</v>
      </c>
      <c r="H10327" s="18">
        <v>31.562000000000001</v>
      </c>
    </row>
    <row r="10328" spans="1:8" s="15" customFormat="1" ht="16.5" hidden="1" customHeight="1" outlineLevel="1" x14ac:dyDescent="0.25">
      <c r="A10328" s="18">
        <v>5598</v>
      </c>
      <c r="B10328" s="4" t="s">
        <v>250</v>
      </c>
      <c r="C10328" s="38" t="s">
        <v>8642</v>
      </c>
      <c r="D10328" s="18">
        <v>2022</v>
      </c>
      <c r="E10328" s="18" t="s">
        <v>0</v>
      </c>
      <c r="F10328" s="42">
        <v>1</v>
      </c>
      <c r="G10328" s="4">
        <v>15</v>
      </c>
      <c r="H10328" s="18">
        <v>32.137</v>
      </c>
    </row>
    <row r="10329" spans="1:8" s="15" customFormat="1" ht="16.5" hidden="1" customHeight="1" outlineLevel="1" x14ac:dyDescent="0.25">
      <c r="A10329" s="18">
        <v>5599</v>
      </c>
      <c r="B10329" s="4" t="s">
        <v>250</v>
      </c>
      <c r="C10329" s="38" t="s">
        <v>8643</v>
      </c>
      <c r="D10329" s="18">
        <v>2022</v>
      </c>
      <c r="E10329" s="18" t="s">
        <v>0</v>
      </c>
      <c r="F10329" s="42">
        <v>1</v>
      </c>
      <c r="G10329" s="4">
        <v>15</v>
      </c>
      <c r="H10329" s="18">
        <v>30.231999999999999</v>
      </c>
    </row>
    <row r="10330" spans="1:8" s="15" customFormat="1" ht="16.5" hidden="1" customHeight="1" outlineLevel="1" x14ac:dyDescent="0.25">
      <c r="A10330" s="18">
        <v>5615</v>
      </c>
      <c r="B10330" s="4" t="s">
        <v>250</v>
      </c>
      <c r="C10330" s="38" t="s">
        <v>8644</v>
      </c>
      <c r="D10330" s="18">
        <v>2022</v>
      </c>
      <c r="E10330" s="18" t="s">
        <v>0</v>
      </c>
      <c r="F10330" s="42">
        <v>1</v>
      </c>
      <c r="G10330" s="4">
        <v>15</v>
      </c>
      <c r="H10330" s="18">
        <v>30.041</v>
      </c>
    </row>
    <row r="10331" spans="1:8" s="15" customFormat="1" ht="16.5" hidden="1" customHeight="1" outlineLevel="1" x14ac:dyDescent="0.25">
      <c r="A10331" s="18">
        <v>5621</v>
      </c>
      <c r="B10331" s="4" t="s">
        <v>250</v>
      </c>
      <c r="C10331" s="38" t="s">
        <v>8645</v>
      </c>
      <c r="D10331" s="18">
        <v>2022</v>
      </c>
      <c r="E10331" s="18" t="s">
        <v>0</v>
      </c>
      <c r="F10331" s="42">
        <v>1</v>
      </c>
      <c r="G10331" s="4">
        <v>15</v>
      </c>
      <c r="H10331" s="18">
        <v>28.920999999999999</v>
      </c>
    </row>
    <row r="10332" spans="1:8" s="15" customFormat="1" ht="16.5" hidden="1" customHeight="1" outlineLevel="1" x14ac:dyDescent="0.25">
      <c r="A10332" s="18">
        <v>5657</v>
      </c>
      <c r="B10332" s="4" t="s">
        <v>250</v>
      </c>
      <c r="C10332" s="38" t="s">
        <v>8646</v>
      </c>
      <c r="D10332" s="18">
        <v>2022</v>
      </c>
      <c r="E10332" s="18" t="s">
        <v>0</v>
      </c>
      <c r="F10332" s="42">
        <v>1</v>
      </c>
      <c r="G10332" s="4">
        <v>10</v>
      </c>
      <c r="H10332" s="18">
        <v>32.454000000000001</v>
      </c>
    </row>
    <row r="10333" spans="1:8" s="15" customFormat="1" ht="16.5" hidden="1" customHeight="1" outlineLevel="1" x14ac:dyDescent="0.25">
      <c r="A10333" s="18">
        <v>5666</v>
      </c>
      <c r="B10333" s="4" t="s">
        <v>250</v>
      </c>
      <c r="C10333" s="38" t="s">
        <v>3659</v>
      </c>
      <c r="D10333" s="18">
        <v>2022</v>
      </c>
      <c r="E10333" s="18" t="s">
        <v>0</v>
      </c>
      <c r="F10333" s="42">
        <v>1</v>
      </c>
      <c r="G10333" s="4">
        <v>15</v>
      </c>
      <c r="H10333" s="18">
        <v>34.220999999999997</v>
      </c>
    </row>
    <row r="10334" spans="1:8" s="15" customFormat="1" ht="16.5" hidden="1" customHeight="1" outlineLevel="1" x14ac:dyDescent="0.25">
      <c r="A10334" s="18">
        <v>5672</v>
      </c>
      <c r="B10334" s="4" t="s">
        <v>250</v>
      </c>
      <c r="C10334" s="38" t="s">
        <v>8647</v>
      </c>
      <c r="D10334" s="18">
        <v>2022</v>
      </c>
      <c r="E10334" s="18" t="s">
        <v>0</v>
      </c>
      <c r="F10334" s="42">
        <v>1</v>
      </c>
      <c r="G10334" s="4">
        <v>15</v>
      </c>
      <c r="H10334" s="18">
        <v>32.125</v>
      </c>
    </row>
    <row r="10335" spans="1:8" s="15" customFormat="1" ht="16.5" hidden="1" customHeight="1" outlineLevel="1" x14ac:dyDescent="0.25">
      <c r="A10335" s="18">
        <v>5686</v>
      </c>
      <c r="B10335" s="4" t="s">
        <v>250</v>
      </c>
      <c r="C10335" s="38" t="s">
        <v>3660</v>
      </c>
      <c r="D10335" s="18">
        <v>2022</v>
      </c>
      <c r="E10335" s="18" t="s">
        <v>0</v>
      </c>
      <c r="F10335" s="42">
        <v>1</v>
      </c>
      <c r="G10335" s="4">
        <v>15</v>
      </c>
      <c r="H10335" s="18">
        <v>27.783999999999999</v>
      </c>
    </row>
    <row r="10336" spans="1:8" s="15" customFormat="1" ht="16.5" hidden="1" customHeight="1" outlineLevel="1" x14ac:dyDescent="0.25">
      <c r="A10336" s="18">
        <v>5710</v>
      </c>
      <c r="B10336" s="4" t="s">
        <v>250</v>
      </c>
      <c r="C10336" s="38" t="s">
        <v>8648</v>
      </c>
      <c r="D10336" s="18">
        <v>2022</v>
      </c>
      <c r="E10336" s="18" t="s">
        <v>0</v>
      </c>
      <c r="F10336" s="42">
        <v>1</v>
      </c>
      <c r="G10336" s="4">
        <v>15</v>
      </c>
      <c r="H10336" s="18">
        <v>23.373999999999999</v>
      </c>
    </row>
    <row r="10337" spans="1:8" s="15" customFormat="1" ht="16.5" hidden="1" customHeight="1" outlineLevel="1" x14ac:dyDescent="0.25">
      <c r="A10337" s="18">
        <v>5711</v>
      </c>
      <c r="B10337" s="4" t="s">
        <v>250</v>
      </c>
      <c r="C10337" s="38" t="s">
        <v>8649</v>
      </c>
      <c r="D10337" s="18">
        <v>2022</v>
      </c>
      <c r="E10337" s="18" t="s">
        <v>0</v>
      </c>
      <c r="F10337" s="42">
        <v>1</v>
      </c>
      <c r="G10337" s="4">
        <v>15</v>
      </c>
      <c r="H10337" s="18">
        <v>23.202000000000002</v>
      </c>
    </row>
    <row r="10338" spans="1:8" s="15" customFormat="1" ht="16.5" hidden="1" customHeight="1" outlineLevel="1" x14ac:dyDescent="0.25">
      <c r="A10338" s="18">
        <v>5738</v>
      </c>
      <c r="B10338" s="4" t="s">
        <v>250</v>
      </c>
      <c r="C10338" s="38" t="s">
        <v>8650</v>
      </c>
      <c r="D10338" s="18">
        <v>2022</v>
      </c>
      <c r="E10338" s="18" t="s">
        <v>0</v>
      </c>
      <c r="F10338" s="42">
        <v>1</v>
      </c>
      <c r="G10338" s="4">
        <v>15</v>
      </c>
      <c r="H10338" s="18">
        <v>23.202000000000002</v>
      </c>
    </row>
    <row r="10339" spans="1:8" s="15" customFormat="1" ht="16.5" hidden="1" customHeight="1" outlineLevel="1" x14ac:dyDescent="0.25">
      <c r="A10339" s="18">
        <v>5763</v>
      </c>
      <c r="B10339" s="4" t="s">
        <v>250</v>
      </c>
      <c r="C10339" s="38" t="s">
        <v>3661</v>
      </c>
      <c r="D10339" s="18">
        <v>2022</v>
      </c>
      <c r="E10339" s="18" t="s">
        <v>0</v>
      </c>
      <c r="F10339" s="42">
        <v>1</v>
      </c>
      <c r="G10339" s="4">
        <v>15</v>
      </c>
      <c r="H10339" s="18">
        <v>33.280999999999999</v>
      </c>
    </row>
    <row r="10340" spans="1:8" s="15" customFormat="1" ht="16.5" hidden="1" customHeight="1" outlineLevel="1" x14ac:dyDescent="0.25">
      <c r="A10340" s="18">
        <v>5764</v>
      </c>
      <c r="B10340" s="4" t="s">
        <v>250</v>
      </c>
      <c r="C10340" s="38" t="s">
        <v>3662</v>
      </c>
      <c r="D10340" s="18">
        <v>2022</v>
      </c>
      <c r="E10340" s="18" t="s">
        <v>0</v>
      </c>
      <c r="F10340" s="42">
        <v>1</v>
      </c>
      <c r="G10340" s="4">
        <v>6.5</v>
      </c>
      <c r="H10340" s="18">
        <v>61.311999999999998</v>
      </c>
    </row>
    <row r="10341" spans="1:8" s="15" customFormat="1" ht="16.5" hidden="1" customHeight="1" outlineLevel="1" x14ac:dyDescent="0.25">
      <c r="A10341" s="18">
        <v>5788</v>
      </c>
      <c r="B10341" s="4" t="s">
        <v>250</v>
      </c>
      <c r="C10341" s="38" t="s">
        <v>8651</v>
      </c>
      <c r="D10341" s="18">
        <v>2022</v>
      </c>
      <c r="E10341" s="18" t="s">
        <v>0</v>
      </c>
      <c r="F10341" s="42">
        <v>1</v>
      </c>
      <c r="G10341" s="4">
        <v>130</v>
      </c>
      <c r="H10341" s="18">
        <v>26.38</v>
      </c>
    </row>
    <row r="10342" spans="1:8" s="15" customFormat="1" ht="16.5" hidden="1" customHeight="1" outlineLevel="1" x14ac:dyDescent="0.25">
      <c r="A10342" s="18">
        <v>5802</v>
      </c>
      <c r="B10342" s="4" t="s">
        <v>250</v>
      </c>
      <c r="C10342" s="38" t="s">
        <v>8652</v>
      </c>
      <c r="D10342" s="18">
        <v>2022</v>
      </c>
      <c r="E10342" s="18" t="s">
        <v>0</v>
      </c>
      <c r="F10342" s="42">
        <v>1</v>
      </c>
      <c r="G10342" s="4">
        <v>15</v>
      </c>
      <c r="H10342" s="18">
        <v>21.009</v>
      </c>
    </row>
    <row r="10343" spans="1:8" s="15" customFormat="1" ht="16.5" hidden="1" customHeight="1" outlineLevel="1" x14ac:dyDescent="0.25">
      <c r="A10343" s="18">
        <v>5810</v>
      </c>
      <c r="B10343" s="4" t="s">
        <v>250</v>
      </c>
      <c r="C10343" s="38" t="s">
        <v>8653</v>
      </c>
      <c r="D10343" s="18">
        <v>2022</v>
      </c>
      <c r="E10343" s="18" t="s">
        <v>0</v>
      </c>
      <c r="F10343" s="42">
        <v>1</v>
      </c>
      <c r="G10343" s="4">
        <v>15</v>
      </c>
      <c r="H10343" s="18">
        <v>24.689</v>
      </c>
    </row>
    <row r="10344" spans="1:8" s="15" customFormat="1" ht="16.5" hidden="1" customHeight="1" outlineLevel="1" x14ac:dyDescent="0.25">
      <c r="A10344" s="18">
        <v>5815</v>
      </c>
      <c r="B10344" s="4" t="s">
        <v>250</v>
      </c>
      <c r="C10344" s="38" t="s">
        <v>8654</v>
      </c>
      <c r="D10344" s="18">
        <v>2022</v>
      </c>
      <c r="E10344" s="18" t="s">
        <v>0</v>
      </c>
      <c r="F10344" s="42">
        <v>1</v>
      </c>
      <c r="G10344" s="4">
        <v>15</v>
      </c>
      <c r="H10344" s="18">
        <v>22.359000000000002</v>
      </c>
    </row>
    <row r="10345" spans="1:8" s="15" customFormat="1" ht="16.5" hidden="1" customHeight="1" outlineLevel="1" x14ac:dyDescent="0.25">
      <c r="A10345" s="18">
        <v>5828</v>
      </c>
      <c r="B10345" s="4" t="s">
        <v>250</v>
      </c>
      <c r="C10345" s="38" t="s">
        <v>8655</v>
      </c>
      <c r="D10345" s="18">
        <v>2022</v>
      </c>
      <c r="E10345" s="18" t="s">
        <v>0</v>
      </c>
      <c r="F10345" s="42">
        <v>1</v>
      </c>
      <c r="G10345" s="4">
        <v>15</v>
      </c>
      <c r="H10345" s="18">
        <v>24.279</v>
      </c>
    </row>
    <row r="10346" spans="1:8" s="15" customFormat="1" ht="16.5" hidden="1" customHeight="1" outlineLevel="1" x14ac:dyDescent="0.25">
      <c r="A10346" s="18">
        <v>5829</v>
      </c>
      <c r="B10346" s="4" t="s">
        <v>250</v>
      </c>
      <c r="C10346" s="38" t="s">
        <v>3663</v>
      </c>
      <c r="D10346" s="18">
        <v>2022</v>
      </c>
      <c r="E10346" s="18" t="s">
        <v>0</v>
      </c>
      <c r="F10346" s="42">
        <v>1</v>
      </c>
      <c r="G10346" s="4">
        <v>15</v>
      </c>
      <c r="H10346" s="18">
        <v>44.686</v>
      </c>
    </row>
    <row r="10347" spans="1:8" s="15" customFormat="1" ht="16.5" hidden="1" customHeight="1" outlineLevel="1" x14ac:dyDescent="0.25">
      <c r="A10347" s="18">
        <v>5830</v>
      </c>
      <c r="B10347" s="4" t="s">
        <v>250</v>
      </c>
      <c r="C10347" s="38" t="s">
        <v>8656</v>
      </c>
      <c r="D10347" s="18">
        <v>2022</v>
      </c>
      <c r="E10347" s="18" t="s">
        <v>0</v>
      </c>
      <c r="F10347" s="42">
        <v>1</v>
      </c>
      <c r="G10347" s="4">
        <v>45</v>
      </c>
      <c r="H10347" s="18">
        <v>20.228999999999999</v>
      </c>
    </row>
    <row r="10348" spans="1:8" s="15" customFormat="1" ht="16.5" hidden="1" customHeight="1" outlineLevel="1" x14ac:dyDescent="0.25">
      <c r="A10348" s="18">
        <v>5837</v>
      </c>
      <c r="B10348" s="4" t="s">
        <v>250</v>
      </c>
      <c r="C10348" s="38" t="s">
        <v>8657</v>
      </c>
      <c r="D10348" s="18">
        <v>2022</v>
      </c>
      <c r="E10348" s="18" t="s">
        <v>0</v>
      </c>
      <c r="F10348" s="42">
        <v>1</v>
      </c>
      <c r="G10348" s="4">
        <v>15</v>
      </c>
      <c r="H10348" s="18">
        <v>22.878</v>
      </c>
    </row>
    <row r="10349" spans="1:8" s="15" customFormat="1" ht="16.5" hidden="1" customHeight="1" outlineLevel="1" x14ac:dyDescent="0.25">
      <c r="A10349" s="18">
        <v>5840</v>
      </c>
      <c r="B10349" s="4" t="s">
        <v>250</v>
      </c>
      <c r="C10349" s="38" t="s">
        <v>8658</v>
      </c>
      <c r="D10349" s="18">
        <v>2022</v>
      </c>
      <c r="E10349" s="18" t="s">
        <v>0</v>
      </c>
      <c r="F10349" s="42">
        <v>1</v>
      </c>
      <c r="G10349" s="4">
        <v>15</v>
      </c>
      <c r="H10349" s="18">
        <v>21.552</v>
      </c>
    </row>
    <row r="10350" spans="1:8" s="15" customFormat="1" ht="16.5" hidden="1" customHeight="1" outlineLevel="1" x14ac:dyDescent="0.25">
      <c r="A10350" s="18">
        <v>5849</v>
      </c>
      <c r="B10350" s="4" t="s">
        <v>250</v>
      </c>
      <c r="C10350" s="38" t="s">
        <v>8659</v>
      </c>
      <c r="D10350" s="18">
        <v>2022</v>
      </c>
      <c r="E10350" s="18" t="s">
        <v>0</v>
      </c>
      <c r="F10350" s="42">
        <v>1</v>
      </c>
      <c r="G10350" s="4">
        <v>15</v>
      </c>
      <c r="H10350" s="18">
        <v>29.385999999999999</v>
      </c>
    </row>
    <row r="10351" spans="1:8" s="15" customFormat="1" ht="16.5" hidden="1" customHeight="1" outlineLevel="1" x14ac:dyDescent="0.25">
      <c r="A10351" s="18">
        <v>5850</v>
      </c>
      <c r="B10351" s="4" t="s">
        <v>250</v>
      </c>
      <c r="C10351" s="38" t="s">
        <v>8660</v>
      </c>
      <c r="D10351" s="18">
        <v>2022</v>
      </c>
      <c r="E10351" s="18" t="s">
        <v>0</v>
      </c>
      <c r="F10351" s="42">
        <v>1</v>
      </c>
      <c r="G10351" s="4">
        <v>15</v>
      </c>
      <c r="H10351" s="18">
        <v>27.567</v>
      </c>
    </row>
    <row r="10352" spans="1:8" s="15" customFormat="1" ht="16.5" hidden="1" customHeight="1" outlineLevel="1" x14ac:dyDescent="0.25">
      <c r="A10352" s="18">
        <v>5851</v>
      </c>
      <c r="B10352" s="4" t="s">
        <v>250</v>
      </c>
      <c r="C10352" s="38" t="s">
        <v>8661</v>
      </c>
      <c r="D10352" s="18">
        <v>2022</v>
      </c>
      <c r="E10352" s="18" t="s">
        <v>0</v>
      </c>
      <c r="F10352" s="42">
        <v>1</v>
      </c>
      <c r="G10352" s="4">
        <v>15</v>
      </c>
      <c r="H10352" s="18">
        <v>21.216999999999999</v>
      </c>
    </row>
    <row r="10353" spans="1:8" s="15" customFormat="1" ht="16.5" hidden="1" customHeight="1" outlineLevel="1" x14ac:dyDescent="0.25">
      <c r="A10353" s="18">
        <v>5852</v>
      </c>
      <c r="B10353" s="4" t="s">
        <v>250</v>
      </c>
      <c r="C10353" s="38" t="s">
        <v>3664</v>
      </c>
      <c r="D10353" s="18">
        <v>2022</v>
      </c>
      <c r="E10353" s="18" t="s">
        <v>0</v>
      </c>
      <c r="F10353" s="42">
        <v>1</v>
      </c>
      <c r="G10353" s="4">
        <v>15</v>
      </c>
      <c r="H10353" s="18">
        <v>46.216000000000001</v>
      </c>
    </row>
    <row r="10354" spans="1:8" s="15" customFormat="1" ht="16.5" hidden="1" customHeight="1" outlineLevel="1" x14ac:dyDescent="0.25">
      <c r="A10354" s="18">
        <v>5853</v>
      </c>
      <c r="B10354" s="4" t="s">
        <v>250</v>
      </c>
      <c r="C10354" s="38" t="s">
        <v>8662</v>
      </c>
      <c r="D10354" s="18">
        <v>2022</v>
      </c>
      <c r="E10354" s="18" t="s">
        <v>0</v>
      </c>
      <c r="F10354" s="42">
        <v>1</v>
      </c>
      <c r="G10354" s="4">
        <v>15</v>
      </c>
      <c r="H10354" s="18">
        <v>23.75</v>
      </c>
    </row>
    <row r="10355" spans="1:8" s="15" customFormat="1" ht="16.5" hidden="1" customHeight="1" outlineLevel="1" x14ac:dyDescent="0.25">
      <c r="A10355" s="18">
        <v>5854</v>
      </c>
      <c r="B10355" s="4" t="s">
        <v>250</v>
      </c>
      <c r="C10355" s="38" t="s">
        <v>8663</v>
      </c>
      <c r="D10355" s="18">
        <v>2022</v>
      </c>
      <c r="E10355" s="18" t="s">
        <v>0</v>
      </c>
      <c r="F10355" s="42">
        <v>1</v>
      </c>
      <c r="G10355" s="4">
        <v>15</v>
      </c>
      <c r="H10355" s="18">
        <v>22.193000000000001</v>
      </c>
    </row>
    <row r="10356" spans="1:8" s="15" customFormat="1" ht="16.5" hidden="1" customHeight="1" outlineLevel="1" x14ac:dyDescent="0.25">
      <c r="A10356" s="18">
        <v>5855</v>
      </c>
      <c r="B10356" s="4" t="s">
        <v>250</v>
      </c>
      <c r="C10356" s="38" t="s">
        <v>8664</v>
      </c>
      <c r="D10356" s="18">
        <v>2022</v>
      </c>
      <c r="E10356" s="18" t="s">
        <v>0</v>
      </c>
      <c r="F10356" s="42">
        <v>1</v>
      </c>
      <c r="G10356" s="4">
        <v>11.5</v>
      </c>
      <c r="H10356" s="18">
        <v>20.177</v>
      </c>
    </row>
    <row r="10357" spans="1:8" s="15" customFormat="1" ht="16.5" hidden="1" customHeight="1" outlineLevel="1" x14ac:dyDescent="0.25">
      <c r="A10357" s="18">
        <v>5858</v>
      </c>
      <c r="B10357" s="4" t="s">
        <v>250</v>
      </c>
      <c r="C10357" s="38" t="s">
        <v>8665</v>
      </c>
      <c r="D10357" s="18">
        <v>2022</v>
      </c>
      <c r="E10357" s="18" t="s">
        <v>0</v>
      </c>
      <c r="F10357" s="42">
        <v>1</v>
      </c>
      <c r="G10357" s="4">
        <v>15</v>
      </c>
      <c r="H10357" s="18">
        <v>21.056000000000001</v>
      </c>
    </row>
    <row r="10358" spans="1:8" s="15" customFormat="1" ht="16.5" hidden="1" customHeight="1" outlineLevel="1" x14ac:dyDescent="0.25">
      <c r="A10358" s="18">
        <v>5862</v>
      </c>
      <c r="B10358" s="4" t="s">
        <v>250</v>
      </c>
      <c r="C10358" s="38" t="s">
        <v>8666</v>
      </c>
      <c r="D10358" s="18">
        <v>2022</v>
      </c>
      <c r="E10358" s="18" t="s">
        <v>0</v>
      </c>
      <c r="F10358" s="42">
        <v>1</v>
      </c>
      <c r="G10358" s="4">
        <v>15</v>
      </c>
      <c r="H10358" s="18">
        <v>22.193999999999999</v>
      </c>
    </row>
    <row r="10359" spans="1:8" s="15" customFormat="1" ht="16.5" hidden="1" customHeight="1" outlineLevel="1" x14ac:dyDescent="0.25">
      <c r="A10359" s="18">
        <v>5863</v>
      </c>
      <c r="B10359" s="4" t="s">
        <v>250</v>
      </c>
      <c r="C10359" s="38" t="s">
        <v>8667</v>
      </c>
      <c r="D10359" s="18">
        <v>2022</v>
      </c>
      <c r="E10359" s="18" t="s">
        <v>0</v>
      </c>
      <c r="F10359" s="42">
        <v>1</v>
      </c>
      <c r="G10359" s="4">
        <v>15</v>
      </c>
      <c r="H10359" s="18">
        <v>28.65</v>
      </c>
    </row>
    <row r="10360" spans="1:8" s="15" customFormat="1" ht="16.5" hidden="1" customHeight="1" outlineLevel="1" x14ac:dyDescent="0.25">
      <c r="A10360" s="18">
        <v>5878</v>
      </c>
      <c r="B10360" s="4" t="s">
        <v>250</v>
      </c>
      <c r="C10360" s="38" t="s">
        <v>8668</v>
      </c>
      <c r="D10360" s="18">
        <v>2022</v>
      </c>
      <c r="E10360" s="18" t="s">
        <v>0</v>
      </c>
      <c r="F10360" s="42">
        <v>1</v>
      </c>
      <c r="G10360" s="4">
        <v>15</v>
      </c>
      <c r="H10360" s="18">
        <v>20.786000000000001</v>
      </c>
    </row>
    <row r="10361" spans="1:8" s="15" customFormat="1" ht="16.5" hidden="1" customHeight="1" outlineLevel="1" x14ac:dyDescent="0.25">
      <c r="A10361" s="18">
        <v>5434</v>
      </c>
      <c r="B10361" s="4" t="s">
        <v>250</v>
      </c>
      <c r="C10361" s="38" t="s">
        <v>8669</v>
      </c>
      <c r="D10361" s="18">
        <v>2022</v>
      </c>
      <c r="E10361" s="18" t="s">
        <v>0</v>
      </c>
      <c r="F10361" s="42">
        <v>1</v>
      </c>
      <c r="G10361" s="4">
        <v>15</v>
      </c>
      <c r="H10361" s="18">
        <v>47.4</v>
      </c>
    </row>
    <row r="10362" spans="1:8" s="15" customFormat="1" ht="16.5" hidden="1" customHeight="1" outlineLevel="1" x14ac:dyDescent="0.25">
      <c r="A10362" s="18">
        <v>5436</v>
      </c>
      <c r="B10362" s="4" t="s">
        <v>250</v>
      </c>
      <c r="C10362" s="38" t="s">
        <v>3665</v>
      </c>
      <c r="D10362" s="18">
        <v>2022</v>
      </c>
      <c r="E10362" s="18" t="s">
        <v>0</v>
      </c>
      <c r="F10362" s="42">
        <v>1</v>
      </c>
      <c r="G10362" s="4">
        <v>15</v>
      </c>
      <c r="H10362" s="18">
        <v>43.798999999999999</v>
      </c>
    </row>
    <row r="10363" spans="1:8" s="15" customFormat="1" ht="16.5" hidden="1" customHeight="1" outlineLevel="1" x14ac:dyDescent="0.25">
      <c r="A10363" s="18">
        <v>5475</v>
      </c>
      <c r="B10363" s="4" t="s">
        <v>250</v>
      </c>
      <c r="C10363" s="38" t="s">
        <v>8670</v>
      </c>
      <c r="D10363" s="18">
        <v>2022</v>
      </c>
      <c r="E10363" s="18" t="s">
        <v>0</v>
      </c>
      <c r="F10363" s="42">
        <v>1</v>
      </c>
      <c r="G10363" s="4">
        <v>4.95</v>
      </c>
      <c r="H10363" s="18">
        <v>26.974</v>
      </c>
    </row>
    <row r="10364" spans="1:8" s="15" customFormat="1" ht="16.5" hidden="1" customHeight="1" outlineLevel="1" x14ac:dyDescent="0.25">
      <c r="A10364" s="18">
        <v>5480</v>
      </c>
      <c r="B10364" s="4" t="s">
        <v>250</v>
      </c>
      <c r="C10364" s="38" t="s">
        <v>8671</v>
      </c>
      <c r="D10364" s="18">
        <v>2022</v>
      </c>
      <c r="E10364" s="18" t="s">
        <v>0</v>
      </c>
      <c r="F10364" s="42">
        <v>1</v>
      </c>
      <c r="G10364" s="4">
        <v>5</v>
      </c>
      <c r="H10364" s="18">
        <v>46.070999999999998</v>
      </c>
    </row>
    <row r="10365" spans="1:8" s="15" customFormat="1" ht="16.5" hidden="1" customHeight="1" outlineLevel="1" x14ac:dyDescent="0.25">
      <c r="A10365" s="18">
        <v>5498</v>
      </c>
      <c r="B10365" s="4" t="s">
        <v>250</v>
      </c>
      <c r="C10365" s="38" t="s">
        <v>8672</v>
      </c>
      <c r="D10365" s="18">
        <v>2022</v>
      </c>
      <c r="E10365" s="18" t="s">
        <v>0</v>
      </c>
      <c r="F10365" s="42">
        <v>1</v>
      </c>
      <c r="G10365" s="4">
        <v>15</v>
      </c>
      <c r="H10365" s="18">
        <v>49.838000000000001</v>
      </c>
    </row>
    <row r="10366" spans="1:8" s="15" customFormat="1" ht="16.5" hidden="1" customHeight="1" outlineLevel="1" x14ac:dyDescent="0.25">
      <c r="A10366" s="18">
        <v>5508</v>
      </c>
      <c r="B10366" s="4" t="s">
        <v>250</v>
      </c>
      <c r="C10366" s="38" t="s">
        <v>8673</v>
      </c>
      <c r="D10366" s="18">
        <v>2022</v>
      </c>
      <c r="E10366" s="18" t="s">
        <v>0</v>
      </c>
      <c r="F10366" s="42">
        <v>1</v>
      </c>
      <c r="G10366" s="4">
        <v>10</v>
      </c>
      <c r="H10366" s="18">
        <v>48.654000000000003</v>
      </c>
    </row>
    <row r="10367" spans="1:8" s="15" customFormat="1" ht="16.5" hidden="1" customHeight="1" outlineLevel="1" x14ac:dyDescent="0.25">
      <c r="A10367" s="18">
        <v>5514</v>
      </c>
      <c r="B10367" s="4" t="s">
        <v>250</v>
      </c>
      <c r="C10367" s="38" t="s">
        <v>8674</v>
      </c>
      <c r="D10367" s="18">
        <v>2022</v>
      </c>
      <c r="E10367" s="18" t="s">
        <v>0</v>
      </c>
      <c r="F10367" s="42">
        <v>1</v>
      </c>
      <c r="G10367" s="4">
        <v>15</v>
      </c>
      <c r="H10367" s="18">
        <v>46.956000000000003</v>
      </c>
    </row>
    <row r="10368" spans="1:8" s="15" customFormat="1" ht="16.5" hidden="1" customHeight="1" outlineLevel="1" x14ac:dyDescent="0.25">
      <c r="A10368" s="18">
        <v>5515</v>
      </c>
      <c r="B10368" s="4" t="s">
        <v>250</v>
      </c>
      <c r="C10368" s="38" t="s">
        <v>8675</v>
      </c>
      <c r="D10368" s="18">
        <v>2022</v>
      </c>
      <c r="E10368" s="18" t="s">
        <v>0</v>
      </c>
      <c r="F10368" s="42">
        <v>1</v>
      </c>
      <c r="G10368" s="4">
        <v>15</v>
      </c>
      <c r="H10368" s="18">
        <v>45.04</v>
      </c>
    </row>
    <row r="10369" spans="1:8" s="15" customFormat="1" ht="16.5" hidden="1" customHeight="1" outlineLevel="1" x14ac:dyDescent="0.25">
      <c r="A10369" s="18">
        <v>5516</v>
      </c>
      <c r="B10369" s="4" t="s">
        <v>250</v>
      </c>
      <c r="C10369" s="38" t="s">
        <v>8676</v>
      </c>
      <c r="D10369" s="18">
        <v>2022</v>
      </c>
      <c r="E10369" s="18" t="s">
        <v>0</v>
      </c>
      <c r="F10369" s="42">
        <v>1</v>
      </c>
      <c r="G10369" s="4">
        <v>1.1000000000000001</v>
      </c>
      <c r="H10369" s="18">
        <v>26.248000000000001</v>
      </c>
    </row>
    <row r="10370" spans="1:8" s="15" customFormat="1" ht="16.5" hidden="1" customHeight="1" outlineLevel="1" x14ac:dyDescent="0.25">
      <c r="A10370" s="18">
        <v>5520</v>
      </c>
      <c r="B10370" s="4" t="s">
        <v>250</v>
      </c>
      <c r="C10370" s="38" t="s">
        <v>8677</v>
      </c>
      <c r="D10370" s="18">
        <v>2022</v>
      </c>
      <c r="E10370" s="18" t="s">
        <v>0</v>
      </c>
      <c r="F10370" s="42">
        <v>1</v>
      </c>
      <c r="G10370" s="4">
        <v>15</v>
      </c>
      <c r="H10370" s="18">
        <v>49.472000000000001</v>
      </c>
    </row>
    <row r="10371" spans="1:8" s="15" customFormat="1" ht="16.5" hidden="1" customHeight="1" outlineLevel="1" x14ac:dyDescent="0.25">
      <c r="A10371" s="18">
        <v>5534</v>
      </c>
      <c r="B10371" s="4" t="s">
        <v>250</v>
      </c>
      <c r="C10371" s="38" t="s">
        <v>8678</v>
      </c>
      <c r="D10371" s="18">
        <v>2022</v>
      </c>
      <c r="E10371" s="18" t="s">
        <v>0</v>
      </c>
      <c r="F10371" s="42">
        <v>1</v>
      </c>
      <c r="G10371" s="4">
        <v>12</v>
      </c>
      <c r="H10371" s="18">
        <v>45.031999999999996</v>
      </c>
    </row>
    <row r="10372" spans="1:8" s="15" customFormat="1" ht="16.5" hidden="1" customHeight="1" outlineLevel="1" x14ac:dyDescent="0.25">
      <c r="A10372" s="18">
        <v>5560</v>
      </c>
      <c r="B10372" s="4" t="s">
        <v>250</v>
      </c>
      <c r="C10372" s="38" t="s">
        <v>8679</v>
      </c>
      <c r="D10372" s="18">
        <v>2022</v>
      </c>
      <c r="E10372" s="18" t="s">
        <v>0</v>
      </c>
      <c r="F10372" s="42">
        <v>1</v>
      </c>
      <c r="G10372" s="4">
        <v>15</v>
      </c>
      <c r="H10372" s="18">
        <v>51.021999999999998</v>
      </c>
    </row>
    <row r="10373" spans="1:8" s="15" customFormat="1" ht="16.5" hidden="1" customHeight="1" outlineLevel="1" x14ac:dyDescent="0.25">
      <c r="A10373" s="18">
        <v>5582</v>
      </c>
      <c r="B10373" s="4" t="s">
        <v>250</v>
      </c>
      <c r="C10373" s="38" t="s">
        <v>8680</v>
      </c>
      <c r="D10373" s="18">
        <v>2022</v>
      </c>
      <c r="E10373" s="18" t="s">
        <v>0</v>
      </c>
      <c r="F10373" s="42">
        <v>1</v>
      </c>
      <c r="G10373" s="4">
        <v>15</v>
      </c>
      <c r="H10373" s="18">
        <v>47.62</v>
      </c>
    </row>
    <row r="10374" spans="1:8" s="15" customFormat="1" ht="16.5" hidden="1" customHeight="1" outlineLevel="1" x14ac:dyDescent="0.25">
      <c r="A10374" s="18">
        <v>5646</v>
      </c>
      <c r="B10374" s="4" t="s">
        <v>250</v>
      </c>
      <c r="C10374" s="38" t="s">
        <v>8681</v>
      </c>
      <c r="D10374" s="18">
        <v>2022</v>
      </c>
      <c r="E10374" s="18" t="s">
        <v>0</v>
      </c>
      <c r="F10374" s="42">
        <v>1</v>
      </c>
      <c r="G10374" s="4">
        <v>15</v>
      </c>
      <c r="H10374" s="18">
        <v>48.045999999999999</v>
      </c>
    </row>
    <row r="10375" spans="1:8" s="15" customFormat="1" ht="16.5" hidden="1" customHeight="1" outlineLevel="1" x14ac:dyDescent="0.25">
      <c r="A10375" s="18">
        <v>5648</v>
      </c>
      <c r="B10375" s="4" t="s">
        <v>250</v>
      </c>
      <c r="C10375" s="38" t="s">
        <v>8682</v>
      </c>
      <c r="D10375" s="18">
        <v>2022</v>
      </c>
      <c r="E10375" s="18" t="s">
        <v>0</v>
      </c>
      <c r="F10375" s="42">
        <v>1</v>
      </c>
      <c r="G10375" s="4">
        <v>15</v>
      </c>
      <c r="H10375" s="18">
        <v>48.063000000000002</v>
      </c>
    </row>
    <row r="10376" spans="1:8" s="15" customFormat="1" ht="16.5" hidden="1" customHeight="1" outlineLevel="1" x14ac:dyDescent="0.25">
      <c r="A10376" s="18">
        <v>5649</v>
      </c>
      <c r="B10376" s="4" t="s">
        <v>250</v>
      </c>
      <c r="C10376" s="38" t="s">
        <v>8683</v>
      </c>
      <c r="D10376" s="18">
        <v>2022</v>
      </c>
      <c r="E10376" s="18" t="s">
        <v>0</v>
      </c>
      <c r="F10376" s="42">
        <v>1</v>
      </c>
      <c r="G10376" s="4">
        <v>14</v>
      </c>
      <c r="H10376" s="18">
        <v>66.930999999999997</v>
      </c>
    </row>
    <row r="10377" spans="1:8" s="15" customFormat="1" ht="16.5" hidden="1" customHeight="1" outlineLevel="1" x14ac:dyDescent="0.25">
      <c r="A10377" s="18">
        <v>5650</v>
      </c>
      <c r="B10377" s="4" t="s">
        <v>250</v>
      </c>
      <c r="C10377" s="38" t="s">
        <v>8684</v>
      </c>
      <c r="D10377" s="18">
        <v>2022</v>
      </c>
      <c r="E10377" s="18" t="s">
        <v>0</v>
      </c>
      <c r="F10377" s="42">
        <v>1</v>
      </c>
      <c r="G10377" s="4">
        <v>14</v>
      </c>
      <c r="H10377" s="18">
        <v>68.275000000000006</v>
      </c>
    </row>
    <row r="10378" spans="1:8" s="15" customFormat="1" ht="16.5" hidden="1" customHeight="1" outlineLevel="1" x14ac:dyDescent="0.25">
      <c r="A10378" s="18">
        <v>5651</v>
      </c>
      <c r="B10378" s="4" t="s">
        <v>250</v>
      </c>
      <c r="C10378" s="38" t="s">
        <v>8685</v>
      </c>
      <c r="D10378" s="18">
        <v>2022</v>
      </c>
      <c r="E10378" s="18" t="s">
        <v>0</v>
      </c>
      <c r="F10378" s="42">
        <v>1</v>
      </c>
      <c r="G10378" s="4">
        <v>14</v>
      </c>
      <c r="H10378" s="18">
        <v>68.275000000000006</v>
      </c>
    </row>
    <row r="10379" spans="1:8" s="15" customFormat="1" ht="16.5" hidden="1" customHeight="1" outlineLevel="1" x14ac:dyDescent="0.25">
      <c r="A10379" s="18">
        <v>5652</v>
      </c>
      <c r="B10379" s="4" t="s">
        <v>250</v>
      </c>
      <c r="C10379" s="38" t="s">
        <v>8686</v>
      </c>
      <c r="D10379" s="18">
        <v>2022</v>
      </c>
      <c r="E10379" s="18" t="s">
        <v>0</v>
      </c>
      <c r="F10379" s="42">
        <v>1</v>
      </c>
      <c r="G10379" s="4">
        <v>14</v>
      </c>
      <c r="H10379" s="18">
        <v>68.212000000000003</v>
      </c>
    </row>
    <row r="10380" spans="1:8" s="15" customFormat="1" ht="16.5" hidden="1" customHeight="1" outlineLevel="1" x14ac:dyDescent="0.25">
      <c r="A10380" s="18">
        <v>5660</v>
      </c>
      <c r="B10380" s="4" t="s">
        <v>250</v>
      </c>
      <c r="C10380" s="38" t="s">
        <v>8687</v>
      </c>
      <c r="D10380" s="18">
        <v>2022</v>
      </c>
      <c r="E10380" s="18" t="s">
        <v>0</v>
      </c>
      <c r="F10380" s="42">
        <v>1</v>
      </c>
      <c r="G10380" s="4">
        <v>15</v>
      </c>
      <c r="H10380" s="18">
        <v>44.212000000000003</v>
      </c>
    </row>
    <row r="10381" spans="1:8" s="15" customFormat="1" ht="16.5" hidden="1" customHeight="1" outlineLevel="1" x14ac:dyDescent="0.25">
      <c r="A10381" s="18">
        <v>5662</v>
      </c>
      <c r="B10381" s="4" t="s">
        <v>250</v>
      </c>
      <c r="C10381" s="38" t="s">
        <v>8688</v>
      </c>
      <c r="D10381" s="18">
        <v>2022</v>
      </c>
      <c r="E10381" s="18" t="s">
        <v>0</v>
      </c>
      <c r="F10381" s="42">
        <v>1</v>
      </c>
      <c r="G10381" s="4">
        <v>15</v>
      </c>
      <c r="H10381" s="18">
        <v>47.463000000000001</v>
      </c>
    </row>
    <row r="10382" spans="1:8" s="15" customFormat="1" ht="16.5" hidden="1" customHeight="1" outlineLevel="1" x14ac:dyDescent="0.25">
      <c r="A10382" s="18">
        <v>5664</v>
      </c>
      <c r="B10382" s="4" t="s">
        <v>250</v>
      </c>
      <c r="C10382" s="38" t="s">
        <v>8689</v>
      </c>
      <c r="D10382" s="18">
        <v>2022</v>
      </c>
      <c r="E10382" s="18" t="s">
        <v>0</v>
      </c>
      <c r="F10382" s="42">
        <v>1</v>
      </c>
      <c r="G10382" s="4">
        <v>11</v>
      </c>
      <c r="H10382" s="18">
        <v>44.201999999999998</v>
      </c>
    </row>
    <row r="10383" spans="1:8" s="15" customFormat="1" ht="16.5" hidden="1" customHeight="1" outlineLevel="1" x14ac:dyDescent="0.25">
      <c r="A10383" s="18">
        <v>5675</v>
      </c>
      <c r="B10383" s="4" t="s">
        <v>250</v>
      </c>
      <c r="C10383" s="38" t="s">
        <v>8690</v>
      </c>
      <c r="D10383" s="18">
        <v>2022</v>
      </c>
      <c r="E10383" s="18" t="s">
        <v>0</v>
      </c>
      <c r="F10383" s="42">
        <v>1</v>
      </c>
      <c r="G10383" s="4">
        <v>15</v>
      </c>
      <c r="H10383" s="18">
        <v>50.256</v>
      </c>
    </row>
    <row r="10384" spans="1:8" s="15" customFormat="1" ht="16.5" hidden="1" customHeight="1" outlineLevel="1" x14ac:dyDescent="0.25">
      <c r="A10384" s="18">
        <v>5677</v>
      </c>
      <c r="B10384" s="4" t="s">
        <v>250</v>
      </c>
      <c r="C10384" s="38" t="s">
        <v>8691</v>
      </c>
      <c r="D10384" s="18">
        <v>2022</v>
      </c>
      <c r="E10384" s="18" t="s">
        <v>0</v>
      </c>
      <c r="F10384" s="42">
        <v>1</v>
      </c>
      <c r="G10384" s="4">
        <v>15</v>
      </c>
      <c r="H10384" s="18">
        <v>49.057000000000002</v>
      </c>
    </row>
    <row r="10385" spans="1:8" s="15" customFormat="1" ht="16.5" hidden="1" customHeight="1" outlineLevel="1" x14ac:dyDescent="0.25">
      <c r="A10385" s="18">
        <v>5679</v>
      </c>
      <c r="B10385" s="4" t="s">
        <v>250</v>
      </c>
      <c r="C10385" s="38" t="s">
        <v>8692</v>
      </c>
      <c r="D10385" s="18">
        <v>2022</v>
      </c>
      <c r="E10385" s="18" t="s">
        <v>0</v>
      </c>
      <c r="F10385" s="42">
        <v>1</v>
      </c>
      <c r="G10385" s="4">
        <v>15</v>
      </c>
      <c r="H10385" s="18">
        <v>48.457000000000001</v>
      </c>
    </row>
    <row r="10386" spans="1:8" s="15" customFormat="1" ht="16.5" hidden="1" customHeight="1" outlineLevel="1" x14ac:dyDescent="0.25">
      <c r="A10386" s="18">
        <v>5680</v>
      </c>
      <c r="B10386" s="4" t="s">
        <v>250</v>
      </c>
      <c r="C10386" s="38" t="s">
        <v>8693</v>
      </c>
      <c r="D10386" s="18">
        <v>2022</v>
      </c>
      <c r="E10386" s="18" t="s">
        <v>0</v>
      </c>
      <c r="F10386" s="42">
        <v>1</v>
      </c>
      <c r="G10386" s="4">
        <v>15</v>
      </c>
      <c r="H10386" s="18">
        <v>48.457000000000001</v>
      </c>
    </row>
    <row r="10387" spans="1:8" s="15" customFormat="1" ht="16.5" hidden="1" customHeight="1" outlineLevel="1" x14ac:dyDescent="0.25">
      <c r="A10387" s="18">
        <v>5681</v>
      </c>
      <c r="B10387" s="4" t="s">
        <v>250</v>
      </c>
      <c r="C10387" s="38" t="s">
        <v>8694</v>
      </c>
      <c r="D10387" s="18">
        <v>2022</v>
      </c>
      <c r="E10387" s="18" t="s">
        <v>0</v>
      </c>
      <c r="F10387" s="42">
        <v>1</v>
      </c>
      <c r="G10387" s="4">
        <v>15</v>
      </c>
      <c r="H10387" s="18">
        <v>49.506</v>
      </c>
    </row>
    <row r="10388" spans="1:8" s="15" customFormat="1" ht="16.5" hidden="1" customHeight="1" outlineLevel="1" x14ac:dyDescent="0.25">
      <c r="A10388" s="18">
        <v>5692</v>
      </c>
      <c r="B10388" s="4" t="s">
        <v>250</v>
      </c>
      <c r="C10388" s="38" t="s">
        <v>3666</v>
      </c>
      <c r="D10388" s="18">
        <v>2022</v>
      </c>
      <c r="E10388" s="18" t="s">
        <v>0</v>
      </c>
      <c r="F10388" s="42" t="s">
        <v>2204</v>
      </c>
      <c r="G10388" s="4">
        <v>15</v>
      </c>
      <c r="H10388" s="18">
        <v>31.021000000000001</v>
      </c>
    </row>
    <row r="10389" spans="1:8" s="15" customFormat="1" ht="16.5" hidden="1" customHeight="1" outlineLevel="1" x14ac:dyDescent="0.25">
      <c r="A10389" s="18">
        <v>5702</v>
      </c>
      <c r="B10389" s="4" t="s">
        <v>250</v>
      </c>
      <c r="C10389" s="38" t="s">
        <v>8695</v>
      </c>
      <c r="D10389" s="18">
        <v>2022</v>
      </c>
      <c r="E10389" s="18" t="s">
        <v>0</v>
      </c>
      <c r="F10389" s="42">
        <v>1</v>
      </c>
      <c r="G10389" s="4">
        <v>10</v>
      </c>
      <c r="H10389" s="18">
        <v>43.674999999999997</v>
      </c>
    </row>
    <row r="10390" spans="1:8" s="15" customFormat="1" ht="16.5" hidden="1" customHeight="1" outlineLevel="1" x14ac:dyDescent="0.25">
      <c r="A10390" s="18">
        <v>5708</v>
      </c>
      <c r="B10390" s="4" t="s">
        <v>250</v>
      </c>
      <c r="C10390" s="38" t="s">
        <v>8696</v>
      </c>
      <c r="D10390" s="18">
        <v>2022</v>
      </c>
      <c r="E10390" s="18" t="s">
        <v>0</v>
      </c>
      <c r="F10390" s="42" t="s">
        <v>2204</v>
      </c>
      <c r="G10390" s="4">
        <v>15</v>
      </c>
      <c r="H10390" s="18">
        <v>49.031999999999996</v>
      </c>
    </row>
    <row r="10391" spans="1:8" s="15" customFormat="1" ht="16.5" hidden="1" customHeight="1" outlineLevel="1" x14ac:dyDescent="0.25">
      <c r="A10391" s="18">
        <v>5709</v>
      </c>
      <c r="B10391" s="4" t="s">
        <v>250</v>
      </c>
      <c r="C10391" s="38" t="s">
        <v>8697</v>
      </c>
      <c r="D10391" s="18">
        <v>2022</v>
      </c>
      <c r="E10391" s="18" t="s">
        <v>0</v>
      </c>
      <c r="F10391" s="42" t="s">
        <v>2204</v>
      </c>
      <c r="G10391" s="4">
        <v>15</v>
      </c>
      <c r="H10391" s="18">
        <v>39.390999999999998</v>
      </c>
    </row>
    <row r="10392" spans="1:8" s="15" customFormat="1" ht="16.5" hidden="1" customHeight="1" outlineLevel="1" x14ac:dyDescent="0.25">
      <c r="A10392" s="18">
        <v>5716</v>
      </c>
      <c r="B10392" s="4" t="s">
        <v>250</v>
      </c>
      <c r="C10392" s="38" t="s">
        <v>8698</v>
      </c>
      <c r="D10392" s="18">
        <v>2022</v>
      </c>
      <c r="E10392" s="18" t="s">
        <v>0</v>
      </c>
      <c r="F10392" s="42" t="s">
        <v>2204</v>
      </c>
      <c r="G10392" s="4">
        <v>15</v>
      </c>
      <c r="H10392" s="18">
        <v>41.884999999999998</v>
      </c>
    </row>
    <row r="10393" spans="1:8" s="15" customFormat="1" ht="16.5" hidden="1" customHeight="1" outlineLevel="1" x14ac:dyDescent="0.25">
      <c r="A10393" s="18">
        <v>5762</v>
      </c>
      <c r="B10393" s="4" t="s">
        <v>250</v>
      </c>
      <c r="C10393" s="38" t="s">
        <v>8699</v>
      </c>
      <c r="D10393" s="18">
        <v>2022</v>
      </c>
      <c r="E10393" s="18" t="s">
        <v>0</v>
      </c>
      <c r="F10393" s="42" t="s">
        <v>2204</v>
      </c>
      <c r="G10393" s="4">
        <v>15</v>
      </c>
      <c r="H10393" s="18">
        <v>42.552999999999997</v>
      </c>
    </row>
    <row r="10394" spans="1:8" s="15" customFormat="1" ht="16.5" hidden="1" customHeight="1" outlineLevel="1" x14ac:dyDescent="0.25">
      <c r="A10394" s="18">
        <v>5766</v>
      </c>
      <c r="B10394" s="4" t="s">
        <v>250</v>
      </c>
      <c r="C10394" s="38" t="s">
        <v>3667</v>
      </c>
      <c r="D10394" s="18">
        <v>2022</v>
      </c>
      <c r="E10394" s="18" t="s">
        <v>0</v>
      </c>
      <c r="F10394" s="42">
        <v>1</v>
      </c>
      <c r="G10394" s="4">
        <v>15</v>
      </c>
      <c r="H10394" s="18">
        <v>51.91</v>
      </c>
    </row>
    <row r="10395" spans="1:8" s="15" customFormat="1" ht="16.5" hidden="1" customHeight="1" outlineLevel="1" x14ac:dyDescent="0.25">
      <c r="A10395" s="18">
        <v>5777</v>
      </c>
      <c r="B10395" s="4" t="s">
        <v>250</v>
      </c>
      <c r="C10395" s="38" t="s">
        <v>8700</v>
      </c>
      <c r="D10395" s="18">
        <v>2022</v>
      </c>
      <c r="E10395" s="18" t="s">
        <v>0</v>
      </c>
      <c r="F10395" s="42">
        <v>1</v>
      </c>
      <c r="G10395" s="4">
        <v>15</v>
      </c>
      <c r="H10395" s="18">
        <v>39.280999999999999</v>
      </c>
    </row>
    <row r="10396" spans="1:8" s="15" customFormat="1" ht="16.5" hidden="1" customHeight="1" outlineLevel="1" x14ac:dyDescent="0.25">
      <c r="A10396" s="18">
        <v>5781</v>
      </c>
      <c r="B10396" s="4" t="s">
        <v>250</v>
      </c>
      <c r="C10396" s="38" t="s">
        <v>8701</v>
      </c>
      <c r="D10396" s="18">
        <v>2022</v>
      </c>
      <c r="E10396" s="18" t="s">
        <v>0</v>
      </c>
      <c r="F10396" s="42">
        <v>1</v>
      </c>
      <c r="G10396" s="4">
        <v>15</v>
      </c>
      <c r="H10396" s="18">
        <v>38.985999999999997</v>
      </c>
    </row>
    <row r="10397" spans="1:8" s="15" customFormat="1" ht="16.5" hidden="1" customHeight="1" outlineLevel="1" x14ac:dyDescent="0.25">
      <c r="A10397" s="18">
        <v>5800</v>
      </c>
      <c r="B10397" s="4" t="s">
        <v>250</v>
      </c>
      <c r="C10397" s="38" t="s">
        <v>8702</v>
      </c>
      <c r="D10397" s="18">
        <v>2022</v>
      </c>
      <c r="E10397" s="18" t="s">
        <v>0</v>
      </c>
      <c r="F10397" s="42">
        <v>1</v>
      </c>
      <c r="G10397" s="4">
        <v>15</v>
      </c>
      <c r="H10397" s="18">
        <v>39.499000000000002</v>
      </c>
    </row>
    <row r="10398" spans="1:8" s="15" customFormat="1" ht="16.5" hidden="1" customHeight="1" outlineLevel="1" x14ac:dyDescent="0.25">
      <c r="A10398" s="18">
        <v>5806</v>
      </c>
      <c r="B10398" s="4" t="s">
        <v>250</v>
      </c>
      <c r="C10398" s="38" t="s">
        <v>8703</v>
      </c>
      <c r="D10398" s="18">
        <v>2022</v>
      </c>
      <c r="E10398" s="18" t="s">
        <v>0</v>
      </c>
      <c r="F10398" s="42">
        <v>1</v>
      </c>
      <c r="G10398" s="4">
        <v>15</v>
      </c>
      <c r="H10398" s="18">
        <v>42.994999999999997</v>
      </c>
    </row>
    <row r="10399" spans="1:8" s="15" customFormat="1" ht="16.5" hidden="1" customHeight="1" outlineLevel="1" x14ac:dyDescent="0.25">
      <c r="A10399" s="18">
        <v>5816</v>
      </c>
      <c r="B10399" s="4" t="s">
        <v>250</v>
      </c>
      <c r="C10399" s="38" t="s">
        <v>8704</v>
      </c>
      <c r="D10399" s="18">
        <v>2022</v>
      </c>
      <c r="E10399" s="18" t="s">
        <v>0</v>
      </c>
      <c r="F10399" s="42">
        <v>1</v>
      </c>
      <c r="G10399" s="4">
        <v>15</v>
      </c>
      <c r="H10399" s="18">
        <v>39.707000000000001</v>
      </c>
    </row>
    <row r="10400" spans="1:8" s="15" customFormat="1" ht="16.5" hidden="1" customHeight="1" outlineLevel="1" x14ac:dyDescent="0.25">
      <c r="A10400" s="18">
        <v>5824</v>
      </c>
      <c r="B10400" s="4" t="s">
        <v>250</v>
      </c>
      <c r="C10400" s="38" t="s">
        <v>3668</v>
      </c>
      <c r="D10400" s="18">
        <v>2022</v>
      </c>
      <c r="E10400" s="18" t="s">
        <v>0</v>
      </c>
      <c r="F10400" s="42">
        <v>1</v>
      </c>
      <c r="G10400" s="4">
        <v>10</v>
      </c>
      <c r="H10400" s="18">
        <v>65.409000000000006</v>
      </c>
    </row>
    <row r="10401" spans="1:8" s="15" customFormat="1" ht="16.5" hidden="1" customHeight="1" outlineLevel="1" x14ac:dyDescent="0.25">
      <c r="A10401" s="18">
        <v>5833</v>
      </c>
      <c r="B10401" s="4" t="s">
        <v>250</v>
      </c>
      <c r="C10401" s="38" t="s">
        <v>8705</v>
      </c>
      <c r="D10401" s="18">
        <v>2022</v>
      </c>
      <c r="E10401" s="18" t="s">
        <v>0</v>
      </c>
      <c r="F10401" s="42">
        <v>1</v>
      </c>
      <c r="G10401" s="4">
        <v>15</v>
      </c>
      <c r="H10401" s="18">
        <v>39.585000000000001</v>
      </c>
    </row>
    <row r="10402" spans="1:8" s="15" customFormat="1" ht="16.5" hidden="1" customHeight="1" outlineLevel="1" x14ac:dyDescent="0.25">
      <c r="A10402" s="18">
        <v>5836</v>
      </c>
      <c r="B10402" s="4" t="s">
        <v>250</v>
      </c>
      <c r="C10402" s="38" t="s">
        <v>8706</v>
      </c>
      <c r="D10402" s="18">
        <v>2022</v>
      </c>
      <c r="E10402" s="18" t="s">
        <v>0</v>
      </c>
      <c r="F10402" s="42">
        <v>1</v>
      </c>
      <c r="G10402" s="4">
        <v>15</v>
      </c>
      <c r="H10402" s="18">
        <v>39.585000000000001</v>
      </c>
    </row>
    <row r="10403" spans="1:8" s="15" customFormat="1" ht="16.5" hidden="1" customHeight="1" outlineLevel="1" x14ac:dyDescent="0.25">
      <c r="A10403" s="18">
        <v>5838</v>
      </c>
      <c r="B10403" s="4" t="s">
        <v>250</v>
      </c>
      <c r="C10403" s="38" t="s">
        <v>8707</v>
      </c>
      <c r="D10403" s="18">
        <v>2022</v>
      </c>
      <c r="E10403" s="18" t="s">
        <v>0</v>
      </c>
      <c r="F10403" s="42" t="s">
        <v>2204</v>
      </c>
      <c r="G10403" s="4">
        <v>15</v>
      </c>
      <c r="H10403" s="18">
        <v>39.585000000000001</v>
      </c>
    </row>
    <row r="10404" spans="1:8" s="15" customFormat="1" ht="16.5" hidden="1" customHeight="1" outlineLevel="1" x14ac:dyDescent="0.25">
      <c r="A10404" s="18">
        <v>5839</v>
      </c>
      <c r="B10404" s="4" t="s">
        <v>250</v>
      </c>
      <c r="C10404" s="38" t="s">
        <v>8708</v>
      </c>
      <c r="D10404" s="18">
        <v>2022</v>
      </c>
      <c r="E10404" s="18" t="s">
        <v>0</v>
      </c>
      <c r="F10404" s="42" t="s">
        <v>2204</v>
      </c>
      <c r="G10404" s="4">
        <v>15</v>
      </c>
      <c r="H10404" s="18">
        <v>39.585000000000001</v>
      </c>
    </row>
    <row r="10405" spans="1:8" s="15" customFormat="1" ht="16.5" hidden="1" customHeight="1" outlineLevel="1" x14ac:dyDescent="0.25">
      <c r="A10405" s="18">
        <v>5841</v>
      </c>
      <c r="B10405" s="4" t="s">
        <v>250</v>
      </c>
      <c r="C10405" s="38" t="s">
        <v>8709</v>
      </c>
      <c r="D10405" s="18">
        <v>2022</v>
      </c>
      <c r="E10405" s="18" t="s">
        <v>0</v>
      </c>
      <c r="F10405" s="42" t="s">
        <v>2204</v>
      </c>
      <c r="G10405" s="4">
        <v>15</v>
      </c>
      <c r="H10405" s="18">
        <v>39.427999999999997</v>
      </c>
    </row>
    <row r="10406" spans="1:8" s="15" customFormat="1" ht="16.5" hidden="1" customHeight="1" outlineLevel="1" x14ac:dyDescent="0.25">
      <c r="A10406" s="18">
        <v>5856</v>
      </c>
      <c r="B10406" s="4" t="s">
        <v>250</v>
      </c>
      <c r="C10406" s="38" t="s">
        <v>8710</v>
      </c>
      <c r="D10406" s="18">
        <v>2022</v>
      </c>
      <c r="E10406" s="18" t="s">
        <v>0</v>
      </c>
      <c r="F10406" s="42" t="s">
        <v>2204</v>
      </c>
      <c r="G10406" s="4">
        <v>15</v>
      </c>
      <c r="H10406" s="18">
        <v>20.387</v>
      </c>
    </row>
    <row r="10407" spans="1:8" s="15" customFormat="1" ht="16.5" hidden="1" customHeight="1" outlineLevel="1" x14ac:dyDescent="0.25">
      <c r="A10407" s="18">
        <v>5864</v>
      </c>
      <c r="B10407" s="4" t="s">
        <v>250</v>
      </c>
      <c r="C10407" s="38" t="s">
        <v>8711</v>
      </c>
      <c r="D10407" s="18">
        <v>2022</v>
      </c>
      <c r="E10407" s="18" t="s">
        <v>0</v>
      </c>
      <c r="F10407" s="42" t="s">
        <v>2204</v>
      </c>
      <c r="G10407" s="4">
        <v>4</v>
      </c>
      <c r="H10407" s="18">
        <v>18.72</v>
      </c>
    </row>
    <row r="10408" spans="1:8" s="15" customFormat="1" ht="16.5" hidden="1" customHeight="1" outlineLevel="1" x14ac:dyDescent="0.25">
      <c r="A10408" s="18">
        <v>5874</v>
      </c>
      <c r="B10408" s="4" t="s">
        <v>250</v>
      </c>
      <c r="C10408" s="38" t="s">
        <v>8712</v>
      </c>
      <c r="D10408" s="18">
        <v>2022</v>
      </c>
      <c r="E10408" s="18" t="s">
        <v>0</v>
      </c>
      <c r="F10408" s="42">
        <v>1</v>
      </c>
      <c r="G10408" s="4">
        <v>15</v>
      </c>
      <c r="H10408" s="18">
        <v>39.865000000000002</v>
      </c>
    </row>
    <row r="10409" spans="1:8" s="15" customFormat="1" ht="16.5" hidden="1" customHeight="1" outlineLevel="1" x14ac:dyDescent="0.25">
      <c r="A10409" s="18">
        <v>5875</v>
      </c>
      <c r="B10409" s="4" t="s">
        <v>250</v>
      </c>
      <c r="C10409" s="38" t="s">
        <v>8713</v>
      </c>
      <c r="D10409" s="18">
        <v>2022</v>
      </c>
      <c r="E10409" s="18" t="s">
        <v>0</v>
      </c>
      <c r="F10409" s="42">
        <v>1</v>
      </c>
      <c r="G10409" s="4">
        <v>15</v>
      </c>
      <c r="H10409" s="18">
        <v>21.145</v>
      </c>
    </row>
    <row r="10410" spans="1:8" s="15" customFormat="1" ht="16.5" hidden="1" customHeight="1" outlineLevel="1" x14ac:dyDescent="0.25">
      <c r="A10410" s="18">
        <v>5885</v>
      </c>
      <c r="B10410" s="4" t="s">
        <v>250</v>
      </c>
      <c r="C10410" s="38" t="s">
        <v>3669</v>
      </c>
      <c r="D10410" s="18">
        <v>2022</v>
      </c>
      <c r="E10410" s="18" t="s">
        <v>0</v>
      </c>
      <c r="F10410" s="42">
        <v>2</v>
      </c>
      <c r="G10410" s="4">
        <v>30</v>
      </c>
      <c r="H10410" s="18">
        <v>275.74599999999998</v>
      </c>
    </row>
    <row r="10411" spans="1:8" s="15" customFormat="1" ht="16.5" hidden="1" customHeight="1" outlineLevel="1" x14ac:dyDescent="0.25">
      <c r="A10411" s="18">
        <v>5462</v>
      </c>
      <c r="B10411" s="4" t="s">
        <v>250</v>
      </c>
      <c r="C10411" s="38" t="s">
        <v>8714</v>
      </c>
      <c r="D10411" s="18">
        <v>2022</v>
      </c>
      <c r="E10411" s="18" t="s">
        <v>0</v>
      </c>
      <c r="F10411" s="42">
        <v>1</v>
      </c>
      <c r="G10411" s="4">
        <v>15</v>
      </c>
      <c r="H10411" s="18">
        <v>42.325000000000003</v>
      </c>
    </row>
    <row r="10412" spans="1:8" s="15" customFormat="1" ht="16.5" hidden="1" customHeight="1" outlineLevel="1" x14ac:dyDescent="0.25">
      <c r="A10412" s="18">
        <v>5494</v>
      </c>
      <c r="B10412" s="4" t="s">
        <v>250</v>
      </c>
      <c r="C10412" s="38" t="s">
        <v>8715</v>
      </c>
      <c r="D10412" s="18">
        <v>2022</v>
      </c>
      <c r="E10412" s="18" t="s">
        <v>0</v>
      </c>
      <c r="F10412" s="42" t="s">
        <v>2204</v>
      </c>
      <c r="G10412" s="4">
        <v>15</v>
      </c>
      <c r="H10412" s="18">
        <v>26.085999999999999</v>
      </c>
    </row>
    <row r="10413" spans="1:8" s="15" customFormat="1" ht="16.5" hidden="1" customHeight="1" outlineLevel="1" x14ac:dyDescent="0.25">
      <c r="A10413" s="18">
        <v>5547</v>
      </c>
      <c r="B10413" s="4" t="s">
        <v>250</v>
      </c>
      <c r="C10413" s="38" t="s">
        <v>8716</v>
      </c>
      <c r="D10413" s="18">
        <v>2022</v>
      </c>
      <c r="E10413" s="18" t="s">
        <v>0</v>
      </c>
      <c r="F10413" s="42" t="s">
        <v>2204</v>
      </c>
      <c r="G10413" s="4">
        <v>15</v>
      </c>
      <c r="H10413" s="18">
        <v>54.750999999999998</v>
      </c>
    </row>
    <row r="10414" spans="1:8" s="15" customFormat="1" ht="16.5" hidden="1" customHeight="1" outlineLevel="1" x14ac:dyDescent="0.25">
      <c r="A10414" s="18">
        <v>5577</v>
      </c>
      <c r="B10414" s="4" t="s">
        <v>250</v>
      </c>
      <c r="C10414" s="38" t="s">
        <v>3670</v>
      </c>
      <c r="D10414" s="18">
        <v>2022</v>
      </c>
      <c r="E10414" s="18" t="s">
        <v>0</v>
      </c>
      <c r="F10414" s="42" t="s">
        <v>2204</v>
      </c>
      <c r="G10414" s="4">
        <v>15</v>
      </c>
      <c r="H10414" s="18">
        <v>58.671999999999997</v>
      </c>
    </row>
    <row r="10415" spans="1:8" s="15" customFormat="1" ht="16.5" hidden="1" customHeight="1" outlineLevel="1" x14ac:dyDescent="0.25">
      <c r="A10415" s="18">
        <v>5596</v>
      </c>
      <c r="B10415" s="4" t="s">
        <v>250</v>
      </c>
      <c r="C10415" s="38" t="s">
        <v>8717</v>
      </c>
      <c r="D10415" s="18">
        <v>2022</v>
      </c>
      <c r="E10415" s="18" t="s">
        <v>0</v>
      </c>
      <c r="F10415" s="42" t="s">
        <v>2204</v>
      </c>
      <c r="G10415" s="4">
        <v>15</v>
      </c>
      <c r="H10415" s="18">
        <v>45.570999999999998</v>
      </c>
    </row>
    <row r="10416" spans="1:8" s="15" customFormat="1" ht="16.5" hidden="1" customHeight="1" outlineLevel="1" x14ac:dyDescent="0.25">
      <c r="A10416" s="18">
        <v>5607</v>
      </c>
      <c r="B10416" s="4" t="s">
        <v>250</v>
      </c>
      <c r="C10416" s="38" t="s">
        <v>3671</v>
      </c>
      <c r="D10416" s="18">
        <v>2022</v>
      </c>
      <c r="E10416" s="18" t="s">
        <v>0</v>
      </c>
      <c r="F10416" s="42" t="s">
        <v>2204</v>
      </c>
      <c r="G10416" s="4">
        <v>15</v>
      </c>
      <c r="H10416" s="18">
        <v>69.036000000000001</v>
      </c>
    </row>
    <row r="10417" spans="1:8" s="15" customFormat="1" ht="16.5" hidden="1" customHeight="1" outlineLevel="1" x14ac:dyDescent="0.25">
      <c r="A10417" s="18">
        <v>5622</v>
      </c>
      <c r="B10417" s="4" t="s">
        <v>250</v>
      </c>
      <c r="C10417" s="38" t="s">
        <v>3672</v>
      </c>
      <c r="D10417" s="18">
        <v>2022</v>
      </c>
      <c r="E10417" s="18" t="s">
        <v>0</v>
      </c>
      <c r="F10417" s="42" t="s">
        <v>2204</v>
      </c>
      <c r="G10417" s="4">
        <v>15</v>
      </c>
      <c r="H10417" s="18">
        <v>51.686</v>
      </c>
    </row>
    <row r="10418" spans="1:8" s="15" customFormat="1" ht="16.5" hidden="1" customHeight="1" outlineLevel="1" x14ac:dyDescent="0.25">
      <c r="A10418" s="18">
        <v>5628</v>
      </c>
      <c r="B10418" s="4" t="s">
        <v>250</v>
      </c>
      <c r="C10418" s="38" t="s">
        <v>8718</v>
      </c>
      <c r="D10418" s="18">
        <v>2022</v>
      </c>
      <c r="E10418" s="18" t="s">
        <v>0</v>
      </c>
      <c r="F10418" s="42" t="s">
        <v>2204</v>
      </c>
      <c r="G10418" s="4">
        <v>15</v>
      </c>
      <c r="H10418" s="18">
        <v>51.008000000000003</v>
      </c>
    </row>
    <row r="10419" spans="1:8" s="15" customFormat="1" ht="16.5" hidden="1" customHeight="1" outlineLevel="1" x14ac:dyDescent="0.25">
      <c r="A10419" s="18">
        <v>5676</v>
      </c>
      <c r="B10419" s="4" t="s">
        <v>250</v>
      </c>
      <c r="C10419" s="38" t="s">
        <v>8719</v>
      </c>
      <c r="D10419" s="18">
        <v>2022</v>
      </c>
      <c r="E10419" s="18" t="s">
        <v>0</v>
      </c>
      <c r="F10419" s="42" t="s">
        <v>2204</v>
      </c>
      <c r="G10419" s="4">
        <v>15</v>
      </c>
      <c r="H10419" s="18">
        <v>51.2</v>
      </c>
    </row>
    <row r="10420" spans="1:8" s="15" customFormat="1" ht="16.5" hidden="1" customHeight="1" outlineLevel="1" x14ac:dyDescent="0.25">
      <c r="A10420" s="18">
        <v>5729</v>
      </c>
      <c r="B10420" s="4" t="s">
        <v>250</v>
      </c>
      <c r="C10420" s="38" t="s">
        <v>3673</v>
      </c>
      <c r="D10420" s="18">
        <v>2022</v>
      </c>
      <c r="E10420" s="18" t="s">
        <v>0</v>
      </c>
      <c r="F10420" s="42" t="s">
        <v>2204</v>
      </c>
      <c r="G10420" s="4">
        <v>15</v>
      </c>
      <c r="H10420" s="18">
        <v>49.817999999999998</v>
      </c>
    </row>
    <row r="10421" spans="1:8" s="15" customFormat="1" ht="16.5" hidden="1" customHeight="1" outlineLevel="1" x14ac:dyDescent="0.25">
      <c r="A10421" s="18">
        <v>5765</v>
      </c>
      <c r="B10421" s="4" t="s">
        <v>250</v>
      </c>
      <c r="C10421" s="38" t="s">
        <v>3674</v>
      </c>
      <c r="D10421" s="18">
        <v>2022</v>
      </c>
      <c r="E10421" s="18" t="s">
        <v>0</v>
      </c>
      <c r="F10421" s="42" t="s">
        <v>2204</v>
      </c>
      <c r="G10421" s="4">
        <v>10</v>
      </c>
      <c r="H10421" s="18">
        <v>33.331000000000003</v>
      </c>
    </row>
    <row r="10422" spans="1:8" s="15" customFormat="1" ht="16.5" hidden="1" customHeight="1" outlineLevel="1" x14ac:dyDescent="0.25">
      <c r="A10422" s="18">
        <v>5767</v>
      </c>
      <c r="B10422" s="4" t="s">
        <v>250</v>
      </c>
      <c r="C10422" s="38" t="s">
        <v>3675</v>
      </c>
      <c r="D10422" s="18">
        <v>2022</v>
      </c>
      <c r="E10422" s="18" t="s">
        <v>0</v>
      </c>
      <c r="F10422" s="42" t="s">
        <v>2204</v>
      </c>
      <c r="G10422" s="4">
        <v>15</v>
      </c>
      <c r="H10422" s="18">
        <v>44.265000000000001</v>
      </c>
    </row>
    <row r="10423" spans="1:8" s="15" customFormat="1" ht="16.5" hidden="1" customHeight="1" outlineLevel="1" x14ac:dyDescent="0.25">
      <c r="A10423" s="18">
        <v>5785</v>
      </c>
      <c r="B10423" s="4" t="s">
        <v>250</v>
      </c>
      <c r="C10423" s="38" t="s">
        <v>8720</v>
      </c>
      <c r="D10423" s="18">
        <v>2022</v>
      </c>
      <c r="E10423" s="18" t="s">
        <v>0</v>
      </c>
      <c r="F10423" s="42" t="s">
        <v>2204</v>
      </c>
      <c r="G10423" s="4">
        <v>15</v>
      </c>
      <c r="H10423" s="18">
        <v>43.738</v>
      </c>
    </row>
    <row r="10424" spans="1:8" s="15" customFormat="1" ht="16.5" hidden="1" customHeight="1" outlineLevel="1" x14ac:dyDescent="0.25">
      <c r="A10424" s="18">
        <v>5786</v>
      </c>
      <c r="B10424" s="4" t="s">
        <v>250</v>
      </c>
      <c r="C10424" s="38" t="s">
        <v>8721</v>
      </c>
      <c r="D10424" s="18">
        <v>2022</v>
      </c>
      <c r="E10424" s="18" t="s">
        <v>0</v>
      </c>
      <c r="F10424" s="42" t="s">
        <v>2204</v>
      </c>
      <c r="G10424" s="4">
        <v>15</v>
      </c>
      <c r="H10424" s="18">
        <v>41.631</v>
      </c>
    </row>
    <row r="10425" spans="1:8" s="15" customFormat="1" ht="16.5" hidden="1" customHeight="1" outlineLevel="1" x14ac:dyDescent="0.25">
      <c r="A10425" s="18">
        <v>5798</v>
      </c>
      <c r="B10425" s="4" t="s">
        <v>250</v>
      </c>
      <c r="C10425" s="38" t="s">
        <v>8722</v>
      </c>
      <c r="D10425" s="18">
        <v>2022</v>
      </c>
      <c r="E10425" s="18" t="s">
        <v>0</v>
      </c>
      <c r="F10425" s="42" t="s">
        <v>2204</v>
      </c>
      <c r="G10425" s="4">
        <v>15</v>
      </c>
      <c r="H10425" s="18">
        <v>42.420999999999999</v>
      </c>
    </row>
    <row r="10426" spans="1:8" s="15" customFormat="1" ht="16.5" hidden="1" customHeight="1" outlineLevel="1" x14ac:dyDescent="0.25">
      <c r="A10426" s="18">
        <v>5812</v>
      </c>
      <c r="B10426" s="4" t="s">
        <v>250</v>
      </c>
      <c r="C10426" s="38" t="s">
        <v>8723</v>
      </c>
      <c r="D10426" s="18">
        <v>2022</v>
      </c>
      <c r="E10426" s="18" t="s">
        <v>0</v>
      </c>
      <c r="F10426" s="42" t="s">
        <v>2204</v>
      </c>
      <c r="G10426" s="4">
        <v>15</v>
      </c>
      <c r="H10426" s="18">
        <v>41.631</v>
      </c>
    </row>
    <row r="10427" spans="1:8" s="15" customFormat="1" ht="16.5" hidden="1" customHeight="1" outlineLevel="1" x14ac:dyDescent="0.25">
      <c r="A10427" s="18">
        <v>5825</v>
      </c>
      <c r="B10427" s="4" t="s">
        <v>250</v>
      </c>
      <c r="C10427" s="38" t="s">
        <v>3677</v>
      </c>
      <c r="D10427" s="18">
        <v>2022</v>
      </c>
      <c r="E10427" s="18" t="s">
        <v>0</v>
      </c>
      <c r="F10427" s="42" t="s">
        <v>2204</v>
      </c>
      <c r="G10427" s="4">
        <v>15</v>
      </c>
      <c r="H10427" s="18">
        <v>51.896000000000001</v>
      </c>
    </row>
    <row r="10428" spans="1:8" s="15" customFormat="1" ht="16.5" hidden="1" customHeight="1" outlineLevel="1" x14ac:dyDescent="0.25">
      <c r="A10428" s="18">
        <v>5826</v>
      </c>
      <c r="B10428" s="4" t="s">
        <v>250</v>
      </c>
      <c r="C10428" s="38" t="s">
        <v>3678</v>
      </c>
      <c r="D10428" s="18">
        <v>2022</v>
      </c>
      <c r="E10428" s="18" t="s">
        <v>0</v>
      </c>
      <c r="F10428" s="42">
        <v>2</v>
      </c>
      <c r="G10428" s="4">
        <v>30</v>
      </c>
      <c r="H10428" s="18">
        <v>107.22</v>
      </c>
    </row>
    <row r="10429" spans="1:8" s="15" customFormat="1" ht="16.5" hidden="1" customHeight="1" outlineLevel="1" x14ac:dyDescent="0.25">
      <c r="A10429" s="18">
        <v>5827</v>
      </c>
      <c r="B10429" s="4" t="s">
        <v>250</v>
      </c>
      <c r="C10429" s="38" t="s">
        <v>3679</v>
      </c>
      <c r="D10429" s="18">
        <v>2022</v>
      </c>
      <c r="E10429" s="18" t="s">
        <v>0</v>
      </c>
      <c r="F10429" s="42">
        <v>3</v>
      </c>
      <c r="G10429" s="4">
        <v>33</v>
      </c>
      <c r="H10429" s="18">
        <v>165.46700000000001</v>
      </c>
    </row>
    <row r="10430" spans="1:8" s="15" customFormat="1" ht="16.5" hidden="1" customHeight="1" outlineLevel="1" x14ac:dyDescent="0.25">
      <c r="A10430" s="18">
        <v>5857</v>
      </c>
      <c r="B10430" s="4" t="s">
        <v>250</v>
      </c>
      <c r="C10430" s="38" t="s">
        <v>8724</v>
      </c>
      <c r="D10430" s="18">
        <v>2022</v>
      </c>
      <c r="E10430" s="18" t="s">
        <v>0</v>
      </c>
      <c r="F10430" s="42" t="s">
        <v>2204</v>
      </c>
      <c r="G10430" s="4">
        <v>10</v>
      </c>
      <c r="H10430" s="18">
        <v>42.890999999999998</v>
      </c>
    </row>
    <row r="10431" spans="1:8" s="15" customFormat="1" ht="16.5" hidden="1" customHeight="1" outlineLevel="1" x14ac:dyDescent="0.25">
      <c r="A10431" s="18">
        <v>5860</v>
      </c>
      <c r="B10431" s="4" t="s">
        <v>250</v>
      </c>
      <c r="C10431" s="38" t="s">
        <v>3680</v>
      </c>
      <c r="D10431" s="18">
        <v>2022</v>
      </c>
      <c r="E10431" s="18" t="s">
        <v>0</v>
      </c>
      <c r="F10431" s="42" t="s">
        <v>2204</v>
      </c>
      <c r="G10431" s="4">
        <v>60</v>
      </c>
      <c r="H10431" s="18">
        <v>71.191000000000003</v>
      </c>
    </row>
    <row r="10432" spans="1:8" s="15" customFormat="1" ht="16.5" hidden="1" customHeight="1" outlineLevel="1" x14ac:dyDescent="0.25">
      <c r="A10432" s="18">
        <v>5861</v>
      </c>
      <c r="B10432" s="4" t="s">
        <v>250</v>
      </c>
      <c r="C10432" s="38" t="s">
        <v>3978</v>
      </c>
      <c r="D10432" s="18">
        <v>2022</v>
      </c>
      <c r="E10432" s="18" t="s">
        <v>0</v>
      </c>
      <c r="F10432" s="42" t="s">
        <v>2204</v>
      </c>
      <c r="G10432" s="4">
        <v>150</v>
      </c>
      <c r="H10432" s="18">
        <v>80.537999999999997</v>
      </c>
    </row>
    <row r="10433" spans="1:8" s="15" customFormat="1" ht="16.5" hidden="1" customHeight="1" outlineLevel="1" x14ac:dyDescent="0.25">
      <c r="A10433" s="18">
        <v>5873</v>
      </c>
      <c r="B10433" s="4" t="s">
        <v>250</v>
      </c>
      <c r="C10433" s="38" t="s">
        <v>8725</v>
      </c>
      <c r="D10433" s="18">
        <v>2022</v>
      </c>
      <c r="E10433" s="18" t="s">
        <v>0</v>
      </c>
      <c r="F10433" s="42" t="s">
        <v>2204</v>
      </c>
      <c r="G10433" s="4">
        <v>5</v>
      </c>
      <c r="H10433" s="18">
        <v>42.271999999999998</v>
      </c>
    </row>
    <row r="10434" spans="1:8" s="15" customFormat="1" ht="16.5" hidden="1" customHeight="1" outlineLevel="1" x14ac:dyDescent="0.25">
      <c r="A10434" s="18">
        <v>5877</v>
      </c>
      <c r="B10434" s="4" t="s">
        <v>250</v>
      </c>
      <c r="C10434" s="38" t="s">
        <v>8726</v>
      </c>
      <c r="D10434" s="18">
        <v>2022</v>
      </c>
      <c r="E10434" s="18" t="s">
        <v>0</v>
      </c>
      <c r="F10434" s="42" t="s">
        <v>2204</v>
      </c>
      <c r="G10434" s="4">
        <v>10</v>
      </c>
      <c r="H10434" s="18">
        <v>40.164000000000001</v>
      </c>
    </row>
    <row r="10435" spans="1:8" s="15" customFormat="1" ht="16.5" hidden="1" customHeight="1" outlineLevel="1" x14ac:dyDescent="0.25">
      <c r="A10435" s="18">
        <v>5879</v>
      </c>
      <c r="B10435" s="4" t="s">
        <v>250</v>
      </c>
      <c r="C10435" s="38" t="s">
        <v>8727</v>
      </c>
      <c r="D10435" s="18">
        <v>2022</v>
      </c>
      <c r="E10435" s="18" t="s">
        <v>0</v>
      </c>
      <c r="F10435" s="42" t="s">
        <v>2204</v>
      </c>
      <c r="G10435" s="4">
        <v>7</v>
      </c>
      <c r="H10435" s="18">
        <v>36.581000000000003</v>
      </c>
    </row>
    <row r="10436" spans="1:8" s="15" customFormat="1" ht="16.5" hidden="1" customHeight="1" outlineLevel="1" x14ac:dyDescent="0.25">
      <c r="A10436" s="18">
        <v>5880</v>
      </c>
      <c r="B10436" s="4" t="s">
        <v>250</v>
      </c>
      <c r="C10436" s="38" t="s">
        <v>8728</v>
      </c>
      <c r="D10436" s="18">
        <v>2022</v>
      </c>
      <c r="E10436" s="18" t="s">
        <v>0</v>
      </c>
      <c r="F10436" s="42" t="s">
        <v>2204</v>
      </c>
      <c r="G10436" s="4">
        <v>15</v>
      </c>
      <c r="H10436" s="18">
        <v>20.687999999999999</v>
      </c>
    </row>
    <row r="10437" spans="1:8" s="15" customFormat="1" ht="16.5" hidden="1" customHeight="1" outlineLevel="1" x14ac:dyDescent="0.25">
      <c r="A10437" s="18">
        <v>5881</v>
      </c>
      <c r="B10437" s="4" t="s">
        <v>250</v>
      </c>
      <c r="C10437" s="38" t="s">
        <v>8729</v>
      </c>
      <c r="D10437" s="18">
        <v>2022</v>
      </c>
      <c r="E10437" s="18" t="s">
        <v>0</v>
      </c>
      <c r="F10437" s="42" t="s">
        <v>2204</v>
      </c>
      <c r="G10437" s="4">
        <v>2</v>
      </c>
      <c r="H10437" s="18">
        <v>21.811</v>
      </c>
    </row>
    <row r="10438" spans="1:8" s="15" customFormat="1" ht="16.5" hidden="1" customHeight="1" outlineLevel="1" x14ac:dyDescent="0.25">
      <c r="A10438" s="18">
        <v>5882</v>
      </c>
      <c r="B10438" s="4" t="s">
        <v>250</v>
      </c>
      <c r="C10438" s="38" t="s">
        <v>8730</v>
      </c>
      <c r="D10438" s="18">
        <v>2022</v>
      </c>
      <c r="E10438" s="18" t="s">
        <v>0</v>
      </c>
      <c r="F10438" s="42" t="s">
        <v>2204</v>
      </c>
      <c r="G10438" s="4">
        <v>10</v>
      </c>
      <c r="H10438" s="18">
        <v>15.709</v>
      </c>
    </row>
    <row r="10439" spans="1:8" s="15" customFormat="1" ht="16.5" hidden="1" customHeight="1" outlineLevel="1" x14ac:dyDescent="0.25">
      <c r="A10439" s="18">
        <v>5883</v>
      </c>
      <c r="B10439" s="4" t="s">
        <v>250</v>
      </c>
      <c r="C10439" s="38" t="s">
        <v>8731</v>
      </c>
      <c r="D10439" s="18">
        <v>2022</v>
      </c>
      <c r="E10439" s="18" t="s">
        <v>0</v>
      </c>
      <c r="F10439" s="42" t="s">
        <v>2204</v>
      </c>
      <c r="G10439" s="4">
        <v>15</v>
      </c>
      <c r="H10439" s="18">
        <v>45.531999999999996</v>
      </c>
    </row>
    <row r="10440" spans="1:8" s="15" customFormat="1" ht="16.5" hidden="1" customHeight="1" outlineLevel="1" x14ac:dyDescent="0.25">
      <c r="A10440" s="18">
        <v>5884</v>
      </c>
      <c r="B10440" s="4" t="s">
        <v>250</v>
      </c>
      <c r="C10440" s="38" t="s">
        <v>8732</v>
      </c>
      <c r="D10440" s="18">
        <v>2022</v>
      </c>
      <c r="E10440" s="18" t="s">
        <v>0</v>
      </c>
      <c r="F10440" s="42" t="s">
        <v>2204</v>
      </c>
      <c r="G10440" s="4">
        <v>15</v>
      </c>
      <c r="H10440" s="18">
        <v>39.298000000000002</v>
      </c>
    </row>
    <row r="10441" spans="1:8" s="15" customFormat="1" ht="16.5" hidden="1" customHeight="1" outlineLevel="1" x14ac:dyDescent="0.25">
      <c r="A10441" s="18">
        <v>5886</v>
      </c>
      <c r="B10441" s="4" t="s">
        <v>250</v>
      </c>
      <c r="C10441" s="38" t="s">
        <v>8733</v>
      </c>
      <c r="D10441" s="18">
        <v>2022</v>
      </c>
      <c r="E10441" s="18" t="s">
        <v>0</v>
      </c>
      <c r="F10441" s="42" t="s">
        <v>2204</v>
      </c>
      <c r="G10441" s="4">
        <v>10</v>
      </c>
      <c r="H10441" s="18">
        <v>38.301000000000002</v>
      </c>
    </row>
    <row r="10442" spans="1:8" s="15" customFormat="1" ht="16.5" hidden="1" customHeight="1" outlineLevel="1" x14ac:dyDescent="0.25">
      <c r="A10442" s="18">
        <v>5887</v>
      </c>
      <c r="B10442" s="4" t="s">
        <v>250</v>
      </c>
      <c r="C10442" s="38" t="s">
        <v>8734</v>
      </c>
      <c r="D10442" s="18">
        <v>2022</v>
      </c>
      <c r="E10442" s="18" t="s">
        <v>0</v>
      </c>
      <c r="F10442" s="42" t="s">
        <v>2204</v>
      </c>
      <c r="G10442" s="4">
        <v>15</v>
      </c>
      <c r="H10442" s="18">
        <v>40.045000000000002</v>
      </c>
    </row>
    <row r="10443" spans="1:8" s="15" customFormat="1" ht="16.5" hidden="1" customHeight="1" outlineLevel="1" x14ac:dyDescent="0.25">
      <c r="A10443" s="18">
        <v>5888</v>
      </c>
      <c r="B10443" s="4" t="s">
        <v>250</v>
      </c>
      <c r="C10443" s="38" t="s">
        <v>8735</v>
      </c>
      <c r="D10443" s="18">
        <v>2022</v>
      </c>
      <c r="E10443" s="18" t="s">
        <v>0</v>
      </c>
      <c r="F10443" s="42" t="s">
        <v>2204</v>
      </c>
      <c r="G10443" s="4">
        <v>15</v>
      </c>
      <c r="H10443" s="18">
        <v>40.045000000000002</v>
      </c>
    </row>
    <row r="10444" spans="1:8" s="15" customFormat="1" ht="16.5" hidden="1" customHeight="1" outlineLevel="1" x14ac:dyDescent="0.25">
      <c r="A10444" s="18">
        <v>5889</v>
      </c>
      <c r="B10444" s="4" t="s">
        <v>250</v>
      </c>
      <c r="C10444" s="38" t="s">
        <v>8736</v>
      </c>
      <c r="D10444" s="18">
        <v>2022</v>
      </c>
      <c r="E10444" s="18" t="s">
        <v>0</v>
      </c>
      <c r="F10444" s="42" t="s">
        <v>2204</v>
      </c>
      <c r="G10444" s="4">
        <v>15</v>
      </c>
      <c r="H10444" s="18">
        <v>40.045000000000002</v>
      </c>
    </row>
    <row r="10445" spans="1:8" s="15" customFormat="1" ht="16.5" hidden="1" customHeight="1" outlineLevel="1" x14ac:dyDescent="0.25">
      <c r="A10445" s="18">
        <v>5890</v>
      </c>
      <c r="B10445" s="4" t="s">
        <v>250</v>
      </c>
      <c r="C10445" s="38" t="s">
        <v>8737</v>
      </c>
      <c r="D10445" s="18">
        <v>2022</v>
      </c>
      <c r="E10445" s="18" t="s">
        <v>0</v>
      </c>
      <c r="F10445" s="42" t="s">
        <v>2204</v>
      </c>
      <c r="G10445" s="4">
        <v>15</v>
      </c>
      <c r="H10445" s="18">
        <v>38.549999999999997</v>
      </c>
    </row>
    <row r="10446" spans="1:8" s="15" customFormat="1" ht="16.5" hidden="1" customHeight="1" outlineLevel="1" x14ac:dyDescent="0.25">
      <c r="A10446" s="18">
        <v>5891</v>
      </c>
      <c r="B10446" s="4" t="s">
        <v>250</v>
      </c>
      <c r="C10446" s="38" t="s">
        <v>8738</v>
      </c>
      <c r="D10446" s="18">
        <v>2022</v>
      </c>
      <c r="E10446" s="18" t="s">
        <v>0</v>
      </c>
      <c r="F10446" s="42" t="s">
        <v>2204</v>
      </c>
      <c r="G10446" s="4">
        <v>15</v>
      </c>
      <c r="H10446" s="18">
        <v>38.561999999999998</v>
      </c>
    </row>
    <row r="10447" spans="1:8" s="15" customFormat="1" ht="16.5" hidden="1" customHeight="1" outlineLevel="1" x14ac:dyDescent="0.25">
      <c r="A10447" s="18">
        <v>5892</v>
      </c>
      <c r="B10447" s="4" t="s">
        <v>250</v>
      </c>
      <c r="C10447" s="38" t="s">
        <v>8739</v>
      </c>
      <c r="D10447" s="18">
        <v>2022</v>
      </c>
      <c r="E10447" s="18" t="s">
        <v>0</v>
      </c>
      <c r="F10447" s="42" t="s">
        <v>2204</v>
      </c>
      <c r="G10447" s="4">
        <v>15</v>
      </c>
      <c r="H10447" s="18">
        <v>38.551000000000002</v>
      </c>
    </row>
    <row r="10448" spans="1:8" s="15" customFormat="1" ht="16.5" hidden="1" customHeight="1" outlineLevel="1" x14ac:dyDescent="0.25">
      <c r="A10448" s="18">
        <v>149</v>
      </c>
      <c r="B10448" s="4" t="s">
        <v>250</v>
      </c>
      <c r="C10448" s="38" t="s">
        <v>3685</v>
      </c>
      <c r="D10448" s="18">
        <v>2022</v>
      </c>
      <c r="E10448" s="18" t="s">
        <v>0</v>
      </c>
      <c r="F10448" s="42">
        <v>2</v>
      </c>
      <c r="G10448" s="4">
        <v>30</v>
      </c>
      <c r="H10448" s="18">
        <v>279</v>
      </c>
    </row>
    <row r="10449" spans="1:8" s="15" customFormat="1" ht="16.5" hidden="1" customHeight="1" outlineLevel="1" x14ac:dyDescent="0.25">
      <c r="A10449" s="18">
        <v>179</v>
      </c>
      <c r="B10449" s="4" t="s">
        <v>250</v>
      </c>
      <c r="C10449" s="38" t="s">
        <v>4256</v>
      </c>
      <c r="D10449" s="18">
        <v>2022</v>
      </c>
      <c r="E10449" s="18" t="s">
        <v>0</v>
      </c>
      <c r="F10449" s="42">
        <v>1</v>
      </c>
      <c r="G10449" s="4">
        <v>100</v>
      </c>
      <c r="H10449" s="18">
        <v>27</v>
      </c>
    </row>
    <row r="10450" spans="1:8" s="15" customFormat="1" ht="16.5" hidden="1" customHeight="1" outlineLevel="1" x14ac:dyDescent="0.25">
      <c r="A10450" s="18">
        <v>118</v>
      </c>
      <c r="B10450" s="4" t="s">
        <v>250</v>
      </c>
      <c r="C10450" s="38" t="s">
        <v>3687</v>
      </c>
      <c r="D10450" s="18">
        <v>2022</v>
      </c>
      <c r="E10450" s="18" t="s">
        <v>0</v>
      </c>
      <c r="F10450" s="42">
        <v>1</v>
      </c>
      <c r="G10450" s="4">
        <v>100</v>
      </c>
      <c r="H10450" s="18">
        <v>32</v>
      </c>
    </row>
    <row r="10451" spans="1:8" s="15" customFormat="1" ht="16.5" hidden="1" customHeight="1" outlineLevel="1" x14ac:dyDescent="0.25">
      <c r="A10451" s="18">
        <v>114</v>
      </c>
      <c r="B10451" s="4" t="s">
        <v>250</v>
      </c>
      <c r="C10451" s="38" t="s">
        <v>3688</v>
      </c>
      <c r="D10451" s="18">
        <v>2022</v>
      </c>
      <c r="E10451" s="18" t="s">
        <v>0</v>
      </c>
      <c r="F10451" s="42">
        <v>2</v>
      </c>
      <c r="G10451" s="4">
        <v>14</v>
      </c>
      <c r="H10451" s="18">
        <v>59</v>
      </c>
    </row>
    <row r="10452" spans="1:8" s="15" customFormat="1" ht="16.5" hidden="1" customHeight="1" outlineLevel="1" x14ac:dyDescent="0.25">
      <c r="A10452" s="18">
        <v>119</v>
      </c>
      <c r="B10452" s="4" t="s">
        <v>250</v>
      </c>
      <c r="C10452" s="38" t="s">
        <v>3691</v>
      </c>
      <c r="D10452" s="18">
        <v>2022</v>
      </c>
      <c r="E10452" s="18" t="s">
        <v>0</v>
      </c>
      <c r="F10452" s="42">
        <v>1</v>
      </c>
      <c r="G10452" s="4">
        <v>15</v>
      </c>
      <c r="H10452" s="18">
        <v>28</v>
      </c>
    </row>
    <row r="10453" spans="1:8" s="15" customFormat="1" ht="16.5" hidden="1" customHeight="1" outlineLevel="1" x14ac:dyDescent="0.25">
      <c r="A10453" s="18">
        <v>112</v>
      </c>
      <c r="B10453" s="4" t="s">
        <v>250</v>
      </c>
      <c r="C10453" s="38" t="s">
        <v>3692</v>
      </c>
      <c r="D10453" s="18">
        <v>2022</v>
      </c>
      <c r="E10453" s="18" t="s">
        <v>0</v>
      </c>
      <c r="F10453" s="42">
        <v>2</v>
      </c>
      <c r="G10453" s="4">
        <v>25</v>
      </c>
      <c r="H10453" s="18">
        <v>55</v>
      </c>
    </row>
    <row r="10454" spans="1:8" s="15" customFormat="1" ht="16.5" hidden="1" customHeight="1" outlineLevel="1" x14ac:dyDescent="0.25">
      <c r="A10454" s="18">
        <v>48</v>
      </c>
      <c r="B10454" s="4" t="s">
        <v>250</v>
      </c>
      <c r="C10454" s="38" t="s">
        <v>3693</v>
      </c>
      <c r="D10454" s="18">
        <v>2022</v>
      </c>
      <c r="E10454" s="18" t="s">
        <v>0</v>
      </c>
      <c r="F10454" s="42">
        <v>2</v>
      </c>
      <c r="G10454" s="4">
        <v>30</v>
      </c>
      <c r="H10454" s="18">
        <v>54</v>
      </c>
    </row>
    <row r="10455" spans="1:8" s="15" customFormat="1" ht="16.5" hidden="1" customHeight="1" outlineLevel="1" x14ac:dyDescent="0.25">
      <c r="A10455" s="18">
        <v>181</v>
      </c>
      <c r="B10455" s="4" t="s">
        <v>250</v>
      </c>
      <c r="C10455" s="38" t="s">
        <v>3694</v>
      </c>
      <c r="D10455" s="18">
        <v>2022</v>
      </c>
      <c r="E10455" s="18" t="s">
        <v>0</v>
      </c>
      <c r="F10455" s="42">
        <v>1</v>
      </c>
      <c r="G10455" s="4">
        <v>15</v>
      </c>
      <c r="H10455" s="18">
        <v>42</v>
      </c>
    </row>
    <row r="10456" spans="1:8" s="15" customFormat="1" ht="16.5" hidden="1" customHeight="1" outlineLevel="1" x14ac:dyDescent="0.25">
      <c r="A10456" s="18">
        <v>116</v>
      </c>
      <c r="B10456" s="4" t="s">
        <v>250</v>
      </c>
      <c r="C10456" s="38" t="s">
        <v>3695</v>
      </c>
      <c r="D10456" s="18">
        <v>2022</v>
      </c>
      <c r="E10456" s="18" t="s">
        <v>0</v>
      </c>
      <c r="F10456" s="42">
        <v>1</v>
      </c>
      <c r="G10456" s="4">
        <v>150</v>
      </c>
      <c r="H10456" s="18">
        <v>39</v>
      </c>
    </row>
    <row r="10457" spans="1:8" s="15" customFormat="1" ht="16.5" hidden="1" customHeight="1" outlineLevel="1" x14ac:dyDescent="0.25">
      <c r="A10457" s="18">
        <v>108</v>
      </c>
      <c r="B10457" s="4" t="s">
        <v>250</v>
      </c>
      <c r="C10457" s="38" t="s">
        <v>3696</v>
      </c>
      <c r="D10457" s="18">
        <v>2022</v>
      </c>
      <c r="E10457" s="18" t="s">
        <v>0</v>
      </c>
      <c r="F10457" s="42">
        <v>1</v>
      </c>
      <c r="G10457" s="4">
        <v>15</v>
      </c>
      <c r="H10457" s="18">
        <v>29</v>
      </c>
    </row>
    <row r="10458" spans="1:8" s="15" customFormat="1" ht="16.5" hidden="1" customHeight="1" outlineLevel="1" x14ac:dyDescent="0.25">
      <c r="A10458" s="18">
        <v>110</v>
      </c>
      <c r="B10458" s="4" t="s">
        <v>250</v>
      </c>
      <c r="C10458" s="38" t="s">
        <v>3697</v>
      </c>
      <c r="D10458" s="18">
        <v>2022</v>
      </c>
      <c r="E10458" s="18" t="s">
        <v>0</v>
      </c>
      <c r="F10458" s="42">
        <v>1</v>
      </c>
      <c r="G10458" s="4">
        <v>15</v>
      </c>
      <c r="H10458" s="18">
        <v>38</v>
      </c>
    </row>
    <row r="10459" spans="1:8" s="15" customFormat="1" ht="16.5" hidden="1" customHeight="1" outlineLevel="1" x14ac:dyDescent="0.25">
      <c r="A10459" s="18">
        <v>117</v>
      </c>
      <c r="B10459" s="4" t="s">
        <v>250</v>
      </c>
      <c r="C10459" s="38" t="s">
        <v>3698</v>
      </c>
      <c r="D10459" s="18">
        <v>2022</v>
      </c>
      <c r="E10459" s="18" t="s">
        <v>0</v>
      </c>
      <c r="F10459" s="42">
        <v>1</v>
      </c>
      <c r="G10459" s="4">
        <v>15</v>
      </c>
      <c r="H10459" s="18">
        <v>25</v>
      </c>
    </row>
    <row r="10460" spans="1:8" s="15" customFormat="1" ht="16.5" hidden="1" customHeight="1" outlineLevel="1" x14ac:dyDescent="0.25">
      <c r="A10460" s="18">
        <v>113</v>
      </c>
      <c r="B10460" s="4" t="s">
        <v>250</v>
      </c>
      <c r="C10460" s="38" t="s">
        <v>3699</v>
      </c>
      <c r="D10460" s="18">
        <v>2022</v>
      </c>
      <c r="E10460" s="18" t="s">
        <v>0</v>
      </c>
      <c r="F10460" s="42">
        <v>1</v>
      </c>
      <c r="G10460" s="4">
        <v>10</v>
      </c>
      <c r="H10460" s="18">
        <v>42</v>
      </c>
    </row>
    <row r="10461" spans="1:8" s="15" customFormat="1" ht="16.5" hidden="1" customHeight="1" outlineLevel="1" x14ac:dyDescent="0.25">
      <c r="A10461" s="18">
        <v>152</v>
      </c>
      <c r="B10461" s="4" t="s">
        <v>250</v>
      </c>
      <c r="C10461" s="38" t="s">
        <v>3700</v>
      </c>
      <c r="D10461" s="18">
        <v>2022</v>
      </c>
      <c r="E10461" s="18" t="s">
        <v>0</v>
      </c>
      <c r="F10461" s="42">
        <v>1</v>
      </c>
      <c r="G10461" s="4">
        <v>150</v>
      </c>
      <c r="H10461" s="18">
        <v>18</v>
      </c>
    </row>
    <row r="10462" spans="1:8" s="15" customFormat="1" ht="16.5" hidden="1" customHeight="1" outlineLevel="1" x14ac:dyDescent="0.25">
      <c r="A10462" s="18">
        <v>111</v>
      </c>
      <c r="B10462" s="4" t="s">
        <v>250</v>
      </c>
      <c r="C10462" s="38" t="s">
        <v>3701</v>
      </c>
      <c r="D10462" s="18">
        <v>2022</v>
      </c>
      <c r="E10462" s="18" t="s">
        <v>0</v>
      </c>
      <c r="F10462" s="42">
        <v>1</v>
      </c>
      <c r="G10462" s="4">
        <v>15</v>
      </c>
      <c r="H10462" s="18">
        <v>40</v>
      </c>
    </row>
    <row r="10463" spans="1:8" s="15" customFormat="1" ht="16.5" hidden="1" customHeight="1" outlineLevel="1" x14ac:dyDescent="0.25">
      <c r="A10463" s="18">
        <v>140</v>
      </c>
      <c r="B10463" s="4" t="s">
        <v>250</v>
      </c>
      <c r="C10463" s="38" t="s">
        <v>3702</v>
      </c>
      <c r="D10463" s="18">
        <v>2022</v>
      </c>
      <c r="E10463" s="18" t="s">
        <v>0</v>
      </c>
      <c r="F10463" s="42">
        <v>1</v>
      </c>
      <c r="G10463" s="4">
        <v>15</v>
      </c>
      <c r="H10463" s="18">
        <v>36</v>
      </c>
    </row>
    <row r="10464" spans="1:8" s="15" customFormat="1" ht="16.5" hidden="1" customHeight="1" outlineLevel="1" x14ac:dyDescent="0.25">
      <c r="A10464" s="18">
        <v>156</v>
      </c>
      <c r="B10464" s="4" t="s">
        <v>250</v>
      </c>
      <c r="C10464" s="38" t="s">
        <v>3703</v>
      </c>
      <c r="D10464" s="18">
        <v>2022</v>
      </c>
      <c r="E10464" s="18" t="s">
        <v>0</v>
      </c>
      <c r="F10464" s="42">
        <v>2</v>
      </c>
      <c r="G10464" s="4">
        <v>30</v>
      </c>
      <c r="H10464" s="18">
        <v>47</v>
      </c>
    </row>
    <row r="10465" spans="1:8" s="15" customFormat="1" ht="16.5" hidden="1" customHeight="1" outlineLevel="1" x14ac:dyDescent="0.25">
      <c r="A10465" s="18">
        <v>157</v>
      </c>
      <c r="B10465" s="4" t="s">
        <v>250</v>
      </c>
      <c r="C10465" s="38" t="s">
        <v>3704</v>
      </c>
      <c r="D10465" s="18">
        <v>2022</v>
      </c>
      <c r="E10465" s="18" t="s">
        <v>0</v>
      </c>
      <c r="F10465" s="42">
        <v>1</v>
      </c>
      <c r="G10465" s="4">
        <v>15</v>
      </c>
      <c r="H10465" s="18">
        <v>24</v>
      </c>
    </row>
    <row r="10466" spans="1:8" s="15" customFormat="1" ht="16.5" hidden="1" customHeight="1" outlineLevel="1" x14ac:dyDescent="0.25">
      <c r="A10466" s="18">
        <v>141</v>
      </c>
      <c r="B10466" s="4" t="s">
        <v>250</v>
      </c>
      <c r="C10466" s="38" t="s">
        <v>3705</v>
      </c>
      <c r="D10466" s="18">
        <v>2022</v>
      </c>
      <c r="E10466" s="18" t="s">
        <v>0</v>
      </c>
      <c r="F10466" s="42">
        <v>1</v>
      </c>
      <c r="G10466" s="4">
        <v>15</v>
      </c>
      <c r="H10466" s="18">
        <v>24</v>
      </c>
    </row>
    <row r="10467" spans="1:8" s="15" customFormat="1" ht="16.5" hidden="1" customHeight="1" outlineLevel="1" x14ac:dyDescent="0.25">
      <c r="A10467" s="18">
        <v>202</v>
      </c>
      <c r="B10467" s="4" t="s">
        <v>250</v>
      </c>
      <c r="C10467" s="38" t="s">
        <v>3706</v>
      </c>
      <c r="D10467" s="18">
        <v>2022</v>
      </c>
      <c r="E10467" s="18" t="s">
        <v>0</v>
      </c>
      <c r="F10467" s="42">
        <v>4</v>
      </c>
      <c r="G10467" s="4">
        <v>60</v>
      </c>
      <c r="H10467" s="18">
        <v>114</v>
      </c>
    </row>
    <row r="10468" spans="1:8" s="15" customFormat="1" ht="16.5" hidden="1" customHeight="1" outlineLevel="1" x14ac:dyDescent="0.25">
      <c r="A10468" s="18">
        <v>206</v>
      </c>
      <c r="B10468" s="4" t="s">
        <v>250</v>
      </c>
      <c r="C10468" s="38" t="s">
        <v>3709</v>
      </c>
      <c r="D10468" s="18">
        <v>2022</v>
      </c>
      <c r="E10468" s="18" t="s">
        <v>0</v>
      </c>
      <c r="F10468" s="42">
        <v>4</v>
      </c>
      <c r="G10468" s="4">
        <v>60</v>
      </c>
      <c r="H10468" s="18">
        <v>260</v>
      </c>
    </row>
    <row r="10469" spans="1:8" s="15" customFormat="1" ht="16.5" hidden="1" customHeight="1" outlineLevel="1" x14ac:dyDescent="0.25">
      <c r="A10469" s="18">
        <v>251</v>
      </c>
      <c r="B10469" s="4" t="s">
        <v>250</v>
      </c>
      <c r="C10469" s="38" t="s">
        <v>3711</v>
      </c>
      <c r="D10469" s="18">
        <v>2022</v>
      </c>
      <c r="E10469" s="18" t="s">
        <v>0</v>
      </c>
      <c r="F10469" s="42">
        <v>1</v>
      </c>
      <c r="G10469" s="4">
        <v>45</v>
      </c>
      <c r="H10469" s="18">
        <v>209</v>
      </c>
    </row>
    <row r="10470" spans="1:8" s="15" customFormat="1" ht="16.5" hidden="1" customHeight="1" outlineLevel="1" x14ac:dyDescent="0.25">
      <c r="A10470" s="18">
        <v>128</v>
      </c>
      <c r="B10470" s="4" t="s">
        <v>250</v>
      </c>
      <c r="C10470" s="38" t="s">
        <v>3714</v>
      </c>
      <c r="D10470" s="18">
        <v>2022</v>
      </c>
      <c r="E10470" s="18" t="s">
        <v>0</v>
      </c>
      <c r="F10470" s="42">
        <v>2</v>
      </c>
      <c r="G10470" s="4">
        <v>45</v>
      </c>
      <c r="H10470" s="18">
        <v>73</v>
      </c>
    </row>
    <row r="10471" spans="1:8" s="15" customFormat="1" ht="16.5" hidden="1" customHeight="1" outlineLevel="1" x14ac:dyDescent="0.25">
      <c r="A10471" s="18">
        <v>154</v>
      </c>
      <c r="B10471" s="4" t="s">
        <v>250</v>
      </c>
      <c r="C10471" s="38" t="s">
        <v>3715</v>
      </c>
      <c r="D10471" s="18">
        <v>2022</v>
      </c>
      <c r="E10471" s="18" t="s">
        <v>0</v>
      </c>
      <c r="F10471" s="42">
        <v>1</v>
      </c>
      <c r="G10471" s="4">
        <v>10</v>
      </c>
      <c r="H10471" s="18">
        <v>26</v>
      </c>
    </row>
    <row r="10472" spans="1:8" s="15" customFormat="1" ht="16.5" hidden="1" customHeight="1" outlineLevel="1" x14ac:dyDescent="0.25">
      <c r="A10472" s="18">
        <v>155</v>
      </c>
      <c r="B10472" s="4" t="s">
        <v>250</v>
      </c>
      <c r="C10472" s="38" t="s">
        <v>3716</v>
      </c>
      <c r="D10472" s="18">
        <v>2022</v>
      </c>
      <c r="E10472" s="18" t="s">
        <v>0</v>
      </c>
      <c r="F10472" s="42">
        <v>1</v>
      </c>
      <c r="G10472" s="4">
        <v>15</v>
      </c>
      <c r="H10472" s="18">
        <v>26</v>
      </c>
    </row>
    <row r="10473" spans="1:8" s="15" customFormat="1" ht="16.5" hidden="1" customHeight="1" outlineLevel="1" x14ac:dyDescent="0.25">
      <c r="A10473" s="18">
        <v>145</v>
      </c>
      <c r="B10473" s="4" t="s">
        <v>250</v>
      </c>
      <c r="C10473" s="38" t="s">
        <v>3718</v>
      </c>
      <c r="D10473" s="18">
        <v>2022</v>
      </c>
      <c r="E10473" s="18" t="s">
        <v>0</v>
      </c>
      <c r="F10473" s="42">
        <v>1</v>
      </c>
      <c r="G10473" s="4">
        <v>15</v>
      </c>
      <c r="H10473" s="18">
        <v>33</v>
      </c>
    </row>
    <row r="10474" spans="1:8" s="15" customFormat="1" ht="16.5" hidden="1" customHeight="1" outlineLevel="1" x14ac:dyDescent="0.25">
      <c r="A10474" s="18">
        <v>143</v>
      </c>
      <c r="B10474" s="4" t="s">
        <v>250</v>
      </c>
      <c r="C10474" s="38" t="s">
        <v>3719</v>
      </c>
      <c r="D10474" s="18">
        <v>2022</v>
      </c>
      <c r="E10474" s="18" t="s">
        <v>0</v>
      </c>
      <c r="F10474" s="42">
        <v>1</v>
      </c>
      <c r="G10474" s="4">
        <v>15</v>
      </c>
      <c r="H10474" s="18">
        <v>30</v>
      </c>
    </row>
    <row r="10475" spans="1:8" s="15" customFormat="1" ht="16.5" hidden="1" customHeight="1" outlineLevel="1" x14ac:dyDescent="0.25">
      <c r="A10475" s="18">
        <v>147</v>
      </c>
      <c r="B10475" s="4" t="s">
        <v>250</v>
      </c>
      <c r="C10475" s="38" t="s">
        <v>3720</v>
      </c>
      <c r="D10475" s="18">
        <v>2022</v>
      </c>
      <c r="E10475" s="18" t="s">
        <v>0</v>
      </c>
      <c r="F10475" s="42">
        <v>1</v>
      </c>
      <c r="G10475" s="4">
        <v>15</v>
      </c>
      <c r="H10475" s="18">
        <v>27</v>
      </c>
    </row>
    <row r="10476" spans="1:8" s="15" customFormat="1" ht="16.5" hidden="1" customHeight="1" outlineLevel="1" x14ac:dyDescent="0.25">
      <c r="A10476" s="18">
        <v>165</v>
      </c>
      <c r="B10476" s="4" t="s">
        <v>250</v>
      </c>
      <c r="C10476" s="38" t="s">
        <v>3721</v>
      </c>
      <c r="D10476" s="18">
        <v>2022</v>
      </c>
      <c r="E10476" s="18" t="s">
        <v>0</v>
      </c>
      <c r="F10476" s="42">
        <v>1</v>
      </c>
      <c r="G10476" s="4">
        <v>15</v>
      </c>
      <c r="H10476" s="18">
        <v>24</v>
      </c>
    </row>
    <row r="10477" spans="1:8" s="15" customFormat="1" ht="16.5" hidden="1" customHeight="1" outlineLevel="1" x14ac:dyDescent="0.25">
      <c r="A10477" s="18">
        <v>169</v>
      </c>
      <c r="B10477" s="4" t="s">
        <v>250</v>
      </c>
      <c r="C10477" s="38" t="s">
        <v>3722</v>
      </c>
      <c r="D10477" s="18">
        <v>2022</v>
      </c>
      <c r="E10477" s="18" t="s">
        <v>0</v>
      </c>
      <c r="F10477" s="42">
        <v>1</v>
      </c>
      <c r="G10477" s="4">
        <v>15</v>
      </c>
      <c r="H10477" s="18">
        <v>27</v>
      </c>
    </row>
    <row r="10478" spans="1:8" s="15" customFormat="1" ht="16.5" hidden="1" customHeight="1" outlineLevel="1" x14ac:dyDescent="0.25">
      <c r="A10478" s="18">
        <v>217</v>
      </c>
      <c r="B10478" s="4" t="s">
        <v>250</v>
      </c>
      <c r="C10478" s="38" t="s">
        <v>3723</v>
      </c>
      <c r="D10478" s="18">
        <v>2022</v>
      </c>
      <c r="E10478" s="18" t="s">
        <v>0</v>
      </c>
      <c r="F10478" s="42">
        <v>1</v>
      </c>
      <c r="G10478" s="4">
        <v>15</v>
      </c>
      <c r="H10478" s="18">
        <v>26</v>
      </c>
    </row>
    <row r="10479" spans="1:8" s="15" customFormat="1" ht="16.5" hidden="1" customHeight="1" outlineLevel="1" x14ac:dyDescent="0.25">
      <c r="A10479" s="18">
        <v>213</v>
      </c>
      <c r="B10479" s="4" t="s">
        <v>250</v>
      </c>
      <c r="C10479" s="38" t="s">
        <v>3724</v>
      </c>
      <c r="D10479" s="18">
        <v>2022</v>
      </c>
      <c r="E10479" s="18" t="s">
        <v>0</v>
      </c>
      <c r="F10479" s="42">
        <v>1</v>
      </c>
      <c r="G10479" s="4">
        <v>15</v>
      </c>
      <c r="H10479" s="18">
        <v>30</v>
      </c>
    </row>
    <row r="10480" spans="1:8" s="15" customFormat="1" ht="16.5" hidden="1" customHeight="1" outlineLevel="1" x14ac:dyDescent="0.25">
      <c r="A10480" s="18">
        <v>223</v>
      </c>
      <c r="B10480" s="4" t="s">
        <v>250</v>
      </c>
      <c r="C10480" s="38" t="s">
        <v>3725</v>
      </c>
      <c r="D10480" s="18">
        <v>2022</v>
      </c>
      <c r="E10480" s="18" t="s">
        <v>0</v>
      </c>
      <c r="F10480" s="42">
        <v>1</v>
      </c>
      <c r="G10480" s="4">
        <v>15</v>
      </c>
      <c r="H10480" s="18">
        <v>29</v>
      </c>
    </row>
    <row r="10481" spans="1:8" s="15" customFormat="1" ht="16.5" hidden="1" customHeight="1" outlineLevel="1" x14ac:dyDescent="0.25">
      <c r="A10481" s="18">
        <v>215</v>
      </c>
      <c r="B10481" s="4" t="s">
        <v>250</v>
      </c>
      <c r="C10481" s="38" t="s">
        <v>3726</v>
      </c>
      <c r="D10481" s="18">
        <v>2022</v>
      </c>
      <c r="E10481" s="18" t="s">
        <v>0</v>
      </c>
      <c r="F10481" s="42">
        <v>1</v>
      </c>
      <c r="G10481" s="4">
        <v>15</v>
      </c>
      <c r="H10481" s="18">
        <v>26</v>
      </c>
    </row>
    <row r="10482" spans="1:8" s="15" customFormat="1" ht="16.5" hidden="1" customHeight="1" outlineLevel="1" x14ac:dyDescent="0.25">
      <c r="A10482" s="18">
        <v>144</v>
      </c>
      <c r="B10482" s="4" t="s">
        <v>250</v>
      </c>
      <c r="C10482" s="38" t="s">
        <v>3727</v>
      </c>
      <c r="D10482" s="18">
        <v>2022</v>
      </c>
      <c r="E10482" s="18" t="s">
        <v>0</v>
      </c>
      <c r="F10482" s="42">
        <v>1</v>
      </c>
      <c r="G10482" s="4">
        <v>15</v>
      </c>
      <c r="H10482" s="18">
        <v>29</v>
      </c>
    </row>
    <row r="10483" spans="1:8" s="15" customFormat="1" ht="16.5" hidden="1" customHeight="1" outlineLevel="1" x14ac:dyDescent="0.25">
      <c r="A10483" s="18">
        <v>135</v>
      </c>
      <c r="B10483" s="4" t="s">
        <v>250</v>
      </c>
      <c r="C10483" s="38" t="s">
        <v>3728</v>
      </c>
      <c r="D10483" s="18">
        <v>2022</v>
      </c>
      <c r="E10483" s="18" t="s">
        <v>0</v>
      </c>
      <c r="F10483" s="42">
        <v>1</v>
      </c>
      <c r="G10483" s="4">
        <v>15</v>
      </c>
      <c r="H10483" s="18">
        <v>30</v>
      </c>
    </row>
    <row r="10484" spans="1:8" s="15" customFormat="1" ht="16.5" hidden="1" customHeight="1" outlineLevel="1" x14ac:dyDescent="0.25">
      <c r="A10484" s="18">
        <v>142</v>
      </c>
      <c r="B10484" s="4" t="s">
        <v>250</v>
      </c>
      <c r="C10484" s="38" t="s">
        <v>3729</v>
      </c>
      <c r="D10484" s="18">
        <v>2022</v>
      </c>
      <c r="E10484" s="18" t="s">
        <v>0</v>
      </c>
      <c r="F10484" s="42">
        <v>1</v>
      </c>
      <c r="G10484" s="4">
        <v>15</v>
      </c>
      <c r="H10484" s="18">
        <v>26</v>
      </c>
    </row>
    <row r="10485" spans="1:8" s="15" customFormat="1" ht="16.5" hidden="1" customHeight="1" outlineLevel="1" x14ac:dyDescent="0.25">
      <c r="A10485" s="18">
        <v>183</v>
      </c>
      <c r="B10485" s="4" t="s">
        <v>250</v>
      </c>
      <c r="C10485" s="38" t="s">
        <v>3730</v>
      </c>
      <c r="D10485" s="18">
        <v>2022</v>
      </c>
      <c r="E10485" s="18" t="s">
        <v>0</v>
      </c>
      <c r="F10485" s="42">
        <v>1</v>
      </c>
      <c r="G10485" s="4">
        <v>15</v>
      </c>
      <c r="H10485" s="18">
        <v>23</v>
      </c>
    </row>
    <row r="10486" spans="1:8" s="15" customFormat="1" ht="16.5" hidden="1" customHeight="1" outlineLevel="1" x14ac:dyDescent="0.25">
      <c r="A10486" s="18">
        <v>102</v>
      </c>
      <c r="B10486" s="4" t="s">
        <v>250</v>
      </c>
      <c r="C10486" s="38" t="s">
        <v>3736</v>
      </c>
      <c r="D10486" s="18">
        <v>2022</v>
      </c>
      <c r="E10486" s="18" t="s">
        <v>0</v>
      </c>
      <c r="F10486" s="42">
        <v>1</v>
      </c>
      <c r="G10486" s="4">
        <v>15</v>
      </c>
      <c r="H10486" s="18">
        <v>40</v>
      </c>
    </row>
    <row r="10487" spans="1:8" s="15" customFormat="1" ht="16.5" hidden="1" customHeight="1" outlineLevel="1" x14ac:dyDescent="0.25">
      <c r="A10487" s="18">
        <v>106</v>
      </c>
      <c r="B10487" s="4" t="s">
        <v>250</v>
      </c>
      <c r="C10487" s="38" t="s">
        <v>3739</v>
      </c>
      <c r="D10487" s="18">
        <v>2022</v>
      </c>
      <c r="E10487" s="18" t="s">
        <v>0</v>
      </c>
      <c r="F10487" s="42">
        <v>3</v>
      </c>
      <c r="G10487" s="4">
        <v>45</v>
      </c>
      <c r="H10487" s="18">
        <v>119</v>
      </c>
    </row>
    <row r="10488" spans="1:8" s="15" customFormat="1" ht="16.5" hidden="1" customHeight="1" outlineLevel="1" x14ac:dyDescent="0.25">
      <c r="A10488" s="18">
        <v>101</v>
      </c>
      <c r="B10488" s="4" t="s">
        <v>250</v>
      </c>
      <c r="C10488" s="38" t="s">
        <v>3740</v>
      </c>
      <c r="D10488" s="18">
        <v>2022</v>
      </c>
      <c r="E10488" s="18" t="s">
        <v>0</v>
      </c>
      <c r="F10488" s="42">
        <v>1</v>
      </c>
      <c r="G10488" s="4">
        <v>15</v>
      </c>
      <c r="H10488" s="18">
        <v>49</v>
      </c>
    </row>
    <row r="10489" spans="1:8" s="15" customFormat="1" ht="16.5" hidden="1" customHeight="1" outlineLevel="1" x14ac:dyDescent="0.25">
      <c r="A10489" s="18">
        <v>22</v>
      </c>
      <c r="B10489" s="4" t="s">
        <v>250</v>
      </c>
      <c r="C10489" s="38" t="s">
        <v>3741</v>
      </c>
      <c r="D10489" s="18">
        <v>2022</v>
      </c>
      <c r="E10489" s="18" t="s">
        <v>0</v>
      </c>
      <c r="F10489" s="42">
        <v>2</v>
      </c>
      <c r="G10489" s="4">
        <v>15</v>
      </c>
      <c r="H10489" s="18">
        <v>51</v>
      </c>
    </row>
    <row r="10490" spans="1:8" s="15" customFormat="1" ht="16.5" hidden="1" customHeight="1" outlineLevel="1" x14ac:dyDescent="0.25">
      <c r="A10490" s="18">
        <v>29</v>
      </c>
      <c r="B10490" s="4" t="s">
        <v>250</v>
      </c>
      <c r="C10490" s="38" t="s">
        <v>3742</v>
      </c>
      <c r="D10490" s="18">
        <v>2022</v>
      </c>
      <c r="E10490" s="18" t="s">
        <v>0</v>
      </c>
      <c r="F10490" s="42">
        <v>3</v>
      </c>
      <c r="G10490" s="4">
        <v>45</v>
      </c>
      <c r="H10490" s="18">
        <v>63</v>
      </c>
    </row>
    <row r="10491" spans="1:8" s="15" customFormat="1" ht="16.5" hidden="1" customHeight="1" outlineLevel="1" x14ac:dyDescent="0.25">
      <c r="A10491" s="18">
        <v>18</v>
      </c>
      <c r="B10491" s="4" t="s">
        <v>250</v>
      </c>
      <c r="C10491" s="38" t="s">
        <v>3743</v>
      </c>
      <c r="D10491" s="18">
        <v>2022</v>
      </c>
      <c r="E10491" s="18" t="s">
        <v>0</v>
      </c>
      <c r="F10491" s="42">
        <v>1</v>
      </c>
      <c r="G10491" s="4">
        <v>150</v>
      </c>
      <c r="H10491" s="18">
        <v>33</v>
      </c>
    </row>
    <row r="10492" spans="1:8" s="15" customFormat="1" ht="16.5" hidden="1" customHeight="1" outlineLevel="1" x14ac:dyDescent="0.25">
      <c r="A10492" s="18">
        <v>37</v>
      </c>
      <c r="B10492" s="4" t="s">
        <v>250</v>
      </c>
      <c r="C10492" s="38" t="s">
        <v>3744</v>
      </c>
      <c r="D10492" s="18">
        <v>2022</v>
      </c>
      <c r="E10492" s="18" t="s">
        <v>0</v>
      </c>
      <c r="F10492" s="42">
        <v>1</v>
      </c>
      <c r="G10492" s="4">
        <v>150</v>
      </c>
      <c r="H10492" s="18">
        <v>31</v>
      </c>
    </row>
    <row r="10493" spans="1:8" s="15" customFormat="1" ht="16.5" hidden="1" customHeight="1" outlineLevel="1" x14ac:dyDescent="0.25">
      <c r="A10493" s="18">
        <v>21</v>
      </c>
      <c r="B10493" s="4" t="s">
        <v>250</v>
      </c>
      <c r="C10493" s="38" t="s">
        <v>3745</v>
      </c>
      <c r="D10493" s="18">
        <v>2022</v>
      </c>
      <c r="E10493" s="18" t="s">
        <v>0</v>
      </c>
      <c r="F10493" s="42">
        <v>1</v>
      </c>
      <c r="G10493" s="4">
        <v>15</v>
      </c>
      <c r="H10493" s="18">
        <v>27</v>
      </c>
    </row>
    <row r="10494" spans="1:8" s="15" customFormat="1" ht="16.5" hidden="1" customHeight="1" outlineLevel="1" x14ac:dyDescent="0.25">
      <c r="A10494" s="18">
        <v>35</v>
      </c>
      <c r="B10494" s="4" t="s">
        <v>250</v>
      </c>
      <c r="C10494" s="38" t="s">
        <v>3746</v>
      </c>
      <c r="D10494" s="18">
        <v>2022</v>
      </c>
      <c r="E10494" s="18" t="s">
        <v>0</v>
      </c>
      <c r="F10494" s="42">
        <v>2</v>
      </c>
      <c r="G10494" s="4">
        <v>60</v>
      </c>
      <c r="H10494" s="18">
        <v>54</v>
      </c>
    </row>
    <row r="10495" spans="1:8" s="15" customFormat="1" ht="16.5" hidden="1" customHeight="1" outlineLevel="1" x14ac:dyDescent="0.25">
      <c r="A10495" s="18">
        <v>41</v>
      </c>
      <c r="B10495" s="4" t="s">
        <v>250</v>
      </c>
      <c r="C10495" s="38" t="s">
        <v>3748</v>
      </c>
      <c r="D10495" s="18">
        <v>2022</v>
      </c>
      <c r="E10495" s="18" t="s">
        <v>0</v>
      </c>
      <c r="F10495" s="42">
        <v>1</v>
      </c>
      <c r="G10495" s="4">
        <v>15</v>
      </c>
      <c r="H10495" s="18">
        <v>27</v>
      </c>
    </row>
    <row r="10496" spans="1:8" s="15" customFormat="1" ht="16.5" hidden="1" customHeight="1" outlineLevel="1" x14ac:dyDescent="0.25">
      <c r="A10496" s="18">
        <v>42</v>
      </c>
      <c r="B10496" s="4" t="s">
        <v>250</v>
      </c>
      <c r="C10496" s="38" t="s">
        <v>3749</v>
      </c>
      <c r="D10496" s="18">
        <v>2022</v>
      </c>
      <c r="E10496" s="18" t="s">
        <v>0</v>
      </c>
      <c r="F10496" s="42">
        <v>1</v>
      </c>
      <c r="G10496" s="4">
        <v>15</v>
      </c>
      <c r="H10496" s="18">
        <v>29</v>
      </c>
    </row>
    <row r="10497" spans="1:8" s="15" customFormat="1" ht="16.5" hidden="1" customHeight="1" outlineLevel="1" x14ac:dyDescent="0.25">
      <c r="A10497" s="18">
        <v>23</v>
      </c>
      <c r="B10497" s="4" t="s">
        <v>250</v>
      </c>
      <c r="C10497" s="38" t="s">
        <v>3750</v>
      </c>
      <c r="D10497" s="18">
        <v>2022</v>
      </c>
      <c r="E10497" s="18" t="s">
        <v>0</v>
      </c>
      <c r="F10497" s="42">
        <v>1</v>
      </c>
      <c r="G10497" s="4">
        <v>15</v>
      </c>
      <c r="H10497" s="18">
        <v>29</v>
      </c>
    </row>
    <row r="10498" spans="1:8" s="15" customFormat="1" ht="16.5" hidden="1" customHeight="1" outlineLevel="1" x14ac:dyDescent="0.25">
      <c r="A10498" s="18">
        <v>25</v>
      </c>
      <c r="B10498" s="4" t="s">
        <v>250</v>
      </c>
      <c r="C10498" s="38" t="s">
        <v>3751</v>
      </c>
      <c r="D10498" s="18">
        <v>2022</v>
      </c>
      <c r="E10498" s="18" t="s">
        <v>0</v>
      </c>
      <c r="F10498" s="42">
        <v>1</v>
      </c>
      <c r="G10498" s="4">
        <v>100</v>
      </c>
      <c r="H10498" s="18">
        <v>31</v>
      </c>
    </row>
    <row r="10499" spans="1:8" s="15" customFormat="1" ht="16.5" hidden="1" customHeight="1" outlineLevel="1" x14ac:dyDescent="0.25">
      <c r="A10499" s="18">
        <v>47</v>
      </c>
      <c r="B10499" s="4" t="s">
        <v>250</v>
      </c>
      <c r="C10499" s="38" t="s">
        <v>3752</v>
      </c>
      <c r="D10499" s="18">
        <v>2022</v>
      </c>
      <c r="E10499" s="18" t="s">
        <v>0</v>
      </c>
      <c r="F10499" s="42">
        <v>1</v>
      </c>
      <c r="G10499" s="4">
        <v>40</v>
      </c>
      <c r="H10499" s="18">
        <v>46</v>
      </c>
    </row>
    <row r="10500" spans="1:8" s="15" customFormat="1" ht="16.5" hidden="1" customHeight="1" outlineLevel="1" x14ac:dyDescent="0.25">
      <c r="A10500" s="18">
        <v>45</v>
      </c>
      <c r="B10500" s="4" t="s">
        <v>250</v>
      </c>
      <c r="C10500" s="38" t="s">
        <v>3753</v>
      </c>
      <c r="D10500" s="18">
        <v>2022</v>
      </c>
      <c r="E10500" s="18" t="s">
        <v>0</v>
      </c>
      <c r="F10500" s="42">
        <v>1</v>
      </c>
      <c r="G10500" s="4">
        <v>100</v>
      </c>
      <c r="H10500" s="18">
        <v>43</v>
      </c>
    </row>
    <row r="10501" spans="1:8" s="15" customFormat="1" ht="16.5" hidden="1" customHeight="1" outlineLevel="1" x14ac:dyDescent="0.25">
      <c r="A10501" s="18">
        <v>43</v>
      </c>
      <c r="B10501" s="4" t="s">
        <v>250</v>
      </c>
      <c r="C10501" s="38" t="s">
        <v>3754</v>
      </c>
      <c r="D10501" s="18">
        <v>2022</v>
      </c>
      <c r="E10501" s="18" t="s">
        <v>0</v>
      </c>
      <c r="F10501" s="42">
        <v>1</v>
      </c>
      <c r="G10501" s="4">
        <v>15</v>
      </c>
      <c r="H10501" s="18">
        <v>34</v>
      </c>
    </row>
    <row r="10502" spans="1:8" s="15" customFormat="1" ht="16.5" hidden="1" customHeight="1" outlineLevel="1" x14ac:dyDescent="0.25">
      <c r="A10502" s="18">
        <v>20</v>
      </c>
      <c r="B10502" s="4" t="s">
        <v>250</v>
      </c>
      <c r="C10502" s="38" t="s">
        <v>3755</v>
      </c>
      <c r="D10502" s="18">
        <v>2022</v>
      </c>
      <c r="E10502" s="18" t="s">
        <v>0</v>
      </c>
      <c r="F10502" s="42">
        <v>1</v>
      </c>
      <c r="G10502" s="4">
        <v>15</v>
      </c>
      <c r="H10502" s="18">
        <v>25</v>
      </c>
    </row>
    <row r="10503" spans="1:8" s="15" customFormat="1" ht="16.5" hidden="1" customHeight="1" outlineLevel="1" x14ac:dyDescent="0.25">
      <c r="A10503" s="18">
        <v>33</v>
      </c>
      <c r="B10503" s="4" t="s">
        <v>250</v>
      </c>
      <c r="C10503" s="38" t="s">
        <v>3756</v>
      </c>
      <c r="D10503" s="18">
        <v>2022</v>
      </c>
      <c r="E10503" s="18" t="s">
        <v>0</v>
      </c>
      <c r="F10503" s="42">
        <v>1</v>
      </c>
      <c r="G10503" s="4">
        <v>15</v>
      </c>
      <c r="H10503" s="18">
        <v>25</v>
      </c>
    </row>
    <row r="10504" spans="1:8" s="15" customFormat="1" ht="16.5" hidden="1" customHeight="1" outlineLevel="1" x14ac:dyDescent="0.25">
      <c r="A10504" s="18">
        <v>38</v>
      </c>
      <c r="B10504" s="4" t="s">
        <v>250</v>
      </c>
      <c r="C10504" s="38" t="s">
        <v>3757</v>
      </c>
      <c r="D10504" s="18">
        <v>2022</v>
      </c>
      <c r="E10504" s="18" t="s">
        <v>0</v>
      </c>
      <c r="F10504" s="42">
        <v>1</v>
      </c>
      <c r="G10504" s="4">
        <v>6</v>
      </c>
      <c r="H10504" s="18">
        <v>24</v>
      </c>
    </row>
    <row r="10505" spans="1:8" s="15" customFormat="1" ht="16.5" hidden="1" customHeight="1" outlineLevel="1" x14ac:dyDescent="0.25">
      <c r="A10505" s="18">
        <v>107</v>
      </c>
      <c r="B10505" s="4" t="s">
        <v>250</v>
      </c>
      <c r="C10505" s="38" t="s">
        <v>3758</v>
      </c>
      <c r="D10505" s="18">
        <v>2022</v>
      </c>
      <c r="E10505" s="18" t="s">
        <v>0</v>
      </c>
      <c r="F10505" s="42">
        <v>1</v>
      </c>
      <c r="G10505" s="4">
        <v>15</v>
      </c>
      <c r="H10505" s="18">
        <v>27</v>
      </c>
    </row>
    <row r="10506" spans="1:8" s="15" customFormat="1" ht="16.5" hidden="1" customHeight="1" outlineLevel="1" x14ac:dyDescent="0.25">
      <c r="A10506" s="18">
        <v>39</v>
      </c>
      <c r="B10506" s="4" t="s">
        <v>250</v>
      </c>
      <c r="C10506" s="38" t="s">
        <v>3760</v>
      </c>
      <c r="D10506" s="18">
        <v>2022</v>
      </c>
      <c r="E10506" s="18" t="s">
        <v>0</v>
      </c>
      <c r="F10506" s="42">
        <v>1</v>
      </c>
      <c r="G10506" s="4">
        <v>15</v>
      </c>
      <c r="H10506" s="18">
        <v>25</v>
      </c>
    </row>
    <row r="10507" spans="1:8" s="15" customFormat="1" ht="16.5" hidden="1" customHeight="1" outlineLevel="1" x14ac:dyDescent="0.25">
      <c r="A10507" s="18">
        <v>31</v>
      </c>
      <c r="B10507" s="4" t="s">
        <v>250</v>
      </c>
      <c r="C10507" s="38" t="s">
        <v>3762</v>
      </c>
      <c r="D10507" s="18">
        <v>2022</v>
      </c>
      <c r="E10507" s="18" t="s">
        <v>0</v>
      </c>
      <c r="F10507" s="42">
        <v>1</v>
      </c>
      <c r="G10507" s="4">
        <v>7</v>
      </c>
      <c r="H10507" s="18">
        <v>24</v>
      </c>
    </row>
    <row r="10508" spans="1:8" s="15" customFormat="1" ht="16.5" hidden="1" customHeight="1" outlineLevel="1" x14ac:dyDescent="0.25">
      <c r="A10508" s="18">
        <v>136</v>
      </c>
      <c r="B10508" s="4" t="s">
        <v>250</v>
      </c>
      <c r="C10508" s="38" t="s">
        <v>3764</v>
      </c>
      <c r="D10508" s="18">
        <v>2022</v>
      </c>
      <c r="E10508" s="18" t="s">
        <v>0</v>
      </c>
      <c r="F10508" s="42">
        <v>5</v>
      </c>
      <c r="G10508" s="4">
        <v>75</v>
      </c>
      <c r="H10508" s="18">
        <v>296</v>
      </c>
    </row>
    <row r="10509" spans="1:8" s="15" customFormat="1" ht="16.5" hidden="1" customHeight="1" outlineLevel="1" x14ac:dyDescent="0.25">
      <c r="A10509" s="18">
        <v>94</v>
      </c>
      <c r="B10509" s="4" t="s">
        <v>250</v>
      </c>
      <c r="C10509" s="38" t="s">
        <v>3765</v>
      </c>
      <c r="D10509" s="18">
        <v>2022</v>
      </c>
      <c r="E10509" s="18" t="s">
        <v>0</v>
      </c>
      <c r="F10509" s="42">
        <v>1</v>
      </c>
      <c r="G10509" s="4">
        <v>7.5</v>
      </c>
      <c r="H10509" s="18">
        <v>29</v>
      </c>
    </row>
    <row r="10510" spans="1:8" s="15" customFormat="1" ht="16.5" hidden="1" customHeight="1" outlineLevel="1" x14ac:dyDescent="0.25">
      <c r="A10510" s="18">
        <v>44</v>
      </c>
      <c r="B10510" s="4" t="s">
        <v>250</v>
      </c>
      <c r="C10510" s="38" t="s">
        <v>3769</v>
      </c>
      <c r="D10510" s="18">
        <v>2022</v>
      </c>
      <c r="E10510" s="18" t="s">
        <v>0</v>
      </c>
      <c r="F10510" s="42">
        <v>2</v>
      </c>
      <c r="G10510" s="4">
        <v>30</v>
      </c>
      <c r="H10510" s="18">
        <v>61</v>
      </c>
    </row>
    <row r="10511" spans="1:8" s="15" customFormat="1" ht="16.5" hidden="1" customHeight="1" outlineLevel="1" x14ac:dyDescent="0.25">
      <c r="A10511" s="18">
        <v>76</v>
      </c>
      <c r="B10511" s="4" t="s">
        <v>250</v>
      </c>
      <c r="C10511" s="38" t="s">
        <v>3771</v>
      </c>
      <c r="D10511" s="18">
        <v>2022</v>
      </c>
      <c r="E10511" s="18" t="s">
        <v>0</v>
      </c>
      <c r="F10511" s="42">
        <v>1</v>
      </c>
      <c r="G10511" s="4">
        <v>15</v>
      </c>
      <c r="H10511" s="18">
        <v>25</v>
      </c>
    </row>
    <row r="10512" spans="1:8" s="15" customFormat="1" ht="16.5" hidden="1" customHeight="1" outlineLevel="1" x14ac:dyDescent="0.25">
      <c r="A10512" s="18">
        <v>34</v>
      </c>
      <c r="B10512" s="4" t="s">
        <v>250</v>
      </c>
      <c r="C10512" s="38" t="s">
        <v>3772</v>
      </c>
      <c r="D10512" s="18">
        <v>2022</v>
      </c>
      <c r="E10512" s="18" t="s">
        <v>0</v>
      </c>
      <c r="F10512" s="42">
        <v>1</v>
      </c>
      <c r="G10512" s="4">
        <v>15</v>
      </c>
      <c r="H10512" s="18">
        <v>25</v>
      </c>
    </row>
    <row r="10513" spans="1:8" s="15" customFormat="1" ht="16.5" hidden="1" customHeight="1" outlineLevel="1" x14ac:dyDescent="0.25">
      <c r="A10513" s="18">
        <v>36</v>
      </c>
      <c r="B10513" s="4" t="s">
        <v>250</v>
      </c>
      <c r="C10513" s="38" t="s">
        <v>3773</v>
      </c>
      <c r="D10513" s="18">
        <v>2022</v>
      </c>
      <c r="E10513" s="18" t="s">
        <v>0</v>
      </c>
      <c r="F10513" s="42">
        <v>1</v>
      </c>
      <c r="G10513" s="4">
        <v>15</v>
      </c>
      <c r="H10513" s="18">
        <v>24</v>
      </c>
    </row>
    <row r="10514" spans="1:8" s="15" customFormat="1" ht="16.5" hidden="1" customHeight="1" outlineLevel="1" x14ac:dyDescent="0.25">
      <c r="A10514" s="18">
        <v>93</v>
      </c>
      <c r="B10514" s="4" t="s">
        <v>250</v>
      </c>
      <c r="C10514" s="38" t="s">
        <v>3774</v>
      </c>
      <c r="D10514" s="18">
        <v>2022</v>
      </c>
      <c r="E10514" s="18" t="s">
        <v>0</v>
      </c>
      <c r="F10514" s="42">
        <v>1</v>
      </c>
      <c r="G10514" s="4">
        <v>15</v>
      </c>
      <c r="H10514" s="18">
        <v>25</v>
      </c>
    </row>
    <row r="10515" spans="1:8" s="15" customFormat="1" ht="16.5" hidden="1" customHeight="1" outlineLevel="1" x14ac:dyDescent="0.25">
      <c r="A10515" s="18">
        <v>109</v>
      </c>
      <c r="B10515" s="4" t="s">
        <v>250</v>
      </c>
      <c r="C10515" s="38" t="s">
        <v>3776</v>
      </c>
      <c r="D10515" s="18">
        <v>2022</v>
      </c>
      <c r="E10515" s="18" t="s">
        <v>0</v>
      </c>
      <c r="F10515" s="42">
        <v>1</v>
      </c>
      <c r="G10515" s="4">
        <v>15</v>
      </c>
      <c r="H10515" s="18">
        <v>28</v>
      </c>
    </row>
    <row r="10516" spans="1:8" s="15" customFormat="1" ht="16.5" hidden="1" customHeight="1" outlineLevel="1" x14ac:dyDescent="0.25">
      <c r="A10516" s="18">
        <v>30</v>
      </c>
      <c r="B10516" s="4" t="s">
        <v>250</v>
      </c>
      <c r="C10516" s="38" t="s">
        <v>3777</v>
      </c>
      <c r="D10516" s="18">
        <v>2022</v>
      </c>
      <c r="E10516" s="18" t="s">
        <v>0</v>
      </c>
      <c r="F10516" s="42">
        <v>1</v>
      </c>
      <c r="G10516" s="4">
        <v>15</v>
      </c>
      <c r="H10516" s="18">
        <v>27</v>
      </c>
    </row>
    <row r="10517" spans="1:8" s="15" customFormat="1" ht="16.5" hidden="1" customHeight="1" outlineLevel="1" x14ac:dyDescent="0.25">
      <c r="A10517" s="18">
        <v>90</v>
      </c>
      <c r="B10517" s="4" t="s">
        <v>250</v>
      </c>
      <c r="C10517" s="38" t="s">
        <v>3778</v>
      </c>
      <c r="D10517" s="18">
        <v>2022</v>
      </c>
      <c r="E10517" s="18" t="s">
        <v>0</v>
      </c>
      <c r="F10517" s="42">
        <v>1</v>
      </c>
      <c r="G10517" s="4">
        <v>15</v>
      </c>
      <c r="H10517" s="18">
        <v>24</v>
      </c>
    </row>
    <row r="10518" spans="1:8" s="15" customFormat="1" ht="16.5" hidden="1" customHeight="1" outlineLevel="1" x14ac:dyDescent="0.25">
      <c r="A10518" s="18">
        <v>32</v>
      </c>
      <c r="B10518" s="4" t="s">
        <v>250</v>
      </c>
      <c r="C10518" s="38" t="s">
        <v>3779</v>
      </c>
      <c r="D10518" s="18">
        <v>2022</v>
      </c>
      <c r="E10518" s="18" t="s">
        <v>0</v>
      </c>
      <c r="F10518" s="42">
        <v>1</v>
      </c>
      <c r="G10518" s="4">
        <v>15</v>
      </c>
      <c r="H10518" s="18">
        <v>25</v>
      </c>
    </row>
    <row r="10519" spans="1:8" s="15" customFormat="1" ht="16.5" hidden="1" customHeight="1" outlineLevel="1" x14ac:dyDescent="0.25">
      <c r="A10519" s="18">
        <v>166</v>
      </c>
      <c r="B10519" s="4" t="s">
        <v>250</v>
      </c>
      <c r="C10519" s="38" t="s">
        <v>4243</v>
      </c>
      <c r="D10519" s="18">
        <v>2022</v>
      </c>
      <c r="E10519" s="18" t="s">
        <v>0</v>
      </c>
      <c r="F10519" s="42">
        <v>4</v>
      </c>
      <c r="G10519" s="4">
        <v>600</v>
      </c>
      <c r="H10519" s="18">
        <v>55</v>
      </c>
    </row>
    <row r="10520" spans="1:8" s="15" customFormat="1" ht="16.5" hidden="1" customHeight="1" outlineLevel="1" x14ac:dyDescent="0.25">
      <c r="A10520" s="18">
        <v>125</v>
      </c>
      <c r="B10520" s="4" t="s">
        <v>250</v>
      </c>
      <c r="C10520" s="38" t="s">
        <v>8740</v>
      </c>
      <c r="D10520" s="18">
        <v>2022</v>
      </c>
      <c r="E10520" s="18" t="s">
        <v>0</v>
      </c>
      <c r="F10520" s="42">
        <v>93</v>
      </c>
      <c r="G10520" s="4">
        <v>1300</v>
      </c>
      <c r="H10520" s="18">
        <v>2090</v>
      </c>
    </row>
    <row r="10521" spans="1:8" s="15" customFormat="1" ht="16.5" hidden="1" customHeight="1" outlineLevel="1" x14ac:dyDescent="0.25">
      <c r="A10521" s="18">
        <v>97</v>
      </c>
      <c r="B10521" s="4" t="s">
        <v>250</v>
      </c>
      <c r="C10521" s="38" t="s">
        <v>8741</v>
      </c>
      <c r="D10521" s="18">
        <v>2022</v>
      </c>
      <c r="E10521" s="18" t="s">
        <v>0</v>
      </c>
      <c r="F10521" s="42">
        <v>39</v>
      </c>
      <c r="G10521" s="4">
        <v>493</v>
      </c>
      <c r="H10521" s="18">
        <v>906</v>
      </c>
    </row>
    <row r="10522" spans="1:8" s="15" customFormat="1" ht="16.5" hidden="1" customHeight="1" outlineLevel="1" x14ac:dyDescent="0.25">
      <c r="A10522" s="18">
        <v>175</v>
      </c>
      <c r="B10522" s="4" t="s">
        <v>250</v>
      </c>
      <c r="C10522" s="38" t="s">
        <v>8742</v>
      </c>
      <c r="D10522" s="18">
        <v>2022</v>
      </c>
      <c r="E10522" s="18" t="s">
        <v>0</v>
      </c>
      <c r="F10522" s="42">
        <v>33</v>
      </c>
      <c r="G10522" s="4">
        <v>435</v>
      </c>
      <c r="H10522" s="18">
        <v>640</v>
      </c>
    </row>
    <row r="10523" spans="1:8" s="15" customFormat="1" ht="16.5" hidden="1" customHeight="1" outlineLevel="1" x14ac:dyDescent="0.25">
      <c r="A10523" s="18">
        <v>159</v>
      </c>
      <c r="B10523" s="4" t="s">
        <v>250</v>
      </c>
      <c r="C10523" s="38" t="s">
        <v>8743</v>
      </c>
      <c r="D10523" s="18">
        <v>2022</v>
      </c>
      <c r="E10523" s="18" t="s">
        <v>0</v>
      </c>
      <c r="F10523" s="42">
        <v>1</v>
      </c>
      <c r="G10523" s="4">
        <v>15</v>
      </c>
      <c r="H10523" s="18">
        <v>20</v>
      </c>
    </row>
    <row r="10524" spans="1:8" s="15" customFormat="1" ht="16.5" hidden="1" customHeight="1" outlineLevel="1" x14ac:dyDescent="0.25">
      <c r="A10524" s="18">
        <v>161</v>
      </c>
      <c r="B10524" s="4" t="s">
        <v>250</v>
      </c>
      <c r="C10524" s="38" t="s">
        <v>8744</v>
      </c>
      <c r="D10524" s="18">
        <v>2022</v>
      </c>
      <c r="E10524" s="18" t="s">
        <v>0</v>
      </c>
      <c r="F10524" s="42">
        <v>1</v>
      </c>
      <c r="G10524" s="4">
        <v>14</v>
      </c>
      <c r="H10524" s="18">
        <v>20</v>
      </c>
    </row>
    <row r="10525" spans="1:8" s="15" customFormat="1" ht="16.5" hidden="1" customHeight="1" outlineLevel="1" x14ac:dyDescent="0.25">
      <c r="A10525" s="18">
        <v>173</v>
      </c>
      <c r="B10525" s="4" t="s">
        <v>250</v>
      </c>
      <c r="C10525" s="38" t="s">
        <v>8745</v>
      </c>
      <c r="D10525" s="18">
        <v>2022</v>
      </c>
      <c r="E10525" s="18" t="s">
        <v>0</v>
      </c>
      <c r="F10525" s="42">
        <v>1</v>
      </c>
      <c r="G10525" s="4">
        <v>15</v>
      </c>
      <c r="H10525" s="18">
        <v>19</v>
      </c>
    </row>
    <row r="10526" spans="1:8" s="15" customFormat="1" ht="16.5" hidden="1" customHeight="1" outlineLevel="1" x14ac:dyDescent="0.25">
      <c r="A10526" s="18">
        <v>174</v>
      </c>
      <c r="B10526" s="4" t="s">
        <v>250</v>
      </c>
      <c r="C10526" s="38" t="s">
        <v>8746</v>
      </c>
      <c r="D10526" s="18">
        <v>2022</v>
      </c>
      <c r="E10526" s="18" t="s">
        <v>0</v>
      </c>
      <c r="F10526" s="42">
        <v>1</v>
      </c>
      <c r="G10526" s="4">
        <v>15</v>
      </c>
      <c r="H10526" s="18">
        <v>19</v>
      </c>
    </row>
    <row r="10527" spans="1:8" s="15" customFormat="1" ht="16.5" hidden="1" customHeight="1" outlineLevel="1" x14ac:dyDescent="0.25">
      <c r="A10527" s="18">
        <v>163</v>
      </c>
      <c r="B10527" s="4" t="s">
        <v>250</v>
      </c>
      <c r="C10527" s="38" t="s">
        <v>8747</v>
      </c>
      <c r="D10527" s="18">
        <v>2022</v>
      </c>
      <c r="E10527" s="18" t="s">
        <v>0</v>
      </c>
      <c r="F10527" s="42">
        <v>75</v>
      </c>
      <c r="G10527" s="4">
        <v>1110</v>
      </c>
      <c r="H10527" s="18">
        <v>1711</v>
      </c>
    </row>
    <row r="10528" spans="1:8" s="15" customFormat="1" ht="16.5" hidden="1" customHeight="1" outlineLevel="1" x14ac:dyDescent="0.25">
      <c r="A10528" s="18">
        <v>199</v>
      </c>
      <c r="B10528" s="4" t="s">
        <v>250</v>
      </c>
      <c r="C10528" s="38" t="s">
        <v>8748</v>
      </c>
      <c r="D10528" s="18">
        <v>2022</v>
      </c>
      <c r="E10528" s="18" t="s">
        <v>0</v>
      </c>
      <c r="F10528" s="42">
        <v>126</v>
      </c>
      <c r="G10528" s="4">
        <v>1786.5</v>
      </c>
      <c r="H10528" s="18">
        <v>2099</v>
      </c>
    </row>
    <row r="10529" spans="1:8" s="15" customFormat="1" ht="16.5" hidden="1" customHeight="1" outlineLevel="1" x14ac:dyDescent="0.25">
      <c r="A10529" s="18">
        <v>191</v>
      </c>
      <c r="B10529" s="4" t="s">
        <v>250</v>
      </c>
      <c r="C10529" s="38" t="s">
        <v>8749</v>
      </c>
      <c r="D10529" s="18">
        <v>2022</v>
      </c>
      <c r="E10529" s="18" t="s">
        <v>0</v>
      </c>
      <c r="F10529" s="42">
        <v>2</v>
      </c>
      <c r="G10529" s="4">
        <v>15</v>
      </c>
      <c r="H10529" s="18">
        <v>35</v>
      </c>
    </row>
    <row r="10530" spans="1:8" s="15" customFormat="1" ht="16.5" hidden="1" customHeight="1" outlineLevel="1" x14ac:dyDescent="0.25">
      <c r="A10530" s="18">
        <v>190</v>
      </c>
      <c r="B10530" s="4" t="s">
        <v>250</v>
      </c>
      <c r="C10530" s="38" t="s">
        <v>8750</v>
      </c>
      <c r="D10530" s="18">
        <v>2022</v>
      </c>
      <c r="E10530" s="18" t="s">
        <v>0</v>
      </c>
      <c r="F10530" s="42">
        <v>1</v>
      </c>
      <c r="G10530" s="4">
        <v>15</v>
      </c>
      <c r="H10530" s="18">
        <v>18</v>
      </c>
    </row>
    <row r="10531" spans="1:8" s="15" customFormat="1" ht="16.5" hidden="1" customHeight="1" outlineLevel="1" x14ac:dyDescent="0.25">
      <c r="A10531" s="18">
        <v>187</v>
      </c>
      <c r="B10531" s="4" t="s">
        <v>250</v>
      </c>
      <c r="C10531" s="38" t="s">
        <v>8751</v>
      </c>
      <c r="D10531" s="18">
        <v>2022</v>
      </c>
      <c r="E10531" s="18" t="s">
        <v>0</v>
      </c>
      <c r="F10531" s="42">
        <v>1</v>
      </c>
      <c r="G10531" s="4">
        <v>15</v>
      </c>
      <c r="H10531" s="18">
        <v>19</v>
      </c>
    </row>
    <row r="10532" spans="1:8" s="15" customFormat="1" ht="16.5" hidden="1" customHeight="1" outlineLevel="1" x14ac:dyDescent="0.25">
      <c r="A10532" s="18">
        <v>188</v>
      </c>
      <c r="B10532" s="4" t="s">
        <v>250</v>
      </c>
      <c r="C10532" s="38" t="s">
        <v>8752</v>
      </c>
      <c r="D10532" s="18">
        <v>2022</v>
      </c>
      <c r="E10532" s="18" t="s">
        <v>0</v>
      </c>
      <c r="F10532" s="42">
        <v>1</v>
      </c>
      <c r="G10532" s="4">
        <v>15</v>
      </c>
      <c r="H10532" s="18">
        <v>17</v>
      </c>
    </row>
    <row r="10533" spans="1:8" s="15" customFormat="1" ht="16.5" hidden="1" customHeight="1" outlineLevel="1" x14ac:dyDescent="0.25">
      <c r="A10533" s="18">
        <v>189</v>
      </c>
      <c r="B10533" s="4" t="s">
        <v>250</v>
      </c>
      <c r="C10533" s="38" t="s">
        <v>8753</v>
      </c>
      <c r="D10533" s="18">
        <v>2022</v>
      </c>
      <c r="E10533" s="18" t="s">
        <v>0</v>
      </c>
      <c r="F10533" s="42">
        <v>1</v>
      </c>
      <c r="G10533" s="4">
        <v>15</v>
      </c>
      <c r="H10533" s="18">
        <v>20</v>
      </c>
    </row>
    <row r="10534" spans="1:8" s="15" customFormat="1" ht="16.5" hidden="1" customHeight="1" outlineLevel="1" x14ac:dyDescent="0.25">
      <c r="A10534" s="18">
        <v>227</v>
      </c>
      <c r="B10534" s="4" t="s">
        <v>250</v>
      </c>
      <c r="C10534" s="38" t="s">
        <v>8754</v>
      </c>
      <c r="D10534" s="18">
        <v>2022</v>
      </c>
      <c r="E10534" s="18" t="s">
        <v>0</v>
      </c>
      <c r="F10534" s="42">
        <v>1</v>
      </c>
      <c r="G10534" s="4">
        <v>15</v>
      </c>
      <c r="H10534" s="18">
        <v>17</v>
      </c>
    </row>
    <row r="10535" spans="1:8" s="15" customFormat="1" ht="16.5" hidden="1" customHeight="1" outlineLevel="1" x14ac:dyDescent="0.25">
      <c r="A10535" s="18">
        <v>231</v>
      </c>
      <c r="B10535" s="4" t="s">
        <v>250</v>
      </c>
      <c r="C10535" s="38" t="s">
        <v>8755</v>
      </c>
      <c r="D10535" s="18">
        <v>2022</v>
      </c>
      <c r="E10535" s="18" t="s">
        <v>0</v>
      </c>
      <c r="F10535" s="42">
        <v>1</v>
      </c>
      <c r="G10535" s="4">
        <v>15</v>
      </c>
      <c r="H10535" s="18">
        <v>17</v>
      </c>
    </row>
    <row r="10536" spans="1:8" s="15" customFormat="1" ht="16.5" hidden="1" customHeight="1" outlineLevel="1" x14ac:dyDescent="0.25">
      <c r="A10536" s="18">
        <v>235</v>
      </c>
      <c r="B10536" s="4" t="s">
        <v>250</v>
      </c>
      <c r="C10536" s="38" t="s">
        <v>8756</v>
      </c>
      <c r="D10536" s="18">
        <v>2022</v>
      </c>
      <c r="E10536" s="18" t="s">
        <v>0</v>
      </c>
      <c r="F10536" s="42">
        <v>1</v>
      </c>
      <c r="G10536" s="4">
        <v>15</v>
      </c>
      <c r="H10536" s="18">
        <v>17</v>
      </c>
    </row>
    <row r="10537" spans="1:8" s="15" customFormat="1" ht="16.5" hidden="1" customHeight="1" outlineLevel="1" x14ac:dyDescent="0.25">
      <c r="A10537" s="18">
        <v>234</v>
      </c>
      <c r="B10537" s="4" t="s">
        <v>250</v>
      </c>
      <c r="C10537" s="38" t="s">
        <v>8757</v>
      </c>
      <c r="D10537" s="18">
        <v>2022</v>
      </c>
      <c r="E10537" s="18" t="s">
        <v>0</v>
      </c>
      <c r="F10537" s="42">
        <v>1</v>
      </c>
      <c r="G10537" s="4">
        <v>15</v>
      </c>
      <c r="H10537" s="18">
        <v>17</v>
      </c>
    </row>
    <row r="10538" spans="1:8" s="15" customFormat="1" ht="16.5" hidden="1" customHeight="1" outlineLevel="1" x14ac:dyDescent="0.25">
      <c r="A10538" s="18">
        <v>233</v>
      </c>
      <c r="B10538" s="4" t="s">
        <v>250</v>
      </c>
      <c r="C10538" s="38" t="s">
        <v>8758</v>
      </c>
      <c r="D10538" s="18">
        <v>2022</v>
      </c>
      <c r="E10538" s="18" t="s">
        <v>0</v>
      </c>
      <c r="F10538" s="42">
        <v>1</v>
      </c>
      <c r="G10538" s="4">
        <v>15</v>
      </c>
      <c r="H10538" s="18">
        <v>17</v>
      </c>
    </row>
    <row r="10539" spans="1:8" s="15" customFormat="1" ht="16.5" hidden="1" customHeight="1" outlineLevel="1" x14ac:dyDescent="0.25">
      <c r="A10539" s="18">
        <v>228</v>
      </c>
      <c r="B10539" s="4" t="s">
        <v>250</v>
      </c>
      <c r="C10539" s="38" t="s">
        <v>8759</v>
      </c>
      <c r="D10539" s="18">
        <v>2022</v>
      </c>
      <c r="E10539" s="18" t="s">
        <v>0</v>
      </c>
      <c r="F10539" s="42">
        <v>1</v>
      </c>
      <c r="G10539" s="4">
        <v>15</v>
      </c>
      <c r="H10539" s="18">
        <v>17</v>
      </c>
    </row>
    <row r="10540" spans="1:8" s="15" customFormat="1" ht="16.5" hidden="1" customHeight="1" outlineLevel="1" x14ac:dyDescent="0.25">
      <c r="A10540" s="18">
        <v>232</v>
      </c>
      <c r="B10540" s="4" t="s">
        <v>250</v>
      </c>
      <c r="C10540" s="38" t="s">
        <v>8760</v>
      </c>
      <c r="D10540" s="18">
        <v>2022</v>
      </c>
      <c r="E10540" s="18" t="s">
        <v>0</v>
      </c>
      <c r="F10540" s="42">
        <v>1</v>
      </c>
      <c r="G10540" s="4">
        <v>15</v>
      </c>
      <c r="H10540" s="18">
        <v>17</v>
      </c>
    </row>
    <row r="10541" spans="1:8" s="15" customFormat="1" ht="16.5" hidden="1" customHeight="1" outlineLevel="1" x14ac:dyDescent="0.25">
      <c r="A10541" s="18">
        <v>229</v>
      </c>
      <c r="B10541" s="4" t="s">
        <v>250</v>
      </c>
      <c r="C10541" s="38" t="s">
        <v>8761</v>
      </c>
      <c r="D10541" s="18">
        <v>2022</v>
      </c>
      <c r="E10541" s="18" t="s">
        <v>0</v>
      </c>
      <c r="F10541" s="42">
        <v>1</v>
      </c>
      <c r="G10541" s="4">
        <v>15</v>
      </c>
      <c r="H10541" s="18">
        <v>17</v>
      </c>
    </row>
    <row r="10542" spans="1:8" s="15" customFormat="1" ht="16.5" hidden="1" customHeight="1" outlineLevel="1" x14ac:dyDescent="0.25">
      <c r="A10542" s="18">
        <v>27</v>
      </c>
      <c r="B10542" s="4" t="s">
        <v>250</v>
      </c>
      <c r="C10542" s="38" t="s">
        <v>8762</v>
      </c>
      <c r="D10542" s="18">
        <v>2022</v>
      </c>
      <c r="E10542" s="18" t="s">
        <v>0</v>
      </c>
      <c r="F10542" s="42">
        <v>1</v>
      </c>
      <c r="G10542" s="4">
        <v>10</v>
      </c>
      <c r="H10542" s="18">
        <v>20</v>
      </c>
    </row>
    <row r="10543" spans="1:8" s="15" customFormat="1" ht="16.5" hidden="1" customHeight="1" outlineLevel="1" x14ac:dyDescent="0.25">
      <c r="A10543" s="18">
        <v>55</v>
      </c>
      <c r="B10543" s="4" t="s">
        <v>250</v>
      </c>
      <c r="C10543" s="38" t="s">
        <v>8763</v>
      </c>
      <c r="D10543" s="18">
        <v>2022</v>
      </c>
      <c r="E10543" s="18" t="s">
        <v>0</v>
      </c>
      <c r="F10543" s="42">
        <v>1</v>
      </c>
      <c r="G10543" s="4">
        <v>15</v>
      </c>
      <c r="H10543" s="18">
        <v>20</v>
      </c>
    </row>
    <row r="10544" spans="1:8" s="15" customFormat="1" ht="16.5" hidden="1" customHeight="1" outlineLevel="1" x14ac:dyDescent="0.25">
      <c r="A10544" s="18">
        <v>122</v>
      </c>
      <c r="B10544" s="4" t="s">
        <v>250</v>
      </c>
      <c r="C10544" s="38" t="s">
        <v>8764</v>
      </c>
      <c r="D10544" s="18">
        <v>2022</v>
      </c>
      <c r="E10544" s="18" t="s">
        <v>0</v>
      </c>
      <c r="F10544" s="42">
        <v>1</v>
      </c>
      <c r="G10544" s="4">
        <v>15</v>
      </c>
      <c r="H10544" s="18">
        <v>21</v>
      </c>
    </row>
    <row r="10545" spans="1:8" s="15" customFormat="1" ht="16.5" hidden="1" customHeight="1" outlineLevel="1" x14ac:dyDescent="0.25">
      <c r="A10545" s="18">
        <v>26</v>
      </c>
      <c r="B10545" s="4" t="s">
        <v>250</v>
      </c>
      <c r="C10545" s="38" t="s">
        <v>8765</v>
      </c>
      <c r="D10545" s="18">
        <v>2022</v>
      </c>
      <c r="E10545" s="18" t="s">
        <v>0</v>
      </c>
      <c r="F10545" s="42">
        <v>1</v>
      </c>
      <c r="G10545" s="4">
        <v>15</v>
      </c>
      <c r="H10545" s="18">
        <v>25</v>
      </c>
    </row>
    <row r="10546" spans="1:8" s="15" customFormat="1" ht="16.5" hidden="1" customHeight="1" outlineLevel="1" x14ac:dyDescent="0.25">
      <c r="A10546" s="18">
        <v>71</v>
      </c>
      <c r="B10546" s="4" t="s">
        <v>250</v>
      </c>
      <c r="C10546" s="38" t="s">
        <v>8766</v>
      </c>
      <c r="D10546" s="18">
        <v>2022</v>
      </c>
      <c r="E10546" s="18" t="s">
        <v>0</v>
      </c>
      <c r="F10546" s="42">
        <v>11</v>
      </c>
      <c r="G10546" s="4">
        <v>105.5</v>
      </c>
      <c r="H10546" s="18">
        <v>217</v>
      </c>
    </row>
    <row r="10547" spans="1:8" s="15" customFormat="1" ht="16.5" hidden="1" customHeight="1" outlineLevel="1" x14ac:dyDescent="0.25">
      <c r="A10547" s="18">
        <v>50</v>
      </c>
      <c r="B10547" s="4" t="s">
        <v>250</v>
      </c>
      <c r="C10547" s="38" t="s">
        <v>8767</v>
      </c>
      <c r="D10547" s="18">
        <v>2022</v>
      </c>
      <c r="E10547" s="18" t="s">
        <v>0</v>
      </c>
      <c r="F10547" s="42">
        <v>1</v>
      </c>
      <c r="G10547" s="4">
        <v>15</v>
      </c>
      <c r="H10547" s="18">
        <v>20</v>
      </c>
    </row>
    <row r="10548" spans="1:8" s="15" customFormat="1" ht="16.5" hidden="1" customHeight="1" outlineLevel="1" x14ac:dyDescent="0.25">
      <c r="A10548" s="18">
        <v>78</v>
      </c>
      <c r="B10548" s="4" t="s">
        <v>250</v>
      </c>
      <c r="C10548" s="38" t="s">
        <v>8768</v>
      </c>
      <c r="D10548" s="18">
        <v>2022</v>
      </c>
      <c r="E10548" s="18" t="s">
        <v>0</v>
      </c>
      <c r="F10548" s="42">
        <v>1</v>
      </c>
      <c r="G10548" s="4">
        <v>14</v>
      </c>
      <c r="H10548" s="18">
        <v>20</v>
      </c>
    </row>
    <row r="10549" spans="1:8" s="15" customFormat="1" ht="16.5" hidden="1" customHeight="1" outlineLevel="1" x14ac:dyDescent="0.25">
      <c r="A10549" s="18">
        <v>79</v>
      </c>
      <c r="B10549" s="4" t="s">
        <v>250</v>
      </c>
      <c r="C10549" s="38" t="s">
        <v>8769</v>
      </c>
      <c r="D10549" s="18">
        <v>2022</v>
      </c>
      <c r="E10549" s="18" t="s">
        <v>0</v>
      </c>
      <c r="F10549" s="42">
        <v>1</v>
      </c>
      <c r="G10549" s="4">
        <v>14</v>
      </c>
      <c r="H10549" s="18">
        <v>20</v>
      </c>
    </row>
    <row r="10550" spans="1:8" s="15" customFormat="1" ht="16.5" hidden="1" customHeight="1" outlineLevel="1" x14ac:dyDescent="0.25">
      <c r="A10550" s="18">
        <v>80</v>
      </c>
      <c r="B10550" s="4" t="s">
        <v>250</v>
      </c>
      <c r="C10550" s="38" t="s">
        <v>8770</v>
      </c>
      <c r="D10550" s="18">
        <v>2022</v>
      </c>
      <c r="E10550" s="18" t="s">
        <v>0</v>
      </c>
      <c r="F10550" s="42">
        <v>1</v>
      </c>
      <c r="G10550" s="4">
        <v>15</v>
      </c>
      <c r="H10550" s="18">
        <v>20</v>
      </c>
    </row>
    <row r="10551" spans="1:8" s="15" customFormat="1" ht="16.5" hidden="1" customHeight="1" outlineLevel="1" x14ac:dyDescent="0.25">
      <c r="A10551" s="18">
        <v>85</v>
      </c>
      <c r="B10551" s="4" t="s">
        <v>250</v>
      </c>
      <c r="C10551" s="38" t="s">
        <v>8771</v>
      </c>
      <c r="D10551" s="18">
        <v>2022</v>
      </c>
      <c r="E10551" s="18" t="s">
        <v>0</v>
      </c>
      <c r="F10551" s="42">
        <v>1</v>
      </c>
      <c r="G10551" s="4">
        <v>20</v>
      </c>
      <c r="H10551" s="18">
        <v>20</v>
      </c>
    </row>
    <row r="10552" spans="1:8" s="15" customFormat="1" ht="16.5" hidden="1" customHeight="1" outlineLevel="1" x14ac:dyDescent="0.25">
      <c r="A10552" s="18">
        <v>124</v>
      </c>
      <c r="B10552" s="4" t="s">
        <v>250</v>
      </c>
      <c r="C10552" s="38" t="s">
        <v>8772</v>
      </c>
      <c r="D10552" s="18">
        <v>2022</v>
      </c>
      <c r="E10552" s="18" t="s">
        <v>0</v>
      </c>
      <c r="F10552" s="42">
        <v>1</v>
      </c>
      <c r="G10552" s="4">
        <v>15</v>
      </c>
      <c r="H10552" s="18">
        <v>21</v>
      </c>
    </row>
    <row r="10553" spans="1:8" s="15" customFormat="1" ht="16.5" hidden="1" customHeight="1" outlineLevel="1" x14ac:dyDescent="0.25">
      <c r="A10553" s="18">
        <v>153</v>
      </c>
      <c r="B10553" s="4" t="s">
        <v>250</v>
      </c>
      <c r="C10553" s="38" t="s">
        <v>3980</v>
      </c>
      <c r="D10553" s="18">
        <v>2022</v>
      </c>
      <c r="E10553" s="18" t="s">
        <v>0</v>
      </c>
      <c r="F10553" s="42">
        <v>1</v>
      </c>
      <c r="G10553" s="4">
        <v>150</v>
      </c>
      <c r="H10553" s="18">
        <v>70</v>
      </c>
    </row>
    <row r="10554" spans="1:8" s="15" customFormat="1" ht="16.5" hidden="1" customHeight="1" outlineLevel="1" x14ac:dyDescent="0.25">
      <c r="A10554" s="18">
        <v>61</v>
      </c>
      <c r="B10554" s="4" t="s">
        <v>250</v>
      </c>
      <c r="C10554" s="38" t="s">
        <v>8773</v>
      </c>
      <c r="D10554" s="18">
        <v>2022</v>
      </c>
      <c r="E10554" s="18" t="s">
        <v>0</v>
      </c>
      <c r="F10554" s="42">
        <v>1</v>
      </c>
      <c r="G10554" s="4">
        <v>50</v>
      </c>
      <c r="H10554" s="18">
        <v>25</v>
      </c>
    </row>
    <row r="10555" spans="1:8" s="15" customFormat="1" ht="16.5" hidden="1" customHeight="1" outlineLevel="1" x14ac:dyDescent="0.25">
      <c r="A10555" s="18">
        <v>70</v>
      </c>
      <c r="B10555" s="4" t="s">
        <v>250</v>
      </c>
      <c r="C10555" s="38" t="s">
        <v>8774</v>
      </c>
      <c r="D10555" s="18">
        <v>2022</v>
      </c>
      <c r="E10555" s="18" t="s">
        <v>0</v>
      </c>
      <c r="F10555" s="42">
        <v>1</v>
      </c>
      <c r="G10555" s="4">
        <v>65</v>
      </c>
      <c r="H10555" s="18">
        <v>24</v>
      </c>
    </row>
    <row r="10556" spans="1:8" s="15" customFormat="1" ht="16.5" hidden="1" customHeight="1" outlineLevel="1" x14ac:dyDescent="0.25">
      <c r="A10556" s="18">
        <v>73</v>
      </c>
      <c r="B10556" s="4" t="s">
        <v>250</v>
      </c>
      <c r="C10556" s="38" t="s">
        <v>8775</v>
      </c>
      <c r="D10556" s="18">
        <v>2022</v>
      </c>
      <c r="E10556" s="18" t="s">
        <v>0</v>
      </c>
      <c r="F10556" s="42">
        <v>1</v>
      </c>
      <c r="G10556" s="4">
        <v>70</v>
      </c>
      <c r="H10556" s="18">
        <v>25</v>
      </c>
    </row>
    <row r="10557" spans="1:8" s="15" customFormat="1" ht="16.5" hidden="1" customHeight="1" outlineLevel="1" x14ac:dyDescent="0.25">
      <c r="A10557" s="18">
        <v>57</v>
      </c>
      <c r="B10557" s="4" t="s">
        <v>250</v>
      </c>
      <c r="C10557" s="38" t="s">
        <v>8776</v>
      </c>
      <c r="D10557" s="18">
        <v>2022</v>
      </c>
      <c r="E10557" s="18" t="s">
        <v>0</v>
      </c>
      <c r="F10557" s="42">
        <v>1</v>
      </c>
      <c r="G10557" s="4">
        <v>50</v>
      </c>
      <c r="H10557" s="18">
        <v>25</v>
      </c>
    </row>
    <row r="10558" spans="1:8" s="15" customFormat="1" ht="16.5" hidden="1" customHeight="1" outlineLevel="1" x14ac:dyDescent="0.25">
      <c r="A10558" s="18">
        <v>74</v>
      </c>
      <c r="B10558" s="4" t="s">
        <v>250</v>
      </c>
      <c r="C10558" s="38" t="s">
        <v>8777</v>
      </c>
      <c r="D10558" s="18">
        <v>2022</v>
      </c>
      <c r="E10558" s="18" t="s">
        <v>0</v>
      </c>
      <c r="F10558" s="42">
        <v>1</v>
      </c>
      <c r="G10558" s="4">
        <v>50</v>
      </c>
      <c r="H10558" s="18">
        <v>24</v>
      </c>
    </row>
    <row r="10559" spans="1:8" s="15" customFormat="1" ht="16.5" hidden="1" customHeight="1" outlineLevel="1" x14ac:dyDescent="0.25">
      <c r="A10559" s="18">
        <v>56</v>
      </c>
      <c r="B10559" s="4" t="s">
        <v>250</v>
      </c>
      <c r="C10559" s="38" t="s">
        <v>8778</v>
      </c>
      <c r="D10559" s="18">
        <v>2022</v>
      </c>
      <c r="E10559" s="18" t="s">
        <v>0</v>
      </c>
      <c r="F10559" s="42">
        <v>1</v>
      </c>
      <c r="G10559" s="4">
        <v>60</v>
      </c>
      <c r="H10559" s="18">
        <v>25</v>
      </c>
    </row>
    <row r="10560" spans="1:8" s="15" customFormat="1" ht="16.5" hidden="1" customHeight="1" outlineLevel="1" x14ac:dyDescent="0.25">
      <c r="A10560" s="18">
        <v>88</v>
      </c>
      <c r="B10560" s="4" t="s">
        <v>250</v>
      </c>
      <c r="C10560" s="38" t="s">
        <v>8779</v>
      </c>
      <c r="D10560" s="18">
        <v>2022</v>
      </c>
      <c r="E10560" s="18" t="s">
        <v>0</v>
      </c>
      <c r="F10560" s="42">
        <v>1</v>
      </c>
      <c r="G10560" s="4">
        <v>15</v>
      </c>
      <c r="H10560" s="18">
        <v>22</v>
      </c>
    </row>
    <row r="10561" spans="1:8" s="15" customFormat="1" ht="16.5" hidden="1" customHeight="1" outlineLevel="1" x14ac:dyDescent="0.25">
      <c r="A10561" s="18">
        <v>87</v>
      </c>
      <c r="B10561" s="4" t="s">
        <v>250</v>
      </c>
      <c r="C10561" s="38" t="s">
        <v>8780</v>
      </c>
      <c r="D10561" s="18">
        <v>2022</v>
      </c>
      <c r="E10561" s="18" t="s">
        <v>0</v>
      </c>
      <c r="F10561" s="42">
        <v>1</v>
      </c>
      <c r="G10561" s="4">
        <v>15</v>
      </c>
      <c r="H10561" s="18">
        <v>22</v>
      </c>
    </row>
    <row r="10562" spans="1:8" s="15" customFormat="1" ht="16.5" hidden="1" customHeight="1" outlineLevel="1" x14ac:dyDescent="0.25">
      <c r="A10562" s="18">
        <v>69</v>
      </c>
      <c r="B10562" s="4" t="s">
        <v>250</v>
      </c>
      <c r="C10562" s="38" t="s">
        <v>8781</v>
      </c>
      <c r="D10562" s="18">
        <v>2022</v>
      </c>
      <c r="E10562" s="18" t="s">
        <v>0</v>
      </c>
      <c r="F10562" s="42">
        <v>1</v>
      </c>
      <c r="G10562" s="4">
        <v>15</v>
      </c>
      <c r="H10562" s="18">
        <v>22</v>
      </c>
    </row>
    <row r="10563" spans="1:8" s="15" customFormat="1" ht="16.5" hidden="1" customHeight="1" outlineLevel="1" x14ac:dyDescent="0.25">
      <c r="A10563" s="18">
        <v>62</v>
      </c>
      <c r="B10563" s="4" t="s">
        <v>250</v>
      </c>
      <c r="C10563" s="38" t="s">
        <v>8782</v>
      </c>
      <c r="D10563" s="18">
        <v>2022</v>
      </c>
      <c r="E10563" s="18" t="s">
        <v>0</v>
      </c>
      <c r="F10563" s="42">
        <v>1</v>
      </c>
      <c r="G10563" s="4">
        <v>15</v>
      </c>
      <c r="H10563" s="18">
        <v>21</v>
      </c>
    </row>
    <row r="10564" spans="1:8" s="15" customFormat="1" ht="16.5" hidden="1" customHeight="1" outlineLevel="1" x14ac:dyDescent="0.25">
      <c r="A10564" s="18">
        <v>64</v>
      </c>
      <c r="B10564" s="4" t="s">
        <v>250</v>
      </c>
      <c r="C10564" s="38" t="s">
        <v>8783</v>
      </c>
      <c r="D10564" s="18">
        <v>2022</v>
      </c>
      <c r="E10564" s="18" t="s">
        <v>0</v>
      </c>
      <c r="F10564" s="42">
        <v>1</v>
      </c>
      <c r="G10564" s="4">
        <v>15</v>
      </c>
      <c r="H10564" s="18">
        <v>22</v>
      </c>
    </row>
    <row r="10565" spans="1:8" s="15" customFormat="1" ht="16.5" hidden="1" customHeight="1" outlineLevel="1" x14ac:dyDescent="0.25">
      <c r="A10565" s="18">
        <v>60</v>
      </c>
      <c r="B10565" s="4" t="s">
        <v>250</v>
      </c>
      <c r="C10565" s="38" t="s">
        <v>8784</v>
      </c>
      <c r="D10565" s="18">
        <v>2022</v>
      </c>
      <c r="E10565" s="18" t="s">
        <v>0</v>
      </c>
      <c r="F10565" s="42">
        <v>1</v>
      </c>
      <c r="G10565" s="4">
        <v>15</v>
      </c>
      <c r="H10565" s="18">
        <v>22</v>
      </c>
    </row>
    <row r="10566" spans="1:8" s="15" customFormat="1" ht="16.5" hidden="1" customHeight="1" outlineLevel="1" x14ac:dyDescent="0.25">
      <c r="A10566" s="18">
        <v>66</v>
      </c>
      <c r="B10566" s="4" t="s">
        <v>250</v>
      </c>
      <c r="C10566" s="38" t="s">
        <v>8785</v>
      </c>
      <c r="D10566" s="18">
        <v>2022</v>
      </c>
      <c r="E10566" s="18" t="s">
        <v>0</v>
      </c>
      <c r="F10566" s="42">
        <v>1</v>
      </c>
      <c r="G10566" s="4">
        <v>15</v>
      </c>
      <c r="H10566" s="18">
        <v>21</v>
      </c>
    </row>
    <row r="10567" spans="1:8" s="15" customFormat="1" ht="16.5" hidden="1" customHeight="1" outlineLevel="1" x14ac:dyDescent="0.25">
      <c r="A10567" s="18">
        <v>81</v>
      </c>
      <c r="B10567" s="4" t="s">
        <v>250</v>
      </c>
      <c r="C10567" s="38" t="s">
        <v>8786</v>
      </c>
      <c r="D10567" s="18">
        <v>2022</v>
      </c>
      <c r="E10567" s="18" t="s">
        <v>0</v>
      </c>
      <c r="F10567" s="42">
        <v>1</v>
      </c>
      <c r="G10567" s="4">
        <v>15</v>
      </c>
      <c r="H10567" s="18">
        <v>24</v>
      </c>
    </row>
    <row r="10568" spans="1:8" s="15" customFormat="1" ht="16.5" hidden="1" customHeight="1" outlineLevel="1" x14ac:dyDescent="0.25">
      <c r="A10568" s="18">
        <v>83</v>
      </c>
      <c r="B10568" s="4" t="s">
        <v>250</v>
      </c>
      <c r="C10568" s="38" t="s">
        <v>8787</v>
      </c>
      <c r="D10568" s="18">
        <v>2022</v>
      </c>
      <c r="E10568" s="18" t="s">
        <v>0</v>
      </c>
      <c r="F10568" s="42">
        <v>1</v>
      </c>
      <c r="G10568" s="4">
        <v>15</v>
      </c>
      <c r="H10568" s="18">
        <v>22</v>
      </c>
    </row>
    <row r="10569" spans="1:8" s="15" customFormat="1" ht="16.5" hidden="1" customHeight="1" outlineLevel="1" x14ac:dyDescent="0.25">
      <c r="A10569" s="18">
        <v>84</v>
      </c>
      <c r="B10569" s="4" t="s">
        <v>250</v>
      </c>
      <c r="C10569" s="38" t="s">
        <v>8788</v>
      </c>
      <c r="D10569" s="18">
        <v>2022</v>
      </c>
      <c r="E10569" s="18" t="s">
        <v>0</v>
      </c>
      <c r="F10569" s="42">
        <v>1</v>
      </c>
      <c r="G10569" s="4">
        <v>15</v>
      </c>
      <c r="H10569" s="18">
        <v>22</v>
      </c>
    </row>
    <row r="10570" spans="1:8" s="15" customFormat="1" ht="16.5" hidden="1" customHeight="1" outlineLevel="1" x14ac:dyDescent="0.25">
      <c r="A10570" s="18">
        <v>77</v>
      </c>
      <c r="B10570" s="4" t="s">
        <v>250</v>
      </c>
      <c r="C10570" s="38" t="s">
        <v>8789</v>
      </c>
      <c r="D10570" s="18">
        <v>2022</v>
      </c>
      <c r="E10570" s="18" t="s">
        <v>0</v>
      </c>
      <c r="F10570" s="42">
        <v>1</v>
      </c>
      <c r="G10570" s="4">
        <v>14</v>
      </c>
      <c r="H10570" s="18">
        <v>21</v>
      </c>
    </row>
    <row r="10571" spans="1:8" s="15" customFormat="1" ht="16.5" hidden="1" customHeight="1" outlineLevel="1" x14ac:dyDescent="0.25">
      <c r="A10571" s="18">
        <v>82</v>
      </c>
      <c r="B10571" s="4" t="s">
        <v>250</v>
      </c>
      <c r="C10571" s="38" t="s">
        <v>8790</v>
      </c>
      <c r="D10571" s="18">
        <v>2022</v>
      </c>
      <c r="E10571" s="18" t="s">
        <v>0</v>
      </c>
      <c r="F10571" s="42">
        <v>1</v>
      </c>
      <c r="G10571" s="4">
        <v>15</v>
      </c>
      <c r="H10571" s="18">
        <v>22</v>
      </c>
    </row>
    <row r="10572" spans="1:8" s="15" customFormat="1" ht="16.5" hidden="1" customHeight="1" outlineLevel="1" x14ac:dyDescent="0.25">
      <c r="A10572" s="18">
        <v>86</v>
      </c>
      <c r="B10572" s="4" t="s">
        <v>250</v>
      </c>
      <c r="C10572" s="38" t="s">
        <v>8791</v>
      </c>
      <c r="D10572" s="18">
        <v>2022</v>
      </c>
      <c r="E10572" s="18" t="s">
        <v>0</v>
      </c>
      <c r="F10572" s="42">
        <v>1</v>
      </c>
      <c r="G10572" s="4">
        <v>14</v>
      </c>
      <c r="H10572" s="18">
        <v>21</v>
      </c>
    </row>
    <row r="10573" spans="1:8" s="15" customFormat="1" ht="16.5" hidden="1" customHeight="1" outlineLevel="1" x14ac:dyDescent="0.25">
      <c r="A10573" s="18">
        <v>68</v>
      </c>
      <c r="B10573" s="4" t="s">
        <v>250</v>
      </c>
      <c r="C10573" s="38" t="s">
        <v>8792</v>
      </c>
      <c r="D10573" s="18">
        <v>2022</v>
      </c>
      <c r="E10573" s="18" t="s">
        <v>0</v>
      </c>
      <c r="F10573" s="42">
        <v>1</v>
      </c>
      <c r="G10573" s="4">
        <v>15</v>
      </c>
      <c r="H10573" s="18">
        <v>21</v>
      </c>
    </row>
    <row r="10574" spans="1:8" s="15" customFormat="1" ht="16.5" hidden="1" customHeight="1" outlineLevel="1" x14ac:dyDescent="0.25">
      <c r="A10574" s="18">
        <v>51</v>
      </c>
      <c r="B10574" s="4" t="s">
        <v>250</v>
      </c>
      <c r="C10574" s="38" t="s">
        <v>8793</v>
      </c>
      <c r="D10574" s="18">
        <v>2022</v>
      </c>
      <c r="E10574" s="18" t="s">
        <v>0</v>
      </c>
      <c r="F10574" s="42">
        <v>1</v>
      </c>
      <c r="G10574" s="4">
        <v>15</v>
      </c>
      <c r="H10574" s="18">
        <v>21</v>
      </c>
    </row>
    <row r="10575" spans="1:8" s="15" customFormat="1" ht="16.5" hidden="1" customHeight="1" outlineLevel="1" x14ac:dyDescent="0.25">
      <c r="A10575" s="18">
        <v>131</v>
      </c>
      <c r="B10575" s="4" t="s">
        <v>250</v>
      </c>
      <c r="C10575" s="38" t="s">
        <v>8794</v>
      </c>
      <c r="D10575" s="18">
        <v>2022</v>
      </c>
      <c r="E10575" s="18" t="s">
        <v>0</v>
      </c>
      <c r="F10575" s="42">
        <v>1</v>
      </c>
      <c r="G10575" s="4">
        <v>15</v>
      </c>
      <c r="H10575" s="18">
        <v>19</v>
      </c>
    </row>
    <row r="10576" spans="1:8" s="15" customFormat="1" ht="16.5" hidden="1" customHeight="1" outlineLevel="1" x14ac:dyDescent="0.25">
      <c r="A10576" s="18">
        <v>132</v>
      </c>
      <c r="B10576" s="4" t="s">
        <v>250</v>
      </c>
      <c r="C10576" s="38" t="s">
        <v>8795</v>
      </c>
      <c r="D10576" s="18">
        <v>2022</v>
      </c>
      <c r="E10576" s="18" t="s">
        <v>0</v>
      </c>
      <c r="F10576" s="42">
        <v>2</v>
      </c>
      <c r="G10576" s="4">
        <v>25</v>
      </c>
      <c r="H10576" s="18">
        <v>38</v>
      </c>
    </row>
    <row r="10577" spans="1:8" s="15" customFormat="1" ht="16.5" hidden="1" customHeight="1" outlineLevel="1" x14ac:dyDescent="0.25">
      <c r="A10577" s="18">
        <v>133</v>
      </c>
      <c r="B10577" s="4" t="s">
        <v>250</v>
      </c>
      <c r="C10577" s="38" t="s">
        <v>8796</v>
      </c>
      <c r="D10577" s="18">
        <v>2022</v>
      </c>
      <c r="E10577" s="18" t="s">
        <v>0</v>
      </c>
      <c r="F10577" s="42">
        <v>1</v>
      </c>
      <c r="G10577" s="4">
        <v>11</v>
      </c>
      <c r="H10577" s="18">
        <v>20</v>
      </c>
    </row>
    <row r="10578" spans="1:8" s="15" customFormat="1" ht="16.5" hidden="1" customHeight="1" outlineLevel="1" x14ac:dyDescent="0.25">
      <c r="A10578" s="18">
        <v>134</v>
      </c>
      <c r="B10578" s="4" t="s">
        <v>250</v>
      </c>
      <c r="C10578" s="38" t="s">
        <v>8797</v>
      </c>
      <c r="D10578" s="18">
        <v>2022</v>
      </c>
      <c r="E10578" s="18" t="s">
        <v>0</v>
      </c>
      <c r="F10578" s="42">
        <v>1</v>
      </c>
      <c r="G10578" s="4">
        <v>15</v>
      </c>
      <c r="H10578" s="18">
        <v>20</v>
      </c>
    </row>
    <row r="10579" spans="1:8" s="15" customFormat="1" ht="16.5" hidden="1" customHeight="1" outlineLevel="1" x14ac:dyDescent="0.25">
      <c r="A10579" s="18">
        <v>158</v>
      </c>
      <c r="B10579" s="4" t="s">
        <v>250</v>
      </c>
      <c r="C10579" s="38" t="s">
        <v>8798</v>
      </c>
      <c r="D10579" s="18">
        <v>2022</v>
      </c>
      <c r="E10579" s="18" t="s">
        <v>0</v>
      </c>
      <c r="F10579" s="42">
        <v>1</v>
      </c>
      <c r="G10579" s="4">
        <v>149</v>
      </c>
      <c r="H10579" s="18">
        <v>32</v>
      </c>
    </row>
    <row r="10580" spans="1:8" s="15" customFormat="1" ht="16.5" hidden="1" customHeight="1" outlineLevel="1" x14ac:dyDescent="0.25">
      <c r="A10580" s="18">
        <v>249</v>
      </c>
      <c r="B10580" s="4" t="s">
        <v>250</v>
      </c>
      <c r="C10580" s="38" t="s">
        <v>3780</v>
      </c>
      <c r="D10580" s="18">
        <v>2022</v>
      </c>
      <c r="E10580" s="18" t="s">
        <v>0</v>
      </c>
      <c r="F10580" s="42">
        <v>1</v>
      </c>
      <c r="G10580" s="4">
        <v>15</v>
      </c>
      <c r="H10580" s="18">
        <v>57</v>
      </c>
    </row>
    <row r="10581" spans="1:8" s="15" customFormat="1" ht="16.5" hidden="1" customHeight="1" outlineLevel="1" x14ac:dyDescent="0.25">
      <c r="A10581" s="18">
        <v>148</v>
      </c>
      <c r="B10581" s="4" t="s">
        <v>250</v>
      </c>
      <c r="C10581" s="38" t="s">
        <v>3781</v>
      </c>
      <c r="D10581" s="18">
        <v>2022</v>
      </c>
      <c r="E10581" s="18" t="s">
        <v>0</v>
      </c>
      <c r="F10581" s="42">
        <v>4</v>
      </c>
      <c r="G10581" s="4">
        <v>56</v>
      </c>
      <c r="H10581" s="18">
        <v>99</v>
      </c>
    </row>
    <row r="10582" spans="1:8" s="15" customFormat="1" ht="16.5" hidden="1" customHeight="1" outlineLevel="1" x14ac:dyDescent="0.25">
      <c r="A10582" s="18">
        <v>178</v>
      </c>
      <c r="B10582" s="4" t="s">
        <v>250</v>
      </c>
      <c r="C10582" s="38" t="s">
        <v>8799</v>
      </c>
      <c r="D10582" s="18">
        <v>2022</v>
      </c>
      <c r="E10582" s="18" t="s">
        <v>0</v>
      </c>
      <c r="F10582" s="42">
        <v>1</v>
      </c>
      <c r="G10582" s="4">
        <v>15</v>
      </c>
      <c r="H10582" s="18">
        <v>21</v>
      </c>
    </row>
    <row r="10583" spans="1:8" s="15" customFormat="1" ht="16.5" hidden="1" customHeight="1" outlineLevel="1" x14ac:dyDescent="0.25">
      <c r="A10583" s="18">
        <v>211</v>
      </c>
      <c r="B10583" s="4" t="s">
        <v>250</v>
      </c>
      <c r="C10583" s="38" t="s">
        <v>3783</v>
      </c>
      <c r="D10583" s="18">
        <v>2022</v>
      </c>
      <c r="E10583" s="18" t="s">
        <v>0</v>
      </c>
      <c r="F10583" s="42">
        <v>1</v>
      </c>
      <c r="G10583" s="4">
        <v>15</v>
      </c>
      <c r="H10583" s="18">
        <v>29</v>
      </c>
    </row>
    <row r="10584" spans="1:8" s="15" customFormat="1" ht="16.5" hidden="1" customHeight="1" outlineLevel="1" x14ac:dyDescent="0.25">
      <c r="A10584" s="18">
        <v>170</v>
      </c>
      <c r="B10584" s="4" t="s">
        <v>250</v>
      </c>
      <c r="C10584" s="38" t="s">
        <v>3784</v>
      </c>
      <c r="D10584" s="18">
        <v>2022</v>
      </c>
      <c r="E10584" s="18" t="s">
        <v>0</v>
      </c>
      <c r="F10584" s="42">
        <v>1</v>
      </c>
      <c r="G10584" s="4">
        <v>15</v>
      </c>
      <c r="H10584" s="18">
        <v>38</v>
      </c>
    </row>
    <row r="10585" spans="1:8" s="15" customFormat="1" ht="16.5" hidden="1" customHeight="1" outlineLevel="1" x14ac:dyDescent="0.25">
      <c r="A10585" s="18">
        <v>195</v>
      </c>
      <c r="B10585" s="4" t="s">
        <v>250</v>
      </c>
      <c r="C10585" s="38" t="s">
        <v>3785</v>
      </c>
      <c r="D10585" s="18">
        <v>2022</v>
      </c>
      <c r="E10585" s="18" t="s">
        <v>0</v>
      </c>
      <c r="F10585" s="42">
        <v>1</v>
      </c>
      <c r="G10585" s="4">
        <v>15</v>
      </c>
      <c r="H10585" s="18">
        <v>35</v>
      </c>
    </row>
    <row r="10586" spans="1:8" s="15" customFormat="1" ht="16.5" hidden="1" customHeight="1" outlineLevel="1" x14ac:dyDescent="0.25">
      <c r="A10586" s="18">
        <v>220</v>
      </c>
      <c r="B10586" s="4" t="s">
        <v>250</v>
      </c>
      <c r="C10586" s="38" t="s">
        <v>3786</v>
      </c>
      <c r="D10586" s="18">
        <v>2022</v>
      </c>
      <c r="E10586" s="18" t="s">
        <v>0</v>
      </c>
      <c r="F10586" s="42">
        <v>1</v>
      </c>
      <c r="G10586" s="4">
        <v>15</v>
      </c>
      <c r="H10586" s="18">
        <v>35</v>
      </c>
    </row>
    <row r="10587" spans="1:8" s="15" customFormat="1" ht="16.5" hidden="1" customHeight="1" outlineLevel="1" x14ac:dyDescent="0.25">
      <c r="A10587" s="18">
        <v>216</v>
      </c>
      <c r="B10587" s="4" t="s">
        <v>250</v>
      </c>
      <c r="C10587" s="38" t="s">
        <v>3787</v>
      </c>
      <c r="D10587" s="18">
        <v>2022</v>
      </c>
      <c r="E10587" s="18" t="s">
        <v>0</v>
      </c>
      <c r="F10587" s="42">
        <v>1</v>
      </c>
      <c r="G10587" s="4">
        <v>15</v>
      </c>
      <c r="H10587" s="18">
        <v>35</v>
      </c>
    </row>
    <row r="10588" spans="1:8" s="15" customFormat="1" ht="16.5" hidden="1" customHeight="1" outlineLevel="1" x14ac:dyDescent="0.25">
      <c r="A10588" s="18">
        <v>177</v>
      </c>
      <c r="B10588" s="4" t="s">
        <v>250</v>
      </c>
      <c r="C10588" s="38" t="s">
        <v>3788</v>
      </c>
      <c r="D10588" s="18">
        <v>2022</v>
      </c>
      <c r="E10588" s="18" t="s">
        <v>0</v>
      </c>
      <c r="F10588" s="42">
        <v>2</v>
      </c>
      <c r="G10588" s="4">
        <v>180</v>
      </c>
      <c r="H10588" s="18">
        <v>39</v>
      </c>
    </row>
    <row r="10589" spans="1:8" s="15" customFormat="1" ht="16.5" hidden="1" customHeight="1" outlineLevel="1" x14ac:dyDescent="0.25">
      <c r="A10589" s="18">
        <v>171</v>
      </c>
      <c r="B10589" s="4" t="s">
        <v>250</v>
      </c>
      <c r="C10589" s="38" t="s">
        <v>3789</v>
      </c>
      <c r="D10589" s="18">
        <v>2022</v>
      </c>
      <c r="E10589" s="18" t="s">
        <v>0</v>
      </c>
      <c r="F10589" s="42">
        <v>1</v>
      </c>
      <c r="G10589" s="4">
        <v>100</v>
      </c>
      <c r="H10589" s="18">
        <v>32</v>
      </c>
    </row>
    <row r="10590" spans="1:8" s="15" customFormat="1" ht="16.5" hidden="1" customHeight="1" outlineLevel="1" x14ac:dyDescent="0.25">
      <c r="A10590" s="18">
        <v>200</v>
      </c>
      <c r="B10590" s="4" t="s">
        <v>250</v>
      </c>
      <c r="C10590" s="38" t="s">
        <v>3791</v>
      </c>
      <c r="D10590" s="18">
        <v>2022</v>
      </c>
      <c r="E10590" s="18" t="s">
        <v>0</v>
      </c>
      <c r="F10590" s="42">
        <v>1</v>
      </c>
      <c r="G10590" s="4">
        <v>50</v>
      </c>
      <c r="H10590" s="18">
        <v>40</v>
      </c>
    </row>
    <row r="10591" spans="1:8" s="15" customFormat="1" ht="16.5" hidden="1" customHeight="1" outlineLevel="1" x14ac:dyDescent="0.25">
      <c r="A10591" s="18">
        <v>244</v>
      </c>
      <c r="B10591" s="4" t="s">
        <v>250</v>
      </c>
      <c r="C10591" s="38" t="s">
        <v>8800</v>
      </c>
      <c r="D10591" s="18">
        <v>2022</v>
      </c>
      <c r="E10591" s="18" t="s">
        <v>0</v>
      </c>
      <c r="F10591" s="42">
        <v>195</v>
      </c>
      <c r="G10591" s="4">
        <v>2775.5</v>
      </c>
      <c r="H10591" s="18">
        <v>3402</v>
      </c>
    </row>
    <row r="10592" spans="1:8" s="15" customFormat="1" ht="16.5" hidden="1" customHeight="1" outlineLevel="1" x14ac:dyDescent="0.25">
      <c r="A10592" s="18">
        <v>243</v>
      </c>
      <c r="B10592" s="4" t="s">
        <v>250</v>
      </c>
      <c r="C10592" s="38" t="s">
        <v>8801</v>
      </c>
      <c r="D10592" s="18">
        <v>2022</v>
      </c>
      <c r="E10592" s="18" t="s">
        <v>0</v>
      </c>
      <c r="F10592" s="42">
        <v>65</v>
      </c>
      <c r="G10592" s="4">
        <v>757</v>
      </c>
      <c r="H10592" s="18">
        <v>1164</v>
      </c>
    </row>
    <row r="10593" spans="1:8" s="15" customFormat="1" ht="16.5" hidden="1" customHeight="1" outlineLevel="1" x14ac:dyDescent="0.25">
      <c r="A10593" s="18">
        <v>245</v>
      </c>
      <c r="B10593" s="4" t="s">
        <v>250</v>
      </c>
      <c r="C10593" s="38" t="s">
        <v>8802</v>
      </c>
      <c r="D10593" s="18">
        <v>2022</v>
      </c>
      <c r="E10593" s="18" t="s">
        <v>0</v>
      </c>
      <c r="F10593" s="42">
        <v>90</v>
      </c>
      <c r="G10593" s="4">
        <v>1304.9000000000001</v>
      </c>
      <c r="H10593" s="18">
        <v>1588</v>
      </c>
    </row>
    <row r="10594" spans="1:8" s="15" customFormat="1" ht="16.5" hidden="1" customHeight="1" outlineLevel="1" x14ac:dyDescent="0.25">
      <c r="A10594" s="18">
        <v>246</v>
      </c>
      <c r="B10594" s="4" t="s">
        <v>250</v>
      </c>
      <c r="C10594" s="38" t="s">
        <v>8803</v>
      </c>
      <c r="D10594" s="18">
        <v>2022</v>
      </c>
      <c r="E10594" s="18" t="s">
        <v>0</v>
      </c>
      <c r="F10594" s="42">
        <v>99</v>
      </c>
      <c r="G10594" s="4">
        <v>1383.8</v>
      </c>
      <c r="H10594" s="18">
        <v>1805</v>
      </c>
    </row>
    <row r="10595" spans="1:8" s="15" customFormat="1" ht="16.5" hidden="1" customHeight="1" outlineLevel="1" x14ac:dyDescent="0.25">
      <c r="A10595" s="18">
        <v>241</v>
      </c>
      <c r="B10595" s="4" t="s">
        <v>250</v>
      </c>
      <c r="C10595" s="38" t="s">
        <v>8804</v>
      </c>
      <c r="D10595" s="18">
        <v>2022</v>
      </c>
      <c r="E10595" s="18" t="s">
        <v>0</v>
      </c>
      <c r="F10595" s="42">
        <v>83</v>
      </c>
      <c r="G10595" s="4">
        <v>1217.5</v>
      </c>
      <c r="H10595" s="18">
        <v>1458</v>
      </c>
    </row>
    <row r="10596" spans="1:8" s="15" customFormat="1" ht="16.5" hidden="1" customHeight="1" outlineLevel="1" x14ac:dyDescent="0.25">
      <c r="A10596" s="18">
        <v>242</v>
      </c>
      <c r="B10596" s="4" t="s">
        <v>250</v>
      </c>
      <c r="C10596" s="38" t="s">
        <v>8805</v>
      </c>
      <c r="D10596" s="18">
        <v>2022</v>
      </c>
      <c r="E10596" s="18" t="s">
        <v>0</v>
      </c>
      <c r="F10596" s="42">
        <v>97</v>
      </c>
      <c r="G10596" s="4">
        <v>1412.99</v>
      </c>
      <c r="H10596" s="18">
        <v>1744</v>
      </c>
    </row>
    <row r="10597" spans="1:8" s="15" customFormat="1" ht="16.5" hidden="1" customHeight="1" outlineLevel="1" x14ac:dyDescent="0.25">
      <c r="A10597" s="18">
        <v>240</v>
      </c>
      <c r="B10597" s="4" t="s">
        <v>250</v>
      </c>
      <c r="C10597" s="38" t="s">
        <v>8806</v>
      </c>
      <c r="D10597" s="18">
        <v>2022</v>
      </c>
      <c r="E10597" s="18" t="s">
        <v>0</v>
      </c>
      <c r="F10597" s="42">
        <v>19</v>
      </c>
      <c r="G10597" s="4">
        <v>120</v>
      </c>
      <c r="H10597" s="18">
        <v>190</v>
      </c>
    </row>
    <row r="10598" spans="1:8" s="15" customFormat="1" ht="16.5" hidden="1" customHeight="1" outlineLevel="1" x14ac:dyDescent="0.25">
      <c r="A10598" s="18">
        <v>238</v>
      </c>
      <c r="B10598" s="4" t="s">
        <v>250</v>
      </c>
      <c r="C10598" s="38" t="s">
        <v>8807</v>
      </c>
      <c r="D10598" s="18">
        <v>2022</v>
      </c>
      <c r="E10598" s="18" t="s">
        <v>0</v>
      </c>
      <c r="F10598" s="42">
        <v>6</v>
      </c>
      <c r="G10598" s="4">
        <v>52</v>
      </c>
      <c r="H10598" s="18">
        <v>64</v>
      </c>
    </row>
    <row r="10599" spans="1:8" s="15" customFormat="1" ht="16.5" hidden="1" customHeight="1" outlineLevel="1" x14ac:dyDescent="0.25">
      <c r="A10599" s="18">
        <v>239</v>
      </c>
      <c r="B10599" s="4" t="s">
        <v>250</v>
      </c>
      <c r="C10599" s="38" t="s">
        <v>8808</v>
      </c>
      <c r="D10599" s="18">
        <v>2022</v>
      </c>
      <c r="E10599" s="18" t="s">
        <v>0</v>
      </c>
      <c r="F10599" s="42">
        <v>43</v>
      </c>
      <c r="G10599" s="4">
        <v>237</v>
      </c>
      <c r="H10599" s="18">
        <v>437</v>
      </c>
    </row>
    <row r="10600" spans="1:8" s="15" customFormat="1" ht="16.5" hidden="1" customHeight="1" outlineLevel="1" x14ac:dyDescent="0.25">
      <c r="A10600" s="18">
        <v>237</v>
      </c>
      <c r="B10600" s="4" t="s">
        <v>250</v>
      </c>
      <c r="C10600" s="38" t="s">
        <v>8809</v>
      </c>
      <c r="D10600" s="18">
        <v>2022</v>
      </c>
      <c r="E10600" s="18" t="s">
        <v>0</v>
      </c>
      <c r="F10600" s="42">
        <v>8</v>
      </c>
      <c r="G10600" s="4">
        <v>46</v>
      </c>
      <c r="H10600" s="18">
        <v>80</v>
      </c>
    </row>
    <row r="10601" spans="1:8" s="15" customFormat="1" ht="16.5" hidden="1" customHeight="1" outlineLevel="1" x14ac:dyDescent="0.25">
      <c r="A10601" s="18">
        <v>248</v>
      </c>
      <c r="B10601" s="4" t="s">
        <v>250</v>
      </c>
      <c r="C10601" s="38" t="s">
        <v>8810</v>
      </c>
      <c r="D10601" s="18">
        <v>2022</v>
      </c>
      <c r="E10601" s="18" t="s">
        <v>0</v>
      </c>
      <c r="F10601" s="42">
        <v>6</v>
      </c>
      <c r="G10601" s="4">
        <v>37.5</v>
      </c>
      <c r="H10601" s="18">
        <v>60</v>
      </c>
    </row>
    <row r="10602" spans="1:8" s="15" customFormat="1" ht="16.5" hidden="1" customHeight="1" outlineLevel="1" x14ac:dyDescent="0.25">
      <c r="A10602" s="18">
        <v>247</v>
      </c>
      <c r="B10602" s="4" t="s">
        <v>250</v>
      </c>
      <c r="C10602" s="38" t="s">
        <v>8811</v>
      </c>
      <c r="D10602" s="18">
        <v>2022</v>
      </c>
      <c r="E10602" s="18" t="s">
        <v>0</v>
      </c>
      <c r="F10602" s="42">
        <v>4</v>
      </c>
      <c r="G10602" s="4">
        <v>40</v>
      </c>
      <c r="H10602" s="18">
        <v>40</v>
      </c>
    </row>
    <row r="10603" spans="1:8" s="15" customFormat="1" ht="16.5" hidden="1" customHeight="1" outlineLevel="1" x14ac:dyDescent="0.25">
      <c r="A10603" s="18">
        <v>192</v>
      </c>
      <c r="B10603" s="4" t="s">
        <v>250</v>
      </c>
      <c r="C10603" s="38" t="s">
        <v>3792</v>
      </c>
      <c r="D10603" s="18">
        <v>2022</v>
      </c>
      <c r="E10603" s="18" t="s">
        <v>0</v>
      </c>
      <c r="F10603" s="42">
        <v>2</v>
      </c>
      <c r="G10603" s="4">
        <v>25</v>
      </c>
      <c r="H10603" s="18">
        <v>56</v>
      </c>
    </row>
    <row r="10604" spans="1:8" s="15" customFormat="1" ht="16.5" hidden="1" customHeight="1" outlineLevel="1" x14ac:dyDescent="0.25">
      <c r="A10604" s="18">
        <v>236</v>
      </c>
      <c r="B10604" s="4" t="s">
        <v>250</v>
      </c>
      <c r="C10604" s="38" t="s">
        <v>8812</v>
      </c>
      <c r="D10604" s="18">
        <v>2022</v>
      </c>
      <c r="E10604" s="18" t="s">
        <v>0</v>
      </c>
      <c r="F10604" s="42">
        <v>1</v>
      </c>
      <c r="G10604" s="4">
        <v>15</v>
      </c>
      <c r="H10604" s="18">
        <v>18</v>
      </c>
    </row>
    <row r="10605" spans="1:8" s="15" customFormat="1" ht="16.5" hidden="1" customHeight="1" outlineLevel="1" x14ac:dyDescent="0.25">
      <c r="A10605" s="18">
        <v>264</v>
      </c>
      <c r="B10605" s="4" t="s">
        <v>250</v>
      </c>
      <c r="C10605" s="38" t="s">
        <v>8813</v>
      </c>
      <c r="D10605" s="18">
        <v>2022</v>
      </c>
      <c r="E10605" s="18" t="s">
        <v>0</v>
      </c>
      <c r="F10605" s="42">
        <v>1</v>
      </c>
      <c r="G10605" s="4">
        <v>15</v>
      </c>
      <c r="H10605" s="18">
        <v>17</v>
      </c>
    </row>
    <row r="10606" spans="1:8" s="15" customFormat="1" ht="16.5" hidden="1" customHeight="1" outlineLevel="1" x14ac:dyDescent="0.25">
      <c r="A10606" s="18">
        <v>272</v>
      </c>
      <c r="B10606" s="4" t="s">
        <v>250</v>
      </c>
      <c r="C10606" s="38" t="s">
        <v>8814</v>
      </c>
      <c r="D10606" s="18">
        <v>2022</v>
      </c>
      <c r="E10606" s="18" t="s">
        <v>0</v>
      </c>
      <c r="F10606" s="42">
        <v>1</v>
      </c>
      <c r="G10606" s="4">
        <v>15</v>
      </c>
      <c r="H10606" s="18">
        <v>17</v>
      </c>
    </row>
    <row r="10607" spans="1:8" s="15" customFormat="1" ht="16.5" hidden="1" customHeight="1" outlineLevel="1" x14ac:dyDescent="0.25">
      <c r="A10607" s="18">
        <v>274</v>
      </c>
      <c r="B10607" s="4" t="s">
        <v>250</v>
      </c>
      <c r="C10607" s="38" t="s">
        <v>8815</v>
      </c>
      <c r="D10607" s="18">
        <v>2022</v>
      </c>
      <c r="E10607" s="18" t="s">
        <v>0</v>
      </c>
      <c r="F10607" s="42">
        <v>1</v>
      </c>
      <c r="G10607" s="4">
        <v>15</v>
      </c>
      <c r="H10607" s="18">
        <v>17</v>
      </c>
    </row>
    <row r="10608" spans="1:8" s="15" customFormat="1" ht="16.5" hidden="1" customHeight="1" outlineLevel="1" x14ac:dyDescent="0.25">
      <c r="A10608" s="18">
        <v>267</v>
      </c>
      <c r="B10608" s="4" t="s">
        <v>250</v>
      </c>
      <c r="C10608" s="38" t="s">
        <v>8816</v>
      </c>
      <c r="D10608" s="18">
        <v>2022</v>
      </c>
      <c r="E10608" s="18" t="s">
        <v>0</v>
      </c>
      <c r="F10608" s="42">
        <v>1</v>
      </c>
      <c r="G10608" s="4">
        <v>15</v>
      </c>
      <c r="H10608" s="18">
        <v>17</v>
      </c>
    </row>
    <row r="10609" spans="1:8" s="15" customFormat="1" ht="16.5" hidden="1" customHeight="1" outlineLevel="1" x14ac:dyDescent="0.25">
      <c r="A10609" s="18">
        <v>265</v>
      </c>
      <c r="B10609" s="4" t="s">
        <v>250</v>
      </c>
      <c r="C10609" s="38" t="s">
        <v>8817</v>
      </c>
      <c r="D10609" s="18">
        <v>2022</v>
      </c>
      <c r="E10609" s="18" t="s">
        <v>0</v>
      </c>
      <c r="F10609" s="42">
        <v>1</v>
      </c>
      <c r="G10609" s="4">
        <v>15</v>
      </c>
      <c r="H10609" s="18">
        <v>17</v>
      </c>
    </row>
    <row r="10610" spans="1:8" s="15" customFormat="1" ht="16.5" hidden="1" customHeight="1" outlineLevel="1" x14ac:dyDescent="0.25">
      <c r="A10610" s="18">
        <v>172</v>
      </c>
      <c r="B10610" s="4" t="s">
        <v>250</v>
      </c>
      <c r="C10610" s="38" t="s">
        <v>3793</v>
      </c>
      <c r="D10610" s="18">
        <v>2022</v>
      </c>
      <c r="E10610" s="18" t="s">
        <v>0</v>
      </c>
      <c r="F10610" s="42">
        <v>1</v>
      </c>
      <c r="G10610" s="4">
        <v>15</v>
      </c>
      <c r="H10610" s="18">
        <v>33</v>
      </c>
    </row>
    <row r="10611" spans="1:8" s="15" customFormat="1" ht="16.5" hidden="1" customHeight="1" outlineLevel="1" x14ac:dyDescent="0.25">
      <c r="A10611" s="18">
        <v>182</v>
      </c>
      <c r="B10611" s="4" t="s">
        <v>250</v>
      </c>
      <c r="C10611" s="38" t="s">
        <v>3794</v>
      </c>
      <c r="D10611" s="18">
        <v>2022</v>
      </c>
      <c r="E10611" s="18" t="s">
        <v>0</v>
      </c>
      <c r="F10611" s="42">
        <v>1</v>
      </c>
      <c r="G10611" s="4">
        <v>15</v>
      </c>
      <c r="H10611" s="18">
        <v>27</v>
      </c>
    </row>
    <row r="10612" spans="1:8" s="15" customFormat="1" ht="16.5" hidden="1" customHeight="1" outlineLevel="1" x14ac:dyDescent="0.25">
      <c r="A10612" s="18">
        <v>268</v>
      </c>
      <c r="B10612" s="4" t="s">
        <v>250</v>
      </c>
      <c r="C10612" s="38" t="s">
        <v>8818</v>
      </c>
      <c r="D10612" s="18">
        <v>2022</v>
      </c>
      <c r="E10612" s="18" t="s">
        <v>0</v>
      </c>
      <c r="F10612" s="42">
        <v>1</v>
      </c>
      <c r="G10612" s="4">
        <v>11</v>
      </c>
      <c r="H10612" s="18">
        <v>18</v>
      </c>
    </row>
    <row r="10613" spans="1:8" s="15" customFormat="1" ht="16.5" hidden="1" customHeight="1" outlineLevel="1" x14ac:dyDescent="0.25">
      <c r="A10613" s="18">
        <v>275</v>
      </c>
      <c r="B10613" s="4" t="s">
        <v>250</v>
      </c>
      <c r="C10613" s="38" t="s">
        <v>8819</v>
      </c>
      <c r="D10613" s="18">
        <v>2022</v>
      </c>
      <c r="E10613" s="18" t="s">
        <v>0</v>
      </c>
      <c r="F10613" s="42">
        <v>1</v>
      </c>
      <c r="G10613" s="4">
        <v>40</v>
      </c>
      <c r="H10613" s="18">
        <v>18</v>
      </c>
    </row>
    <row r="10614" spans="1:8" s="15" customFormat="1" ht="16.5" hidden="1" customHeight="1" outlineLevel="1" x14ac:dyDescent="0.25">
      <c r="A10614" s="18">
        <v>266</v>
      </c>
      <c r="B10614" s="4" t="s">
        <v>250</v>
      </c>
      <c r="C10614" s="38" t="s">
        <v>8820</v>
      </c>
      <c r="D10614" s="18">
        <v>2022</v>
      </c>
      <c r="E10614" s="18" t="s">
        <v>0</v>
      </c>
      <c r="F10614" s="42">
        <v>1</v>
      </c>
      <c r="G10614" s="4">
        <v>15</v>
      </c>
      <c r="H10614" s="18">
        <v>17</v>
      </c>
    </row>
    <row r="10615" spans="1:8" s="15" customFormat="1" ht="16.5" hidden="1" customHeight="1" outlineLevel="1" x14ac:dyDescent="0.25">
      <c r="A10615" s="18">
        <v>269</v>
      </c>
      <c r="B10615" s="4" t="s">
        <v>250</v>
      </c>
      <c r="C10615" s="38" t="s">
        <v>8821</v>
      </c>
      <c r="D10615" s="18">
        <v>2022</v>
      </c>
      <c r="E10615" s="18" t="s">
        <v>0</v>
      </c>
      <c r="F10615" s="42">
        <v>1</v>
      </c>
      <c r="G10615" s="4">
        <v>15</v>
      </c>
      <c r="H10615" s="18">
        <v>17</v>
      </c>
    </row>
    <row r="10616" spans="1:8" s="15" customFormat="1" ht="16.5" hidden="1" customHeight="1" outlineLevel="1" x14ac:dyDescent="0.25">
      <c r="A10616" s="18">
        <v>273</v>
      </c>
      <c r="B10616" s="4" t="s">
        <v>250</v>
      </c>
      <c r="C10616" s="38" t="s">
        <v>8822</v>
      </c>
      <c r="D10616" s="18">
        <v>2022</v>
      </c>
      <c r="E10616" s="18" t="s">
        <v>0</v>
      </c>
      <c r="F10616" s="42">
        <v>1</v>
      </c>
      <c r="G10616" s="4">
        <v>15</v>
      </c>
      <c r="H10616" s="18">
        <v>17</v>
      </c>
    </row>
    <row r="10617" spans="1:8" s="15" customFormat="1" ht="16.5" hidden="1" customHeight="1" outlineLevel="1" x14ac:dyDescent="0.25">
      <c r="A10617" s="18">
        <v>270</v>
      </c>
      <c r="B10617" s="4" t="s">
        <v>250</v>
      </c>
      <c r="C10617" s="38" t="s">
        <v>8823</v>
      </c>
      <c r="D10617" s="18">
        <v>2022</v>
      </c>
      <c r="E10617" s="18" t="s">
        <v>0</v>
      </c>
      <c r="F10617" s="42">
        <v>3</v>
      </c>
      <c r="G10617" s="4">
        <v>35</v>
      </c>
      <c r="H10617" s="18">
        <v>52</v>
      </c>
    </row>
    <row r="10618" spans="1:8" s="15" customFormat="1" ht="16.5" hidden="1" customHeight="1" outlineLevel="1" x14ac:dyDescent="0.25">
      <c r="A10618" s="18">
        <v>283</v>
      </c>
      <c r="B10618" s="4" t="s">
        <v>250</v>
      </c>
      <c r="C10618" s="38" t="s">
        <v>3795</v>
      </c>
      <c r="D10618" s="18">
        <v>2022</v>
      </c>
      <c r="E10618" s="18" t="s">
        <v>0</v>
      </c>
      <c r="F10618" s="42">
        <v>1</v>
      </c>
      <c r="G10618" s="4">
        <v>15</v>
      </c>
      <c r="H10618" s="18">
        <v>31</v>
      </c>
    </row>
    <row r="10619" spans="1:8" s="15" customFormat="1" ht="16.5" hidden="1" customHeight="1" outlineLevel="1" x14ac:dyDescent="0.25">
      <c r="A10619" s="18">
        <v>352</v>
      </c>
      <c r="B10619" s="4" t="s">
        <v>250</v>
      </c>
      <c r="C10619" s="38" t="s">
        <v>3796</v>
      </c>
      <c r="D10619" s="18">
        <v>2022</v>
      </c>
      <c r="E10619" s="18" t="s">
        <v>0</v>
      </c>
      <c r="F10619" s="42">
        <v>1</v>
      </c>
      <c r="G10619" s="4">
        <v>7</v>
      </c>
      <c r="H10619" s="18">
        <v>55</v>
      </c>
    </row>
    <row r="10620" spans="1:8" s="15" customFormat="1" ht="16.5" hidden="1" customHeight="1" outlineLevel="1" x14ac:dyDescent="0.25">
      <c r="A10620" s="18">
        <v>359</v>
      </c>
      <c r="B10620" s="4" t="s">
        <v>250</v>
      </c>
      <c r="C10620" s="38" t="s">
        <v>3798</v>
      </c>
      <c r="D10620" s="18">
        <v>2022</v>
      </c>
      <c r="E10620" s="18" t="s">
        <v>0</v>
      </c>
      <c r="F10620" s="42">
        <v>1</v>
      </c>
      <c r="G10620" s="4">
        <v>15</v>
      </c>
      <c r="H10620" s="18">
        <v>83</v>
      </c>
    </row>
    <row r="10621" spans="1:8" s="15" customFormat="1" ht="16.5" hidden="1" customHeight="1" outlineLevel="1" x14ac:dyDescent="0.25">
      <c r="A10621" s="18">
        <v>185</v>
      </c>
      <c r="B10621" s="4" t="s">
        <v>250</v>
      </c>
      <c r="C10621" s="38" t="s">
        <v>3800</v>
      </c>
      <c r="D10621" s="18">
        <v>2022</v>
      </c>
      <c r="E10621" s="18" t="s">
        <v>0</v>
      </c>
      <c r="F10621" s="42">
        <v>1</v>
      </c>
      <c r="G10621" s="4">
        <v>150</v>
      </c>
      <c r="H10621" s="18">
        <v>46</v>
      </c>
    </row>
    <row r="10622" spans="1:8" s="15" customFormat="1" ht="16.5" hidden="1" customHeight="1" outlineLevel="1" x14ac:dyDescent="0.25">
      <c r="A10622" s="18">
        <v>186</v>
      </c>
      <c r="B10622" s="4" t="s">
        <v>250</v>
      </c>
      <c r="C10622" s="38" t="s">
        <v>3801</v>
      </c>
      <c r="D10622" s="18">
        <v>2022</v>
      </c>
      <c r="E10622" s="18" t="s">
        <v>0</v>
      </c>
      <c r="F10622" s="42">
        <v>1</v>
      </c>
      <c r="G10622" s="4">
        <v>150</v>
      </c>
      <c r="H10622" s="18">
        <v>30</v>
      </c>
    </row>
    <row r="10623" spans="1:8" s="15" customFormat="1" ht="16.5" hidden="1" customHeight="1" outlineLevel="1" x14ac:dyDescent="0.25">
      <c r="A10623" s="18">
        <v>262</v>
      </c>
      <c r="B10623" s="4" t="s">
        <v>250</v>
      </c>
      <c r="C10623" s="38" t="s">
        <v>8824</v>
      </c>
      <c r="D10623" s="18">
        <v>2022</v>
      </c>
      <c r="E10623" s="18" t="s">
        <v>0</v>
      </c>
      <c r="F10623" s="42">
        <v>1</v>
      </c>
      <c r="G10623" s="4">
        <v>15</v>
      </c>
      <c r="H10623" s="18">
        <v>23</v>
      </c>
    </row>
    <row r="10624" spans="1:8" s="15" customFormat="1" ht="16.5" hidden="1" customHeight="1" outlineLevel="1" x14ac:dyDescent="0.25">
      <c r="A10624" s="18">
        <v>286</v>
      </c>
      <c r="B10624" s="4" t="s">
        <v>250</v>
      </c>
      <c r="C10624" s="38" t="s">
        <v>3804</v>
      </c>
      <c r="D10624" s="18">
        <v>2022</v>
      </c>
      <c r="E10624" s="18" t="s">
        <v>0</v>
      </c>
      <c r="F10624" s="42">
        <v>1</v>
      </c>
      <c r="G10624" s="4">
        <v>15</v>
      </c>
      <c r="H10624" s="18">
        <v>28</v>
      </c>
    </row>
    <row r="10625" spans="1:8" s="15" customFormat="1" ht="16.5" hidden="1" customHeight="1" outlineLevel="1" x14ac:dyDescent="0.25">
      <c r="A10625" s="18">
        <v>208</v>
      </c>
      <c r="B10625" s="4" t="s">
        <v>250</v>
      </c>
      <c r="C10625" s="38" t="s">
        <v>3807</v>
      </c>
      <c r="D10625" s="18">
        <v>2022</v>
      </c>
      <c r="E10625" s="18" t="s">
        <v>0</v>
      </c>
      <c r="F10625" s="42">
        <v>1</v>
      </c>
      <c r="G10625" s="4">
        <v>15</v>
      </c>
      <c r="H10625" s="18">
        <v>24</v>
      </c>
    </row>
    <row r="10626" spans="1:8" s="15" customFormat="1" ht="16.5" hidden="1" customHeight="1" outlineLevel="1" x14ac:dyDescent="0.25">
      <c r="A10626" s="18">
        <v>260</v>
      </c>
      <c r="B10626" s="4" t="s">
        <v>250</v>
      </c>
      <c r="C10626" s="38" t="s">
        <v>3808</v>
      </c>
      <c r="D10626" s="18">
        <v>2022</v>
      </c>
      <c r="E10626" s="18" t="s">
        <v>0</v>
      </c>
      <c r="F10626" s="42">
        <v>1</v>
      </c>
      <c r="G10626" s="4">
        <v>15</v>
      </c>
      <c r="H10626" s="18">
        <v>23</v>
      </c>
    </row>
    <row r="10627" spans="1:8" s="15" customFormat="1" ht="16.5" hidden="1" customHeight="1" outlineLevel="1" x14ac:dyDescent="0.25">
      <c r="A10627" s="18">
        <v>209</v>
      </c>
      <c r="B10627" s="4" t="s">
        <v>250</v>
      </c>
      <c r="C10627" s="38" t="s">
        <v>3809</v>
      </c>
      <c r="D10627" s="18">
        <v>2022</v>
      </c>
      <c r="E10627" s="18" t="s">
        <v>0</v>
      </c>
      <c r="F10627" s="42">
        <v>1</v>
      </c>
      <c r="G10627" s="4">
        <v>15</v>
      </c>
      <c r="H10627" s="18">
        <v>25</v>
      </c>
    </row>
    <row r="10628" spans="1:8" s="15" customFormat="1" ht="16.5" hidden="1" customHeight="1" outlineLevel="1" x14ac:dyDescent="0.25">
      <c r="A10628" s="18">
        <v>218</v>
      </c>
      <c r="B10628" s="4" t="s">
        <v>250</v>
      </c>
      <c r="C10628" s="38" t="s">
        <v>3811</v>
      </c>
      <c r="D10628" s="18">
        <v>2022</v>
      </c>
      <c r="E10628" s="18" t="s">
        <v>0</v>
      </c>
      <c r="F10628" s="42">
        <v>2</v>
      </c>
      <c r="G10628" s="4">
        <v>28</v>
      </c>
      <c r="H10628" s="18">
        <v>42</v>
      </c>
    </row>
    <row r="10629" spans="1:8" s="15" customFormat="1" ht="16.5" hidden="1" customHeight="1" outlineLevel="1" x14ac:dyDescent="0.25">
      <c r="A10629" s="18">
        <v>212</v>
      </c>
      <c r="B10629" s="4" t="s">
        <v>250</v>
      </c>
      <c r="C10629" s="38" t="s">
        <v>3812</v>
      </c>
      <c r="D10629" s="18">
        <v>2022</v>
      </c>
      <c r="E10629" s="18" t="s">
        <v>0</v>
      </c>
      <c r="F10629" s="42">
        <v>1</v>
      </c>
      <c r="G10629" s="4">
        <v>15</v>
      </c>
      <c r="H10629" s="18">
        <v>28</v>
      </c>
    </row>
    <row r="10630" spans="1:8" s="15" customFormat="1" ht="16.5" hidden="1" customHeight="1" outlineLevel="1" x14ac:dyDescent="0.25">
      <c r="A10630" s="18">
        <v>193</v>
      </c>
      <c r="B10630" s="4" t="s">
        <v>250</v>
      </c>
      <c r="C10630" s="38" t="s">
        <v>3814</v>
      </c>
      <c r="D10630" s="18">
        <v>2022</v>
      </c>
      <c r="E10630" s="18" t="s">
        <v>0</v>
      </c>
      <c r="F10630" s="42">
        <v>1</v>
      </c>
      <c r="G10630" s="4">
        <v>15</v>
      </c>
      <c r="H10630" s="18">
        <v>24</v>
      </c>
    </row>
    <row r="10631" spans="1:8" s="15" customFormat="1" ht="16.5" hidden="1" customHeight="1" outlineLevel="1" x14ac:dyDescent="0.25">
      <c r="A10631" s="18">
        <v>194</v>
      </c>
      <c r="B10631" s="4" t="s">
        <v>250</v>
      </c>
      <c r="C10631" s="38" t="s">
        <v>3815</v>
      </c>
      <c r="D10631" s="18">
        <v>2022</v>
      </c>
      <c r="E10631" s="18" t="s">
        <v>0</v>
      </c>
      <c r="F10631" s="42">
        <v>1</v>
      </c>
      <c r="G10631" s="4">
        <v>15</v>
      </c>
      <c r="H10631" s="18">
        <v>30</v>
      </c>
    </row>
    <row r="10632" spans="1:8" s="15" customFormat="1" ht="16.5" hidden="1" customHeight="1" outlineLevel="1" x14ac:dyDescent="0.25">
      <c r="A10632" s="18">
        <v>290</v>
      </c>
      <c r="B10632" s="4" t="s">
        <v>250</v>
      </c>
      <c r="C10632" s="38" t="s">
        <v>3816</v>
      </c>
      <c r="D10632" s="18">
        <v>2022</v>
      </c>
      <c r="E10632" s="18" t="s">
        <v>0</v>
      </c>
      <c r="F10632" s="42">
        <v>6</v>
      </c>
      <c r="G10632" s="4">
        <v>90</v>
      </c>
      <c r="H10632" s="18">
        <v>126</v>
      </c>
    </row>
    <row r="10633" spans="1:8" s="15" customFormat="1" ht="16.5" hidden="1" customHeight="1" outlineLevel="1" x14ac:dyDescent="0.25">
      <c r="A10633" s="18">
        <v>253</v>
      </c>
      <c r="B10633" s="4" t="s">
        <v>250</v>
      </c>
      <c r="C10633" s="38" t="s">
        <v>3817</v>
      </c>
      <c r="D10633" s="18">
        <v>2022</v>
      </c>
      <c r="E10633" s="18" t="s">
        <v>0</v>
      </c>
      <c r="F10633" s="42">
        <v>1</v>
      </c>
      <c r="G10633" s="4">
        <v>15</v>
      </c>
      <c r="H10633" s="18">
        <v>30</v>
      </c>
    </row>
    <row r="10634" spans="1:8" s="15" customFormat="1" ht="16.5" hidden="1" customHeight="1" outlineLevel="1" x14ac:dyDescent="0.25">
      <c r="A10634" s="18">
        <v>252</v>
      </c>
      <c r="B10634" s="4" t="s">
        <v>250</v>
      </c>
      <c r="C10634" s="38" t="s">
        <v>3818</v>
      </c>
      <c r="D10634" s="18">
        <v>2022</v>
      </c>
      <c r="E10634" s="18" t="s">
        <v>0</v>
      </c>
      <c r="F10634" s="42">
        <v>1</v>
      </c>
      <c r="G10634" s="4">
        <v>15</v>
      </c>
      <c r="H10634" s="18">
        <v>24</v>
      </c>
    </row>
    <row r="10635" spans="1:8" s="15" customFormat="1" ht="16.5" hidden="1" customHeight="1" outlineLevel="1" x14ac:dyDescent="0.25">
      <c r="A10635" s="18">
        <v>196</v>
      </c>
      <c r="B10635" s="4" t="s">
        <v>250</v>
      </c>
      <c r="C10635" s="38" t="s">
        <v>3820</v>
      </c>
      <c r="D10635" s="18">
        <v>2022</v>
      </c>
      <c r="E10635" s="18" t="s">
        <v>0</v>
      </c>
      <c r="F10635" s="42">
        <v>2</v>
      </c>
      <c r="G10635" s="4">
        <v>30</v>
      </c>
      <c r="H10635" s="18">
        <v>54</v>
      </c>
    </row>
    <row r="10636" spans="1:8" s="15" customFormat="1" ht="16.5" hidden="1" customHeight="1" outlineLevel="1" x14ac:dyDescent="0.25">
      <c r="A10636" s="18">
        <v>197</v>
      </c>
      <c r="B10636" s="4" t="s">
        <v>250</v>
      </c>
      <c r="C10636" s="38" t="s">
        <v>3821</v>
      </c>
      <c r="D10636" s="18">
        <v>2022</v>
      </c>
      <c r="E10636" s="18" t="s">
        <v>0</v>
      </c>
      <c r="F10636" s="42">
        <v>1</v>
      </c>
      <c r="G10636" s="4">
        <v>15</v>
      </c>
      <c r="H10636" s="18">
        <v>24</v>
      </c>
    </row>
    <row r="10637" spans="1:8" s="15" customFormat="1" ht="16.5" hidden="1" customHeight="1" outlineLevel="1" x14ac:dyDescent="0.25">
      <c r="A10637" s="18">
        <v>254</v>
      </c>
      <c r="B10637" s="4" t="s">
        <v>250</v>
      </c>
      <c r="C10637" s="38" t="s">
        <v>3822</v>
      </c>
      <c r="D10637" s="18">
        <v>2022</v>
      </c>
      <c r="E10637" s="18" t="s">
        <v>0</v>
      </c>
      <c r="F10637" s="42">
        <v>1</v>
      </c>
      <c r="G10637" s="4">
        <v>25</v>
      </c>
      <c r="H10637" s="18">
        <v>29</v>
      </c>
    </row>
    <row r="10638" spans="1:8" s="15" customFormat="1" ht="16.5" hidden="1" customHeight="1" outlineLevel="1" x14ac:dyDescent="0.25">
      <c r="A10638" s="18">
        <v>256</v>
      </c>
      <c r="B10638" s="4" t="s">
        <v>250</v>
      </c>
      <c r="C10638" s="38" t="s">
        <v>3823</v>
      </c>
      <c r="D10638" s="18">
        <v>2022</v>
      </c>
      <c r="E10638" s="18" t="s">
        <v>0</v>
      </c>
      <c r="F10638" s="42">
        <v>1</v>
      </c>
      <c r="G10638" s="4">
        <v>15</v>
      </c>
      <c r="H10638" s="18">
        <v>23</v>
      </c>
    </row>
    <row r="10639" spans="1:8" s="15" customFormat="1" ht="16.5" hidden="1" customHeight="1" outlineLevel="1" x14ac:dyDescent="0.25">
      <c r="A10639" s="18">
        <v>279</v>
      </c>
      <c r="B10639" s="4" t="s">
        <v>250</v>
      </c>
      <c r="C10639" s="38" t="s">
        <v>3824</v>
      </c>
      <c r="D10639" s="18">
        <v>2022</v>
      </c>
      <c r="E10639" s="18" t="s">
        <v>0</v>
      </c>
      <c r="F10639" s="42">
        <v>1</v>
      </c>
      <c r="G10639" s="4">
        <v>15</v>
      </c>
      <c r="H10639" s="18">
        <v>24</v>
      </c>
    </row>
    <row r="10640" spans="1:8" s="15" customFormat="1" ht="16.5" hidden="1" customHeight="1" outlineLevel="1" x14ac:dyDescent="0.25">
      <c r="A10640" s="18">
        <v>302</v>
      </c>
      <c r="B10640" s="4" t="s">
        <v>250</v>
      </c>
      <c r="C10640" s="38" t="s">
        <v>3984</v>
      </c>
      <c r="D10640" s="18">
        <v>2022</v>
      </c>
      <c r="E10640" s="18" t="s">
        <v>0</v>
      </c>
      <c r="F10640" s="42">
        <v>1</v>
      </c>
      <c r="G10640" s="4">
        <v>150</v>
      </c>
      <c r="H10640" s="18">
        <v>35</v>
      </c>
    </row>
    <row r="10641" spans="1:8" s="15" customFormat="1" ht="16.5" hidden="1" customHeight="1" outlineLevel="1" x14ac:dyDescent="0.25">
      <c r="A10641" s="18">
        <v>289</v>
      </c>
      <c r="B10641" s="4" t="s">
        <v>250</v>
      </c>
      <c r="C10641" s="38" t="s">
        <v>4258</v>
      </c>
      <c r="D10641" s="18">
        <v>2022</v>
      </c>
      <c r="E10641" s="18" t="s">
        <v>0</v>
      </c>
      <c r="F10641" s="42">
        <v>1</v>
      </c>
      <c r="G10641" s="4">
        <v>150</v>
      </c>
      <c r="H10641" s="18">
        <v>34</v>
      </c>
    </row>
    <row r="10642" spans="1:8" s="15" customFormat="1" ht="16.5" hidden="1" customHeight="1" outlineLevel="1" x14ac:dyDescent="0.25">
      <c r="A10642" s="18">
        <v>259</v>
      </c>
      <c r="B10642" s="4" t="s">
        <v>250</v>
      </c>
      <c r="C10642" s="38" t="s">
        <v>3825</v>
      </c>
      <c r="D10642" s="18">
        <v>2022</v>
      </c>
      <c r="E10642" s="18" t="s">
        <v>0</v>
      </c>
      <c r="F10642" s="42">
        <v>1</v>
      </c>
      <c r="G10642" s="4">
        <v>15</v>
      </c>
      <c r="H10642" s="18">
        <v>29</v>
      </c>
    </row>
    <row r="10643" spans="1:8" s="15" customFormat="1" ht="16.5" hidden="1" customHeight="1" outlineLevel="1" x14ac:dyDescent="0.25">
      <c r="A10643" s="18">
        <v>258</v>
      </c>
      <c r="B10643" s="4" t="s">
        <v>250</v>
      </c>
      <c r="C10643" s="38" t="s">
        <v>3826</v>
      </c>
      <c r="D10643" s="18">
        <v>2022</v>
      </c>
      <c r="E10643" s="18" t="s">
        <v>0</v>
      </c>
      <c r="F10643" s="42">
        <v>3</v>
      </c>
      <c r="G10643" s="4">
        <v>45</v>
      </c>
      <c r="H10643" s="18">
        <v>65</v>
      </c>
    </row>
    <row r="10644" spans="1:8" s="15" customFormat="1" ht="16.5" hidden="1" customHeight="1" outlineLevel="1" x14ac:dyDescent="0.25">
      <c r="A10644" s="18">
        <v>276</v>
      </c>
      <c r="B10644" s="4" t="s">
        <v>250</v>
      </c>
      <c r="C10644" s="38" t="s">
        <v>8825</v>
      </c>
      <c r="D10644" s="18">
        <v>2022</v>
      </c>
      <c r="E10644" s="18" t="s">
        <v>0</v>
      </c>
      <c r="F10644" s="42">
        <v>90</v>
      </c>
      <c r="G10644" s="4">
        <v>1298.9939999999999</v>
      </c>
      <c r="H10644" s="18">
        <v>1615</v>
      </c>
    </row>
    <row r="10645" spans="1:8" s="15" customFormat="1" ht="16.5" hidden="1" customHeight="1" outlineLevel="1" x14ac:dyDescent="0.25">
      <c r="A10645" s="18">
        <v>230</v>
      </c>
      <c r="B10645" s="4" t="s">
        <v>250</v>
      </c>
      <c r="C10645" s="38" t="s">
        <v>8826</v>
      </c>
      <c r="D10645" s="18">
        <v>2022</v>
      </c>
      <c r="E10645" s="18" t="s">
        <v>0</v>
      </c>
      <c r="F10645" s="42">
        <v>1</v>
      </c>
      <c r="G10645" s="4">
        <v>15</v>
      </c>
      <c r="H10645" s="18">
        <v>19</v>
      </c>
    </row>
    <row r="10646" spans="1:8" s="15" customFormat="1" ht="16.5" hidden="1" customHeight="1" outlineLevel="1" x14ac:dyDescent="0.25">
      <c r="A10646" s="18">
        <v>315</v>
      </c>
      <c r="B10646" s="4" t="s">
        <v>250</v>
      </c>
      <c r="C10646" s="38" t="s">
        <v>8827</v>
      </c>
      <c r="D10646" s="18">
        <v>2022</v>
      </c>
      <c r="E10646" s="18" t="s">
        <v>0</v>
      </c>
      <c r="F10646" s="42">
        <v>3</v>
      </c>
      <c r="G10646" s="4">
        <v>35</v>
      </c>
      <c r="H10646" s="18">
        <v>52</v>
      </c>
    </row>
    <row r="10647" spans="1:8" s="15" customFormat="1" ht="16.5" hidden="1" customHeight="1" outlineLevel="1" x14ac:dyDescent="0.25">
      <c r="A10647" s="18">
        <v>317</v>
      </c>
      <c r="B10647" s="4" t="s">
        <v>250</v>
      </c>
      <c r="C10647" s="38" t="s">
        <v>8828</v>
      </c>
      <c r="D10647" s="18">
        <v>2022</v>
      </c>
      <c r="E10647" s="18" t="s">
        <v>0</v>
      </c>
      <c r="F10647" s="42">
        <v>3</v>
      </c>
      <c r="G10647" s="4">
        <v>25</v>
      </c>
      <c r="H10647" s="18">
        <v>53</v>
      </c>
    </row>
    <row r="10648" spans="1:8" s="15" customFormat="1" ht="16.5" hidden="1" customHeight="1" outlineLevel="1" x14ac:dyDescent="0.25">
      <c r="A10648" s="18">
        <v>313</v>
      </c>
      <c r="B10648" s="4" t="s">
        <v>250</v>
      </c>
      <c r="C10648" s="38" t="s">
        <v>8829</v>
      </c>
      <c r="D10648" s="18">
        <v>2022</v>
      </c>
      <c r="E10648" s="18" t="s">
        <v>0</v>
      </c>
      <c r="F10648" s="42">
        <v>2</v>
      </c>
      <c r="G10648" s="4">
        <v>10</v>
      </c>
      <c r="H10648" s="18">
        <v>35</v>
      </c>
    </row>
    <row r="10649" spans="1:8" s="15" customFormat="1" ht="16.5" hidden="1" customHeight="1" outlineLevel="1" x14ac:dyDescent="0.25">
      <c r="A10649" s="18">
        <v>314</v>
      </c>
      <c r="B10649" s="4" t="s">
        <v>250</v>
      </c>
      <c r="C10649" s="38" t="s">
        <v>8830</v>
      </c>
      <c r="D10649" s="18">
        <v>2022</v>
      </c>
      <c r="E10649" s="18" t="s">
        <v>0</v>
      </c>
      <c r="F10649" s="42">
        <v>8</v>
      </c>
      <c r="G10649" s="4">
        <v>95</v>
      </c>
      <c r="H10649" s="18">
        <v>142</v>
      </c>
    </row>
    <row r="10650" spans="1:8" s="15" customFormat="1" ht="16.5" hidden="1" customHeight="1" outlineLevel="1" x14ac:dyDescent="0.25">
      <c r="A10650" s="18">
        <v>257</v>
      </c>
      <c r="B10650" s="4" t="s">
        <v>250</v>
      </c>
      <c r="C10650" s="38" t="s">
        <v>8831</v>
      </c>
      <c r="D10650" s="18">
        <v>2022</v>
      </c>
      <c r="E10650" s="18" t="s">
        <v>0</v>
      </c>
      <c r="F10650" s="42">
        <v>1</v>
      </c>
      <c r="G10650" s="4">
        <v>15</v>
      </c>
      <c r="H10650" s="18">
        <v>26</v>
      </c>
    </row>
    <row r="10651" spans="1:8" s="15" customFormat="1" ht="16.5" hidden="1" customHeight="1" outlineLevel="1" x14ac:dyDescent="0.25">
      <c r="A10651" s="18">
        <v>306</v>
      </c>
      <c r="B10651" s="4" t="s">
        <v>250</v>
      </c>
      <c r="C10651" s="38" t="s">
        <v>8832</v>
      </c>
      <c r="D10651" s="18">
        <v>2022</v>
      </c>
      <c r="E10651" s="18" t="s">
        <v>0</v>
      </c>
      <c r="F10651" s="42">
        <v>1</v>
      </c>
      <c r="G10651" s="4">
        <v>20</v>
      </c>
      <c r="H10651" s="18">
        <v>18</v>
      </c>
    </row>
    <row r="10652" spans="1:8" s="15" customFormat="1" ht="16.5" hidden="1" customHeight="1" outlineLevel="1" x14ac:dyDescent="0.25">
      <c r="A10652" s="18">
        <v>305</v>
      </c>
      <c r="B10652" s="4" t="s">
        <v>250</v>
      </c>
      <c r="C10652" s="38" t="s">
        <v>8833</v>
      </c>
      <c r="D10652" s="18">
        <v>2022</v>
      </c>
      <c r="E10652" s="18" t="s">
        <v>0</v>
      </c>
      <c r="F10652" s="42">
        <v>1</v>
      </c>
      <c r="G10652" s="4">
        <v>15</v>
      </c>
      <c r="H10652" s="18">
        <v>17</v>
      </c>
    </row>
    <row r="10653" spans="1:8" s="15" customFormat="1" ht="16.5" hidden="1" customHeight="1" outlineLevel="1" x14ac:dyDescent="0.25">
      <c r="A10653" s="18">
        <v>281</v>
      </c>
      <c r="B10653" s="4" t="s">
        <v>250</v>
      </c>
      <c r="C10653" s="38" t="s">
        <v>8834</v>
      </c>
      <c r="D10653" s="18">
        <v>2022</v>
      </c>
      <c r="E10653" s="18" t="s">
        <v>0</v>
      </c>
      <c r="F10653" s="42">
        <v>1</v>
      </c>
      <c r="G10653" s="4">
        <v>15</v>
      </c>
      <c r="H10653" s="18">
        <v>18</v>
      </c>
    </row>
    <row r="10654" spans="1:8" s="15" customFormat="1" ht="16.5" hidden="1" customHeight="1" outlineLevel="1" x14ac:dyDescent="0.25">
      <c r="A10654" s="18">
        <v>280</v>
      </c>
      <c r="B10654" s="4" t="s">
        <v>250</v>
      </c>
      <c r="C10654" s="38" t="s">
        <v>8835</v>
      </c>
      <c r="D10654" s="18">
        <v>2022</v>
      </c>
      <c r="E10654" s="18" t="s">
        <v>0</v>
      </c>
      <c r="F10654" s="42">
        <v>1</v>
      </c>
      <c r="G10654" s="4">
        <v>15</v>
      </c>
      <c r="H10654" s="18">
        <v>18</v>
      </c>
    </row>
    <row r="10655" spans="1:8" s="15" customFormat="1" ht="16.5" hidden="1" customHeight="1" outlineLevel="1" x14ac:dyDescent="0.25">
      <c r="A10655" s="18">
        <v>310</v>
      </c>
      <c r="B10655" s="4" t="s">
        <v>250</v>
      </c>
      <c r="C10655" s="38" t="s">
        <v>8836</v>
      </c>
      <c r="D10655" s="18">
        <v>2022</v>
      </c>
      <c r="E10655" s="18" t="s">
        <v>0</v>
      </c>
      <c r="F10655" s="42">
        <v>1</v>
      </c>
      <c r="G10655" s="4">
        <v>15</v>
      </c>
      <c r="H10655" s="18">
        <v>18</v>
      </c>
    </row>
    <row r="10656" spans="1:8" s="15" customFormat="1" ht="16.5" hidden="1" customHeight="1" outlineLevel="1" x14ac:dyDescent="0.25">
      <c r="A10656" s="18">
        <v>309</v>
      </c>
      <c r="B10656" s="4" t="s">
        <v>250</v>
      </c>
      <c r="C10656" s="38" t="s">
        <v>8837</v>
      </c>
      <c r="D10656" s="18">
        <v>2022</v>
      </c>
      <c r="E10656" s="18" t="s">
        <v>0</v>
      </c>
      <c r="F10656" s="42">
        <v>1</v>
      </c>
      <c r="G10656" s="4">
        <v>35</v>
      </c>
      <c r="H10656" s="18">
        <v>17</v>
      </c>
    </row>
    <row r="10657" spans="1:8" s="15" customFormat="1" ht="16.5" hidden="1" customHeight="1" outlineLevel="1" x14ac:dyDescent="0.25">
      <c r="A10657" s="18">
        <v>307</v>
      </c>
      <c r="B10657" s="4" t="s">
        <v>250</v>
      </c>
      <c r="C10657" s="38" t="s">
        <v>8838</v>
      </c>
      <c r="D10657" s="18">
        <v>2022</v>
      </c>
      <c r="E10657" s="18" t="s">
        <v>0</v>
      </c>
      <c r="F10657" s="42">
        <v>1</v>
      </c>
      <c r="G10657" s="4">
        <v>6</v>
      </c>
      <c r="H10657" s="18">
        <v>17</v>
      </c>
    </row>
    <row r="10658" spans="1:8" s="15" customFormat="1" ht="16.5" hidden="1" customHeight="1" outlineLevel="1" x14ac:dyDescent="0.25">
      <c r="A10658" s="18">
        <v>308</v>
      </c>
      <c r="B10658" s="4" t="s">
        <v>250</v>
      </c>
      <c r="C10658" s="38" t="s">
        <v>8839</v>
      </c>
      <c r="D10658" s="18">
        <v>2022</v>
      </c>
      <c r="E10658" s="18" t="s">
        <v>0</v>
      </c>
      <c r="F10658" s="42">
        <v>1</v>
      </c>
      <c r="G10658" s="4">
        <v>3</v>
      </c>
      <c r="H10658" s="18">
        <v>17</v>
      </c>
    </row>
    <row r="10659" spans="1:8" s="15" customFormat="1" ht="16.5" hidden="1" customHeight="1" outlineLevel="1" x14ac:dyDescent="0.25">
      <c r="A10659" s="18">
        <v>354</v>
      </c>
      <c r="B10659" s="4" t="s">
        <v>250</v>
      </c>
      <c r="C10659" s="38" t="s">
        <v>3827</v>
      </c>
      <c r="D10659" s="18">
        <v>2022</v>
      </c>
      <c r="E10659" s="18" t="s">
        <v>0</v>
      </c>
      <c r="F10659" s="42">
        <v>5</v>
      </c>
      <c r="G10659" s="4">
        <v>15</v>
      </c>
      <c r="H10659" s="18">
        <v>344</v>
      </c>
    </row>
    <row r="10660" spans="1:8" s="15" customFormat="1" ht="16.5" hidden="1" customHeight="1" outlineLevel="1" x14ac:dyDescent="0.25">
      <c r="A10660" s="18">
        <v>396</v>
      </c>
      <c r="B10660" s="4" t="s">
        <v>250</v>
      </c>
      <c r="C10660" s="38" t="s">
        <v>3828</v>
      </c>
      <c r="D10660" s="18">
        <v>2022</v>
      </c>
      <c r="E10660" s="18" t="s">
        <v>0</v>
      </c>
      <c r="F10660" s="42">
        <v>2</v>
      </c>
      <c r="G10660" s="4">
        <v>21</v>
      </c>
      <c r="H10660" s="18">
        <v>73</v>
      </c>
    </row>
    <row r="10661" spans="1:8" s="15" customFormat="1" ht="16.5" hidden="1" customHeight="1" outlineLevel="1" x14ac:dyDescent="0.25">
      <c r="A10661" s="18">
        <v>398</v>
      </c>
      <c r="B10661" s="4" t="s">
        <v>250</v>
      </c>
      <c r="C10661" s="38" t="s">
        <v>3829</v>
      </c>
      <c r="D10661" s="18">
        <v>2022</v>
      </c>
      <c r="E10661" s="18" t="s">
        <v>0</v>
      </c>
      <c r="F10661" s="42">
        <v>2</v>
      </c>
      <c r="G10661" s="4">
        <v>30</v>
      </c>
      <c r="H10661" s="18">
        <v>127</v>
      </c>
    </row>
    <row r="10662" spans="1:8" s="15" customFormat="1" ht="16.5" hidden="1" customHeight="1" outlineLevel="1" x14ac:dyDescent="0.25">
      <c r="A10662" s="18">
        <v>399</v>
      </c>
      <c r="B10662" s="4" t="s">
        <v>250</v>
      </c>
      <c r="C10662" s="38" t="s">
        <v>4043</v>
      </c>
      <c r="D10662" s="18">
        <v>2022</v>
      </c>
      <c r="E10662" s="18" t="s">
        <v>0</v>
      </c>
      <c r="F10662" s="42">
        <v>1</v>
      </c>
      <c r="G10662" s="4">
        <v>150</v>
      </c>
      <c r="H10662" s="18">
        <v>53</v>
      </c>
    </row>
    <row r="10663" spans="1:8" s="15" customFormat="1" ht="16.5" hidden="1" customHeight="1" outlineLevel="1" x14ac:dyDescent="0.25">
      <c r="A10663" s="18">
        <v>351</v>
      </c>
      <c r="B10663" s="4" t="s">
        <v>250</v>
      </c>
      <c r="C10663" s="38" t="s">
        <v>3830</v>
      </c>
      <c r="D10663" s="18">
        <v>2022</v>
      </c>
      <c r="E10663" s="18" t="s">
        <v>0</v>
      </c>
      <c r="F10663" s="42">
        <v>6</v>
      </c>
      <c r="G10663" s="4">
        <v>40</v>
      </c>
      <c r="H10663" s="18">
        <v>326</v>
      </c>
    </row>
    <row r="10664" spans="1:8" s="15" customFormat="1" ht="16.5" hidden="1" customHeight="1" outlineLevel="1" x14ac:dyDescent="0.25">
      <c r="A10664" s="18">
        <v>316</v>
      </c>
      <c r="B10664" s="4" t="s">
        <v>250</v>
      </c>
      <c r="C10664" s="38" t="s">
        <v>8840</v>
      </c>
      <c r="D10664" s="18">
        <v>2022</v>
      </c>
      <c r="E10664" s="18" t="s">
        <v>0</v>
      </c>
      <c r="F10664" s="42">
        <v>1</v>
      </c>
      <c r="G10664" s="4">
        <v>1133.5</v>
      </c>
      <c r="H10664" s="18">
        <v>391</v>
      </c>
    </row>
    <row r="10665" spans="1:8" s="15" customFormat="1" ht="16.5" hidden="1" customHeight="1" outlineLevel="1" x14ac:dyDescent="0.25">
      <c r="A10665" s="18">
        <v>311</v>
      </c>
      <c r="B10665" s="4" t="s">
        <v>250</v>
      </c>
      <c r="C10665" s="38" t="s">
        <v>8841</v>
      </c>
      <c r="D10665" s="18">
        <v>2022</v>
      </c>
      <c r="E10665" s="18" t="s">
        <v>0</v>
      </c>
      <c r="F10665" s="42">
        <v>1</v>
      </c>
      <c r="G10665" s="4">
        <v>15</v>
      </c>
      <c r="H10665" s="18">
        <v>19</v>
      </c>
    </row>
    <row r="10666" spans="1:8" s="15" customFormat="1" ht="16.5" hidden="1" customHeight="1" outlineLevel="1" x14ac:dyDescent="0.25">
      <c r="A10666" s="18">
        <v>333</v>
      </c>
      <c r="B10666" s="4" t="s">
        <v>250</v>
      </c>
      <c r="C10666" s="38" t="s">
        <v>8842</v>
      </c>
      <c r="D10666" s="18">
        <v>2022</v>
      </c>
      <c r="E10666" s="18" t="s">
        <v>0</v>
      </c>
      <c r="F10666" s="42">
        <v>1</v>
      </c>
      <c r="G10666" s="4">
        <v>15</v>
      </c>
      <c r="H10666" s="18">
        <v>17</v>
      </c>
    </row>
    <row r="10667" spans="1:8" s="15" customFormat="1" ht="16.5" hidden="1" customHeight="1" outlineLevel="1" x14ac:dyDescent="0.25">
      <c r="A10667" s="18">
        <v>335</v>
      </c>
      <c r="B10667" s="4" t="s">
        <v>250</v>
      </c>
      <c r="C10667" s="38" t="s">
        <v>8843</v>
      </c>
      <c r="D10667" s="18">
        <v>2022</v>
      </c>
      <c r="E10667" s="18" t="s">
        <v>0</v>
      </c>
      <c r="F10667" s="42">
        <v>1</v>
      </c>
      <c r="G10667" s="4">
        <v>50</v>
      </c>
      <c r="H10667" s="18">
        <v>17</v>
      </c>
    </row>
    <row r="10668" spans="1:8" s="15" customFormat="1" ht="16.5" hidden="1" customHeight="1" outlineLevel="1" x14ac:dyDescent="0.25">
      <c r="A10668" s="18">
        <v>332</v>
      </c>
      <c r="B10668" s="4" t="s">
        <v>250</v>
      </c>
      <c r="C10668" s="38" t="s">
        <v>8844</v>
      </c>
      <c r="D10668" s="18">
        <v>2022</v>
      </c>
      <c r="E10668" s="18" t="s">
        <v>0</v>
      </c>
      <c r="F10668" s="42">
        <v>1</v>
      </c>
      <c r="G10668" s="4">
        <v>50</v>
      </c>
      <c r="H10668" s="18">
        <v>18</v>
      </c>
    </row>
    <row r="10669" spans="1:8" s="15" customFormat="1" ht="16.5" hidden="1" customHeight="1" outlineLevel="1" x14ac:dyDescent="0.25">
      <c r="A10669" s="18">
        <v>338</v>
      </c>
      <c r="B10669" s="4" t="s">
        <v>250</v>
      </c>
      <c r="C10669" s="38" t="s">
        <v>8845</v>
      </c>
      <c r="D10669" s="18">
        <v>2022</v>
      </c>
      <c r="E10669" s="18" t="s">
        <v>0</v>
      </c>
      <c r="F10669" s="42">
        <v>1</v>
      </c>
      <c r="G10669" s="4">
        <v>50</v>
      </c>
      <c r="H10669" s="18">
        <v>18</v>
      </c>
    </row>
    <row r="10670" spans="1:8" s="15" customFormat="1" ht="16.5" hidden="1" customHeight="1" outlineLevel="1" x14ac:dyDescent="0.25">
      <c r="A10670" s="18">
        <v>339</v>
      </c>
      <c r="B10670" s="4" t="s">
        <v>250</v>
      </c>
      <c r="C10670" s="38" t="s">
        <v>8846</v>
      </c>
      <c r="D10670" s="18">
        <v>2022</v>
      </c>
      <c r="E10670" s="18" t="s">
        <v>0</v>
      </c>
      <c r="F10670" s="42">
        <v>1</v>
      </c>
      <c r="G10670" s="4">
        <v>45</v>
      </c>
      <c r="H10670" s="18">
        <v>17</v>
      </c>
    </row>
    <row r="10671" spans="1:8" s="15" customFormat="1" ht="16.5" hidden="1" customHeight="1" outlineLevel="1" x14ac:dyDescent="0.25">
      <c r="A10671" s="18">
        <v>341</v>
      </c>
      <c r="B10671" s="4" t="s">
        <v>250</v>
      </c>
      <c r="C10671" s="38" t="s">
        <v>8847</v>
      </c>
      <c r="D10671" s="18">
        <v>2022</v>
      </c>
      <c r="E10671" s="18" t="s">
        <v>0</v>
      </c>
      <c r="F10671" s="42">
        <v>1</v>
      </c>
      <c r="G10671" s="4">
        <v>30</v>
      </c>
      <c r="H10671" s="18">
        <v>17</v>
      </c>
    </row>
    <row r="10672" spans="1:8" s="15" customFormat="1" ht="16.5" hidden="1" customHeight="1" outlineLevel="1" x14ac:dyDescent="0.25">
      <c r="A10672" s="18">
        <v>342</v>
      </c>
      <c r="B10672" s="4" t="s">
        <v>250</v>
      </c>
      <c r="C10672" s="38" t="s">
        <v>8848</v>
      </c>
      <c r="D10672" s="18">
        <v>2022</v>
      </c>
      <c r="E10672" s="18" t="s">
        <v>0</v>
      </c>
      <c r="F10672" s="42">
        <v>1</v>
      </c>
      <c r="G10672" s="4">
        <v>45</v>
      </c>
      <c r="H10672" s="18">
        <v>17</v>
      </c>
    </row>
    <row r="10673" spans="1:8" s="15" customFormat="1" ht="16.5" hidden="1" customHeight="1" outlineLevel="1" x14ac:dyDescent="0.25">
      <c r="A10673" s="18">
        <v>348</v>
      </c>
      <c r="B10673" s="4" t="s">
        <v>250</v>
      </c>
      <c r="C10673" s="38" t="s">
        <v>8849</v>
      </c>
      <c r="D10673" s="18">
        <v>2022</v>
      </c>
      <c r="E10673" s="18" t="s">
        <v>0</v>
      </c>
      <c r="F10673" s="42">
        <v>3</v>
      </c>
      <c r="G10673" s="4">
        <v>45</v>
      </c>
      <c r="H10673" s="18">
        <v>52</v>
      </c>
    </row>
    <row r="10674" spans="1:8" s="15" customFormat="1" ht="16.5" hidden="1" customHeight="1" outlineLevel="1" x14ac:dyDescent="0.25">
      <c r="A10674" s="18">
        <v>331</v>
      </c>
      <c r="B10674" s="4" t="s">
        <v>250</v>
      </c>
      <c r="C10674" s="38" t="s">
        <v>8850</v>
      </c>
      <c r="D10674" s="18">
        <v>2022</v>
      </c>
      <c r="E10674" s="18" t="s">
        <v>0</v>
      </c>
      <c r="F10674" s="42">
        <v>3</v>
      </c>
      <c r="G10674" s="4">
        <v>17</v>
      </c>
      <c r="H10674" s="18">
        <v>51</v>
      </c>
    </row>
    <row r="10675" spans="1:8" s="15" customFormat="1" ht="16.5" hidden="1" customHeight="1" outlineLevel="1" x14ac:dyDescent="0.25">
      <c r="A10675" s="18">
        <v>349</v>
      </c>
      <c r="B10675" s="4" t="s">
        <v>250</v>
      </c>
      <c r="C10675" s="38" t="s">
        <v>8851</v>
      </c>
      <c r="D10675" s="18">
        <v>2022</v>
      </c>
      <c r="E10675" s="18" t="s">
        <v>0</v>
      </c>
      <c r="F10675" s="42">
        <v>9</v>
      </c>
      <c r="G10675" s="4">
        <v>99</v>
      </c>
      <c r="H10675" s="18">
        <v>152</v>
      </c>
    </row>
    <row r="10676" spans="1:8" s="15" customFormat="1" ht="16.5" hidden="1" customHeight="1" outlineLevel="1" x14ac:dyDescent="0.25">
      <c r="A10676" s="18">
        <v>346</v>
      </c>
      <c r="B10676" s="4" t="s">
        <v>250</v>
      </c>
      <c r="C10676" s="38" t="s">
        <v>8852</v>
      </c>
      <c r="D10676" s="18">
        <v>2022</v>
      </c>
      <c r="E10676" s="18" t="s">
        <v>0</v>
      </c>
      <c r="F10676" s="42">
        <v>44</v>
      </c>
      <c r="G10676" s="4">
        <v>506.99</v>
      </c>
      <c r="H10676" s="18">
        <v>753</v>
      </c>
    </row>
    <row r="10677" spans="1:8" s="15" customFormat="1" ht="16.5" hidden="1" customHeight="1" outlineLevel="1" x14ac:dyDescent="0.25">
      <c r="A10677" s="18">
        <v>336</v>
      </c>
      <c r="B10677" s="4" t="s">
        <v>250</v>
      </c>
      <c r="C10677" s="38" t="s">
        <v>8853</v>
      </c>
      <c r="D10677" s="18">
        <v>2022</v>
      </c>
      <c r="E10677" s="18" t="s">
        <v>0</v>
      </c>
      <c r="F10677" s="42">
        <v>1</v>
      </c>
      <c r="G10677" s="4">
        <v>15</v>
      </c>
      <c r="H10677" s="18">
        <v>17</v>
      </c>
    </row>
    <row r="10678" spans="1:8" s="15" customFormat="1" ht="16.5" hidden="1" customHeight="1" outlineLevel="1" x14ac:dyDescent="0.25">
      <c r="A10678" s="18">
        <v>344</v>
      </c>
      <c r="B10678" s="4" t="s">
        <v>250</v>
      </c>
      <c r="C10678" s="38" t="s">
        <v>8854</v>
      </c>
      <c r="D10678" s="18">
        <v>2022</v>
      </c>
      <c r="E10678" s="18" t="s">
        <v>0</v>
      </c>
      <c r="F10678" s="42">
        <v>4</v>
      </c>
      <c r="G10678" s="4">
        <v>54</v>
      </c>
      <c r="H10678" s="18">
        <v>68</v>
      </c>
    </row>
    <row r="10679" spans="1:8" s="15" customFormat="1" ht="16.5" hidden="1" customHeight="1" outlineLevel="1" x14ac:dyDescent="0.25">
      <c r="A10679" s="18">
        <v>340</v>
      </c>
      <c r="B10679" s="4" t="s">
        <v>250</v>
      </c>
      <c r="C10679" s="38" t="s">
        <v>8855</v>
      </c>
      <c r="D10679" s="18">
        <v>2022</v>
      </c>
      <c r="E10679" s="18" t="s">
        <v>0</v>
      </c>
      <c r="F10679" s="42">
        <v>1</v>
      </c>
      <c r="G10679" s="4">
        <v>15</v>
      </c>
      <c r="H10679" s="18">
        <v>17</v>
      </c>
    </row>
    <row r="10680" spans="1:8" s="15" customFormat="1" ht="16.5" hidden="1" customHeight="1" outlineLevel="1" x14ac:dyDescent="0.25">
      <c r="A10680" s="18">
        <v>337</v>
      </c>
      <c r="B10680" s="4" t="s">
        <v>250</v>
      </c>
      <c r="C10680" s="38" t="s">
        <v>8856</v>
      </c>
      <c r="D10680" s="18">
        <v>2022</v>
      </c>
      <c r="E10680" s="18" t="s">
        <v>0</v>
      </c>
      <c r="F10680" s="42">
        <v>1</v>
      </c>
      <c r="G10680" s="4">
        <v>15</v>
      </c>
      <c r="H10680" s="18">
        <v>18</v>
      </c>
    </row>
    <row r="10681" spans="1:8" s="15" customFormat="1" ht="16.5" hidden="1" customHeight="1" outlineLevel="1" x14ac:dyDescent="0.25">
      <c r="A10681" s="18">
        <v>386</v>
      </c>
      <c r="B10681" s="4" t="s">
        <v>250</v>
      </c>
      <c r="C10681" s="38" t="s">
        <v>8857</v>
      </c>
      <c r="D10681" s="18">
        <v>2022</v>
      </c>
      <c r="E10681" s="18" t="s">
        <v>0</v>
      </c>
      <c r="F10681" s="42">
        <v>1</v>
      </c>
      <c r="G10681" s="4">
        <v>5</v>
      </c>
      <c r="H10681" s="18">
        <v>18</v>
      </c>
    </row>
    <row r="10682" spans="1:8" s="15" customFormat="1" ht="16.5" hidden="1" customHeight="1" outlineLevel="1" x14ac:dyDescent="0.25">
      <c r="A10682" s="18">
        <v>431</v>
      </c>
      <c r="B10682" s="4" t="s">
        <v>250</v>
      </c>
      <c r="C10682" s="38" t="s">
        <v>3988</v>
      </c>
      <c r="D10682" s="18">
        <v>2022</v>
      </c>
      <c r="E10682" s="18" t="s">
        <v>0</v>
      </c>
      <c r="F10682" s="42">
        <v>21</v>
      </c>
      <c r="G10682" s="4">
        <v>405</v>
      </c>
      <c r="H10682" s="18">
        <v>724</v>
      </c>
    </row>
    <row r="10683" spans="1:8" s="15" customFormat="1" ht="16.5" hidden="1" customHeight="1" outlineLevel="1" x14ac:dyDescent="0.25">
      <c r="A10683" s="18">
        <v>428</v>
      </c>
      <c r="B10683" s="4" t="s">
        <v>250</v>
      </c>
      <c r="C10683" s="38" t="s">
        <v>3833</v>
      </c>
      <c r="D10683" s="18">
        <v>2022</v>
      </c>
      <c r="E10683" s="18" t="s">
        <v>0</v>
      </c>
      <c r="F10683" s="42">
        <v>2</v>
      </c>
      <c r="G10683" s="4">
        <v>30</v>
      </c>
      <c r="H10683" s="18">
        <v>47</v>
      </c>
    </row>
    <row r="10684" spans="1:8" s="15" customFormat="1" ht="16.5" hidden="1" customHeight="1" outlineLevel="1" x14ac:dyDescent="0.25">
      <c r="A10684" s="18">
        <v>429</v>
      </c>
      <c r="B10684" s="4" t="s">
        <v>250</v>
      </c>
      <c r="C10684" s="38" t="s">
        <v>3834</v>
      </c>
      <c r="D10684" s="18">
        <v>2022</v>
      </c>
      <c r="E10684" s="18" t="s">
        <v>0</v>
      </c>
      <c r="F10684" s="42">
        <v>1</v>
      </c>
      <c r="G10684" s="4">
        <v>15</v>
      </c>
      <c r="H10684" s="18">
        <v>68</v>
      </c>
    </row>
    <row r="10685" spans="1:8" s="15" customFormat="1" ht="16.5" hidden="1" customHeight="1" outlineLevel="1" x14ac:dyDescent="0.25">
      <c r="A10685" s="18">
        <v>427</v>
      </c>
      <c r="B10685" s="4" t="s">
        <v>250</v>
      </c>
      <c r="C10685" s="38" t="s">
        <v>3835</v>
      </c>
      <c r="D10685" s="18">
        <v>2022</v>
      </c>
      <c r="E10685" s="18" t="s">
        <v>0</v>
      </c>
      <c r="F10685" s="42">
        <v>1</v>
      </c>
      <c r="G10685" s="4">
        <v>15</v>
      </c>
      <c r="H10685" s="18">
        <v>78</v>
      </c>
    </row>
    <row r="10686" spans="1:8" s="15" customFormat="1" ht="16.5" hidden="1" customHeight="1" outlineLevel="1" x14ac:dyDescent="0.25">
      <c r="A10686" s="18">
        <v>430</v>
      </c>
      <c r="B10686" s="4" t="s">
        <v>250</v>
      </c>
      <c r="C10686" s="38" t="s">
        <v>3836</v>
      </c>
      <c r="D10686" s="18">
        <v>2022</v>
      </c>
      <c r="E10686" s="18" t="s">
        <v>0</v>
      </c>
      <c r="F10686" s="42">
        <v>2</v>
      </c>
      <c r="G10686" s="4">
        <v>160</v>
      </c>
      <c r="H10686" s="18">
        <v>232</v>
      </c>
    </row>
    <row r="10687" spans="1:8" s="15" customFormat="1" ht="16.5" hidden="1" customHeight="1" outlineLevel="1" x14ac:dyDescent="0.25">
      <c r="A10687" s="18">
        <v>423</v>
      </c>
      <c r="B10687" s="4" t="s">
        <v>250</v>
      </c>
      <c r="C10687" s="38" t="s">
        <v>3989</v>
      </c>
      <c r="D10687" s="18">
        <v>2022</v>
      </c>
      <c r="E10687" s="18" t="s">
        <v>0</v>
      </c>
      <c r="F10687" s="42">
        <v>3</v>
      </c>
      <c r="G10687" s="4">
        <v>45</v>
      </c>
      <c r="H10687" s="18">
        <v>115</v>
      </c>
    </row>
    <row r="10688" spans="1:8" s="15" customFormat="1" ht="16.5" hidden="1" customHeight="1" outlineLevel="1" x14ac:dyDescent="0.25">
      <c r="A10688" s="18">
        <v>424</v>
      </c>
      <c r="B10688" s="4" t="s">
        <v>250</v>
      </c>
      <c r="C10688" s="38" t="s">
        <v>3990</v>
      </c>
      <c r="D10688" s="18">
        <v>2022</v>
      </c>
      <c r="E10688" s="18" t="s">
        <v>0</v>
      </c>
      <c r="F10688" s="42">
        <v>1</v>
      </c>
      <c r="G10688" s="4">
        <v>15</v>
      </c>
      <c r="H10688" s="18">
        <v>80</v>
      </c>
    </row>
    <row r="10689" spans="1:8" s="15" customFormat="1" ht="16.5" hidden="1" customHeight="1" outlineLevel="1" x14ac:dyDescent="0.25">
      <c r="A10689" s="18">
        <v>425</v>
      </c>
      <c r="B10689" s="4" t="s">
        <v>250</v>
      </c>
      <c r="C10689" s="38" t="s">
        <v>3837</v>
      </c>
      <c r="D10689" s="18">
        <v>2022</v>
      </c>
      <c r="E10689" s="18" t="s">
        <v>0</v>
      </c>
      <c r="F10689" s="42">
        <v>8</v>
      </c>
      <c r="G10689" s="4">
        <v>120</v>
      </c>
      <c r="H10689" s="18">
        <v>371</v>
      </c>
    </row>
    <row r="10690" spans="1:8" s="15" customFormat="1" ht="16.5" hidden="1" customHeight="1" outlineLevel="1" x14ac:dyDescent="0.25">
      <c r="A10690" s="18">
        <v>397</v>
      </c>
      <c r="B10690" s="4" t="s">
        <v>250</v>
      </c>
      <c r="C10690" s="38" t="s">
        <v>3838</v>
      </c>
      <c r="D10690" s="18">
        <v>2022</v>
      </c>
      <c r="E10690" s="18" t="s">
        <v>0</v>
      </c>
      <c r="F10690" s="42">
        <v>1</v>
      </c>
      <c r="G10690" s="4">
        <v>15</v>
      </c>
      <c r="H10690" s="18">
        <v>88</v>
      </c>
    </row>
    <row r="10691" spans="1:8" s="15" customFormat="1" ht="16.5" hidden="1" customHeight="1" outlineLevel="1" x14ac:dyDescent="0.25">
      <c r="A10691" s="18">
        <v>288</v>
      </c>
      <c r="B10691" s="4" t="s">
        <v>250</v>
      </c>
      <c r="C10691" s="38" t="s">
        <v>3839</v>
      </c>
      <c r="D10691" s="18">
        <v>2022</v>
      </c>
      <c r="E10691" s="18" t="s">
        <v>0</v>
      </c>
      <c r="F10691" s="42">
        <v>12</v>
      </c>
      <c r="G10691" s="4">
        <v>179.97</v>
      </c>
      <c r="H10691" s="18">
        <v>247</v>
      </c>
    </row>
    <row r="10692" spans="1:8" s="15" customFormat="1" ht="16.5" hidden="1" customHeight="1" outlineLevel="1" x14ac:dyDescent="0.25">
      <c r="A10692" s="18">
        <v>323</v>
      </c>
      <c r="B10692" s="4" t="s">
        <v>250</v>
      </c>
      <c r="C10692" s="38" t="s">
        <v>3841</v>
      </c>
      <c r="D10692" s="18">
        <v>2022</v>
      </c>
      <c r="E10692" s="18" t="s">
        <v>0</v>
      </c>
      <c r="F10692" s="42">
        <v>2</v>
      </c>
      <c r="G10692" s="4">
        <v>30</v>
      </c>
      <c r="H10692" s="18">
        <v>44</v>
      </c>
    </row>
    <row r="10693" spans="1:8" s="15" customFormat="1" ht="16.5" hidden="1" customHeight="1" outlineLevel="1" x14ac:dyDescent="0.25">
      <c r="A10693" s="18">
        <v>375</v>
      </c>
      <c r="B10693" s="4" t="s">
        <v>250</v>
      </c>
      <c r="C10693" s="38" t="s">
        <v>3842</v>
      </c>
      <c r="D10693" s="18">
        <v>2022</v>
      </c>
      <c r="E10693" s="18" t="s">
        <v>0</v>
      </c>
      <c r="F10693" s="42">
        <v>1</v>
      </c>
      <c r="G10693" s="4">
        <v>15</v>
      </c>
      <c r="H10693" s="18">
        <v>23</v>
      </c>
    </row>
    <row r="10694" spans="1:8" s="15" customFormat="1" ht="16.5" hidden="1" customHeight="1" outlineLevel="1" x14ac:dyDescent="0.25">
      <c r="A10694" s="18">
        <v>297</v>
      </c>
      <c r="B10694" s="4" t="s">
        <v>250</v>
      </c>
      <c r="C10694" s="38" t="s">
        <v>4044</v>
      </c>
      <c r="D10694" s="18">
        <v>2022</v>
      </c>
      <c r="E10694" s="18" t="s">
        <v>0</v>
      </c>
      <c r="F10694" s="42">
        <v>1</v>
      </c>
      <c r="G10694" s="4">
        <v>15</v>
      </c>
      <c r="H10694" s="18">
        <v>24</v>
      </c>
    </row>
    <row r="10695" spans="1:8" s="15" customFormat="1" ht="16.5" hidden="1" customHeight="1" outlineLevel="1" x14ac:dyDescent="0.25">
      <c r="A10695" s="18">
        <v>326</v>
      </c>
      <c r="B10695" s="4" t="s">
        <v>250</v>
      </c>
      <c r="C10695" s="38" t="s">
        <v>3843</v>
      </c>
      <c r="D10695" s="18">
        <v>2022</v>
      </c>
      <c r="E10695" s="18" t="s">
        <v>0</v>
      </c>
      <c r="F10695" s="42">
        <v>1</v>
      </c>
      <c r="G10695" s="4">
        <v>15</v>
      </c>
      <c r="H10695" s="18">
        <v>23</v>
      </c>
    </row>
    <row r="10696" spans="1:8" s="15" customFormat="1" ht="16.5" hidden="1" customHeight="1" outlineLevel="1" x14ac:dyDescent="0.25">
      <c r="A10696" s="18">
        <v>319</v>
      </c>
      <c r="B10696" s="4" t="s">
        <v>250</v>
      </c>
      <c r="C10696" s="38" t="s">
        <v>3844</v>
      </c>
      <c r="D10696" s="18">
        <v>2022</v>
      </c>
      <c r="E10696" s="18" t="s">
        <v>0</v>
      </c>
      <c r="F10696" s="42">
        <v>1</v>
      </c>
      <c r="G10696" s="4">
        <v>15</v>
      </c>
      <c r="H10696" s="18">
        <v>23</v>
      </c>
    </row>
    <row r="10697" spans="1:8" s="15" customFormat="1" ht="16.5" hidden="1" customHeight="1" outlineLevel="1" x14ac:dyDescent="0.25">
      <c r="A10697" s="18">
        <v>295</v>
      </c>
      <c r="B10697" s="4" t="s">
        <v>250</v>
      </c>
      <c r="C10697" s="38" t="s">
        <v>4045</v>
      </c>
      <c r="D10697" s="18">
        <v>2022</v>
      </c>
      <c r="E10697" s="18" t="s">
        <v>0</v>
      </c>
      <c r="F10697" s="42">
        <v>1</v>
      </c>
      <c r="G10697" s="4">
        <v>15</v>
      </c>
      <c r="H10697" s="18">
        <v>24</v>
      </c>
    </row>
    <row r="10698" spans="1:8" s="15" customFormat="1" ht="16.5" hidden="1" customHeight="1" outlineLevel="1" x14ac:dyDescent="0.25">
      <c r="A10698" s="18">
        <v>383</v>
      </c>
      <c r="B10698" s="4" t="s">
        <v>250</v>
      </c>
      <c r="C10698" s="38" t="s">
        <v>3845</v>
      </c>
      <c r="D10698" s="18">
        <v>2022</v>
      </c>
      <c r="E10698" s="18" t="s">
        <v>0</v>
      </c>
      <c r="F10698" s="42">
        <v>1</v>
      </c>
      <c r="G10698" s="4">
        <v>15</v>
      </c>
      <c r="H10698" s="18">
        <v>27</v>
      </c>
    </row>
    <row r="10699" spans="1:8" s="15" customFormat="1" ht="16.5" hidden="1" customHeight="1" outlineLevel="1" x14ac:dyDescent="0.25">
      <c r="A10699" s="18">
        <v>330</v>
      </c>
      <c r="B10699" s="4" t="s">
        <v>250</v>
      </c>
      <c r="C10699" s="38" t="s">
        <v>3846</v>
      </c>
      <c r="D10699" s="18">
        <v>2022</v>
      </c>
      <c r="E10699" s="18" t="s">
        <v>0</v>
      </c>
      <c r="F10699" s="42">
        <v>1</v>
      </c>
      <c r="G10699" s="4">
        <v>15</v>
      </c>
      <c r="H10699" s="18">
        <v>24</v>
      </c>
    </row>
    <row r="10700" spans="1:8" s="15" customFormat="1" ht="16.5" hidden="1" customHeight="1" outlineLevel="1" x14ac:dyDescent="0.25">
      <c r="A10700" s="18">
        <v>320</v>
      </c>
      <c r="B10700" s="4" t="s">
        <v>250</v>
      </c>
      <c r="C10700" s="38" t="s">
        <v>3847</v>
      </c>
      <c r="D10700" s="18">
        <v>2022</v>
      </c>
      <c r="E10700" s="18" t="s">
        <v>0</v>
      </c>
      <c r="F10700" s="42">
        <v>1</v>
      </c>
      <c r="G10700" s="4">
        <v>15</v>
      </c>
      <c r="H10700" s="18">
        <v>22</v>
      </c>
    </row>
    <row r="10701" spans="1:8" s="15" customFormat="1" ht="16.5" hidden="1" customHeight="1" outlineLevel="1" x14ac:dyDescent="0.25">
      <c r="A10701" s="18">
        <v>303</v>
      </c>
      <c r="B10701" s="4" t="s">
        <v>250</v>
      </c>
      <c r="C10701" s="38" t="s">
        <v>4046</v>
      </c>
      <c r="D10701" s="18">
        <v>2022</v>
      </c>
      <c r="E10701" s="18" t="s">
        <v>0</v>
      </c>
      <c r="F10701" s="42">
        <v>1</v>
      </c>
      <c r="G10701" s="4">
        <v>15</v>
      </c>
      <c r="H10701" s="18">
        <v>24</v>
      </c>
    </row>
    <row r="10702" spans="1:8" s="15" customFormat="1" ht="16.5" hidden="1" customHeight="1" outlineLevel="1" x14ac:dyDescent="0.25">
      <c r="A10702" s="18">
        <v>325</v>
      </c>
      <c r="B10702" s="4" t="s">
        <v>250</v>
      </c>
      <c r="C10702" s="38" t="s">
        <v>3848</v>
      </c>
      <c r="D10702" s="18">
        <v>2022</v>
      </c>
      <c r="E10702" s="18" t="s">
        <v>0</v>
      </c>
      <c r="F10702" s="42">
        <v>1</v>
      </c>
      <c r="G10702" s="4">
        <v>14</v>
      </c>
      <c r="H10702" s="18">
        <v>24</v>
      </c>
    </row>
    <row r="10703" spans="1:8" s="15" customFormat="1" ht="16.5" hidden="1" customHeight="1" outlineLevel="1" x14ac:dyDescent="0.25">
      <c r="A10703" s="18">
        <v>328</v>
      </c>
      <c r="B10703" s="4" t="s">
        <v>250</v>
      </c>
      <c r="C10703" s="38" t="s">
        <v>3849</v>
      </c>
      <c r="D10703" s="18">
        <v>2022</v>
      </c>
      <c r="E10703" s="18" t="s">
        <v>0</v>
      </c>
      <c r="F10703" s="42">
        <v>1</v>
      </c>
      <c r="G10703" s="4">
        <v>14</v>
      </c>
      <c r="H10703" s="18">
        <v>24</v>
      </c>
    </row>
    <row r="10704" spans="1:8" s="15" customFormat="1" ht="16.5" hidden="1" customHeight="1" outlineLevel="1" x14ac:dyDescent="0.25">
      <c r="A10704" s="18">
        <v>382</v>
      </c>
      <c r="B10704" s="4" t="s">
        <v>250</v>
      </c>
      <c r="C10704" s="38" t="s">
        <v>3850</v>
      </c>
      <c r="D10704" s="18">
        <v>2022</v>
      </c>
      <c r="E10704" s="18" t="s">
        <v>0</v>
      </c>
      <c r="F10704" s="42">
        <v>1</v>
      </c>
      <c r="G10704" s="4">
        <v>15</v>
      </c>
      <c r="H10704" s="18">
        <v>19</v>
      </c>
    </row>
    <row r="10705" spans="1:8" s="15" customFormat="1" ht="16.5" hidden="1" customHeight="1" outlineLevel="1" x14ac:dyDescent="0.25">
      <c r="A10705" s="18">
        <v>321</v>
      </c>
      <c r="B10705" s="4" t="s">
        <v>250</v>
      </c>
      <c r="C10705" s="38" t="s">
        <v>3851</v>
      </c>
      <c r="D10705" s="18">
        <v>2022</v>
      </c>
      <c r="E10705" s="18" t="s">
        <v>0</v>
      </c>
      <c r="F10705" s="42">
        <v>2</v>
      </c>
      <c r="G10705" s="4">
        <v>30</v>
      </c>
      <c r="H10705" s="18">
        <v>42</v>
      </c>
    </row>
    <row r="10706" spans="1:8" s="15" customFormat="1" ht="16.5" hidden="1" customHeight="1" outlineLevel="1" x14ac:dyDescent="0.25">
      <c r="A10706" s="18">
        <v>301</v>
      </c>
      <c r="B10706" s="4" t="s">
        <v>250</v>
      </c>
      <c r="C10706" s="38" t="s">
        <v>4047</v>
      </c>
      <c r="D10706" s="18">
        <v>2022</v>
      </c>
      <c r="E10706" s="18" t="s">
        <v>0</v>
      </c>
      <c r="F10706" s="42">
        <v>1</v>
      </c>
      <c r="G10706" s="4">
        <v>15</v>
      </c>
      <c r="H10706" s="18">
        <v>24</v>
      </c>
    </row>
    <row r="10707" spans="1:8" s="15" customFormat="1" ht="16.5" hidden="1" customHeight="1" outlineLevel="1" x14ac:dyDescent="0.25">
      <c r="A10707" s="18">
        <v>374</v>
      </c>
      <c r="B10707" s="4" t="s">
        <v>250</v>
      </c>
      <c r="C10707" s="38" t="s">
        <v>3853</v>
      </c>
      <c r="D10707" s="18">
        <v>2022</v>
      </c>
      <c r="E10707" s="18" t="s">
        <v>0</v>
      </c>
      <c r="F10707" s="42">
        <v>1</v>
      </c>
      <c r="G10707" s="4">
        <v>15</v>
      </c>
      <c r="H10707" s="18">
        <v>23</v>
      </c>
    </row>
    <row r="10708" spans="1:8" s="15" customFormat="1" ht="16.5" hidden="1" customHeight="1" outlineLevel="1" x14ac:dyDescent="0.25">
      <c r="A10708" s="18">
        <v>327</v>
      </c>
      <c r="B10708" s="4" t="s">
        <v>250</v>
      </c>
      <c r="C10708" s="38" t="s">
        <v>3854</v>
      </c>
      <c r="D10708" s="18">
        <v>2022</v>
      </c>
      <c r="E10708" s="18" t="s">
        <v>0</v>
      </c>
      <c r="F10708" s="42">
        <v>1</v>
      </c>
      <c r="G10708" s="4">
        <v>15</v>
      </c>
      <c r="H10708" s="18">
        <v>23</v>
      </c>
    </row>
    <row r="10709" spans="1:8" s="15" customFormat="1" ht="16.5" hidden="1" customHeight="1" outlineLevel="1" x14ac:dyDescent="0.25">
      <c r="A10709" s="18">
        <v>365</v>
      </c>
      <c r="B10709" s="4" t="s">
        <v>250</v>
      </c>
      <c r="C10709" s="38" t="s">
        <v>3855</v>
      </c>
      <c r="D10709" s="18">
        <v>2022</v>
      </c>
      <c r="E10709" s="18" t="s">
        <v>0</v>
      </c>
      <c r="F10709" s="42">
        <v>1</v>
      </c>
      <c r="G10709" s="4">
        <v>15</v>
      </c>
      <c r="H10709" s="18">
        <v>23</v>
      </c>
    </row>
    <row r="10710" spans="1:8" s="15" customFormat="1" ht="16.5" hidden="1" customHeight="1" outlineLevel="1" x14ac:dyDescent="0.25">
      <c r="A10710" s="18">
        <v>285</v>
      </c>
      <c r="B10710" s="4" t="s">
        <v>250</v>
      </c>
      <c r="C10710" s="38" t="s">
        <v>3857</v>
      </c>
      <c r="D10710" s="18">
        <v>2022</v>
      </c>
      <c r="E10710" s="18" t="s">
        <v>0</v>
      </c>
      <c r="F10710" s="42">
        <v>1</v>
      </c>
      <c r="G10710" s="4">
        <v>15</v>
      </c>
      <c r="H10710" s="18">
        <v>24</v>
      </c>
    </row>
    <row r="10711" spans="1:8" s="15" customFormat="1" ht="16.5" hidden="1" customHeight="1" outlineLevel="1" x14ac:dyDescent="0.25">
      <c r="A10711" s="18">
        <v>389</v>
      </c>
      <c r="B10711" s="4" t="s">
        <v>250</v>
      </c>
      <c r="C10711" s="38" t="s">
        <v>8858</v>
      </c>
      <c r="D10711" s="18">
        <v>2022</v>
      </c>
      <c r="E10711" s="18" t="s">
        <v>0</v>
      </c>
      <c r="F10711" s="42">
        <v>1</v>
      </c>
      <c r="G10711" s="4">
        <v>100</v>
      </c>
      <c r="H10711" s="18">
        <v>14</v>
      </c>
    </row>
    <row r="10712" spans="1:8" s="15" customFormat="1" ht="16.5" hidden="1" customHeight="1" outlineLevel="1" x14ac:dyDescent="0.25">
      <c r="A10712" s="18">
        <v>385</v>
      </c>
      <c r="B10712" s="4" t="s">
        <v>250</v>
      </c>
      <c r="C10712" s="38" t="s">
        <v>8859</v>
      </c>
      <c r="D10712" s="18">
        <v>2022</v>
      </c>
      <c r="E10712" s="18" t="s">
        <v>0</v>
      </c>
      <c r="F10712" s="42">
        <v>1</v>
      </c>
      <c r="G10712" s="4">
        <v>150</v>
      </c>
      <c r="H10712" s="18">
        <v>14</v>
      </c>
    </row>
    <row r="10713" spans="1:8" s="15" customFormat="1" ht="16.5" hidden="1" customHeight="1" outlineLevel="1" x14ac:dyDescent="0.25">
      <c r="A10713" s="18">
        <v>391</v>
      </c>
      <c r="B10713" s="4" t="s">
        <v>250</v>
      </c>
      <c r="C10713" s="38" t="s">
        <v>8860</v>
      </c>
      <c r="D10713" s="18">
        <v>2022</v>
      </c>
      <c r="E10713" s="18" t="s">
        <v>0</v>
      </c>
      <c r="F10713" s="42">
        <v>1</v>
      </c>
      <c r="G10713" s="4">
        <v>150</v>
      </c>
      <c r="H10713" s="18">
        <v>14</v>
      </c>
    </row>
    <row r="10714" spans="1:8" s="15" customFormat="1" ht="16.5" hidden="1" customHeight="1" outlineLevel="1" x14ac:dyDescent="0.25">
      <c r="A10714" s="18">
        <v>394</v>
      </c>
      <c r="B10714" s="4" t="s">
        <v>250</v>
      </c>
      <c r="C10714" s="38" t="s">
        <v>8861</v>
      </c>
      <c r="D10714" s="18">
        <v>2022</v>
      </c>
      <c r="E10714" s="18" t="s">
        <v>0</v>
      </c>
      <c r="F10714" s="42">
        <v>2</v>
      </c>
      <c r="G10714" s="4">
        <v>10</v>
      </c>
      <c r="H10714" s="18">
        <v>35</v>
      </c>
    </row>
    <row r="10715" spans="1:8" s="15" customFormat="1" ht="16.5" hidden="1" customHeight="1" outlineLevel="1" x14ac:dyDescent="0.25">
      <c r="A10715" s="18">
        <v>395</v>
      </c>
      <c r="B10715" s="4" t="s">
        <v>250</v>
      </c>
      <c r="C10715" s="38" t="s">
        <v>8862</v>
      </c>
      <c r="D10715" s="18">
        <v>2022</v>
      </c>
      <c r="E10715" s="18" t="s">
        <v>0</v>
      </c>
      <c r="F10715" s="42">
        <v>25</v>
      </c>
      <c r="G10715" s="4">
        <v>264</v>
      </c>
      <c r="H10715" s="18">
        <v>416</v>
      </c>
    </row>
    <row r="10716" spans="1:8" s="15" customFormat="1" ht="16.5" hidden="1" customHeight="1" outlineLevel="1" x14ac:dyDescent="0.25">
      <c r="A10716" s="18">
        <v>408</v>
      </c>
      <c r="B10716" s="4" t="s">
        <v>250</v>
      </c>
      <c r="C10716" s="38" t="s">
        <v>8863</v>
      </c>
      <c r="D10716" s="18">
        <v>2022</v>
      </c>
      <c r="E10716" s="18" t="s">
        <v>0</v>
      </c>
      <c r="F10716" s="42">
        <v>46</v>
      </c>
      <c r="G10716" s="4">
        <v>574</v>
      </c>
      <c r="H10716" s="18">
        <v>1616</v>
      </c>
    </row>
    <row r="10717" spans="1:8" s="15" customFormat="1" ht="16.5" hidden="1" customHeight="1" outlineLevel="1" x14ac:dyDescent="0.25">
      <c r="A10717" s="18">
        <v>294</v>
      </c>
      <c r="B10717" s="4" t="s">
        <v>250</v>
      </c>
      <c r="C10717" s="38" t="s">
        <v>3858</v>
      </c>
      <c r="D10717" s="18">
        <v>2022</v>
      </c>
      <c r="E10717" s="18" t="s">
        <v>0</v>
      </c>
      <c r="F10717" s="42">
        <v>1</v>
      </c>
      <c r="G10717" s="4">
        <v>15</v>
      </c>
      <c r="H10717" s="18">
        <v>24</v>
      </c>
    </row>
    <row r="10718" spans="1:8" s="15" customFormat="1" ht="16.5" hidden="1" customHeight="1" outlineLevel="1" x14ac:dyDescent="0.25">
      <c r="A10718" s="18">
        <v>293</v>
      </c>
      <c r="B10718" s="4" t="s">
        <v>250</v>
      </c>
      <c r="C10718" s="38" t="s">
        <v>3859</v>
      </c>
      <c r="D10718" s="18">
        <v>2022</v>
      </c>
      <c r="E10718" s="18" t="s">
        <v>0</v>
      </c>
      <c r="F10718" s="42">
        <v>1</v>
      </c>
      <c r="G10718" s="4">
        <v>15</v>
      </c>
      <c r="H10718" s="18">
        <v>24</v>
      </c>
    </row>
    <row r="10719" spans="1:8" s="15" customFormat="1" ht="16.5" hidden="1" customHeight="1" outlineLevel="1" x14ac:dyDescent="0.25">
      <c r="A10719" s="18">
        <v>296</v>
      </c>
      <c r="B10719" s="4" t="s">
        <v>250</v>
      </c>
      <c r="C10719" s="38" t="s">
        <v>3860</v>
      </c>
      <c r="D10719" s="18">
        <v>2022</v>
      </c>
      <c r="E10719" s="18" t="s">
        <v>0</v>
      </c>
      <c r="F10719" s="42">
        <v>1</v>
      </c>
      <c r="G10719" s="4">
        <v>15</v>
      </c>
      <c r="H10719" s="18">
        <v>24</v>
      </c>
    </row>
    <row r="10720" spans="1:8" s="15" customFormat="1" ht="16.5" hidden="1" customHeight="1" outlineLevel="1" x14ac:dyDescent="0.25">
      <c r="A10720" s="18">
        <v>291</v>
      </c>
      <c r="B10720" s="4" t="s">
        <v>250</v>
      </c>
      <c r="C10720" s="38" t="s">
        <v>3862</v>
      </c>
      <c r="D10720" s="18">
        <v>2022</v>
      </c>
      <c r="E10720" s="18" t="s">
        <v>0</v>
      </c>
      <c r="F10720" s="42">
        <v>1</v>
      </c>
      <c r="G10720" s="4">
        <v>15</v>
      </c>
      <c r="H10720" s="18">
        <v>22</v>
      </c>
    </row>
    <row r="10721" spans="1:8" s="15" customFormat="1" ht="16.5" hidden="1" customHeight="1" outlineLevel="1" x14ac:dyDescent="0.25">
      <c r="A10721" s="18">
        <v>393</v>
      </c>
      <c r="B10721" s="4" t="s">
        <v>250</v>
      </c>
      <c r="C10721" s="38" t="s">
        <v>8864</v>
      </c>
      <c r="D10721" s="18">
        <v>2022</v>
      </c>
      <c r="E10721" s="18" t="s">
        <v>0</v>
      </c>
      <c r="F10721" s="42">
        <v>2</v>
      </c>
      <c r="G10721" s="4">
        <v>30</v>
      </c>
      <c r="H10721" s="18">
        <v>35</v>
      </c>
    </row>
    <row r="10722" spans="1:8" s="15" customFormat="1" ht="16.5" hidden="1" customHeight="1" outlineLevel="1" x14ac:dyDescent="0.25">
      <c r="A10722" s="18">
        <v>387</v>
      </c>
      <c r="B10722" s="4" t="s">
        <v>250</v>
      </c>
      <c r="C10722" s="38" t="s">
        <v>8865</v>
      </c>
      <c r="D10722" s="18">
        <v>2022</v>
      </c>
      <c r="E10722" s="18" t="s">
        <v>0</v>
      </c>
      <c r="F10722" s="42">
        <v>1</v>
      </c>
      <c r="G10722" s="4">
        <v>15</v>
      </c>
      <c r="H10722" s="18">
        <v>17</v>
      </c>
    </row>
    <row r="10723" spans="1:8" s="15" customFormat="1" ht="16.5" hidden="1" customHeight="1" outlineLevel="1" x14ac:dyDescent="0.25">
      <c r="A10723" s="18">
        <v>421</v>
      </c>
      <c r="B10723" s="4" t="s">
        <v>250</v>
      </c>
      <c r="C10723" s="38" t="s">
        <v>8866</v>
      </c>
      <c r="D10723" s="18">
        <v>2022</v>
      </c>
      <c r="E10723" s="18" t="s">
        <v>0</v>
      </c>
      <c r="F10723" s="42">
        <v>2</v>
      </c>
      <c r="G10723" s="4">
        <v>15</v>
      </c>
      <c r="H10723" s="18">
        <v>34</v>
      </c>
    </row>
    <row r="10724" spans="1:8" s="15" customFormat="1" ht="16.5" hidden="1" customHeight="1" outlineLevel="1" x14ac:dyDescent="0.25">
      <c r="A10724" s="18">
        <v>299</v>
      </c>
      <c r="B10724" s="4" t="s">
        <v>250</v>
      </c>
      <c r="C10724" s="38" t="s">
        <v>3863</v>
      </c>
      <c r="D10724" s="18">
        <v>2022</v>
      </c>
      <c r="E10724" s="18" t="s">
        <v>0</v>
      </c>
      <c r="F10724" s="42">
        <v>1</v>
      </c>
      <c r="G10724" s="4">
        <v>15</v>
      </c>
      <c r="H10724" s="18">
        <v>23</v>
      </c>
    </row>
    <row r="10725" spans="1:8" s="15" customFormat="1" ht="16.5" hidden="1" customHeight="1" outlineLevel="1" x14ac:dyDescent="0.25">
      <c r="A10725" s="18">
        <v>318</v>
      </c>
      <c r="B10725" s="4" t="s">
        <v>250</v>
      </c>
      <c r="C10725" s="38" t="s">
        <v>4235</v>
      </c>
      <c r="D10725" s="18">
        <v>2022</v>
      </c>
      <c r="E10725" s="18" t="s">
        <v>0</v>
      </c>
      <c r="F10725" s="42">
        <v>1</v>
      </c>
      <c r="G10725" s="4">
        <v>15</v>
      </c>
      <c r="H10725" s="18">
        <v>21</v>
      </c>
    </row>
    <row r="10726" spans="1:8" s="15" customFormat="1" ht="16.5" hidden="1" customHeight="1" outlineLevel="1" x14ac:dyDescent="0.25">
      <c r="A10726" s="18">
        <v>304</v>
      </c>
      <c r="B10726" s="4" t="s">
        <v>250</v>
      </c>
      <c r="C10726" s="38" t="s">
        <v>4048</v>
      </c>
      <c r="D10726" s="18">
        <v>2022</v>
      </c>
      <c r="E10726" s="18" t="s">
        <v>0</v>
      </c>
      <c r="F10726" s="42">
        <v>1</v>
      </c>
      <c r="G10726" s="4">
        <v>15</v>
      </c>
      <c r="H10726" s="18">
        <v>25</v>
      </c>
    </row>
    <row r="10727" spans="1:8" s="15" customFormat="1" ht="16.5" hidden="1" customHeight="1" outlineLevel="1" x14ac:dyDescent="0.25">
      <c r="A10727" s="18">
        <v>362</v>
      </c>
      <c r="B10727" s="4" t="s">
        <v>250</v>
      </c>
      <c r="C10727" s="38" t="s">
        <v>3865</v>
      </c>
      <c r="D10727" s="18">
        <v>2022</v>
      </c>
      <c r="E10727" s="18" t="s">
        <v>0</v>
      </c>
      <c r="F10727" s="42">
        <v>1</v>
      </c>
      <c r="G10727" s="4">
        <v>15</v>
      </c>
      <c r="H10727" s="18">
        <v>21</v>
      </c>
    </row>
    <row r="10728" spans="1:8" s="15" customFormat="1" ht="16.5" hidden="1" customHeight="1" outlineLevel="1" x14ac:dyDescent="0.25">
      <c r="A10728" s="18">
        <v>413</v>
      </c>
      <c r="B10728" s="4" t="s">
        <v>250</v>
      </c>
      <c r="C10728" s="38" t="s">
        <v>8867</v>
      </c>
      <c r="D10728" s="18">
        <v>2022</v>
      </c>
      <c r="E10728" s="18" t="s">
        <v>0</v>
      </c>
      <c r="F10728" s="42">
        <v>1</v>
      </c>
      <c r="G10728" s="4">
        <v>7</v>
      </c>
      <c r="H10728" s="18">
        <v>18</v>
      </c>
    </row>
    <row r="10729" spans="1:8" s="15" customFormat="1" ht="16.5" hidden="1" customHeight="1" outlineLevel="1" x14ac:dyDescent="0.25">
      <c r="A10729" s="18">
        <v>300</v>
      </c>
      <c r="B10729" s="4" t="s">
        <v>250</v>
      </c>
      <c r="C10729" s="38" t="s">
        <v>3867</v>
      </c>
      <c r="D10729" s="18">
        <v>2022</v>
      </c>
      <c r="E10729" s="18" t="s">
        <v>0</v>
      </c>
      <c r="F10729" s="42">
        <v>1</v>
      </c>
      <c r="G10729" s="4">
        <v>15</v>
      </c>
      <c r="H10729" s="18">
        <v>22</v>
      </c>
    </row>
    <row r="10730" spans="1:8" s="15" customFormat="1" ht="16.5" hidden="1" customHeight="1" outlineLevel="1" x14ac:dyDescent="0.25">
      <c r="A10730" s="18">
        <v>388</v>
      </c>
      <c r="B10730" s="4" t="s">
        <v>250</v>
      </c>
      <c r="C10730" s="38" t="s">
        <v>8868</v>
      </c>
      <c r="D10730" s="18">
        <v>2022</v>
      </c>
      <c r="E10730" s="18" t="s">
        <v>0</v>
      </c>
      <c r="F10730" s="42">
        <v>3</v>
      </c>
      <c r="G10730" s="4">
        <v>35</v>
      </c>
      <c r="H10730" s="18">
        <v>52</v>
      </c>
    </row>
    <row r="10731" spans="1:8" s="15" customFormat="1" ht="16.5" hidden="1" customHeight="1" outlineLevel="1" x14ac:dyDescent="0.25">
      <c r="A10731" s="18">
        <v>415</v>
      </c>
      <c r="B10731" s="4" t="s">
        <v>250</v>
      </c>
      <c r="C10731" s="38" t="s">
        <v>8869</v>
      </c>
      <c r="D10731" s="18">
        <v>2022</v>
      </c>
      <c r="E10731" s="18" t="s">
        <v>0</v>
      </c>
      <c r="F10731" s="42">
        <v>1</v>
      </c>
      <c r="G10731" s="4">
        <v>2</v>
      </c>
      <c r="H10731" s="18">
        <v>36</v>
      </c>
    </row>
    <row r="10732" spans="1:8" s="15" customFormat="1" ht="16.5" hidden="1" customHeight="1" outlineLevel="1" x14ac:dyDescent="0.25">
      <c r="A10732" s="18">
        <v>417</v>
      </c>
      <c r="B10732" s="4" t="s">
        <v>250</v>
      </c>
      <c r="C10732" s="38" t="s">
        <v>8870</v>
      </c>
      <c r="D10732" s="18">
        <v>2022</v>
      </c>
      <c r="E10732" s="18" t="s">
        <v>0</v>
      </c>
      <c r="F10732" s="42">
        <v>2</v>
      </c>
      <c r="G10732" s="4">
        <v>3</v>
      </c>
      <c r="H10732" s="18">
        <v>72</v>
      </c>
    </row>
    <row r="10733" spans="1:8" s="15" customFormat="1" ht="16.5" hidden="1" customHeight="1" outlineLevel="1" x14ac:dyDescent="0.25">
      <c r="A10733" s="18">
        <v>409</v>
      </c>
      <c r="B10733" s="4" t="s">
        <v>250</v>
      </c>
      <c r="C10733" s="38" t="s">
        <v>8871</v>
      </c>
      <c r="D10733" s="18">
        <v>2022</v>
      </c>
      <c r="E10733" s="18" t="s">
        <v>0</v>
      </c>
      <c r="F10733" s="42">
        <v>1</v>
      </c>
      <c r="G10733" s="4">
        <v>7.5</v>
      </c>
      <c r="H10733" s="18">
        <v>36</v>
      </c>
    </row>
    <row r="10734" spans="1:8" s="15" customFormat="1" ht="16.5" hidden="1" customHeight="1" outlineLevel="1" x14ac:dyDescent="0.25">
      <c r="A10734" s="18">
        <v>416</v>
      </c>
      <c r="B10734" s="4" t="s">
        <v>250</v>
      </c>
      <c r="C10734" s="38" t="s">
        <v>8872</v>
      </c>
      <c r="D10734" s="18">
        <v>2022</v>
      </c>
      <c r="E10734" s="18" t="s">
        <v>0</v>
      </c>
      <c r="F10734" s="42">
        <v>1</v>
      </c>
      <c r="G10734" s="4">
        <v>6</v>
      </c>
      <c r="H10734" s="18">
        <v>35</v>
      </c>
    </row>
    <row r="10735" spans="1:8" s="15" customFormat="1" ht="16.5" hidden="1" customHeight="1" outlineLevel="1" x14ac:dyDescent="0.25">
      <c r="A10735" s="18">
        <v>432</v>
      </c>
      <c r="B10735" s="4" t="s">
        <v>250</v>
      </c>
      <c r="C10735" s="38" t="s">
        <v>3992</v>
      </c>
      <c r="D10735" s="18">
        <v>2022</v>
      </c>
      <c r="E10735" s="18" t="s">
        <v>0</v>
      </c>
      <c r="F10735" s="42">
        <v>1</v>
      </c>
      <c r="G10735" s="4">
        <v>15</v>
      </c>
      <c r="H10735" s="18">
        <v>51</v>
      </c>
    </row>
    <row r="10736" spans="1:8" s="15" customFormat="1" ht="16.5" hidden="1" customHeight="1" outlineLevel="1" x14ac:dyDescent="0.25">
      <c r="A10736" s="18">
        <v>426</v>
      </c>
      <c r="B10736" s="4" t="s">
        <v>250</v>
      </c>
      <c r="C10736" s="38" t="s">
        <v>3868</v>
      </c>
      <c r="D10736" s="18">
        <v>2022</v>
      </c>
      <c r="E10736" s="18" t="s">
        <v>0</v>
      </c>
      <c r="F10736" s="42">
        <v>7</v>
      </c>
      <c r="G10736" s="4">
        <v>104.4</v>
      </c>
      <c r="H10736" s="18">
        <v>286</v>
      </c>
    </row>
    <row r="10737" spans="1:8" s="15" customFormat="1" ht="16.5" hidden="1" customHeight="1" outlineLevel="1" x14ac:dyDescent="0.25">
      <c r="A10737" s="18">
        <v>322</v>
      </c>
      <c r="B10737" s="4" t="s">
        <v>250</v>
      </c>
      <c r="C10737" s="38" t="s">
        <v>3869</v>
      </c>
      <c r="D10737" s="18">
        <v>2022</v>
      </c>
      <c r="E10737" s="18" t="s">
        <v>0</v>
      </c>
      <c r="F10737" s="42">
        <v>1</v>
      </c>
      <c r="G10737" s="4">
        <v>15</v>
      </c>
      <c r="H10737" s="18">
        <v>23</v>
      </c>
    </row>
    <row r="10738" spans="1:8" s="15" customFormat="1" ht="16.5" hidden="1" customHeight="1" outlineLevel="1" x14ac:dyDescent="0.25">
      <c r="A10738" s="18">
        <v>324</v>
      </c>
      <c r="B10738" s="4" t="s">
        <v>250</v>
      </c>
      <c r="C10738" s="38" t="s">
        <v>3870</v>
      </c>
      <c r="D10738" s="18">
        <v>2022</v>
      </c>
      <c r="E10738" s="18" t="s">
        <v>0</v>
      </c>
      <c r="F10738" s="42">
        <v>1</v>
      </c>
      <c r="G10738" s="4">
        <v>15</v>
      </c>
      <c r="H10738" s="18">
        <v>27</v>
      </c>
    </row>
    <row r="10739" spans="1:8" s="15" customFormat="1" ht="16.5" hidden="1" customHeight="1" outlineLevel="1" x14ac:dyDescent="0.25">
      <c r="A10739" s="18">
        <v>376</v>
      </c>
      <c r="B10739" s="4" t="s">
        <v>250</v>
      </c>
      <c r="C10739" s="38" t="s">
        <v>3871</v>
      </c>
      <c r="D10739" s="18">
        <v>2022</v>
      </c>
      <c r="E10739" s="18" t="s">
        <v>0</v>
      </c>
      <c r="F10739" s="42">
        <v>1</v>
      </c>
      <c r="G10739" s="4">
        <v>15</v>
      </c>
      <c r="H10739" s="18">
        <v>26</v>
      </c>
    </row>
    <row r="10740" spans="1:8" s="15" customFormat="1" ht="16.5" hidden="1" customHeight="1" outlineLevel="1" x14ac:dyDescent="0.25">
      <c r="A10740" s="18">
        <v>360</v>
      </c>
      <c r="B10740" s="4" t="s">
        <v>250</v>
      </c>
      <c r="C10740" s="38" t="s">
        <v>3872</v>
      </c>
      <c r="D10740" s="18">
        <v>2022</v>
      </c>
      <c r="E10740" s="18" t="s">
        <v>0</v>
      </c>
      <c r="F10740" s="42">
        <v>1</v>
      </c>
      <c r="G10740" s="4">
        <v>15</v>
      </c>
      <c r="H10740" s="18">
        <v>26</v>
      </c>
    </row>
    <row r="10741" spans="1:8" s="15" customFormat="1" ht="16.5" hidden="1" customHeight="1" outlineLevel="1" x14ac:dyDescent="0.25">
      <c r="A10741" s="18">
        <v>369</v>
      </c>
      <c r="B10741" s="4" t="s">
        <v>250</v>
      </c>
      <c r="C10741" s="38" t="s">
        <v>3873</v>
      </c>
      <c r="D10741" s="18">
        <v>2022</v>
      </c>
      <c r="E10741" s="18" t="s">
        <v>0</v>
      </c>
      <c r="F10741" s="42">
        <v>1</v>
      </c>
      <c r="G10741" s="4">
        <v>15</v>
      </c>
      <c r="H10741" s="18">
        <v>26</v>
      </c>
    </row>
    <row r="10742" spans="1:8" s="15" customFormat="1" ht="16.5" hidden="1" customHeight="1" outlineLevel="1" x14ac:dyDescent="0.25">
      <c r="A10742" s="18">
        <v>373</v>
      </c>
      <c r="B10742" s="4" t="s">
        <v>250</v>
      </c>
      <c r="C10742" s="38" t="s">
        <v>3874</v>
      </c>
      <c r="D10742" s="18">
        <v>2022</v>
      </c>
      <c r="E10742" s="18" t="s">
        <v>0</v>
      </c>
      <c r="F10742" s="42">
        <v>1</v>
      </c>
      <c r="G10742" s="4">
        <v>15</v>
      </c>
      <c r="H10742" s="18">
        <v>24</v>
      </c>
    </row>
    <row r="10743" spans="1:8" s="15" customFormat="1" ht="16.5" hidden="1" customHeight="1" outlineLevel="1" x14ac:dyDescent="0.25">
      <c r="A10743" s="18">
        <v>364</v>
      </c>
      <c r="B10743" s="4" t="s">
        <v>250</v>
      </c>
      <c r="C10743" s="38" t="s">
        <v>3875</v>
      </c>
      <c r="D10743" s="18">
        <v>2022</v>
      </c>
      <c r="E10743" s="18" t="s">
        <v>0</v>
      </c>
      <c r="F10743" s="42">
        <v>1</v>
      </c>
      <c r="G10743" s="4">
        <v>15</v>
      </c>
      <c r="H10743" s="18">
        <v>27</v>
      </c>
    </row>
    <row r="10744" spans="1:8" s="15" customFormat="1" ht="16.5" hidden="1" customHeight="1" outlineLevel="1" x14ac:dyDescent="0.25">
      <c r="A10744" s="18">
        <v>367</v>
      </c>
      <c r="B10744" s="4" t="s">
        <v>250</v>
      </c>
      <c r="C10744" s="38" t="s">
        <v>3876</v>
      </c>
      <c r="D10744" s="18">
        <v>2022</v>
      </c>
      <c r="E10744" s="18" t="s">
        <v>0</v>
      </c>
      <c r="F10744" s="42">
        <v>1</v>
      </c>
      <c r="G10744" s="4">
        <v>15</v>
      </c>
      <c r="H10744" s="18">
        <v>26</v>
      </c>
    </row>
    <row r="10745" spans="1:8" s="15" customFormat="1" ht="16.5" hidden="1" customHeight="1" outlineLevel="1" x14ac:dyDescent="0.25">
      <c r="A10745" s="18">
        <v>368</v>
      </c>
      <c r="B10745" s="4" t="s">
        <v>250</v>
      </c>
      <c r="C10745" s="38" t="s">
        <v>3877</v>
      </c>
      <c r="D10745" s="18">
        <v>2022</v>
      </c>
      <c r="E10745" s="18" t="s">
        <v>0</v>
      </c>
      <c r="F10745" s="42">
        <v>1</v>
      </c>
      <c r="G10745" s="4">
        <v>15</v>
      </c>
      <c r="H10745" s="18">
        <v>26</v>
      </c>
    </row>
    <row r="10746" spans="1:8" s="15" customFormat="1" ht="16.5" hidden="1" customHeight="1" outlineLevel="1" x14ac:dyDescent="0.25">
      <c r="A10746" s="18">
        <v>372</v>
      </c>
      <c r="B10746" s="4" t="s">
        <v>250</v>
      </c>
      <c r="C10746" s="38" t="s">
        <v>3878</v>
      </c>
      <c r="D10746" s="18">
        <v>2022</v>
      </c>
      <c r="E10746" s="18" t="s">
        <v>0</v>
      </c>
      <c r="F10746" s="42">
        <v>1</v>
      </c>
      <c r="G10746" s="4">
        <v>15</v>
      </c>
      <c r="H10746" s="18">
        <v>24</v>
      </c>
    </row>
    <row r="10747" spans="1:8" s="15" customFormat="1" ht="16.5" hidden="1" customHeight="1" outlineLevel="1" x14ac:dyDescent="0.25">
      <c r="A10747" s="18">
        <v>371</v>
      </c>
      <c r="B10747" s="4" t="s">
        <v>250</v>
      </c>
      <c r="C10747" s="38" t="s">
        <v>3879</v>
      </c>
      <c r="D10747" s="18">
        <v>2022</v>
      </c>
      <c r="E10747" s="18" t="s">
        <v>0</v>
      </c>
      <c r="F10747" s="42">
        <v>1</v>
      </c>
      <c r="G10747" s="4">
        <v>15</v>
      </c>
      <c r="H10747" s="18">
        <v>24</v>
      </c>
    </row>
    <row r="10748" spans="1:8" s="15" customFormat="1" ht="16.5" hidden="1" customHeight="1" outlineLevel="1" x14ac:dyDescent="0.25">
      <c r="A10748" s="18">
        <v>377</v>
      </c>
      <c r="B10748" s="4" t="s">
        <v>250</v>
      </c>
      <c r="C10748" s="38" t="s">
        <v>3880</v>
      </c>
      <c r="D10748" s="18">
        <v>2022</v>
      </c>
      <c r="E10748" s="18" t="s">
        <v>0</v>
      </c>
      <c r="F10748" s="42">
        <v>1</v>
      </c>
      <c r="G10748" s="4">
        <v>15</v>
      </c>
      <c r="H10748" s="18">
        <v>25</v>
      </c>
    </row>
    <row r="10749" spans="1:8" s="15" customFormat="1" ht="16.5" hidden="1" customHeight="1" outlineLevel="1" x14ac:dyDescent="0.25">
      <c r="A10749" s="18">
        <v>379</v>
      </c>
      <c r="B10749" s="4" t="s">
        <v>250</v>
      </c>
      <c r="C10749" s="38" t="s">
        <v>3881</v>
      </c>
      <c r="D10749" s="18">
        <v>2022</v>
      </c>
      <c r="E10749" s="18" t="s">
        <v>0</v>
      </c>
      <c r="F10749" s="42">
        <v>1</v>
      </c>
      <c r="G10749" s="4">
        <v>15</v>
      </c>
      <c r="H10749" s="18">
        <v>26</v>
      </c>
    </row>
    <row r="10750" spans="1:8" s="15" customFormat="1" ht="16.5" hidden="1" customHeight="1" outlineLevel="1" x14ac:dyDescent="0.25">
      <c r="A10750" s="18">
        <v>378</v>
      </c>
      <c r="B10750" s="4" t="s">
        <v>250</v>
      </c>
      <c r="C10750" s="38" t="s">
        <v>3882</v>
      </c>
      <c r="D10750" s="18">
        <v>2022</v>
      </c>
      <c r="E10750" s="18" t="s">
        <v>0</v>
      </c>
      <c r="F10750" s="42">
        <v>1</v>
      </c>
      <c r="G10750" s="4">
        <v>15</v>
      </c>
      <c r="H10750" s="18">
        <v>26</v>
      </c>
    </row>
    <row r="10751" spans="1:8" s="15" customFormat="1" ht="16.5" hidden="1" customHeight="1" outlineLevel="1" x14ac:dyDescent="0.25">
      <c r="A10751" s="18">
        <v>380</v>
      </c>
      <c r="B10751" s="4" t="s">
        <v>250</v>
      </c>
      <c r="C10751" s="38" t="s">
        <v>3883</v>
      </c>
      <c r="D10751" s="18">
        <v>2022</v>
      </c>
      <c r="E10751" s="18" t="s">
        <v>0</v>
      </c>
      <c r="F10751" s="42">
        <v>1</v>
      </c>
      <c r="G10751" s="4">
        <v>15</v>
      </c>
      <c r="H10751" s="18">
        <v>23</v>
      </c>
    </row>
    <row r="10752" spans="1:8" s="15" customFormat="1" ht="16.5" hidden="1" customHeight="1" outlineLevel="1" x14ac:dyDescent="0.25">
      <c r="A10752" s="18">
        <v>361</v>
      </c>
      <c r="B10752" s="4" t="s">
        <v>250</v>
      </c>
      <c r="C10752" s="38" t="s">
        <v>3884</v>
      </c>
      <c r="D10752" s="18">
        <v>2022</v>
      </c>
      <c r="E10752" s="18" t="s">
        <v>0</v>
      </c>
      <c r="F10752" s="42">
        <v>1</v>
      </c>
      <c r="G10752" s="4">
        <v>15</v>
      </c>
      <c r="H10752" s="18">
        <v>26</v>
      </c>
    </row>
    <row r="10753" spans="1:8" s="15" customFormat="1" ht="16.5" hidden="1" customHeight="1" outlineLevel="1" x14ac:dyDescent="0.25">
      <c r="A10753" s="18">
        <v>407</v>
      </c>
      <c r="B10753" s="4" t="s">
        <v>250</v>
      </c>
      <c r="C10753" s="38" t="s">
        <v>3885</v>
      </c>
      <c r="D10753" s="18">
        <v>2022</v>
      </c>
      <c r="E10753" s="18" t="s">
        <v>0</v>
      </c>
      <c r="F10753" s="42">
        <v>2</v>
      </c>
      <c r="G10753" s="4">
        <v>30</v>
      </c>
      <c r="H10753" s="18">
        <v>94</v>
      </c>
    </row>
    <row r="10754" spans="1:8" s="15" customFormat="1" ht="16.5" hidden="1" customHeight="1" outlineLevel="1" x14ac:dyDescent="0.25">
      <c r="A10754" s="18">
        <v>441</v>
      </c>
      <c r="B10754" s="4" t="s">
        <v>250</v>
      </c>
      <c r="C10754" s="38" t="s">
        <v>8873</v>
      </c>
      <c r="D10754" s="18">
        <v>2022</v>
      </c>
      <c r="E10754" s="18" t="s">
        <v>0</v>
      </c>
      <c r="F10754" s="42">
        <v>8</v>
      </c>
      <c r="G10754" s="4">
        <v>113.5</v>
      </c>
      <c r="H10754" s="18">
        <v>281</v>
      </c>
    </row>
    <row r="10755" spans="1:8" s="15" customFormat="1" ht="16.5" hidden="1" customHeight="1" outlineLevel="1" x14ac:dyDescent="0.25">
      <c r="A10755" s="18">
        <v>442</v>
      </c>
      <c r="B10755" s="4" t="s">
        <v>250</v>
      </c>
      <c r="C10755" s="38" t="s">
        <v>8874</v>
      </c>
      <c r="D10755" s="18">
        <v>2022</v>
      </c>
      <c r="E10755" s="18" t="s">
        <v>0</v>
      </c>
      <c r="F10755" s="42">
        <v>5</v>
      </c>
      <c r="G10755" s="4">
        <v>74</v>
      </c>
      <c r="H10755" s="18">
        <v>176</v>
      </c>
    </row>
    <row r="10756" spans="1:8" s="15" customFormat="1" ht="16.5" hidden="1" customHeight="1" outlineLevel="1" x14ac:dyDescent="0.25">
      <c r="A10756" s="18">
        <v>447</v>
      </c>
      <c r="B10756" s="4" t="s">
        <v>250</v>
      </c>
      <c r="C10756" s="38" t="s">
        <v>8875</v>
      </c>
      <c r="D10756" s="18">
        <v>2022</v>
      </c>
      <c r="E10756" s="18" t="s">
        <v>0</v>
      </c>
      <c r="F10756" s="42">
        <v>1</v>
      </c>
      <c r="G10756" s="4">
        <v>15</v>
      </c>
      <c r="H10756" s="18">
        <v>35</v>
      </c>
    </row>
    <row r="10757" spans="1:8" s="15" customFormat="1" ht="16.5" hidden="1" customHeight="1" outlineLevel="1" x14ac:dyDescent="0.25">
      <c r="A10757" s="18">
        <v>434</v>
      </c>
      <c r="B10757" s="4" t="s">
        <v>250</v>
      </c>
      <c r="C10757" s="38" t="s">
        <v>8876</v>
      </c>
      <c r="D10757" s="18">
        <v>2022</v>
      </c>
      <c r="E10757" s="18" t="s">
        <v>0</v>
      </c>
      <c r="F10757" s="42">
        <v>41</v>
      </c>
      <c r="G10757" s="4">
        <v>525</v>
      </c>
      <c r="H10757" s="18">
        <v>1445</v>
      </c>
    </row>
    <row r="10758" spans="1:8" s="15" customFormat="1" ht="16.5" hidden="1" customHeight="1" outlineLevel="1" x14ac:dyDescent="0.25">
      <c r="A10758" s="18">
        <v>406</v>
      </c>
      <c r="B10758" s="4" t="s">
        <v>250</v>
      </c>
      <c r="C10758" s="38" t="s">
        <v>3887</v>
      </c>
      <c r="D10758" s="18">
        <v>2022</v>
      </c>
      <c r="E10758" s="18" t="s">
        <v>0</v>
      </c>
      <c r="F10758" s="42">
        <v>1</v>
      </c>
      <c r="G10758" s="4">
        <v>15</v>
      </c>
      <c r="H10758" s="18">
        <v>29</v>
      </c>
    </row>
    <row r="10759" spans="1:8" s="15" customFormat="1" ht="16.5" hidden="1" customHeight="1" outlineLevel="1" x14ac:dyDescent="0.25">
      <c r="A10759" s="18">
        <v>404</v>
      </c>
      <c r="B10759" s="4" t="s">
        <v>250</v>
      </c>
      <c r="C10759" s="38" t="s">
        <v>3886</v>
      </c>
      <c r="D10759" s="18">
        <v>2022</v>
      </c>
      <c r="E10759" s="18" t="s">
        <v>0</v>
      </c>
      <c r="F10759" s="42">
        <v>1</v>
      </c>
      <c r="G10759" s="4">
        <v>15</v>
      </c>
      <c r="H10759" s="18">
        <v>29</v>
      </c>
    </row>
    <row r="10760" spans="1:8" s="15" customFormat="1" ht="16.5" hidden="1" customHeight="1" outlineLevel="1" x14ac:dyDescent="0.25">
      <c r="A10760" s="18">
        <v>433</v>
      </c>
      <c r="B10760" s="4" t="s">
        <v>250</v>
      </c>
      <c r="C10760" s="38" t="s">
        <v>3888</v>
      </c>
      <c r="D10760" s="18">
        <v>2022</v>
      </c>
      <c r="E10760" s="18" t="s">
        <v>0</v>
      </c>
      <c r="F10760" s="42">
        <v>1</v>
      </c>
      <c r="G10760" s="4">
        <v>15</v>
      </c>
      <c r="H10760" s="18">
        <v>46</v>
      </c>
    </row>
    <row r="10761" spans="1:8" s="15" customFormat="1" ht="16.5" hidden="1" customHeight="1" outlineLevel="1" x14ac:dyDescent="0.25">
      <c r="A10761" s="18">
        <v>443</v>
      </c>
      <c r="B10761" s="4" t="s">
        <v>250</v>
      </c>
      <c r="C10761" s="38" t="s">
        <v>8877</v>
      </c>
      <c r="D10761" s="18">
        <v>2022</v>
      </c>
      <c r="E10761" s="18" t="s">
        <v>0</v>
      </c>
      <c r="F10761" s="42">
        <v>1</v>
      </c>
      <c r="G10761" s="4">
        <v>15</v>
      </c>
      <c r="H10761" s="18">
        <v>35</v>
      </c>
    </row>
    <row r="10762" spans="1:8" s="15" customFormat="1" ht="16.5" hidden="1" customHeight="1" outlineLevel="1" x14ac:dyDescent="0.25">
      <c r="A10762" s="18">
        <v>444</v>
      </c>
      <c r="B10762" s="4" t="s">
        <v>250</v>
      </c>
      <c r="C10762" s="38" t="s">
        <v>8878</v>
      </c>
      <c r="D10762" s="18">
        <v>2022</v>
      </c>
      <c r="E10762" s="18" t="s">
        <v>0</v>
      </c>
      <c r="F10762" s="42">
        <v>1</v>
      </c>
      <c r="G10762" s="4">
        <v>15</v>
      </c>
      <c r="H10762" s="18">
        <v>35</v>
      </c>
    </row>
    <row r="10763" spans="1:8" s="15" customFormat="1" ht="16.5" hidden="1" customHeight="1" outlineLevel="1" x14ac:dyDescent="0.25">
      <c r="A10763" s="18">
        <v>437</v>
      </c>
      <c r="B10763" s="4" t="s">
        <v>250</v>
      </c>
      <c r="C10763" s="38" t="s">
        <v>8879</v>
      </c>
      <c r="D10763" s="18">
        <v>2022</v>
      </c>
      <c r="E10763" s="18" t="s">
        <v>0</v>
      </c>
      <c r="F10763" s="42">
        <v>1</v>
      </c>
      <c r="G10763" s="4">
        <v>15</v>
      </c>
      <c r="H10763" s="18">
        <v>36</v>
      </c>
    </row>
    <row r="10764" spans="1:8" s="15" customFormat="1" ht="16.5" hidden="1" customHeight="1" outlineLevel="1" x14ac:dyDescent="0.25">
      <c r="A10764" s="18">
        <v>403</v>
      </c>
      <c r="B10764" s="4" t="s">
        <v>250</v>
      </c>
      <c r="C10764" s="38" t="s">
        <v>3889</v>
      </c>
      <c r="D10764" s="18">
        <v>2022</v>
      </c>
      <c r="E10764" s="18" t="s">
        <v>0</v>
      </c>
      <c r="F10764" s="42">
        <v>1</v>
      </c>
      <c r="G10764" s="4">
        <v>5</v>
      </c>
      <c r="H10764" s="18">
        <v>48</v>
      </c>
    </row>
    <row r="10765" spans="1:8" s="15" customFormat="1" ht="16.5" hidden="1" customHeight="1" outlineLevel="1" x14ac:dyDescent="0.25">
      <c r="A10765" s="18">
        <v>446</v>
      </c>
      <c r="B10765" s="4" t="s">
        <v>250</v>
      </c>
      <c r="C10765" s="38" t="s">
        <v>8880</v>
      </c>
      <c r="D10765" s="18">
        <v>2022</v>
      </c>
      <c r="E10765" s="18" t="s">
        <v>0</v>
      </c>
      <c r="F10765" s="42">
        <v>1</v>
      </c>
      <c r="G10765" s="4">
        <v>15</v>
      </c>
      <c r="H10765" s="18">
        <v>35</v>
      </c>
    </row>
    <row r="10766" spans="1:8" s="15" customFormat="1" ht="16.5" hidden="1" customHeight="1" outlineLevel="1" x14ac:dyDescent="0.25">
      <c r="A10766" s="18">
        <v>445</v>
      </c>
      <c r="B10766" s="4" t="s">
        <v>250</v>
      </c>
      <c r="C10766" s="38" t="s">
        <v>8881</v>
      </c>
      <c r="D10766" s="18">
        <v>2022</v>
      </c>
      <c r="E10766" s="18" t="s">
        <v>0</v>
      </c>
      <c r="F10766" s="42">
        <v>1</v>
      </c>
      <c r="G10766" s="4">
        <v>15</v>
      </c>
      <c r="H10766" s="18">
        <v>35</v>
      </c>
    </row>
    <row r="10767" spans="1:8" s="15" customFormat="1" ht="16.5" hidden="1" customHeight="1" outlineLevel="1" x14ac:dyDescent="0.25">
      <c r="A10767" s="18">
        <v>396</v>
      </c>
      <c r="B10767" s="4" t="s">
        <v>250</v>
      </c>
      <c r="C10767" s="38" t="s">
        <v>3828</v>
      </c>
      <c r="D10767" s="18">
        <v>2022</v>
      </c>
      <c r="E10767" s="18" t="s">
        <v>0</v>
      </c>
      <c r="F10767" s="42">
        <v>2</v>
      </c>
      <c r="G10767" s="4">
        <v>21</v>
      </c>
      <c r="H10767" s="18">
        <v>73</v>
      </c>
    </row>
    <row r="10768" spans="1:8" s="15" customFormat="1" ht="16.5" hidden="1" customHeight="1" outlineLevel="1" x14ac:dyDescent="0.25">
      <c r="A10768" s="18">
        <v>351</v>
      </c>
      <c r="B10768" s="4" t="s">
        <v>250</v>
      </c>
      <c r="C10768" s="38" t="s">
        <v>3830</v>
      </c>
      <c r="D10768" s="18">
        <v>2022</v>
      </c>
      <c r="E10768" s="18" t="s">
        <v>0</v>
      </c>
      <c r="F10768" s="42">
        <v>6</v>
      </c>
      <c r="G10768" s="4">
        <v>40</v>
      </c>
      <c r="H10768" s="18">
        <v>326</v>
      </c>
    </row>
    <row r="10769" spans="1:8" s="15" customFormat="1" ht="16.5" hidden="1" customHeight="1" outlineLevel="1" x14ac:dyDescent="0.25">
      <c r="A10769" s="18">
        <v>392</v>
      </c>
      <c r="B10769" s="4" t="s">
        <v>250</v>
      </c>
      <c r="C10769" s="38" t="s">
        <v>8882</v>
      </c>
      <c r="D10769" s="18">
        <v>2022</v>
      </c>
      <c r="E10769" s="18" t="s">
        <v>0</v>
      </c>
      <c r="F10769" s="42">
        <v>4</v>
      </c>
      <c r="G10769" s="4">
        <v>60</v>
      </c>
      <c r="H10769" s="18">
        <v>79</v>
      </c>
    </row>
    <row r="10770" spans="1:8" s="15" customFormat="1" ht="16.5" hidden="1" customHeight="1" outlineLevel="1" x14ac:dyDescent="0.25">
      <c r="A10770" s="18">
        <v>5399</v>
      </c>
      <c r="B10770" s="4" t="s">
        <v>250</v>
      </c>
      <c r="C10770" s="38" t="s">
        <v>8883</v>
      </c>
      <c r="D10770" s="18">
        <v>2022</v>
      </c>
      <c r="E10770" s="18" t="s">
        <v>0</v>
      </c>
      <c r="F10770" s="42">
        <v>1</v>
      </c>
      <c r="G10770" s="4">
        <v>15</v>
      </c>
      <c r="H10770" s="18">
        <v>27.149100000000001</v>
      </c>
    </row>
    <row r="10771" spans="1:8" s="15" customFormat="1" ht="16.5" hidden="1" customHeight="1" outlineLevel="1" x14ac:dyDescent="0.25">
      <c r="A10771" s="18">
        <v>5129</v>
      </c>
      <c r="B10771" s="4" t="s">
        <v>250</v>
      </c>
      <c r="C10771" s="38" t="s">
        <v>8884</v>
      </c>
      <c r="D10771" s="18">
        <v>2022</v>
      </c>
      <c r="E10771" s="18" t="s">
        <v>0</v>
      </c>
      <c r="F10771" s="42">
        <v>1</v>
      </c>
      <c r="G10771" s="4">
        <v>15</v>
      </c>
      <c r="H10771" s="18">
        <v>34.828560000000003</v>
      </c>
    </row>
    <row r="10772" spans="1:8" s="15" customFormat="1" ht="16.5" hidden="1" customHeight="1" outlineLevel="1" x14ac:dyDescent="0.25">
      <c r="A10772" s="18">
        <v>5127</v>
      </c>
      <c r="B10772" s="4" t="s">
        <v>250</v>
      </c>
      <c r="C10772" s="38" t="s">
        <v>8885</v>
      </c>
      <c r="D10772" s="18">
        <v>2022</v>
      </c>
      <c r="E10772" s="18" t="s">
        <v>0</v>
      </c>
      <c r="F10772" s="42">
        <v>1</v>
      </c>
      <c r="G10772" s="4">
        <v>15</v>
      </c>
      <c r="H10772" s="18">
        <v>49.773400000000002</v>
      </c>
    </row>
    <row r="10773" spans="1:8" s="15" customFormat="1" ht="16.5" hidden="1" customHeight="1" outlineLevel="1" x14ac:dyDescent="0.25">
      <c r="A10773" s="18">
        <v>5119</v>
      </c>
      <c r="B10773" s="4" t="s">
        <v>250</v>
      </c>
      <c r="C10773" s="38" t="s">
        <v>8886</v>
      </c>
      <c r="D10773" s="18">
        <v>2022</v>
      </c>
      <c r="E10773" s="18" t="s">
        <v>0</v>
      </c>
      <c r="F10773" s="42">
        <v>1</v>
      </c>
      <c r="G10773" s="4">
        <v>15</v>
      </c>
      <c r="H10773" s="18">
        <v>10.209059999999999</v>
      </c>
    </row>
    <row r="10774" spans="1:8" s="15" customFormat="1" ht="16.5" hidden="1" customHeight="1" outlineLevel="1" x14ac:dyDescent="0.25">
      <c r="A10774" s="18">
        <v>5118</v>
      </c>
      <c r="B10774" s="4" t="s">
        <v>250</v>
      </c>
      <c r="C10774" s="38" t="s">
        <v>8887</v>
      </c>
      <c r="D10774" s="18">
        <v>2022</v>
      </c>
      <c r="E10774" s="18" t="s">
        <v>0</v>
      </c>
      <c r="F10774" s="42">
        <v>1</v>
      </c>
      <c r="G10774" s="4">
        <v>15</v>
      </c>
      <c r="H10774" s="18">
        <v>36.338970000000003</v>
      </c>
    </row>
    <row r="10775" spans="1:8" s="15" customFormat="1" ht="16.5" hidden="1" customHeight="1" outlineLevel="1" x14ac:dyDescent="0.25">
      <c r="A10775" s="18">
        <v>5117</v>
      </c>
      <c r="B10775" s="4" t="s">
        <v>250</v>
      </c>
      <c r="C10775" s="38" t="s">
        <v>8888</v>
      </c>
      <c r="D10775" s="18">
        <v>2022</v>
      </c>
      <c r="E10775" s="18" t="s">
        <v>0</v>
      </c>
      <c r="F10775" s="42">
        <v>1</v>
      </c>
      <c r="G10775" s="4">
        <v>15</v>
      </c>
      <c r="H10775" s="18">
        <v>40.469819999999999</v>
      </c>
    </row>
    <row r="10776" spans="1:8" s="15" customFormat="1" ht="16.5" hidden="1" customHeight="1" outlineLevel="1" x14ac:dyDescent="0.25">
      <c r="A10776" s="18">
        <v>5116</v>
      </c>
      <c r="B10776" s="4" t="s">
        <v>250</v>
      </c>
      <c r="C10776" s="38" t="s">
        <v>8889</v>
      </c>
      <c r="D10776" s="18">
        <v>2022</v>
      </c>
      <c r="E10776" s="18" t="s">
        <v>0</v>
      </c>
      <c r="F10776" s="42">
        <v>1</v>
      </c>
      <c r="G10776" s="4">
        <v>15</v>
      </c>
      <c r="H10776" s="18">
        <v>40.37294</v>
      </c>
    </row>
    <row r="10777" spans="1:8" s="15" customFormat="1" ht="16.5" hidden="1" customHeight="1" outlineLevel="1" x14ac:dyDescent="0.25">
      <c r="A10777" s="18">
        <v>5115</v>
      </c>
      <c r="B10777" s="4" t="s">
        <v>250</v>
      </c>
      <c r="C10777" s="38" t="s">
        <v>8890</v>
      </c>
      <c r="D10777" s="18">
        <v>2022</v>
      </c>
      <c r="E10777" s="18" t="s">
        <v>0</v>
      </c>
      <c r="F10777" s="42">
        <v>1</v>
      </c>
      <c r="G10777" s="4">
        <v>15</v>
      </c>
      <c r="H10777" s="18">
        <v>58.808709999999998</v>
      </c>
    </row>
    <row r="10778" spans="1:8" s="15" customFormat="1" ht="16.5" hidden="1" customHeight="1" outlineLevel="1" x14ac:dyDescent="0.25">
      <c r="A10778" s="18">
        <v>5114</v>
      </c>
      <c r="B10778" s="4" t="s">
        <v>250</v>
      </c>
      <c r="C10778" s="38" t="s">
        <v>8891</v>
      </c>
      <c r="D10778" s="18">
        <v>2022</v>
      </c>
      <c r="E10778" s="18" t="s">
        <v>0</v>
      </c>
      <c r="F10778" s="42">
        <v>1</v>
      </c>
      <c r="G10778" s="4">
        <v>15</v>
      </c>
      <c r="H10778" s="18">
        <v>58.808709999999998</v>
      </c>
    </row>
    <row r="10779" spans="1:8" s="15" customFormat="1" ht="16.5" hidden="1" customHeight="1" outlineLevel="1" x14ac:dyDescent="0.25">
      <c r="A10779" s="18">
        <v>5113</v>
      </c>
      <c r="B10779" s="4" t="s">
        <v>250</v>
      </c>
      <c r="C10779" s="38" t="s">
        <v>8892</v>
      </c>
      <c r="D10779" s="18">
        <v>2022</v>
      </c>
      <c r="E10779" s="18" t="s">
        <v>0</v>
      </c>
      <c r="F10779" s="42">
        <v>1</v>
      </c>
      <c r="G10779" s="4">
        <v>15</v>
      </c>
      <c r="H10779" s="18">
        <v>35.240090000000002</v>
      </c>
    </row>
    <row r="10780" spans="1:8" s="15" customFormat="1" ht="16.5" hidden="1" customHeight="1" outlineLevel="1" x14ac:dyDescent="0.25">
      <c r="A10780" s="18">
        <v>5110</v>
      </c>
      <c r="B10780" s="4" t="s">
        <v>250</v>
      </c>
      <c r="C10780" s="38" t="s">
        <v>8893</v>
      </c>
      <c r="D10780" s="18">
        <v>2022</v>
      </c>
      <c r="E10780" s="18" t="s">
        <v>0</v>
      </c>
      <c r="F10780" s="42">
        <v>1</v>
      </c>
      <c r="G10780" s="4">
        <v>15</v>
      </c>
      <c r="H10780" s="18">
        <v>37.51079</v>
      </c>
    </row>
    <row r="10781" spans="1:8" s="15" customFormat="1" ht="16.5" hidden="1" customHeight="1" outlineLevel="1" x14ac:dyDescent="0.25">
      <c r="A10781" s="18">
        <v>5109</v>
      </c>
      <c r="B10781" s="4" t="s">
        <v>250</v>
      </c>
      <c r="C10781" s="38" t="s">
        <v>8894</v>
      </c>
      <c r="D10781" s="18">
        <v>2022</v>
      </c>
      <c r="E10781" s="18" t="s">
        <v>0</v>
      </c>
      <c r="F10781" s="42">
        <v>1</v>
      </c>
      <c r="G10781" s="4">
        <v>45</v>
      </c>
      <c r="H10781" s="18">
        <v>39.152639999999998</v>
      </c>
    </row>
    <row r="10782" spans="1:8" s="15" customFormat="1" ht="16.5" hidden="1" customHeight="1" outlineLevel="1" x14ac:dyDescent="0.25">
      <c r="A10782" s="18">
        <v>5299</v>
      </c>
      <c r="B10782" s="4" t="s">
        <v>250</v>
      </c>
      <c r="C10782" s="38" t="s">
        <v>8895</v>
      </c>
      <c r="D10782" s="18">
        <v>2022</v>
      </c>
      <c r="E10782" s="18" t="s">
        <v>0</v>
      </c>
      <c r="F10782" s="42">
        <v>1</v>
      </c>
      <c r="G10782" s="4">
        <v>15</v>
      </c>
      <c r="H10782" s="18">
        <v>55.414200000000001</v>
      </c>
    </row>
    <row r="10783" spans="1:8" s="15" customFormat="1" ht="16.5" hidden="1" customHeight="1" outlineLevel="1" x14ac:dyDescent="0.25">
      <c r="A10783" s="18">
        <v>5298</v>
      </c>
      <c r="B10783" s="4" t="s">
        <v>250</v>
      </c>
      <c r="C10783" s="38" t="s">
        <v>8896</v>
      </c>
      <c r="D10783" s="18">
        <v>2022</v>
      </c>
      <c r="E10783" s="18" t="s">
        <v>0</v>
      </c>
      <c r="F10783" s="42">
        <v>1</v>
      </c>
      <c r="G10783" s="4">
        <v>15</v>
      </c>
      <c r="H10783" s="18">
        <v>50.901060000000001</v>
      </c>
    </row>
    <row r="10784" spans="1:8" s="15" customFormat="1" ht="16.5" hidden="1" customHeight="1" outlineLevel="1" x14ac:dyDescent="0.25">
      <c r="A10784" s="18">
        <v>5297</v>
      </c>
      <c r="B10784" s="4" t="s">
        <v>250</v>
      </c>
      <c r="C10784" s="38" t="s">
        <v>8897</v>
      </c>
      <c r="D10784" s="18">
        <v>2022</v>
      </c>
      <c r="E10784" s="18" t="s">
        <v>0</v>
      </c>
      <c r="F10784" s="42">
        <v>1</v>
      </c>
      <c r="G10784" s="4">
        <v>15</v>
      </c>
      <c r="H10784" s="18">
        <v>50.9011</v>
      </c>
    </row>
    <row r="10785" spans="1:8" s="15" customFormat="1" ht="16.5" hidden="1" customHeight="1" outlineLevel="1" x14ac:dyDescent="0.25">
      <c r="A10785" s="18">
        <v>5296</v>
      </c>
      <c r="B10785" s="4" t="s">
        <v>250</v>
      </c>
      <c r="C10785" s="38" t="s">
        <v>8898</v>
      </c>
      <c r="D10785" s="18">
        <v>2022</v>
      </c>
      <c r="E10785" s="18" t="s">
        <v>0</v>
      </c>
      <c r="F10785" s="42">
        <v>1</v>
      </c>
      <c r="G10785" s="4">
        <v>15</v>
      </c>
      <c r="H10785" s="18">
        <v>39.79027</v>
      </c>
    </row>
    <row r="10786" spans="1:8" s="15" customFormat="1" ht="16.5" hidden="1" customHeight="1" outlineLevel="1" x14ac:dyDescent="0.25">
      <c r="A10786" s="18">
        <v>5295</v>
      </c>
      <c r="B10786" s="4" t="s">
        <v>250</v>
      </c>
      <c r="C10786" s="38" t="s">
        <v>8899</v>
      </c>
      <c r="D10786" s="18">
        <v>2022</v>
      </c>
      <c r="E10786" s="18" t="s">
        <v>0</v>
      </c>
      <c r="F10786" s="42">
        <v>1</v>
      </c>
      <c r="G10786" s="4">
        <v>15</v>
      </c>
      <c r="H10786" s="18">
        <v>39.79027</v>
      </c>
    </row>
    <row r="10787" spans="1:8" s="15" customFormat="1" ht="16.5" hidden="1" customHeight="1" outlineLevel="1" x14ac:dyDescent="0.25">
      <c r="A10787" s="18">
        <v>5294</v>
      </c>
      <c r="B10787" s="4" t="s">
        <v>250</v>
      </c>
      <c r="C10787" s="38" t="s">
        <v>8900</v>
      </c>
      <c r="D10787" s="18">
        <v>2022</v>
      </c>
      <c r="E10787" s="18" t="s">
        <v>0</v>
      </c>
      <c r="F10787" s="42">
        <v>1</v>
      </c>
      <c r="G10787" s="4">
        <v>15</v>
      </c>
      <c r="H10787" s="18">
        <v>50.901049999999998</v>
      </c>
    </row>
    <row r="10788" spans="1:8" s="15" customFormat="1" ht="16.5" hidden="1" customHeight="1" outlineLevel="1" x14ac:dyDescent="0.25">
      <c r="A10788" s="18">
        <v>5293</v>
      </c>
      <c r="B10788" s="4" t="s">
        <v>250</v>
      </c>
      <c r="C10788" s="38" t="s">
        <v>8901</v>
      </c>
      <c r="D10788" s="18">
        <v>2022</v>
      </c>
      <c r="E10788" s="18" t="s">
        <v>0</v>
      </c>
      <c r="F10788" s="42">
        <v>1</v>
      </c>
      <c r="G10788" s="4">
        <v>15</v>
      </c>
      <c r="H10788" s="18">
        <v>35.20881</v>
      </c>
    </row>
    <row r="10789" spans="1:8" s="15" customFormat="1" ht="16.5" hidden="1" customHeight="1" outlineLevel="1" x14ac:dyDescent="0.25">
      <c r="A10789" s="18">
        <v>5292</v>
      </c>
      <c r="B10789" s="4" t="s">
        <v>250</v>
      </c>
      <c r="C10789" s="38" t="s">
        <v>8902</v>
      </c>
      <c r="D10789" s="18">
        <v>2022</v>
      </c>
      <c r="E10789" s="18" t="s">
        <v>0</v>
      </c>
      <c r="F10789" s="42">
        <v>1</v>
      </c>
      <c r="G10789" s="4">
        <v>15</v>
      </c>
      <c r="H10789" s="18">
        <v>35.26831</v>
      </c>
    </row>
    <row r="10790" spans="1:8" s="15" customFormat="1" ht="16.5" hidden="1" customHeight="1" outlineLevel="1" x14ac:dyDescent="0.25">
      <c r="A10790" s="18">
        <v>5291</v>
      </c>
      <c r="B10790" s="4" t="s">
        <v>250</v>
      </c>
      <c r="C10790" s="38" t="s">
        <v>8903</v>
      </c>
      <c r="D10790" s="18">
        <v>2022</v>
      </c>
      <c r="E10790" s="18" t="s">
        <v>0</v>
      </c>
      <c r="F10790" s="42">
        <v>1</v>
      </c>
      <c r="G10790" s="4">
        <v>15</v>
      </c>
      <c r="H10790" s="18">
        <v>36.460090000000001</v>
      </c>
    </row>
    <row r="10791" spans="1:8" s="15" customFormat="1" ht="16.5" hidden="1" customHeight="1" outlineLevel="1" x14ac:dyDescent="0.25">
      <c r="A10791" s="18">
        <v>5290</v>
      </c>
      <c r="B10791" s="4" t="s">
        <v>250</v>
      </c>
      <c r="C10791" s="38" t="s">
        <v>8904</v>
      </c>
      <c r="D10791" s="18">
        <v>2022</v>
      </c>
      <c r="E10791" s="18" t="s">
        <v>0</v>
      </c>
      <c r="F10791" s="42">
        <v>1</v>
      </c>
      <c r="G10791" s="4">
        <v>15</v>
      </c>
      <c r="H10791" s="18">
        <v>37.832259999999998</v>
      </c>
    </row>
    <row r="10792" spans="1:8" s="15" customFormat="1" ht="16.5" hidden="1" customHeight="1" outlineLevel="1" x14ac:dyDescent="0.25">
      <c r="A10792" s="18">
        <v>5289</v>
      </c>
      <c r="B10792" s="4" t="s">
        <v>250</v>
      </c>
      <c r="C10792" s="38" t="s">
        <v>8905</v>
      </c>
      <c r="D10792" s="18">
        <v>2022</v>
      </c>
      <c r="E10792" s="18" t="s">
        <v>0</v>
      </c>
      <c r="F10792" s="42">
        <v>1</v>
      </c>
      <c r="G10792" s="4">
        <v>15</v>
      </c>
      <c r="H10792" s="18">
        <v>35.08952</v>
      </c>
    </row>
    <row r="10793" spans="1:8" s="15" customFormat="1" ht="16.5" hidden="1" customHeight="1" outlineLevel="1" x14ac:dyDescent="0.25">
      <c r="A10793" s="18">
        <v>5288</v>
      </c>
      <c r="B10793" s="4" t="s">
        <v>250</v>
      </c>
      <c r="C10793" s="38" t="s">
        <v>8906</v>
      </c>
      <c r="D10793" s="18">
        <v>2022</v>
      </c>
      <c r="E10793" s="18" t="s">
        <v>0</v>
      </c>
      <c r="F10793" s="42">
        <v>1</v>
      </c>
      <c r="G10793" s="4">
        <v>15</v>
      </c>
      <c r="H10793" s="18">
        <v>50.277749999999997</v>
      </c>
    </row>
    <row r="10794" spans="1:8" s="15" customFormat="1" ht="16.5" hidden="1" customHeight="1" outlineLevel="1" x14ac:dyDescent="0.25">
      <c r="A10794" s="18">
        <v>5287</v>
      </c>
      <c r="B10794" s="4" t="s">
        <v>250</v>
      </c>
      <c r="C10794" s="38" t="s">
        <v>8907</v>
      </c>
      <c r="D10794" s="18">
        <v>2022</v>
      </c>
      <c r="E10794" s="18" t="s">
        <v>0</v>
      </c>
      <c r="F10794" s="42">
        <v>1</v>
      </c>
      <c r="G10794" s="4">
        <v>15</v>
      </c>
      <c r="H10794" s="18">
        <v>34.991210000000002</v>
      </c>
    </row>
    <row r="10795" spans="1:8" s="15" customFormat="1" ht="16.5" hidden="1" customHeight="1" outlineLevel="1" x14ac:dyDescent="0.25">
      <c r="A10795" s="18">
        <v>5286</v>
      </c>
      <c r="B10795" s="4" t="s">
        <v>250</v>
      </c>
      <c r="C10795" s="38" t="s">
        <v>8908</v>
      </c>
      <c r="D10795" s="18">
        <v>2022</v>
      </c>
      <c r="E10795" s="18" t="s">
        <v>0</v>
      </c>
      <c r="F10795" s="42">
        <v>1</v>
      </c>
      <c r="G10795" s="4">
        <v>15</v>
      </c>
      <c r="H10795" s="18">
        <v>37.20664</v>
      </c>
    </row>
    <row r="10796" spans="1:8" s="15" customFormat="1" ht="16.5" hidden="1" customHeight="1" outlineLevel="1" x14ac:dyDescent="0.25">
      <c r="A10796" s="18">
        <v>5285</v>
      </c>
      <c r="B10796" s="4" t="s">
        <v>250</v>
      </c>
      <c r="C10796" s="38" t="s">
        <v>8909</v>
      </c>
      <c r="D10796" s="18">
        <v>2022</v>
      </c>
      <c r="E10796" s="18" t="s">
        <v>0</v>
      </c>
      <c r="F10796" s="42">
        <v>1</v>
      </c>
      <c r="G10796" s="4">
        <v>15</v>
      </c>
      <c r="H10796" s="18">
        <v>38.583240000000004</v>
      </c>
    </row>
    <row r="10797" spans="1:8" s="15" customFormat="1" ht="16.5" hidden="1" customHeight="1" outlineLevel="1" x14ac:dyDescent="0.25">
      <c r="A10797" s="18">
        <v>5281</v>
      </c>
      <c r="B10797" s="4" t="s">
        <v>250</v>
      </c>
      <c r="C10797" s="38" t="s">
        <v>8910</v>
      </c>
      <c r="D10797" s="18">
        <v>2022</v>
      </c>
      <c r="E10797" s="18" t="s">
        <v>0</v>
      </c>
      <c r="F10797" s="42">
        <v>1</v>
      </c>
      <c r="G10797" s="4">
        <v>15</v>
      </c>
      <c r="H10797" s="18">
        <v>37.902430000000003</v>
      </c>
    </row>
    <row r="10798" spans="1:8" s="15" customFormat="1" ht="16.5" hidden="1" customHeight="1" outlineLevel="1" x14ac:dyDescent="0.25">
      <c r="A10798" s="18">
        <v>5280</v>
      </c>
      <c r="B10798" s="4" t="s">
        <v>250</v>
      </c>
      <c r="C10798" s="38" t="s">
        <v>8911</v>
      </c>
      <c r="D10798" s="18">
        <v>2022</v>
      </c>
      <c r="E10798" s="18" t="s">
        <v>0</v>
      </c>
      <c r="F10798" s="42">
        <v>1</v>
      </c>
      <c r="G10798" s="4">
        <v>11.5</v>
      </c>
      <c r="H10798" s="18">
        <v>37.904389999999999</v>
      </c>
    </row>
    <row r="10799" spans="1:8" s="15" customFormat="1" ht="16.5" hidden="1" customHeight="1" outlineLevel="1" x14ac:dyDescent="0.25">
      <c r="A10799" s="18">
        <v>5279</v>
      </c>
      <c r="B10799" s="4" t="s">
        <v>250</v>
      </c>
      <c r="C10799" s="38" t="s">
        <v>8912</v>
      </c>
      <c r="D10799" s="18">
        <v>2022</v>
      </c>
      <c r="E10799" s="18" t="s">
        <v>0</v>
      </c>
      <c r="F10799" s="42">
        <v>1</v>
      </c>
      <c r="G10799" s="4">
        <v>15</v>
      </c>
      <c r="H10799" s="18">
        <v>36.527740000000001</v>
      </c>
    </row>
    <row r="10800" spans="1:8" s="15" customFormat="1" ht="16.5" hidden="1" customHeight="1" outlineLevel="1" x14ac:dyDescent="0.25">
      <c r="A10800" s="18">
        <v>5276</v>
      </c>
      <c r="B10800" s="4" t="s">
        <v>250</v>
      </c>
      <c r="C10800" s="38" t="s">
        <v>8913</v>
      </c>
      <c r="D10800" s="18">
        <v>2022</v>
      </c>
      <c r="E10800" s="18" t="s">
        <v>0</v>
      </c>
      <c r="F10800" s="42">
        <v>1</v>
      </c>
      <c r="G10800" s="4">
        <v>15</v>
      </c>
      <c r="H10800" s="18">
        <v>35.20881</v>
      </c>
    </row>
    <row r="10801" spans="1:8" s="15" customFormat="1" ht="16.5" hidden="1" customHeight="1" outlineLevel="1" x14ac:dyDescent="0.25">
      <c r="A10801" s="18">
        <v>5275</v>
      </c>
      <c r="B10801" s="4" t="s">
        <v>250</v>
      </c>
      <c r="C10801" s="38" t="s">
        <v>8914</v>
      </c>
      <c r="D10801" s="18">
        <v>2022</v>
      </c>
      <c r="E10801" s="18" t="s">
        <v>0</v>
      </c>
      <c r="F10801" s="42">
        <v>1</v>
      </c>
      <c r="G10801" s="4">
        <v>15</v>
      </c>
      <c r="H10801" s="18">
        <v>35.765770000000003</v>
      </c>
    </row>
    <row r="10802" spans="1:8" s="15" customFormat="1" ht="16.5" hidden="1" customHeight="1" outlineLevel="1" x14ac:dyDescent="0.25">
      <c r="A10802" s="18">
        <v>5130</v>
      </c>
      <c r="B10802" s="4" t="s">
        <v>250</v>
      </c>
      <c r="C10802" s="38" t="s">
        <v>8915</v>
      </c>
      <c r="D10802" s="18">
        <v>2022</v>
      </c>
      <c r="E10802" s="18" t="s">
        <v>0</v>
      </c>
      <c r="F10802" s="42">
        <v>1</v>
      </c>
      <c r="G10802" s="4">
        <v>15</v>
      </c>
      <c r="H10802" s="18">
        <v>34.04945</v>
      </c>
    </row>
    <row r="10803" spans="1:8" s="15" customFormat="1" ht="16.5" hidden="1" customHeight="1" outlineLevel="1" x14ac:dyDescent="0.25">
      <c r="A10803" s="18">
        <v>5274</v>
      </c>
      <c r="B10803" s="4" t="s">
        <v>250</v>
      </c>
      <c r="C10803" s="38" t="s">
        <v>8916</v>
      </c>
      <c r="D10803" s="18">
        <v>2022</v>
      </c>
      <c r="E10803" s="18" t="s">
        <v>0</v>
      </c>
      <c r="F10803" s="42">
        <v>1</v>
      </c>
      <c r="G10803" s="4">
        <v>15</v>
      </c>
      <c r="H10803" s="18">
        <v>38.93439</v>
      </c>
    </row>
    <row r="10804" spans="1:8" s="15" customFormat="1" ht="16.5" hidden="1" customHeight="1" outlineLevel="1" x14ac:dyDescent="0.25">
      <c r="A10804" s="18">
        <v>5273</v>
      </c>
      <c r="B10804" s="4" t="s">
        <v>250</v>
      </c>
      <c r="C10804" s="38" t="s">
        <v>8917</v>
      </c>
      <c r="D10804" s="18">
        <v>2022</v>
      </c>
      <c r="E10804" s="18" t="s">
        <v>0</v>
      </c>
      <c r="F10804" s="42">
        <v>1</v>
      </c>
      <c r="G10804" s="4">
        <v>15</v>
      </c>
      <c r="H10804" s="18">
        <v>36.967300000000002</v>
      </c>
    </row>
    <row r="10805" spans="1:8" s="15" customFormat="1" ht="16.5" hidden="1" customHeight="1" outlineLevel="1" x14ac:dyDescent="0.25">
      <c r="A10805" s="18">
        <v>5272</v>
      </c>
      <c r="B10805" s="4" t="s">
        <v>250</v>
      </c>
      <c r="C10805" s="38" t="s">
        <v>8918</v>
      </c>
      <c r="D10805" s="18">
        <v>2022</v>
      </c>
      <c r="E10805" s="18" t="s">
        <v>0</v>
      </c>
      <c r="F10805" s="42">
        <v>1</v>
      </c>
      <c r="G10805" s="4">
        <v>15</v>
      </c>
      <c r="H10805" s="18">
        <v>41.054340000000003</v>
      </c>
    </row>
    <row r="10806" spans="1:8" s="15" customFormat="1" ht="16.5" hidden="1" customHeight="1" outlineLevel="1" x14ac:dyDescent="0.25">
      <c r="A10806" s="18">
        <v>5270</v>
      </c>
      <c r="B10806" s="4" t="s">
        <v>250</v>
      </c>
      <c r="C10806" s="38" t="s">
        <v>8919</v>
      </c>
      <c r="D10806" s="18">
        <v>2022</v>
      </c>
      <c r="E10806" s="18" t="s">
        <v>0</v>
      </c>
      <c r="F10806" s="42">
        <v>1</v>
      </c>
      <c r="G10806" s="4">
        <v>15</v>
      </c>
      <c r="H10806" s="18">
        <v>36.188969999999998</v>
      </c>
    </row>
    <row r="10807" spans="1:8" s="15" customFormat="1" ht="16.5" hidden="1" customHeight="1" outlineLevel="1" x14ac:dyDescent="0.25">
      <c r="A10807" s="18">
        <v>5269</v>
      </c>
      <c r="B10807" s="4" t="s">
        <v>250</v>
      </c>
      <c r="C10807" s="38" t="s">
        <v>8920</v>
      </c>
      <c r="D10807" s="18">
        <v>2022</v>
      </c>
      <c r="E10807" s="18" t="s">
        <v>0</v>
      </c>
      <c r="F10807" s="42">
        <v>1</v>
      </c>
      <c r="G10807" s="4">
        <v>15</v>
      </c>
      <c r="H10807" s="18">
        <v>36.672580000000004</v>
      </c>
    </row>
    <row r="10808" spans="1:8" s="15" customFormat="1" ht="16.5" hidden="1" customHeight="1" outlineLevel="1" x14ac:dyDescent="0.25">
      <c r="A10808" s="18">
        <v>5266</v>
      </c>
      <c r="B10808" s="4" t="s">
        <v>250</v>
      </c>
      <c r="C10808" s="38" t="s">
        <v>8921</v>
      </c>
      <c r="D10808" s="18">
        <v>2022</v>
      </c>
      <c r="E10808" s="18" t="s">
        <v>0</v>
      </c>
      <c r="F10808" s="42">
        <v>1</v>
      </c>
      <c r="G10808" s="4">
        <v>15</v>
      </c>
      <c r="H10808" s="18">
        <v>37.330069999999999</v>
      </c>
    </row>
    <row r="10809" spans="1:8" s="15" customFormat="1" ht="16.5" hidden="1" customHeight="1" outlineLevel="1" x14ac:dyDescent="0.25">
      <c r="A10809" s="18">
        <v>5265</v>
      </c>
      <c r="B10809" s="4" t="s">
        <v>250</v>
      </c>
      <c r="C10809" s="38" t="s">
        <v>8922</v>
      </c>
      <c r="D10809" s="18">
        <v>2022</v>
      </c>
      <c r="E10809" s="18" t="s">
        <v>0</v>
      </c>
      <c r="F10809" s="42">
        <v>1</v>
      </c>
      <c r="G10809" s="4">
        <v>15</v>
      </c>
      <c r="H10809" s="18">
        <v>41.426920000000003</v>
      </c>
    </row>
    <row r="10810" spans="1:8" s="15" customFormat="1" ht="16.5" hidden="1" customHeight="1" outlineLevel="1" x14ac:dyDescent="0.25">
      <c r="A10810" s="18">
        <v>5264</v>
      </c>
      <c r="B10810" s="4" t="s">
        <v>250</v>
      </c>
      <c r="C10810" s="38" t="s">
        <v>8923</v>
      </c>
      <c r="D10810" s="18">
        <v>2022</v>
      </c>
      <c r="E10810" s="18" t="s">
        <v>0</v>
      </c>
      <c r="F10810" s="42">
        <v>1</v>
      </c>
      <c r="G10810" s="4">
        <v>15</v>
      </c>
      <c r="H10810" s="18">
        <v>37.290109999999999</v>
      </c>
    </row>
    <row r="10811" spans="1:8" s="15" customFormat="1" ht="16.5" hidden="1" customHeight="1" outlineLevel="1" x14ac:dyDescent="0.25">
      <c r="A10811" s="18">
        <v>5263</v>
      </c>
      <c r="B10811" s="4" t="s">
        <v>250</v>
      </c>
      <c r="C10811" s="38" t="s">
        <v>8924</v>
      </c>
      <c r="D10811" s="18">
        <v>2022</v>
      </c>
      <c r="E10811" s="18" t="s">
        <v>0</v>
      </c>
      <c r="F10811" s="42">
        <v>1</v>
      </c>
      <c r="G10811" s="4">
        <v>15</v>
      </c>
      <c r="H10811" s="18">
        <v>43.480150000000002</v>
      </c>
    </row>
    <row r="10812" spans="1:8" s="15" customFormat="1" ht="16.5" hidden="1" customHeight="1" outlineLevel="1" x14ac:dyDescent="0.25">
      <c r="A10812" s="18">
        <v>5131</v>
      </c>
      <c r="B10812" s="4" t="s">
        <v>250</v>
      </c>
      <c r="C10812" s="38" t="s">
        <v>8925</v>
      </c>
      <c r="D10812" s="18">
        <v>2022</v>
      </c>
      <c r="E10812" s="18" t="s">
        <v>0</v>
      </c>
      <c r="F10812" s="42">
        <v>1</v>
      </c>
      <c r="G10812" s="4">
        <v>15</v>
      </c>
      <c r="H10812" s="18">
        <v>39.06221</v>
      </c>
    </row>
    <row r="10813" spans="1:8" s="15" customFormat="1" ht="16.5" hidden="1" customHeight="1" outlineLevel="1" x14ac:dyDescent="0.25">
      <c r="A10813" s="18">
        <v>5132</v>
      </c>
      <c r="B10813" s="4" t="s">
        <v>250</v>
      </c>
      <c r="C10813" s="38" t="s">
        <v>8926</v>
      </c>
      <c r="D10813" s="18">
        <v>2022</v>
      </c>
      <c r="E10813" s="18" t="s">
        <v>0</v>
      </c>
      <c r="F10813" s="42">
        <v>1</v>
      </c>
      <c r="G10813" s="4">
        <v>15</v>
      </c>
      <c r="H10813" s="18">
        <v>43.480150000000002</v>
      </c>
    </row>
    <row r="10814" spans="1:8" s="15" customFormat="1" ht="16.5" hidden="1" customHeight="1" outlineLevel="1" x14ac:dyDescent="0.25">
      <c r="A10814" s="18">
        <v>5262</v>
      </c>
      <c r="B10814" s="4" t="s">
        <v>250</v>
      </c>
      <c r="C10814" s="38" t="s">
        <v>8927</v>
      </c>
      <c r="D10814" s="18">
        <v>2022</v>
      </c>
      <c r="E10814" s="18" t="s">
        <v>0</v>
      </c>
      <c r="F10814" s="42">
        <v>1</v>
      </c>
      <c r="G10814" s="4">
        <v>15</v>
      </c>
      <c r="H10814" s="18">
        <v>39.360140000000001</v>
      </c>
    </row>
    <row r="10815" spans="1:8" s="15" customFormat="1" ht="16.5" hidden="1" customHeight="1" outlineLevel="1" x14ac:dyDescent="0.25">
      <c r="A10815" s="18">
        <v>5261</v>
      </c>
      <c r="B10815" s="4" t="s">
        <v>250</v>
      </c>
      <c r="C10815" s="38" t="s">
        <v>8928</v>
      </c>
      <c r="D10815" s="18">
        <v>2022</v>
      </c>
      <c r="E10815" s="18" t="s">
        <v>0</v>
      </c>
      <c r="F10815" s="42">
        <v>1</v>
      </c>
      <c r="G10815" s="4">
        <v>15</v>
      </c>
      <c r="H10815" s="18">
        <v>45.549309999999998</v>
      </c>
    </row>
    <row r="10816" spans="1:8" s="15" customFormat="1" ht="16.5" hidden="1" customHeight="1" outlineLevel="1" x14ac:dyDescent="0.25">
      <c r="A10816" s="18">
        <v>5334</v>
      </c>
      <c r="B10816" s="4" t="s">
        <v>250</v>
      </c>
      <c r="C10816" s="38" t="s">
        <v>8929</v>
      </c>
      <c r="D10816" s="18">
        <v>2022</v>
      </c>
      <c r="E10816" s="18" t="s">
        <v>0</v>
      </c>
      <c r="F10816" s="42">
        <v>1</v>
      </c>
      <c r="G10816" s="4">
        <v>15</v>
      </c>
      <c r="H10816" s="18">
        <v>38.398859999999999</v>
      </c>
    </row>
    <row r="10817" spans="1:8" s="15" customFormat="1" ht="16.5" hidden="1" customHeight="1" outlineLevel="1" x14ac:dyDescent="0.25">
      <c r="A10817" s="18">
        <v>5333</v>
      </c>
      <c r="B10817" s="4" t="s">
        <v>250</v>
      </c>
      <c r="C10817" s="38" t="s">
        <v>8930</v>
      </c>
      <c r="D10817" s="18">
        <v>2022</v>
      </c>
      <c r="E10817" s="18" t="s">
        <v>0</v>
      </c>
      <c r="F10817" s="42">
        <v>1</v>
      </c>
      <c r="G10817" s="4">
        <v>15</v>
      </c>
      <c r="H10817" s="18">
        <v>34.908250000000002</v>
      </c>
    </row>
    <row r="10818" spans="1:8" s="15" customFormat="1" ht="16.5" hidden="1" customHeight="1" outlineLevel="1" x14ac:dyDescent="0.25">
      <c r="A10818" s="18">
        <v>5332</v>
      </c>
      <c r="B10818" s="4" t="s">
        <v>250</v>
      </c>
      <c r="C10818" s="38" t="s">
        <v>8931</v>
      </c>
      <c r="D10818" s="18">
        <v>2022</v>
      </c>
      <c r="E10818" s="18" t="s">
        <v>0</v>
      </c>
      <c r="F10818" s="42">
        <v>1</v>
      </c>
      <c r="G10818" s="4">
        <v>5</v>
      </c>
      <c r="H10818" s="18">
        <v>36.982500000000002</v>
      </c>
    </row>
    <row r="10819" spans="1:8" s="15" customFormat="1" ht="16.5" hidden="1" customHeight="1" outlineLevel="1" x14ac:dyDescent="0.25">
      <c r="A10819" s="18">
        <v>5331</v>
      </c>
      <c r="B10819" s="4" t="s">
        <v>250</v>
      </c>
      <c r="C10819" s="38" t="s">
        <v>8932</v>
      </c>
      <c r="D10819" s="18">
        <v>2022</v>
      </c>
      <c r="E10819" s="18" t="s">
        <v>0</v>
      </c>
      <c r="F10819" s="42">
        <v>1</v>
      </c>
      <c r="G10819" s="4">
        <v>15</v>
      </c>
      <c r="H10819" s="18">
        <v>37.603499999999997</v>
      </c>
    </row>
    <row r="10820" spans="1:8" s="15" customFormat="1" ht="16.5" hidden="1" customHeight="1" outlineLevel="1" x14ac:dyDescent="0.25">
      <c r="A10820" s="18">
        <v>5140</v>
      </c>
      <c r="B10820" s="4" t="s">
        <v>250</v>
      </c>
      <c r="C10820" s="38" t="s">
        <v>8933</v>
      </c>
      <c r="D10820" s="18">
        <v>2022</v>
      </c>
      <c r="E10820" s="18" t="s">
        <v>0</v>
      </c>
      <c r="F10820" s="42">
        <v>1</v>
      </c>
      <c r="G10820" s="4">
        <v>15</v>
      </c>
      <c r="H10820" s="18">
        <v>35.885109999999997</v>
      </c>
    </row>
    <row r="10821" spans="1:8" s="15" customFormat="1" ht="16.5" hidden="1" customHeight="1" outlineLevel="1" x14ac:dyDescent="0.25">
      <c r="A10821" s="18">
        <v>5330</v>
      </c>
      <c r="B10821" s="4" t="s">
        <v>250</v>
      </c>
      <c r="C10821" s="38" t="s">
        <v>8934</v>
      </c>
      <c r="D10821" s="18">
        <v>2022</v>
      </c>
      <c r="E10821" s="18" t="s">
        <v>0</v>
      </c>
      <c r="F10821" s="42">
        <v>1</v>
      </c>
      <c r="G10821" s="4">
        <v>15</v>
      </c>
      <c r="H10821" s="18">
        <v>36.96725</v>
      </c>
    </row>
    <row r="10822" spans="1:8" s="15" customFormat="1" ht="16.5" hidden="1" customHeight="1" outlineLevel="1" x14ac:dyDescent="0.25">
      <c r="A10822" s="18">
        <v>5141</v>
      </c>
      <c r="B10822" s="4" t="s">
        <v>250</v>
      </c>
      <c r="C10822" s="38" t="s">
        <v>8935</v>
      </c>
      <c r="D10822" s="18">
        <v>2022</v>
      </c>
      <c r="E10822" s="18" t="s">
        <v>0</v>
      </c>
      <c r="F10822" s="42">
        <v>1</v>
      </c>
      <c r="G10822" s="4">
        <v>15</v>
      </c>
      <c r="H10822" s="18">
        <v>37.960479999999997</v>
      </c>
    </row>
    <row r="10823" spans="1:8" s="15" customFormat="1" ht="16.5" hidden="1" customHeight="1" outlineLevel="1" x14ac:dyDescent="0.25">
      <c r="A10823" s="18">
        <v>5329</v>
      </c>
      <c r="B10823" s="4" t="s">
        <v>250</v>
      </c>
      <c r="C10823" s="38" t="s">
        <v>8936</v>
      </c>
      <c r="D10823" s="18">
        <v>2022</v>
      </c>
      <c r="E10823" s="18" t="s">
        <v>0</v>
      </c>
      <c r="F10823" s="42">
        <v>1</v>
      </c>
      <c r="G10823" s="4">
        <v>15</v>
      </c>
      <c r="H10823" s="18">
        <v>19.365670000000001</v>
      </c>
    </row>
    <row r="10824" spans="1:8" s="15" customFormat="1" ht="16.5" hidden="1" customHeight="1" outlineLevel="1" x14ac:dyDescent="0.25">
      <c r="A10824" s="18">
        <v>5328</v>
      </c>
      <c r="B10824" s="4" t="s">
        <v>250</v>
      </c>
      <c r="C10824" s="38" t="s">
        <v>8937</v>
      </c>
      <c r="D10824" s="18">
        <v>2022</v>
      </c>
      <c r="E10824" s="18" t="s">
        <v>0</v>
      </c>
      <c r="F10824" s="42">
        <v>1</v>
      </c>
      <c r="G10824" s="4">
        <v>15</v>
      </c>
      <c r="H10824" s="18">
        <v>36.982520000000001</v>
      </c>
    </row>
    <row r="10825" spans="1:8" s="15" customFormat="1" ht="16.5" hidden="1" customHeight="1" outlineLevel="1" x14ac:dyDescent="0.25">
      <c r="A10825" s="18">
        <v>5304</v>
      </c>
      <c r="B10825" s="4" t="s">
        <v>250</v>
      </c>
      <c r="C10825" s="38" t="s">
        <v>8938</v>
      </c>
      <c r="D10825" s="18">
        <v>2022</v>
      </c>
      <c r="E10825" s="18" t="s">
        <v>0</v>
      </c>
      <c r="F10825" s="42">
        <v>1</v>
      </c>
      <c r="G10825" s="4">
        <v>15</v>
      </c>
      <c r="H10825" s="18">
        <v>35.47363</v>
      </c>
    </row>
    <row r="10826" spans="1:8" s="15" customFormat="1" ht="16.5" hidden="1" customHeight="1" outlineLevel="1" x14ac:dyDescent="0.25">
      <c r="A10826" s="18">
        <v>5303</v>
      </c>
      <c r="B10826" s="4" t="s">
        <v>250</v>
      </c>
      <c r="C10826" s="38" t="s">
        <v>8939</v>
      </c>
      <c r="D10826" s="18">
        <v>2022</v>
      </c>
      <c r="E10826" s="18" t="s">
        <v>0</v>
      </c>
      <c r="F10826" s="42">
        <v>1</v>
      </c>
      <c r="G10826" s="4">
        <v>15</v>
      </c>
      <c r="H10826" s="18">
        <v>23.36703</v>
      </c>
    </row>
    <row r="10827" spans="1:8" s="15" customFormat="1" ht="16.5" hidden="1" customHeight="1" outlineLevel="1" x14ac:dyDescent="0.25">
      <c r="A10827" s="18">
        <v>5064</v>
      </c>
      <c r="B10827" s="4" t="s">
        <v>250</v>
      </c>
      <c r="C10827" s="38" t="s">
        <v>8940</v>
      </c>
      <c r="D10827" s="18">
        <v>2022</v>
      </c>
      <c r="E10827" s="18" t="s">
        <v>0</v>
      </c>
      <c r="F10827" s="42">
        <v>1</v>
      </c>
      <c r="G10827" s="4">
        <v>15</v>
      </c>
      <c r="H10827" s="18">
        <v>28.15212</v>
      </c>
    </row>
    <row r="10828" spans="1:8" s="15" customFormat="1" ht="16.5" hidden="1" customHeight="1" outlineLevel="1" x14ac:dyDescent="0.25">
      <c r="A10828" s="18">
        <v>5063</v>
      </c>
      <c r="B10828" s="4" t="s">
        <v>250</v>
      </c>
      <c r="C10828" s="38" t="s">
        <v>8941</v>
      </c>
      <c r="D10828" s="18">
        <v>2022</v>
      </c>
      <c r="E10828" s="18" t="s">
        <v>0</v>
      </c>
      <c r="F10828" s="42">
        <v>1</v>
      </c>
      <c r="G10828" s="4">
        <v>15</v>
      </c>
      <c r="H10828" s="18">
        <v>28.152090000000001</v>
      </c>
    </row>
    <row r="10829" spans="1:8" s="15" customFormat="1" ht="16.5" hidden="1" customHeight="1" outlineLevel="1" x14ac:dyDescent="0.25">
      <c r="A10829" s="18">
        <v>5061</v>
      </c>
      <c r="B10829" s="4" t="s">
        <v>250</v>
      </c>
      <c r="C10829" s="38" t="s">
        <v>8942</v>
      </c>
      <c r="D10829" s="18">
        <v>2022</v>
      </c>
      <c r="E10829" s="18" t="s">
        <v>0</v>
      </c>
      <c r="F10829" s="42">
        <v>1</v>
      </c>
      <c r="G10829" s="4">
        <v>15</v>
      </c>
      <c r="H10829" s="18">
        <v>17.078499999999998</v>
      </c>
    </row>
    <row r="10830" spans="1:8" s="15" customFormat="1" ht="16.5" hidden="1" customHeight="1" outlineLevel="1" x14ac:dyDescent="0.25">
      <c r="A10830" s="18">
        <v>5060</v>
      </c>
      <c r="B10830" s="4" t="s">
        <v>250</v>
      </c>
      <c r="C10830" s="38" t="s">
        <v>8943</v>
      </c>
      <c r="D10830" s="18">
        <v>2022</v>
      </c>
      <c r="E10830" s="18" t="s">
        <v>0</v>
      </c>
      <c r="F10830" s="42">
        <v>1</v>
      </c>
      <c r="G10830" s="4">
        <v>12</v>
      </c>
      <c r="H10830" s="18">
        <v>24.507020000000001</v>
      </c>
    </row>
    <row r="10831" spans="1:8" s="15" customFormat="1" ht="16.5" hidden="1" customHeight="1" outlineLevel="1" x14ac:dyDescent="0.25">
      <c r="A10831" s="18">
        <v>5358</v>
      </c>
      <c r="B10831" s="4" t="s">
        <v>250</v>
      </c>
      <c r="C10831" s="38" t="s">
        <v>8944</v>
      </c>
      <c r="D10831" s="18">
        <v>2022</v>
      </c>
      <c r="E10831" s="18" t="s">
        <v>0</v>
      </c>
      <c r="F10831" s="42">
        <v>1</v>
      </c>
      <c r="G10831" s="4">
        <v>15</v>
      </c>
      <c r="H10831" s="18">
        <v>17.847989999999999</v>
      </c>
    </row>
    <row r="10832" spans="1:8" s="15" customFormat="1" ht="16.5" hidden="1" customHeight="1" outlineLevel="1" x14ac:dyDescent="0.25">
      <c r="A10832" s="18">
        <v>5357</v>
      </c>
      <c r="B10832" s="4" t="s">
        <v>250</v>
      </c>
      <c r="C10832" s="38" t="s">
        <v>8945</v>
      </c>
      <c r="D10832" s="18">
        <v>2022</v>
      </c>
      <c r="E10832" s="18" t="s">
        <v>0</v>
      </c>
      <c r="F10832" s="42">
        <v>1</v>
      </c>
      <c r="G10832" s="4">
        <v>15</v>
      </c>
      <c r="H10832" s="18">
        <v>18.078900000000001</v>
      </c>
    </row>
    <row r="10833" spans="1:8" s="15" customFormat="1" ht="16.5" hidden="1" customHeight="1" outlineLevel="1" x14ac:dyDescent="0.25">
      <c r="A10833" s="18">
        <v>5356</v>
      </c>
      <c r="B10833" s="4" t="s">
        <v>250</v>
      </c>
      <c r="C10833" s="38" t="s">
        <v>8946</v>
      </c>
      <c r="D10833" s="18">
        <v>2022</v>
      </c>
      <c r="E10833" s="18" t="s">
        <v>0</v>
      </c>
      <c r="F10833" s="42">
        <v>1</v>
      </c>
      <c r="G10833" s="4">
        <v>15</v>
      </c>
      <c r="H10833" s="18">
        <v>18.078880000000002</v>
      </c>
    </row>
    <row r="10834" spans="1:8" s="15" customFormat="1" ht="16.5" hidden="1" customHeight="1" outlineLevel="1" x14ac:dyDescent="0.25">
      <c r="A10834" s="18">
        <v>5359</v>
      </c>
      <c r="B10834" s="4" t="s">
        <v>250</v>
      </c>
      <c r="C10834" s="38" t="s">
        <v>8947</v>
      </c>
      <c r="D10834" s="18">
        <v>2022</v>
      </c>
      <c r="E10834" s="18" t="s">
        <v>0</v>
      </c>
      <c r="F10834" s="42">
        <v>1</v>
      </c>
      <c r="G10834" s="4">
        <v>12</v>
      </c>
      <c r="H10834" s="18">
        <v>17.846789999999999</v>
      </c>
    </row>
    <row r="10835" spans="1:8" s="15" customFormat="1" ht="16.5" hidden="1" customHeight="1" outlineLevel="1" x14ac:dyDescent="0.25">
      <c r="A10835" s="18">
        <v>5347</v>
      </c>
      <c r="B10835" s="4" t="s">
        <v>250</v>
      </c>
      <c r="C10835" s="38" t="s">
        <v>8948</v>
      </c>
      <c r="D10835" s="18">
        <v>2022</v>
      </c>
      <c r="E10835" s="18" t="s">
        <v>0</v>
      </c>
      <c r="F10835" s="42">
        <v>1</v>
      </c>
      <c r="G10835" s="4">
        <v>15</v>
      </c>
      <c r="H10835" s="18">
        <v>17.220300000000002</v>
      </c>
    </row>
    <row r="10836" spans="1:8" s="15" customFormat="1" ht="16.5" hidden="1" customHeight="1" outlineLevel="1" x14ac:dyDescent="0.25">
      <c r="A10836" s="18">
        <v>5349</v>
      </c>
      <c r="B10836" s="4" t="s">
        <v>250</v>
      </c>
      <c r="C10836" s="38" t="s">
        <v>8949</v>
      </c>
      <c r="D10836" s="18">
        <v>2022</v>
      </c>
      <c r="E10836" s="18" t="s">
        <v>0</v>
      </c>
      <c r="F10836" s="42">
        <v>1</v>
      </c>
      <c r="G10836" s="4">
        <v>15</v>
      </c>
      <c r="H10836" s="18">
        <v>17.223040000000001</v>
      </c>
    </row>
    <row r="10837" spans="1:8" s="15" customFormat="1" ht="16.5" hidden="1" customHeight="1" outlineLevel="1" x14ac:dyDescent="0.25">
      <c r="A10837" s="18">
        <v>5345</v>
      </c>
      <c r="B10837" s="4" t="s">
        <v>250</v>
      </c>
      <c r="C10837" s="38" t="s">
        <v>8950</v>
      </c>
      <c r="D10837" s="18">
        <v>2022</v>
      </c>
      <c r="E10837" s="18" t="s">
        <v>0</v>
      </c>
      <c r="F10837" s="42">
        <v>1</v>
      </c>
      <c r="G10837" s="4">
        <v>15</v>
      </c>
      <c r="H10837" s="18">
        <v>17.55686</v>
      </c>
    </row>
    <row r="10838" spans="1:8" s="15" customFormat="1" ht="16.5" hidden="1" customHeight="1" outlineLevel="1" x14ac:dyDescent="0.25">
      <c r="A10838" s="18">
        <v>5346</v>
      </c>
      <c r="B10838" s="4" t="s">
        <v>250</v>
      </c>
      <c r="C10838" s="38" t="s">
        <v>8951</v>
      </c>
      <c r="D10838" s="18">
        <v>2022</v>
      </c>
      <c r="E10838" s="18" t="s">
        <v>0</v>
      </c>
      <c r="F10838" s="42">
        <v>1</v>
      </c>
      <c r="G10838" s="4">
        <v>15</v>
      </c>
      <c r="H10838" s="18">
        <v>17.676960000000001</v>
      </c>
    </row>
    <row r="10839" spans="1:8" s="15" customFormat="1" ht="16.5" hidden="1" customHeight="1" outlineLevel="1" x14ac:dyDescent="0.25">
      <c r="A10839" s="18">
        <v>5344</v>
      </c>
      <c r="B10839" s="4" t="s">
        <v>250</v>
      </c>
      <c r="C10839" s="38" t="s">
        <v>8952</v>
      </c>
      <c r="D10839" s="18">
        <v>2022</v>
      </c>
      <c r="E10839" s="18" t="s">
        <v>0</v>
      </c>
      <c r="F10839" s="42">
        <v>1</v>
      </c>
      <c r="G10839" s="4">
        <v>15</v>
      </c>
      <c r="H10839" s="18">
        <v>17.580870000000001</v>
      </c>
    </row>
    <row r="10840" spans="1:8" s="15" customFormat="1" ht="16.5" hidden="1" customHeight="1" outlineLevel="1" x14ac:dyDescent="0.25">
      <c r="A10840" s="18">
        <v>5343</v>
      </c>
      <c r="B10840" s="4" t="s">
        <v>250</v>
      </c>
      <c r="C10840" s="38" t="s">
        <v>8953</v>
      </c>
      <c r="D10840" s="18">
        <v>2022</v>
      </c>
      <c r="E10840" s="18" t="s">
        <v>0</v>
      </c>
      <c r="F10840" s="42">
        <v>1</v>
      </c>
      <c r="G10840" s="4">
        <v>15</v>
      </c>
      <c r="H10840" s="18">
        <v>20.873629999999999</v>
      </c>
    </row>
    <row r="10841" spans="1:8" s="15" customFormat="1" ht="16.5" hidden="1" customHeight="1" outlineLevel="1" x14ac:dyDescent="0.25">
      <c r="A10841" s="18">
        <v>5341</v>
      </c>
      <c r="B10841" s="4" t="s">
        <v>250</v>
      </c>
      <c r="C10841" s="38" t="s">
        <v>8954</v>
      </c>
      <c r="D10841" s="18">
        <v>2022</v>
      </c>
      <c r="E10841" s="18" t="s">
        <v>0</v>
      </c>
      <c r="F10841" s="42">
        <v>1</v>
      </c>
      <c r="G10841" s="4">
        <v>14</v>
      </c>
      <c r="H10841" s="18">
        <v>16.520579999999999</v>
      </c>
    </row>
    <row r="10842" spans="1:8" s="15" customFormat="1" ht="16.5" hidden="1" customHeight="1" outlineLevel="1" x14ac:dyDescent="0.25">
      <c r="A10842" s="18">
        <v>5340</v>
      </c>
      <c r="B10842" s="4" t="s">
        <v>250</v>
      </c>
      <c r="C10842" s="38" t="s">
        <v>8955</v>
      </c>
      <c r="D10842" s="18">
        <v>2022</v>
      </c>
      <c r="E10842" s="18" t="s">
        <v>0</v>
      </c>
      <c r="F10842" s="42">
        <v>1</v>
      </c>
      <c r="G10842" s="4">
        <v>14</v>
      </c>
      <c r="H10842" s="18">
        <v>16.415780000000002</v>
      </c>
    </row>
    <row r="10843" spans="1:8" s="15" customFormat="1" ht="16.5" hidden="1" customHeight="1" outlineLevel="1" x14ac:dyDescent="0.25">
      <c r="A10843" s="18">
        <v>5165</v>
      </c>
      <c r="B10843" s="4" t="s">
        <v>250</v>
      </c>
      <c r="C10843" s="38" t="s">
        <v>8956</v>
      </c>
      <c r="D10843" s="18">
        <v>2022</v>
      </c>
      <c r="E10843" s="18" t="s">
        <v>0</v>
      </c>
      <c r="F10843" s="42">
        <v>1</v>
      </c>
      <c r="G10843" s="4">
        <v>14</v>
      </c>
      <c r="H10843" s="18">
        <v>9.8198100000000004</v>
      </c>
    </row>
    <row r="10844" spans="1:8" s="15" customFormat="1" ht="16.5" hidden="1" customHeight="1" outlineLevel="1" x14ac:dyDescent="0.25">
      <c r="A10844" s="18">
        <v>5169</v>
      </c>
      <c r="B10844" s="4" t="s">
        <v>250</v>
      </c>
      <c r="C10844" s="38" t="s">
        <v>8957</v>
      </c>
      <c r="D10844" s="18">
        <v>2022</v>
      </c>
      <c r="E10844" s="18" t="s">
        <v>0</v>
      </c>
      <c r="F10844" s="42">
        <v>1</v>
      </c>
      <c r="G10844" s="4">
        <v>15</v>
      </c>
      <c r="H10844" s="18">
        <v>10.487259999999999</v>
      </c>
    </row>
    <row r="10845" spans="1:8" s="15" customFormat="1" ht="16.5" hidden="1" customHeight="1" outlineLevel="1" x14ac:dyDescent="0.25">
      <c r="A10845" s="18">
        <v>5174</v>
      </c>
      <c r="B10845" s="4" t="s">
        <v>250</v>
      </c>
      <c r="C10845" s="38" t="s">
        <v>8958</v>
      </c>
      <c r="D10845" s="18">
        <v>2022</v>
      </c>
      <c r="E10845" s="18" t="s">
        <v>0</v>
      </c>
      <c r="F10845" s="42">
        <v>1</v>
      </c>
      <c r="G10845" s="4">
        <v>15</v>
      </c>
      <c r="H10845" s="18">
        <v>10.264749999999999</v>
      </c>
    </row>
    <row r="10846" spans="1:8" s="15" customFormat="1" ht="16.5" hidden="1" customHeight="1" outlineLevel="1" x14ac:dyDescent="0.25">
      <c r="A10846" s="18">
        <v>5065</v>
      </c>
      <c r="B10846" s="4" t="s">
        <v>250</v>
      </c>
      <c r="C10846" s="38" t="s">
        <v>8959</v>
      </c>
      <c r="D10846" s="18">
        <v>2022</v>
      </c>
      <c r="E10846" s="18" t="s">
        <v>0</v>
      </c>
      <c r="F10846" s="42">
        <v>1</v>
      </c>
      <c r="G10846" s="4">
        <v>14</v>
      </c>
      <c r="H10846" s="18">
        <v>26.008109999999999</v>
      </c>
    </row>
    <row r="10847" spans="1:8" s="15" customFormat="1" ht="16.5" hidden="1" customHeight="1" outlineLevel="1" x14ac:dyDescent="0.25">
      <c r="A10847" s="18">
        <v>5348</v>
      </c>
      <c r="B10847" s="4" t="s">
        <v>250</v>
      </c>
      <c r="C10847" s="38" t="s">
        <v>8960</v>
      </c>
      <c r="D10847" s="18">
        <v>2022</v>
      </c>
      <c r="E10847" s="18" t="s">
        <v>0</v>
      </c>
      <c r="F10847" s="42">
        <v>1</v>
      </c>
      <c r="G10847" s="4">
        <v>15</v>
      </c>
      <c r="H10847" s="18">
        <v>17.276409999999998</v>
      </c>
    </row>
    <row r="10848" spans="1:8" s="15" customFormat="1" ht="16.5" hidden="1" customHeight="1" outlineLevel="1" x14ac:dyDescent="0.25">
      <c r="A10848" s="18">
        <v>5342</v>
      </c>
      <c r="B10848" s="4" t="s">
        <v>250</v>
      </c>
      <c r="C10848" s="38" t="s">
        <v>8961</v>
      </c>
      <c r="D10848" s="18">
        <v>2022</v>
      </c>
      <c r="E10848" s="18" t="s">
        <v>0</v>
      </c>
      <c r="F10848" s="42">
        <v>1</v>
      </c>
      <c r="G10848" s="4">
        <v>14</v>
      </c>
      <c r="H10848" s="18">
        <v>16.415800000000001</v>
      </c>
    </row>
    <row r="10849" spans="1:8" s="15" customFormat="1" ht="16.5" hidden="1" customHeight="1" outlineLevel="1" x14ac:dyDescent="0.25">
      <c r="A10849" s="18">
        <v>5339</v>
      </c>
      <c r="B10849" s="4" t="s">
        <v>250</v>
      </c>
      <c r="C10849" s="38" t="s">
        <v>8962</v>
      </c>
      <c r="D10849" s="18">
        <v>2022</v>
      </c>
      <c r="E10849" s="18" t="s">
        <v>0</v>
      </c>
      <c r="F10849" s="42">
        <v>1</v>
      </c>
      <c r="G10849" s="4">
        <v>15</v>
      </c>
      <c r="H10849" s="18">
        <v>16.41648</v>
      </c>
    </row>
    <row r="10850" spans="1:8" s="15" customFormat="1" ht="16.5" hidden="1" customHeight="1" outlineLevel="1" x14ac:dyDescent="0.25">
      <c r="A10850" s="18">
        <v>5067</v>
      </c>
      <c r="B10850" s="4" t="s">
        <v>250</v>
      </c>
      <c r="C10850" s="38" t="s">
        <v>8963</v>
      </c>
      <c r="D10850" s="18">
        <v>2022</v>
      </c>
      <c r="E10850" s="18" t="s">
        <v>0</v>
      </c>
      <c r="F10850" s="42">
        <v>1</v>
      </c>
      <c r="G10850" s="4">
        <v>15</v>
      </c>
      <c r="H10850" s="18">
        <v>19.8812</v>
      </c>
    </row>
    <row r="10851" spans="1:8" s="15" customFormat="1" ht="16.5" hidden="1" customHeight="1" outlineLevel="1" x14ac:dyDescent="0.25">
      <c r="A10851" s="18">
        <v>5144</v>
      </c>
      <c r="B10851" s="4" t="s">
        <v>250</v>
      </c>
      <c r="C10851" s="38" t="s">
        <v>8964</v>
      </c>
      <c r="D10851" s="18">
        <v>2022</v>
      </c>
      <c r="E10851" s="18" t="s">
        <v>0</v>
      </c>
      <c r="F10851" s="42">
        <v>1</v>
      </c>
      <c r="G10851" s="4">
        <v>10</v>
      </c>
      <c r="H10851" s="18">
        <v>45.470230000000001</v>
      </c>
    </row>
    <row r="10852" spans="1:8" s="15" customFormat="1" ht="16.5" hidden="1" customHeight="1" outlineLevel="1" x14ac:dyDescent="0.25">
      <c r="A10852" s="18">
        <v>5075</v>
      </c>
      <c r="B10852" s="4" t="s">
        <v>250</v>
      </c>
      <c r="C10852" s="38" t="s">
        <v>8965</v>
      </c>
      <c r="D10852" s="18">
        <v>2022</v>
      </c>
      <c r="E10852" s="18" t="s">
        <v>0</v>
      </c>
      <c r="F10852" s="42">
        <v>1</v>
      </c>
      <c r="G10852" s="4">
        <v>15</v>
      </c>
      <c r="H10852" s="18">
        <v>19.426939999999998</v>
      </c>
    </row>
    <row r="10853" spans="1:8" s="15" customFormat="1" ht="16.5" hidden="1" customHeight="1" outlineLevel="1" x14ac:dyDescent="0.25">
      <c r="A10853" s="18">
        <v>5072</v>
      </c>
      <c r="B10853" s="4" t="s">
        <v>250</v>
      </c>
      <c r="C10853" s="38" t="s">
        <v>8966</v>
      </c>
      <c r="D10853" s="18">
        <v>2022</v>
      </c>
      <c r="E10853" s="18" t="s">
        <v>0</v>
      </c>
      <c r="F10853" s="42">
        <v>1</v>
      </c>
      <c r="G10853" s="4">
        <v>15</v>
      </c>
      <c r="H10853" s="18">
        <v>19.600159999999999</v>
      </c>
    </row>
    <row r="10854" spans="1:8" s="15" customFormat="1" ht="16.5" hidden="1" customHeight="1" outlineLevel="1" x14ac:dyDescent="0.25">
      <c r="A10854" s="18">
        <v>5071</v>
      </c>
      <c r="B10854" s="4" t="s">
        <v>250</v>
      </c>
      <c r="C10854" s="38" t="s">
        <v>8967</v>
      </c>
      <c r="D10854" s="18">
        <v>2022</v>
      </c>
      <c r="E10854" s="18" t="s">
        <v>0</v>
      </c>
      <c r="F10854" s="42">
        <v>1</v>
      </c>
      <c r="G10854" s="4">
        <v>10</v>
      </c>
      <c r="H10854" s="18">
        <v>17.136649999999999</v>
      </c>
    </row>
    <row r="10855" spans="1:8" s="15" customFormat="1" ht="16.5" hidden="1" customHeight="1" outlineLevel="1" x14ac:dyDescent="0.25">
      <c r="A10855" s="18">
        <v>5070</v>
      </c>
      <c r="B10855" s="4" t="s">
        <v>250</v>
      </c>
      <c r="C10855" s="38" t="s">
        <v>8968</v>
      </c>
      <c r="D10855" s="18">
        <v>2022</v>
      </c>
      <c r="E10855" s="18" t="s">
        <v>0</v>
      </c>
      <c r="F10855" s="42">
        <v>1</v>
      </c>
      <c r="G10855" s="4">
        <v>15</v>
      </c>
      <c r="H10855" s="18">
        <v>19.916640000000001</v>
      </c>
    </row>
    <row r="10856" spans="1:8" s="15" customFormat="1" ht="16.5" hidden="1" customHeight="1" outlineLevel="1" x14ac:dyDescent="0.25">
      <c r="A10856" s="18">
        <v>5164</v>
      </c>
      <c r="B10856" s="4" t="s">
        <v>250</v>
      </c>
      <c r="C10856" s="38" t="s">
        <v>8969</v>
      </c>
      <c r="D10856" s="18">
        <v>2022</v>
      </c>
      <c r="E10856" s="18" t="s">
        <v>0</v>
      </c>
      <c r="F10856" s="42">
        <v>1</v>
      </c>
      <c r="G10856" s="4">
        <v>15</v>
      </c>
      <c r="H10856" s="18">
        <v>17.536449999999999</v>
      </c>
    </row>
    <row r="10857" spans="1:8" s="15" customFormat="1" ht="16.5" hidden="1" customHeight="1" outlineLevel="1" x14ac:dyDescent="0.25">
      <c r="A10857" s="18">
        <v>5166</v>
      </c>
      <c r="B10857" s="4" t="s">
        <v>250</v>
      </c>
      <c r="C10857" s="38" t="s">
        <v>8970</v>
      </c>
      <c r="D10857" s="18">
        <v>2022</v>
      </c>
      <c r="E10857" s="18" t="s">
        <v>0</v>
      </c>
      <c r="F10857" s="42">
        <v>1</v>
      </c>
      <c r="G10857" s="4">
        <v>15</v>
      </c>
      <c r="H10857" s="18">
        <v>16.646540000000002</v>
      </c>
    </row>
    <row r="10858" spans="1:8" s="15" customFormat="1" ht="16.5" hidden="1" customHeight="1" outlineLevel="1" x14ac:dyDescent="0.25">
      <c r="A10858" s="18">
        <v>5167</v>
      </c>
      <c r="B10858" s="4" t="s">
        <v>250</v>
      </c>
      <c r="C10858" s="38" t="s">
        <v>8971</v>
      </c>
      <c r="D10858" s="18">
        <v>2022</v>
      </c>
      <c r="E10858" s="18" t="s">
        <v>0</v>
      </c>
      <c r="F10858" s="42">
        <v>1</v>
      </c>
      <c r="G10858" s="4">
        <v>15</v>
      </c>
      <c r="H10858" s="18">
        <v>18.426449999999999</v>
      </c>
    </row>
    <row r="10859" spans="1:8" s="15" customFormat="1" ht="16.5" hidden="1" customHeight="1" outlineLevel="1" x14ac:dyDescent="0.25">
      <c r="A10859" s="18">
        <v>5168</v>
      </c>
      <c r="B10859" s="4" t="s">
        <v>250</v>
      </c>
      <c r="C10859" s="38" t="s">
        <v>8972</v>
      </c>
      <c r="D10859" s="18">
        <v>2022</v>
      </c>
      <c r="E10859" s="18" t="s">
        <v>0</v>
      </c>
      <c r="F10859" s="42">
        <v>1</v>
      </c>
      <c r="G10859" s="4">
        <v>15</v>
      </c>
      <c r="H10859" s="18">
        <v>18.426459999999999</v>
      </c>
    </row>
    <row r="10860" spans="1:8" s="15" customFormat="1" ht="16.5" hidden="1" customHeight="1" outlineLevel="1" x14ac:dyDescent="0.25">
      <c r="A10860" s="18">
        <v>5170</v>
      </c>
      <c r="B10860" s="4" t="s">
        <v>250</v>
      </c>
      <c r="C10860" s="38" t="s">
        <v>8973</v>
      </c>
      <c r="D10860" s="18">
        <v>2022</v>
      </c>
      <c r="E10860" s="18" t="s">
        <v>0</v>
      </c>
      <c r="F10860" s="42">
        <v>1</v>
      </c>
      <c r="G10860" s="4">
        <v>15</v>
      </c>
      <c r="H10860" s="18">
        <v>17.536449999999999</v>
      </c>
    </row>
    <row r="10861" spans="1:8" s="15" customFormat="1" ht="16.5" hidden="1" customHeight="1" outlineLevel="1" x14ac:dyDescent="0.25">
      <c r="A10861" s="18">
        <v>5176</v>
      </c>
      <c r="B10861" s="4" t="s">
        <v>250</v>
      </c>
      <c r="C10861" s="38" t="s">
        <v>8974</v>
      </c>
      <c r="D10861" s="18">
        <v>2022</v>
      </c>
      <c r="E10861" s="18" t="s">
        <v>0</v>
      </c>
      <c r="F10861" s="42">
        <v>1</v>
      </c>
      <c r="G10861" s="4">
        <v>15</v>
      </c>
      <c r="H10861" s="18">
        <v>17.31401</v>
      </c>
    </row>
    <row r="10862" spans="1:8" s="15" customFormat="1" ht="16.5" hidden="1" customHeight="1" outlineLevel="1" x14ac:dyDescent="0.25">
      <c r="A10862" s="18">
        <v>5175</v>
      </c>
      <c r="B10862" s="4" t="s">
        <v>250</v>
      </c>
      <c r="C10862" s="38" t="s">
        <v>8975</v>
      </c>
      <c r="D10862" s="18">
        <v>2022</v>
      </c>
      <c r="E10862" s="18" t="s">
        <v>0</v>
      </c>
      <c r="F10862" s="42">
        <v>1</v>
      </c>
      <c r="G10862" s="4">
        <v>15</v>
      </c>
      <c r="H10862" s="18">
        <v>16.913530000000002</v>
      </c>
    </row>
    <row r="10863" spans="1:8" s="15" customFormat="1" ht="16.5" hidden="1" customHeight="1" outlineLevel="1" x14ac:dyDescent="0.25">
      <c r="A10863" s="18">
        <v>5173</v>
      </c>
      <c r="B10863" s="4" t="s">
        <v>250</v>
      </c>
      <c r="C10863" s="38" t="s">
        <v>8976</v>
      </c>
      <c r="D10863" s="18">
        <v>2022</v>
      </c>
      <c r="E10863" s="18" t="s">
        <v>0</v>
      </c>
      <c r="F10863" s="42">
        <v>1</v>
      </c>
      <c r="G10863" s="4">
        <v>15</v>
      </c>
      <c r="H10863" s="18">
        <v>17.09186</v>
      </c>
    </row>
    <row r="10864" spans="1:8" s="15" customFormat="1" ht="16.5" hidden="1" customHeight="1" outlineLevel="1" x14ac:dyDescent="0.25">
      <c r="A10864" s="18">
        <v>5172</v>
      </c>
      <c r="B10864" s="4" t="s">
        <v>250</v>
      </c>
      <c r="C10864" s="38" t="s">
        <v>8977</v>
      </c>
      <c r="D10864" s="18">
        <v>2022</v>
      </c>
      <c r="E10864" s="18" t="s">
        <v>0</v>
      </c>
      <c r="F10864" s="42">
        <v>1</v>
      </c>
      <c r="G10864" s="4">
        <v>15</v>
      </c>
      <c r="H10864" s="18">
        <v>16.646560000000001</v>
      </c>
    </row>
    <row r="10865" spans="1:8" s="15" customFormat="1" ht="16.5" hidden="1" customHeight="1" outlineLevel="1" x14ac:dyDescent="0.25">
      <c r="A10865" s="18">
        <v>5171</v>
      </c>
      <c r="B10865" s="4" t="s">
        <v>250</v>
      </c>
      <c r="C10865" s="38" t="s">
        <v>8978</v>
      </c>
      <c r="D10865" s="18">
        <v>2022</v>
      </c>
      <c r="E10865" s="18" t="s">
        <v>0</v>
      </c>
      <c r="F10865" s="42">
        <v>1</v>
      </c>
      <c r="G10865" s="4">
        <v>15</v>
      </c>
      <c r="H10865" s="18">
        <v>16.646519999999999</v>
      </c>
    </row>
    <row r="10866" spans="1:8" s="15" customFormat="1" ht="16.5" hidden="1" customHeight="1" outlineLevel="1" x14ac:dyDescent="0.25">
      <c r="A10866" s="18">
        <v>5191</v>
      </c>
      <c r="B10866" s="4" t="s">
        <v>250</v>
      </c>
      <c r="C10866" s="38" t="s">
        <v>8979</v>
      </c>
      <c r="D10866" s="18">
        <v>2022</v>
      </c>
      <c r="E10866" s="18" t="s">
        <v>0</v>
      </c>
      <c r="F10866" s="42">
        <v>1</v>
      </c>
      <c r="G10866" s="4">
        <v>15</v>
      </c>
      <c r="H10866" s="18">
        <v>30.09684</v>
      </c>
    </row>
    <row r="10867" spans="1:8" s="15" customFormat="1" ht="16.5" hidden="1" customHeight="1" outlineLevel="1" x14ac:dyDescent="0.25">
      <c r="A10867" s="18">
        <v>5190</v>
      </c>
      <c r="B10867" s="4" t="s">
        <v>250</v>
      </c>
      <c r="C10867" s="38" t="s">
        <v>8980</v>
      </c>
      <c r="D10867" s="18">
        <v>2022</v>
      </c>
      <c r="E10867" s="18" t="s">
        <v>0</v>
      </c>
      <c r="F10867" s="42">
        <v>1</v>
      </c>
      <c r="G10867" s="4">
        <v>15</v>
      </c>
      <c r="H10867" s="18">
        <v>18.528700000000001</v>
      </c>
    </row>
    <row r="10868" spans="1:8" s="15" customFormat="1" ht="16.5" hidden="1" customHeight="1" outlineLevel="1" x14ac:dyDescent="0.25">
      <c r="A10868" s="18">
        <v>5189</v>
      </c>
      <c r="B10868" s="4" t="s">
        <v>250</v>
      </c>
      <c r="C10868" s="38" t="s">
        <v>8981</v>
      </c>
      <c r="D10868" s="18">
        <v>2022</v>
      </c>
      <c r="E10868" s="18" t="s">
        <v>0</v>
      </c>
      <c r="F10868" s="42">
        <v>1</v>
      </c>
      <c r="G10868" s="4">
        <v>15</v>
      </c>
      <c r="H10868" s="18">
        <v>19.824300000000001</v>
      </c>
    </row>
    <row r="10869" spans="1:8" s="15" customFormat="1" ht="16.5" hidden="1" customHeight="1" outlineLevel="1" x14ac:dyDescent="0.25">
      <c r="A10869" s="18">
        <v>5188</v>
      </c>
      <c r="B10869" s="4" t="s">
        <v>250</v>
      </c>
      <c r="C10869" s="38" t="s">
        <v>8982</v>
      </c>
      <c r="D10869" s="18">
        <v>2022</v>
      </c>
      <c r="E10869" s="18" t="s">
        <v>0</v>
      </c>
      <c r="F10869" s="42">
        <v>1</v>
      </c>
      <c r="G10869" s="4">
        <v>15</v>
      </c>
      <c r="H10869" s="18">
        <v>19.82396</v>
      </c>
    </row>
    <row r="10870" spans="1:8" s="15" customFormat="1" ht="16.5" hidden="1" customHeight="1" outlineLevel="1" x14ac:dyDescent="0.25">
      <c r="A10870" s="18">
        <v>5187</v>
      </c>
      <c r="B10870" s="4" t="s">
        <v>250</v>
      </c>
      <c r="C10870" s="38" t="s">
        <v>8983</v>
      </c>
      <c r="D10870" s="18">
        <v>2022</v>
      </c>
      <c r="E10870" s="18" t="s">
        <v>0</v>
      </c>
      <c r="F10870" s="42">
        <v>1</v>
      </c>
      <c r="G10870" s="4">
        <v>14</v>
      </c>
      <c r="H10870" s="18">
        <v>21.241890000000001</v>
      </c>
    </row>
    <row r="10871" spans="1:8" s="15" customFormat="1" ht="16.5" hidden="1" customHeight="1" outlineLevel="1" x14ac:dyDescent="0.25">
      <c r="A10871" s="18">
        <v>5186</v>
      </c>
      <c r="B10871" s="4" t="s">
        <v>250</v>
      </c>
      <c r="C10871" s="38" t="s">
        <v>8984</v>
      </c>
      <c r="D10871" s="18">
        <v>2022</v>
      </c>
      <c r="E10871" s="18" t="s">
        <v>0</v>
      </c>
      <c r="F10871" s="42">
        <v>1</v>
      </c>
      <c r="G10871" s="4">
        <v>14</v>
      </c>
      <c r="H10871" s="18">
        <v>21.35848</v>
      </c>
    </row>
    <row r="10872" spans="1:8" s="15" customFormat="1" ht="16.5" hidden="1" customHeight="1" outlineLevel="1" x14ac:dyDescent="0.25">
      <c r="A10872" s="18">
        <v>5185</v>
      </c>
      <c r="B10872" s="4" t="s">
        <v>250</v>
      </c>
      <c r="C10872" s="38" t="s">
        <v>8985</v>
      </c>
      <c r="D10872" s="18">
        <v>2022</v>
      </c>
      <c r="E10872" s="18" t="s">
        <v>0</v>
      </c>
      <c r="F10872" s="42">
        <v>1</v>
      </c>
      <c r="G10872" s="4">
        <v>14</v>
      </c>
      <c r="H10872" s="18">
        <v>21.16621</v>
      </c>
    </row>
    <row r="10873" spans="1:8" s="15" customFormat="1" ht="16.5" hidden="1" customHeight="1" outlineLevel="1" x14ac:dyDescent="0.25">
      <c r="A10873" s="18">
        <v>5183</v>
      </c>
      <c r="B10873" s="4" t="s">
        <v>250</v>
      </c>
      <c r="C10873" s="38" t="s">
        <v>8986</v>
      </c>
      <c r="D10873" s="18">
        <v>2022</v>
      </c>
      <c r="E10873" s="18" t="s">
        <v>0</v>
      </c>
      <c r="F10873" s="42">
        <v>1</v>
      </c>
      <c r="G10873" s="4">
        <v>14</v>
      </c>
      <c r="H10873" s="18">
        <v>20.983830000000001</v>
      </c>
    </row>
    <row r="10874" spans="1:8" s="15" customFormat="1" ht="16.5" hidden="1" customHeight="1" outlineLevel="1" x14ac:dyDescent="0.25">
      <c r="A10874" s="18">
        <v>5184</v>
      </c>
      <c r="B10874" s="4" t="s">
        <v>250</v>
      </c>
      <c r="C10874" s="38" t="s">
        <v>8987</v>
      </c>
      <c r="D10874" s="18">
        <v>2022</v>
      </c>
      <c r="E10874" s="18" t="s">
        <v>0</v>
      </c>
      <c r="F10874" s="42">
        <v>1</v>
      </c>
      <c r="G10874" s="4">
        <v>14</v>
      </c>
      <c r="H10874" s="18">
        <v>20.328040000000001</v>
      </c>
    </row>
    <row r="10875" spans="1:8" s="15" customFormat="1" ht="16.5" hidden="1" customHeight="1" outlineLevel="1" x14ac:dyDescent="0.25">
      <c r="A10875" s="18">
        <v>5192</v>
      </c>
      <c r="B10875" s="4" t="s">
        <v>250</v>
      </c>
      <c r="C10875" s="38" t="s">
        <v>8988</v>
      </c>
      <c r="D10875" s="18">
        <v>2022</v>
      </c>
      <c r="E10875" s="18" t="s">
        <v>0</v>
      </c>
      <c r="F10875" s="42">
        <v>1</v>
      </c>
      <c r="G10875" s="4">
        <v>15</v>
      </c>
      <c r="H10875" s="18">
        <v>18.871839999999999</v>
      </c>
    </row>
    <row r="10876" spans="1:8" s="15" customFormat="1" ht="16.5" hidden="1" customHeight="1" outlineLevel="1" x14ac:dyDescent="0.25">
      <c r="A10876" s="18">
        <v>5193</v>
      </c>
      <c r="B10876" s="4" t="s">
        <v>250</v>
      </c>
      <c r="C10876" s="38" t="s">
        <v>8989</v>
      </c>
      <c r="D10876" s="18">
        <v>2022</v>
      </c>
      <c r="E10876" s="18" t="s">
        <v>0</v>
      </c>
      <c r="F10876" s="42">
        <v>1</v>
      </c>
      <c r="G10876" s="4">
        <v>15</v>
      </c>
      <c r="H10876" s="18">
        <v>17.42521</v>
      </c>
    </row>
    <row r="10877" spans="1:8" s="15" customFormat="1" ht="16.5" hidden="1" customHeight="1" outlineLevel="1" x14ac:dyDescent="0.25">
      <c r="A10877" s="18">
        <v>5182</v>
      </c>
      <c r="B10877" s="4" t="s">
        <v>250</v>
      </c>
      <c r="C10877" s="38" t="s">
        <v>8990</v>
      </c>
      <c r="D10877" s="18">
        <v>2022</v>
      </c>
      <c r="E10877" s="18" t="s">
        <v>0</v>
      </c>
      <c r="F10877" s="42">
        <v>1</v>
      </c>
      <c r="G10877" s="4">
        <v>15</v>
      </c>
      <c r="H10877" s="18">
        <v>23.354299999999999</v>
      </c>
    </row>
    <row r="10878" spans="1:8" s="15" customFormat="1" ht="16.5" hidden="1" customHeight="1" outlineLevel="1" x14ac:dyDescent="0.25">
      <c r="A10878" s="18">
        <v>5181</v>
      </c>
      <c r="B10878" s="4" t="s">
        <v>250</v>
      </c>
      <c r="C10878" s="38" t="s">
        <v>8991</v>
      </c>
      <c r="D10878" s="18">
        <v>2022</v>
      </c>
      <c r="E10878" s="18" t="s">
        <v>0</v>
      </c>
      <c r="F10878" s="42">
        <v>1</v>
      </c>
      <c r="G10878" s="4">
        <v>15</v>
      </c>
      <c r="H10878" s="18">
        <v>20.01418</v>
      </c>
    </row>
    <row r="10879" spans="1:8" s="15" customFormat="1" ht="16.5" hidden="1" customHeight="1" outlineLevel="1" x14ac:dyDescent="0.25">
      <c r="A10879" s="18">
        <v>5180</v>
      </c>
      <c r="B10879" s="4" t="s">
        <v>250</v>
      </c>
      <c r="C10879" s="38" t="s">
        <v>8992</v>
      </c>
      <c r="D10879" s="18">
        <v>2022</v>
      </c>
      <c r="E10879" s="18" t="s">
        <v>0</v>
      </c>
      <c r="F10879" s="42">
        <v>1</v>
      </c>
      <c r="G10879" s="4">
        <v>13</v>
      </c>
      <c r="H10879" s="18">
        <v>18.555209999999999</v>
      </c>
    </row>
    <row r="10880" spans="1:8" s="15" customFormat="1" ht="16.5" hidden="1" customHeight="1" outlineLevel="1" x14ac:dyDescent="0.25">
      <c r="A10880" s="18">
        <v>5179</v>
      </c>
      <c r="B10880" s="4" t="s">
        <v>250</v>
      </c>
      <c r="C10880" s="38" t="s">
        <v>8993</v>
      </c>
      <c r="D10880" s="18">
        <v>2022</v>
      </c>
      <c r="E10880" s="18" t="s">
        <v>0</v>
      </c>
      <c r="F10880" s="42">
        <v>1</v>
      </c>
      <c r="G10880" s="4">
        <v>12</v>
      </c>
      <c r="H10880" s="18">
        <v>18.50074</v>
      </c>
    </row>
    <row r="10881" spans="1:8" s="15" customFormat="1" ht="16.5" hidden="1" customHeight="1" outlineLevel="1" x14ac:dyDescent="0.25">
      <c r="A10881" s="18">
        <v>5178</v>
      </c>
      <c r="B10881" s="4" t="s">
        <v>250</v>
      </c>
      <c r="C10881" s="38" t="s">
        <v>8994</v>
      </c>
      <c r="D10881" s="18">
        <v>2022</v>
      </c>
      <c r="E10881" s="18" t="s">
        <v>0</v>
      </c>
      <c r="F10881" s="42">
        <v>1</v>
      </c>
      <c r="G10881" s="4">
        <v>15</v>
      </c>
      <c r="H10881" s="18">
        <v>18.487110000000001</v>
      </c>
    </row>
    <row r="10882" spans="1:8" s="15" customFormat="1" ht="16.5" hidden="1" customHeight="1" outlineLevel="1" x14ac:dyDescent="0.25">
      <c r="A10882" s="18">
        <v>5177</v>
      </c>
      <c r="B10882" s="4" t="s">
        <v>250</v>
      </c>
      <c r="C10882" s="38" t="s">
        <v>8995</v>
      </c>
      <c r="D10882" s="18">
        <v>2022</v>
      </c>
      <c r="E10882" s="18" t="s">
        <v>0</v>
      </c>
      <c r="F10882" s="42">
        <v>1</v>
      </c>
      <c r="G10882" s="4">
        <v>15</v>
      </c>
      <c r="H10882" s="18">
        <v>18.487719999999999</v>
      </c>
    </row>
    <row r="10883" spans="1:8" s="15" customFormat="1" ht="16.5" hidden="1" customHeight="1" outlineLevel="1" x14ac:dyDescent="0.25">
      <c r="A10883" s="18">
        <v>5210</v>
      </c>
      <c r="B10883" s="4" t="s">
        <v>250</v>
      </c>
      <c r="C10883" s="38" t="s">
        <v>8996</v>
      </c>
      <c r="D10883" s="18">
        <v>2022</v>
      </c>
      <c r="E10883" s="18" t="s">
        <v>0</v>
      </c>
      <c r="F10883" s="42">
        <v>1</v>
      </c>
      <c r="G10883" s="4">
        <v>15</v>
      </c>
      <c r="H10883" s="18">
        <v>18.083559999999999</v>
      </c>
    </row>
    <row r="10884" spans="1:8" s="15" customFormat="1" ht="16.5" hidden="1" customHeight="1" outlineLevel="1" x14ac:dyDescent="0.25">
      <c r="A10884" s="18">
        <v>5209</v>
      </c>
      <c r="B10884" s="4" t="s">
        <v>250</v>
      </c>
      <c r="C10884" s="38" t="s">
        <v>8997</v>
      </c>
      <c r="D10884" s="18">
        <v>2022</v>
      </c>
      <c r="E10884" s="18" t="s">
        <v>0</v>
      </c>
      <c r="F10884" s="42">
        <v>1</v>
      </c>
      <c r="G10884" s="4">
        <v>15</v>
      </c>
      <c r="H10884" s="18">
        <v>19.365670000000001</v>
      </c>
    </row>
    <row r="10885" spans="1:8" s="15" customFormat="1" ht="16.5" hidden="1" customHeight="1" outlineLevel="1" x14ac:dyDescent="0.25">
      <c r="A10885" s="18">
        <v>5208</v>
      </c>
      <c r="B10885" s="4" t="s">
        <v>250</v>
      </c>
      <c r="C10885" s="38" t="s">
        <v>8998</v>
      </c>
      <c r="D10885" s="18">
        <v>2022</v>
      </c>
      <c r="E10885" s="18" t="s">
        <v>0</v>
      </c>
      <c r="F10885" s="42">
        <v>1</v>
      </c>
      <c r="G10885" s="4">
        <v>15</v>
      </c>
      <c r="H10885" s="18">
        <v>16.94387</v>
      </c>
    </row>
    <row r="10886" spans="1:8" s="15" customFormat="1" ht="16.5" hidden="1" customHeight="1" outlineLevel="1" x14ac:dyDescent="0.25">
      <c r="A10886" s="18">
        <v>5207</v>
      </c>
      <c r="B10886" s="4" t="s">
        <v>250</v>
      </c>
      <c r="C10886" s="38" t="s">
        <v>8999</v>
      </c>
      <c r="D10886" s="18">
        <v>2022</v>
      </c>
      <c r="E10886" s="18" t="s">
        <v>0</v>
      </c>
      <c r="F10886" s="42">
        <v>1</v>
      </c>
      <c r="G10886" s="4">
        <v>15</v>
      </c>
      <c r="H10886" s="18">
        <v>19.365670000000001</v>
      </c>
    </row>
    <row r="10887" spans="1:8" s="15" customFormat="1" ht="16.5" hidden="1" customHeight="1" outlineLevel="1" x14ac:dyDescent="0.25">
      <c r="A10887" s="18">
        <v>5206</v>
      </c>
      <c r="B10887" s="4" t="s">
        <v>250</v>
      </c>
      <c r="C10887" s="38" t="s">
        <v>9000</v>
      </c>
      <c r="D10887" s="18">
        <v>2022</v>
      </c>
      <c r="E10887" s="18" t="s">
        <v>0</v>
      </c>
      <c r="F10887" s="42">
        <v>1</v>
      </c>
      <c r="G10887" s="4">
        <v>13</v>
      </c>
      <c r="H10887" s="18">
        <v>18.24023</v>
      </c>
    </row>
    <row r="10888" spans="1:8" s="15" customFormat="1" ht="16.5" hidden="1" customHeight="1" outlineLevel="1" x14ac:dyDescent="0.25">
      <c r="A10888" s="18">
        <v>5205</v>
      </c>
      <c r="B10888" s="4" t="s">
        <v>250</v>
      </c>
      <c r="C10888" s="38" t="s">
        <v>9001</v>
      </c>
      <c r="D10888" s="18">
        <v>2022</v>
      </c>
      <c r="E10888" s="18" t="s">
        <v>0</v>
      </c>
      <c r="F10888" s="42">
        <v>1</v>
      </c>
      <c r="G10888" s="4">
        <v>14.5</v>
      </c>
      <c r="H10888" s="18">
        <v>18.225999999999999</v>
      </c>
    </row>
    <row r="10889" spans="1:8" s="15" customFormat="1" ht="16.5" hidden="1" customHeight="1" outlineLevel="1" x14ac:dyDescent="0.25">
      <c r="A10889" s="18">
        <v>5211</v>
      </c>
      <c r="B10889" s="4" t="s">
        <v>250</v>
      </c>
      <c r="C10889" s="38" t="s">
        <v>9002</v>
      </c>
      <c r="D10889" s="18">
        <v>2022</v>
      </c>
      <c r="E10889" s="18" t="s">
        <v>0</v>
      </c>
      <c r="F10889" s="42">
        <v>1</v>
      </c>
      <c r="G10889" s="4">
        <v>15</v>
      </c>
      <c r="H10889" s="18">
        <v>18.938300000000002</v>
      </c>
    </row>
    <row r="10890" spans="1:8" s="15" customFormat="1" ht="16.5" hidden="1" customHeight="1" outlineLevel="1" x14ac:dyDescent="0.25">
      <c r="A10890" s="18">
        <v>5194</v>
      </c>
      <c r="B10890" s="4" t="s">
        <v>250</v>
      </c>
      <c r="C10890" s="38" t="s">
        <v>9003</v>
      </c>
      <c r="D10890" s="18">
        <v>2022</v>
      </c>
      <c r="E10890" s="18" t="s">
        <v>0</v>
      </c>
      <c r="F10890" s="42">
        <v>1</v>
      </c>
      <c r="G10890" s="4">
        <v>14</v>
      </c>
      <c r="H10890" s="18">
        <v>17.37087</v>
      </c>
    </row>
    <row r="10891" spans="1:8" s="15" customFormat="1" ht="16.5" hidden="1" customHeight="1" outlineLevel="1" x14ac:dyDescent="0.25">
      <c r="A10891" s="18">
        <v>5195</v>
      </c>
      <c r="B10891" s="4" t="s">
        <v>250</v>
      </c>
      <c r="C10891" s="38" t="s">
        <v>9004</v>
      </c>
      <c r="D10891" s="18">
        <v>2022</v>
      </c>
      <c r="E10891" s="18" t="s">
        <v>0</v>
      </c>
      <c r="F10891" s="42">
        <v>1</v>
      </c>
      <c r="G10891" s="4">
        <v>14</v>
      </c>
      <c r="H10891" s="18">
        <v>17.712759999999999</v>
      </c>
    </row>
    <row r="10892" spans="1:8" s="15" customFormat="1" ht="16.5" hidden="1" customHeight="1" outlineLevel="1" x14ac:dyDescent="0.25">
      <c r="A10892" s="18">
        <v>5196</v>
      </c>
      <c r="B10892" s="4" t="s">
        <v>250</v>
      </c>
      <c r="C10892" s="38" t="s">
        <v>9005</v>
      </c>
      <c r="D10892" s="18">
        <v>2022</v>
      </c>
      <c r="E10892" s="18" t="s">
        <v>0</v>
      </c>
      <c r="F10892" s="42">
        <v>1</v>
      </c>
      <c r="G10892" s="4">
        <v>14</v>
      </c>
      <c r="H10892" s="18">
        <v>17.69858</v>
      </c>
    </row>
    <row r="10893" spans="1:8" s="15" customFormat="1" ht="16.5" hidden="1" customHeight="1" outlineLevel="1" x14ac:dyDescent="0.25">
      <c r="A10893" s="18">
        <v>5197</v>
      </c>
      <c r="B10893" s="4" t="s">
        <v>250</v>
      </c>
      <c r="C10893" s="38" t="s">
        <v>9006</v>
      </c>
      <c r="D10893" s="18">
        <v>2022</v>
      </c>
      <c r="E10893" s="18" t="s">
        <v>0</v>
      </c>
      <c r="F10893" s="42">
        <v>1</v>
      </c>
      <c r="G10893" s="4">
        <v>14</v>
      </c>
      <c r="H10893" s="18">
        <v>17.37086</v>
      </c>
    </row>
    <row r="10894" spans="1:8" s="15" customFormat="1" ht="16.5" hidden="1" customHeight="1" outlineLevel="1" x14ac:dyDescent="0.25">
      <c r="A10894" s="18">
        <v>5198</v>
      </c>
      <c r="B10894" s="4" t="s">
        <v>250</v>
      </c>
      <c r="C10894" s="38" t="s">
        <v>9007</v>
      </c>
      <c r="D10894" s="18">
        <v>2022</v>
      </c>
      <c r="E10894" s="18" t="s">
        <v>0</v>
      </c>
      <c r="F10894" s="42">
        <v>1</v>
      </c>
      <c r="G10894" s="4">
        <v>14</v>
      </c>
      <c r="H10894" s="18">
        <v>17.370850000000001</v>
      </c>
    </row>
    <row r="10895" spans="1:8" s="15" customFormat="1" ht="16.5" hidden="1" customHeight="1" outlineLevel="1" x14ac:dyDescent="0.25">
      <c r="A10895" s="18">
        <v>5199</v>
      </c>
      <c r="B10895" s="4" t="s">
        <v>250</v>
      </c>
      <c r="C10895" s="38" t="s">
        <v>9008</v>
      </c>
      <c r="D10895" s="18">
        <v>2022</v>
      </c>
      <c r="E10895" s="18" t="s">
        <v>0</v>
      </c>
      <c r="F10895" s="42">
        <v>1</v>
      </c>
      <c r="G10895" s="4">
        <v>7.5</v>
      </c>
      <c r="H10895" s="18">
        <v>19.750050000000002</v>
      </c>
    </row>
    <row r="10896" spans="1:8" s="15" customFormat="1" ht="16.5" hidden="1" customHeight="1" outlineLevel="1" x14ac:dyDescent="0.25">
      <c r="A10896" s="18">
        <v>5200</v>
      </c>
      <c r="B10896" s="4" t="s">
        <v>250</v>
      </c>
      <c r="C10896" s="38" t="s">
        <v>9009</v>
      </c>
      <c r="D10896" s="18">
        <v>2022</v>
      </c>
      <c r="E10896" s="18" t="s">
        <v>0</v>
      </c>
      <c r="F10896" s="42">
        <v>1</v>
      </c>
      <c r="G10896" s="4">
        <v>15</v>
      </c>
      <c r="H10896" s="18">
        <v>21.886990000000001</v>
      </c>
    </row>
    <row r="10897" spans="1:8" s="15" customFormat="1" ht="16.5" hidden="1" customHeight="1" outlineLevel="1" x14ac:dyDescent="0.25">
      <c r="A10897" s="18">
        <v>5202</v>
      </c>
      <c r="B10897" s="4" t="s">
        <v>250</v>
      </c>
      <c r="C10897" s="38" t="s">
        <v>9010</v>
      </c>
      <c r="D10897" s="18">
        <v>2022</v>
      </c>
      <c r="E10897" s="18" t="s">
        <v>0</v>
      </c>
      <c r="F10897" s="42">
        <v>1</v>
      </c>
      <c r="G10897" s="4">
        <v>15</v>
      </c>
      <c r="H10897" s="18">
        <v>17.328099999999999</v>
      </c>
    </row>
    <row r="10898" spans="1:8" s="15" customFormat="1" ht="16.5" hidden="1" customHeight="1" outlineLevel="1" x14ac:dyDescent="0.25">
      <c r="A10898" s="18">
        <v>5203</v>
      </c>
      <c r="B10898" s="4" t="s">
        <v>250</v>
      </c>
      <c r="C10898" s="38" t="s">
        <v>9011</v>
      </c>
      <c r="D10898" s="18">
        <v>2022</v>
      </c>
      <c r="E10898" s="18" t="s">
        <v>0</v>
      </c>
      <c r="F10898" s="42">
        <v>1</v>
      </c>
      <c r="G10898" s="4">
        <v>15</v>
      </c>
      <c r="H10898" s="18">
        <v>24.308890000000002</v>
      </c>
    </row>
    <row r="10899" spans="1:8" s="15" customFormat="1" ht="16.5" hidden="1" customHeight="1" outlineLevel="1" x14ac:dyDescent="0.25">
      <c r="A10899" s="18">
        <v>5161</v>
      </c>
      <c r="B10899" s="4" t="s">
        <v>250</v>
      </c>
      <c r="C10899" s="38" t="s">
        <v>9012</v>
      </c>
      <c r="D10899" s="18">
        <v>2022</v>
      </c>
      <c r="E10899" s="18" t="s">
        <v>0</v>
      </c>
      <c r="F10899" s="42">
        <v>1</v>
      </c>
      <c r="G10899" s="4">
        <v>13.9</v>
      </c>
      <c r="H10899" s="18">
        <v>18.753160000000001</v>
      </c>
    </row>
    <row r="10900" spans="1:8" s="15" customFormat="1" ht="16.5" hidden="1" customHeight="1" outlineLevel="1" x14ac:dyDescent="0.25">
      <c r="A10900" s="18">
        <v>5074</v>
      </c>
      <c r="B10900" s="4" t="s">
        <v>250</v>
      </c>
      <c r="C10900" s="38" t="s">
        <v>9013</v>
      </c>
      <c r="D10900" s="18">
        <v>2022</v>
      </c>
      <c r="E10900" s="18" t="s">
        <v>0</v>
      </c>
      <c r="F10900" s="42">
        <v>1</v>
      </c>
      <c r="G10900" s="4">
        <v>50</v>
      </c>
      <c r="H10900" s="18">
        <v>33.277030000000003</v>
      </c>
    </row>
    <row r="10901" spans="1:8" s="15" customFormat="1" ht="16.5" hidden="1" customHeight="1" outlineLevel="1" x14ac:dyDescent="0.25">
      <c r="A10901" s="18">
        <v>5153</v>
      </c>
      <c r="B10901" s="4" t="s">
        <v>250</v>
      </c>
      <c r="C10901" s="38" t="s">
        <v>9014</v>
      </c>
      <c r="D10901" s="18">
        <v>2022</v>
      </c>
      <c r="E10901" s="18" t="s">
        <v>0</v>
      </c>
      <c r="F10901" s="42">
        <v>1</v>
      </c>
      <c r="G10901" s="4">
        <v>13.9</v>
      </c>
      <c r="H10901" s="18">
        <v>17.30789</v>
      </c>
    </row>
    <row r="10902" spans="1:8" s="15" customFormat="1" ht="16.5" hidden="1" customHeight="1" outlineLevel="1" x14ac:dyDescent="0.25">
      <c r="A10902" s="18">
        <v>5154</v>
      </c>
      <c r="B10902" s="4" t="s">
        <v>250</v>
      </c>
      <c r="C10902" s="38" t="s">
        <v>9015</v>
      </c>
      <c r="D10902" s="18">
        <v>2022</v>
      </c>
      <c r="E10902" s="18" t="s">
        <v>0</v>
      </c>
      <c r="F10902" s="42">
        <v>1</v>
      </c>
      <c r="G10902" s="4">
        <v>15</v>
      </c>
      <c r="H10902" s="18">
        <v>16.086500000000001</v>
      </c>
    </row>
    <row r="10903" spans="1:8" s="15" customFormat="1" ht="16.5" hidden="1" customHeight="1" outlineLevel="1" x14ac:dyDescent="0.25">
      <c r="A10903" s="18">
        <v>5155</v>
      </c>
      <c r="B10903" s="4" t="s">
        <v>250</v>
      </c>
      <c r="C10903" s="38" t="s">
        <v>9016</v>
      </c>
      <c r="D10903" s="18">
        <v>2022</v>
      </c>
      <c r="E10903" s="18" t="s">
        <v>0</v>
      </c>
      <c r="F10903" s="42">
        <v>1</v>
      </c>
      <c r="G10903" s="4">
        <v>14</v>
      </c>
      <c r="H10903" s="18">
        <v>16.718509999999998</v>
      </c>
    </row>
    <row r="10904" spans="1:8" s="15" customFormat="1" ht="16.5" hidden="1" customHeight="1" outlineLevel="1" x14ac:dyDescent="0.25">
      <c r="A10904" s="18">
        <v>5156</v>
      </c>
      <c r="B10904" s="4" t="s">
        <v>250</v>
      </c>
      <c r="C10904" s="38" t="s">
        <v>9017</v>
      </c>
      <c r="D10904" s="18">
        <v>2022</v>
      </c>
      <c r="E10904" s="18" t="s">
        <v>0</v>
      </c>
      <c r="F10904" s="42">
        <v>1</v>
      </c>
      <c r="G10904" s="4">
        <v>7.5</v>
      </c>
      <c r="H10904" s="18">
        <v>16.71857</v>
      </c>
    </row>
    <row r="10905" spans="1:8" s="15" customFormat="1" ht="16.5" hidden="1" customHeight="1" outlineLevel="1" x14ac:dyDescent="0.25">
      <c r="A10905" s="18">
        <v>5157</v>
      </c>
      <c r="B10905" s="4" t="s">
        <v>250</v>
      </c>
      <c r="C10905" s="38" t="s">
        <v>9018</v>
      </c>
      <c r="D10905" s="18">
        <v>2022</v>
      </c>
      <c r="E10905" s="18" t="s">
        <v>0</v>
      </c>
      <c r="F10905" s="42">
        <v>1</v>
      </c>
      <c r="G10905" s="4">
        <v>7.5</v>
      </c>
      <c r="H10905" s="18">
        <v>16.718520000000002</v>
      </c>
    </row>
    <row r="10906" spans="1:8" s="15" customFormat="1" ht="16.5" hidden="1" customHeight="1" outlineLevel="1" x14ac:dyDescent="0.25">
      <c r="A10906" s="18">
        <v>5158</v>
      </c>
      <c r="B10906" s="4" t="s">
        <v>250</v>
      </c>
      <c r="C10906" s="38" t="s">
        <v>9019</v>
      </c>
      <c r="D10906" s="18">
        <v>2022</v>
      </c>
      <c r="E10906" s="18" t="s">
        <v>0</v>
      </c>
      <c r="F10906" s="42">
        <v>1</v>
      </c>
      <c r="G10906" s="4">
        <v>7.5</v>
      </c>
      <c r="H10906" s="18">
        <v>16.72336</v>
      </c>
    </row>
    <row r="10907" spans="1:8" s="15" customFormat="1" ht="16.5" hidden="1" customHeight="1" outlineLevel="1" x14ac:dyDescent="0.25">
      <c r="A10907" s="18">
        <v>5159</v>
      </c>
      <c r="B10907" s="4" t="s">
        <v>250</v>
      </c>
      <c r="C10907" s="38" t="s">
        <v>9020</v>
      </c>
      <c r="D10907" s="18">
        <v>2022</v>
      </c>
      <c r="E10907" s="18" t="s">
        <v>0</v>
      </c>
      <c r="F10907" s="42">
        <v>1</v>
      </c>
      <c r="G10907" s="4">
        <v>90</v>
      </c>
      <c r="H10907" s="18">
        <v>30.049479999999999</v>
      </c>
    </row>
    <row r="10908" spans="1:8" s="15" customFormat="1" ht="16.5" hidden="1" customHeight="1" outlineLevel="1" x14ac:dyDescent="0.25">
      <c r="A10908" s="18">
        <v>5223</v>
      </c>
      <c r="B10908" s="4" t="s">
        <v>250</v>
      </c>
      <c r="C10908" s="38" t="s">
        <v>9021</v>
      </c>
      <c r="D10908" s="18">
        <v>2022</v>
      </c>
      <c r="E10908" s="18" t="s">
        <v>0</v>
      </c>
      <c r="F10908" s="42">
        <v>1</v>
      </c>
      <c r="G10908" s="4">
        <v>15</v>
      </c>
      <c r="H10908" s="18">
        <v>17.477419999999999</v>
      </c>
    </row>
    <row r="10909" spans="1:8" s="15" customFormat="1" ht="16.5" hidden="1" customHeight="1" outlineLevel="1" x14ac:dyDescent="0.25">
      <c r="A10909" s="18">
        <v>5222</v>
      </c>
      <c r="B10909" s="4" t="s">
        <v>250</v>
      </c>
      <c r="C10909" s="38" t="s">
        <v>9022</v>
      </c>
      <c r="D10909" s="18">
        <v>2022</v>
      </c>
      <c r="E10909" s="18" t="s">
        <v>0</v>
      </c>
      <c r="F10909" s="42">
        <v>1</v>
      </c>
      <c r="G10909" s="4">
        <v>15</v>
      </c>
      <c r="H10909" s="18">
        <v>16.975100000000001</v>
      </c>
    </row>
    <row r="10910" spans="1:8" s="15" customFormat="1" ht="16.5" hidden="1" customHeight="1" outlineLevel="1" x14ac:dyDescent="0.25">
      <c r="A10910" s="18">
        <v>5221</v>
      </c>
      <c r="B10910" s="4" t="s">
        <v>250</v>
      </c>
      <c r="C10910" s="38" t="s">
        <v>9023</v>
      </c>
      <c r="D10910" s="18">
        <v>2022</v>
      </c>
      <c r="E10910" s="18" t="s">
        <v>0</v>
      </c>
      <c r="F10910" s="42">
        <v>1</v>
      </c>
      <c r="G10910" s="4">
        <v>15</v>
      </c>
      <c r="H10910" s="18">
        <v>27.19078</v>
      </c>
    </row>
    <row r="10911" spans="1:8" s="15" customFormat="1" ht="16.5" hidden="1" customHeight="1" outlineLevel="1" x14ac:dyDescent="0.25">
      <c r="A10911" s="18">
        <v>5220</v>
      </c>
      <c r="B10911" s="4" t="s">
        <v>250</v>
      </c>
      <c r="C10911" s="38" t="s">
        <v>9024</v>
      </c>
      <c r="D10911" s="18">
        <v>2022</v>
      </c>
      <c r="E10911" s="18" t="s">
        <v>0</v>
      </c>
      <c r="F10911" s="42">
        <v>1</v>
      </c>
      <c r="G10911" s="4">
        <v>15</v>
      </c>
      <c r="H10911" s="18">
        <v>27.368300000000001</v>
      </c>
    </row>
    <row r="10912" spans="1:8" s="15" customFormat="1" ht="16.5" hidden="1" customHeight="1" outlineLevel="1" x14ac:dyDescent="0.25">
      <c r="A10912" s="18">
        <v>5219</v>
      </c>
      <c r="B10912" s="4" t="s">
        <v>250</v>
      </c>
      <c r="C10912" s="38" t="s">
        <v>9025</v>
      </c>
      <c r="D10912" s="18">
        <v>2022</v>
      </c>
      <c r="E10912" s="18" t="s">
        <v>0</v>
      </c>
      <c r="F10912" s="42">
        <v>1</v>
      </c>
      <c r="G10912" s="4">
        <v>15</v>
      </c>
      <c r="H10912" s="18">
        <v>27.190770000000001</v>
      </c>
    </row>
    <row r="10913" spans="1:8" s="15" customFormat="1" ht="16.5" hidden="1" customHeight="1" outlineLevel="1" x14ac:dyDescent="0.25">
      <c r="A10913" s="18">
        <v>5218</v>
      </c>
      <c r="B10913" s="4" t="s">
        <v>250</v>
      </c>
      <c r="C10913" s="38" t="s">
        <v>9026</v>
      </c>
      <c r="D10913" s="18">
        <v>2022</v>
      </c>
      <c r="E10913" s="18" t="s">
        <v>0</v>
      </c>
      <c r="F10913" s="42">
        <v>1</v>
      </c>
      <c r="G10913" s="4">
        <v>15</v>
      </c>
      <c r="H10913" s="18">
        <v>27.19078</v>
      </c>
    </row>
    <row r="10914" spans="1:8" s="15" customFormat="1" ht="16.5" hidden="1" customHeight="1" outlineLevel="1" x14ac:dyDescent="0.25">
      <c r="A10914" s="18">
        <v>5217</v>
      </c>
      <c r="B10914" s="4" t="s">
        <v>250</v>
      </c>
      <c r="C10914" s="38" t="s">
        <v>9027</v>
      </c>
      <c r="D10914" s="18">
        <v>2022</v>
      </c>
      <c r="E10914" s="18" t="s">
        <v>0</v>
      </c>
      <c r="F10914" s="42">
        <v>1</v>
      </c>
      <c r="G10914" s="4">
        <v>15</v>
      </c>
      <c r="H10914" s="18">
        <v>16.79758</v>
      </c>
    </row>
    <row r="10915" spans="1:8" s="15" customFormat="1" ht="16.5" hidden="1" customHeight="1" outlineLevel="1" x14ac:dyDescent="0.25">
      <c r="A10915" s="18">
        <v>5215</v>
      </c>
      <c r="B10915" s="4" t="s">
        <v>250</v>
      </c>
      <c r="C10915" s="38" t="s">
        <v>9028</v>
      </c>
      <c r="D10915" s="18">
        <v>2022</v>
      </c>
      <c r="E10915" s="18" t="s">
        <v>0</v>
      </c>
      <c r="F10915" s="42">
        <v>1</v>
      </c>
      <c r="G10915" s="4">
        <v>15</v>
      </c>
      <c r="H10915" s="18">
        <v>28.788440000000001</v>
      </c>
    </row>
    <row r="10916" spans="1:8" s="15" customFormat="1" ht="16.5" hidden="1" customHeight="1" outlineLevel="1" x14ac:dyDescent="0.25">
      <c r="A10916" s="18">
        <v>5097</v>
      </c>
      <c r="B10916" s="4" t="s">
        <v>250</v>
      </c>
      <c r="C10916" s="38" t="s">
        <v>9029</v>
      </c>
      <c r="D10916" s="18">
        <v>2022</v>
      </c>
      <c r="E10916" s="18" t="s">
        <v>0</v>
      </c>
      <c r="F10916" s="42">
        <v>1</v>
      </c>
      <c r="G10916" s="4">
        <v>12</v>
      </c>
      <c r="H10916" s="18">
        <v>26.891690000000001</v>
      </c>
    </row>
    <row r="10917" spans="1:8" s="15" customFormat="1" ht="16.5" hidden="1" customHeight="1" outlineLevel="1" x14ac:dyDescent="0.25">
      <c r="A10917" s="18">
        <v>5096</v>
      </c>
      <c r="B10917" s="4" t="s">
        <v>250</v>
      </c>
      <c r="C10917" s="38" t="s">
        <v>9030</v>
      </c>
      <c r="D10917" s="18">
        <v>2022</v>
      </c>
      <c r="E10917" s="18" t="s">
        <v>0</v>
      </c>
      <c r="F10917" s="42">
        <v>1</v>
      </c>
      <c r="G10917" s="4">
        <v>9.4</v>
      </c>
      <c r="H10917" s="18">
        <v>26.89161</v>
      </c>
    </row>
    <row r="10918" spans="1:8" s="15" customFormat="1" ht="16.5" hidden="1" customHeight="1" outlineLevel="1" x14ac:dyDescent="0.25">
      <c r="A10918" s="18">
        <v>5095</v>
      </c>
      <c r="B10918" s="4" t="s">
        <v>250</v>
      </c>
      <c r="C10918" s="38" t="s">
        <v>9031</v>
      </c>
      <c r="D10918" s="18">
        <v>2022</v>
      </c>
      <c r="E10918" s="18" t="s">
        <v>0</v>
      </c>
      <c r="F10918" s="42">
        <v>1</v>
      </c>
      <c r="G10918" s="4">
        <v>15</v>
      </c>
      <c r="H10918" s="18">
        <v>30.738250000000001</v>
      </c>
    </row>
    <row r="10919" spans="1:8" s="15" customFormat="1" ht="16.5" hidden="1" customHeight="1" outlineLevel="1" x14ac:dyDescent="0.25">
      <c r="A10919" s="18">
        <v>5094</v>
      </c>
      <c r="B10919" s="4" t="s">
        <v>250</v>
      </c>
      <c r="C10919" s="38" t="s">
        <v>9032</v>
      </c>
      <c r="D10919" s="18">
        <v>2022</v>
      </c>
      <c r="E10919" s="18" t="s">
        <v>0</v>
      </c>
      <c r="F10919" s="42">
        <v>1</v>
      </c>
      <c r="G10919" s="4">
        <v>15</v>
      </c>
      <c r="H10919" s="18">
        <v>27.684429999999999</v>
      </c>
    </row>
    <row r="10920" spans="1:8" s="15" customFormat="1" ht="16.5" hidden="1" customHeight="1" outlineLevel="1" x14ac:dyDescent="0.25">
      <c r="A10920" s="18">
        <v>5093</v>
      </c>
      <c r="B10920" s="4" t="s">
        <v>250</v>
      </c>
      <c r="C10920" s="38" t="s">
        <v>9033</v>
      </c>
      <c r="D10920" s="18">
        <v>2022</v>
      </c>
      <c r="E10920" s="18" t="s">
        <v>0</v>
      </c>
      <c r="F10920" s="42">
        <v>1</v>
      </c>
      <c r="G10920" s="4">
        <v>15</v>
      </c>
      <c r="H10920" s="18">
        <v>28.983920000000001</v>
      </c>
    </row>
    <row r="10921" spans="1:8" s="15" customFormat="1" ht="16.5" hidden="1" customHeight="1" outlineLevel="1" x14ac:dyDescent="0.25">
      <c r="A10921" s="18">
        <v>5092</v>
      </c>
      <c r="B10921" s="4" t="s">
        <v>250</v>
      </c>
      <c r="C10921" s="38" t="s">
        <v>9034</v>
      </c>
      <c r="D10921" s="18">
        <v>2022</v>
      </c>
      <c r="E10921" s="18" t="s">
        <v>0</v>
      </c>
      <c r="F10921" s="42">
        <v>1</v>
      </c>
      <c r="G10921" s="4">
        <v>15</v>
      </c>
      <c r="H10921" s="18">
        <v>28.983920000000001</v>
      </c>
    </row>
    <row r="10922" spans="1:8" s="15" customFormat="1" ht="16.5" hidden="1" customHeight="1" outlineLevel="1" x14ac:dyDescent="0.25">
      <c r="A10922" s="18">
        <v>5091</v>
      </c>
      <c r="B10922" s="4" t="s">
        <v>250</v>
      </c>
      <c r="C10922" s="38" t="s">
        <v>9035</v>
      </c>
      <c r="D10922" s="18">
        <v>2022</v>
      </c>
      <c r="E10922" s="18" t="s">
        <v>0</v>
      </c>
      <c r="F10922" s="42">
        <v>1</v>
      </c>
      <c r="G10922" s="4">
        <v>15</v>
      </c>
      <c r="H10922" s="18">
        <v>34.99344</v>
      </c>
    </row>
    <row r="10923" spans="1:8" s="15" customFormat="1" ht="16.5" hidden="1" customHeight="1" outlineLevel="1" x14ac:dyDescent="0.25">
      <c r="A10923" s="18">
        <v>5090</v>
      </c>
      <c r="B10923" s="4" t="s">
        <v>250</v>
      </c>
      <c r="C10923" s="38" t="s">
        <v>9036</v>
      </c>
      <c r="D10923" s="18">
        <v>2022</v>
      </c>
      <c r="E10923" s="18" t="s">
        <v>0</v>
      </c>
      <c r="F10923" s="42">
        <v>1</v>
      </c>
      <c r="G10923" s="4">
        <v>15</v>
      </c>
      <c r="H10923" s="18">
        <v>39.886429999999997</v>
      </c>
    </row>
    <row r="10924" spans="1:8" s="15" customFormat="1" ht="16.5" hidden="1" customHeight="1" outlineLevel="1" x14ac:dyDescent="0.25">
      <c r="A10924" s="18">
        <v>5089</v>
      </c>
      <c r="B10924" s="4" t="s">
        <v>250</v>
      </c>
      <c r="C10924" s="38" t="s">
        <v>9037</v>
      </c>
      <c r="D10924" s="18">
        <v>2022</v>
      </c>
      <c r="E10924" s="18" t="s">
        <v>0</v>
      </c>
      <c r="F10924" s="42">
        <v>1</v>
      </c>
      <c r="G10924" s="4">
        <v>15</v>
      </c>
      <c r="H10924" s="18">
        <v>29.946760000000001</v>
      </c>
    </row>
    <row r="10925" spans="1:8" s="15" customFormat="1" ht="16.5" hidden="1" customHeight="1" outlineLevel="1" x14ac:dyDescent="0.25">
      <c r="A10925" s="18">
        <v>5088</v>
      </c>
      <c r="B10925" s="4" t="s">
        <v>250</v>
      </c>
      <c r="C10925" s="38" t="s">
        <v>9038</v>
      </c>
      <c r="D10925" s="18">
        <v>2022</v>
      </c>
      <c r="E10925" s="18" t="s">
        <v>0</v>
      </c>
      <c r="F10925" s="42">
        <v>1</v>
      </c>
      <c r="G10925" s="4">
        <v>15</v>
      </c>
      <c r="H10925" s="18">
        <v>29.94678</v>
      </c>
    </row>
    <row r="10926" spans="1:8" s="15" customFormat="1" ht="16.5" hidden="1" customHeight="1" outlineLevel="1" x14ac:dyDescent="0.25">
      <c r="A10926" s="18">
        <v>5086</v>
      </c>
      <c r="B10926" s="4" t="s">
        <v>250</v>
      </c>
      <c r="C10926" s="38" t="s">
        <v>9039</v>
      </c>
      <c r="D10926" s="18">
        <v>2022</v>
      </c>
      <c r="E10926" s="18" t="s">
        <v>0</v>
      </c>
      <c r="F10926" s="42">
        <v>1</v>
      </c>
      <c r="G10926" s="4">
        <v>15</v>
      </c>
      <c r="H10926" s="18">
        <v>29.434750000000001</v>
      </c>
    </row>
    <row r="10927" spans="1:8" s="15" customFormat="1" ht="16.5" hidden="1" customHeight="1" outlineLevel="1" x14ac:dyDescent="0.25">
      <c r="A10927" s="18">
        <v>5085</v>
      </c>
      <c r="B10927" s="4" t="s">
        <v>250</v>
      </c>
      <c r="C10927" s="38" t="s">
        <v>9040</v>
      </c>
      <c r="D10927" s="18">
        <v>2022</v>
      </c>
      <c r="E10927" s="18" t="s">
        <v>0</v>
      </c>
      <c r="F10927" s="42">
        <v>1</v>
      </c>
      <c r="G10927" s="4">
        <v>15</v>
      </c>
      <c r="H10927" s="18">
        <v>29.436769999999999</v>
      </c>
    </row>
    <row r="10928" spans="1:8" s="15" customFormat="1" ht="16.5" hidden="1" customHeight="1" outlineLevel="1" x14ac:dyDescent="0.25">
      <c r="A10928" s="18">
        <v>5082</v>
      </c>
      <c r="B10928" s="4" t="s">
        <v>250</v>
      </c>
      <c r="C10928" s="38" t="s">
        <v>9041</v>
      </c>
      <c r="D10928" s="18">
        <v>2022</v>
      </c>
      <c r="E10928" s="18" t="s">
        <v>0</v>
      </c>
      <c r="F10928" s="42">
        <v>1</v>
      </c>
      <c r="G10928" s="4">
        <v>15</v>
      </c>
      <c r="H10928" s="18">
        <v>28.950330000000001</v>
      </c>
    </row>
    <row r="10929" spans="1:8" s="15" customFormat="1" ht="16.5" hidden="1" customHeight="1" outlineLevel="1" x14ac:dyDescent="0.25">
      <c r="A10929" s="18">
        <v>5081</v>
      </c>
      <c r="B10929" s="4" t="s">
        <v>250</v>
      </c>
      <c r="C10929" s="38" t="s">
        <v>9042</v>
      </c>
      <c r="D10929" s="18">
        <v>2022</v>
      </c>
      <c r="E10929" s="18" t="s">
        <v>0</v>
      </c>
      <c r="F10929" s="42">
        <v>1</v>
      </c>
      <c r="G10929" s="4">
        <v>15</v>
      </c>
      <c r="H10929" s="18">
        <v>28.152249999999999</v>
      </c>
    </row>
    <row r="10930" spans="1:8" s="15" customFormat="1" ht="16.5" hidden="1" customHeight="1" outlineLevel="1" x14ac:dyDescent="0.25">
      <c r="A10930" s="18">
        <v>5080</v>
      </c>
      <c r="B10930" s="4" t="s">
        <v>250</v>
      </c>
      <c r="C10930" s="38" t="s">
        <v>9043</v>
      </c>
      <c r="D10930" s="18">
        <v>2022</v>
      </c>
      <c r="E10930" s="18" t="s">
        <v>0</v>
      </c>
      <c r="F10930" s="42">
        <v>1</v>
      </c>
      <c r="G10930" s="4">
        <v>15</v>
      </c>
      <c r="H10930" s="18">
        <v>28.087330000000001</v>
      </c>
    </row>
    <row r="10931" spans="1:8" s="15" customFormat="1" ht="16.5" hidden="1" customHeight="1" outlineLevel="1" x14ac:dyDescent="0.25">
      <c r="A10931" s="18">
        <v>5370</v>
      </c>
      <c r="B10931" s="4" t="s">
        <v>250</v>
      </c>
      <c r="C10931" s="38" t="s">
        <v>9044</v>
      </c>
      <c r="D10931" s="18">
        <v>2022</v>
      </c>
      <c r="E10931" s="18" t="s">
        <v>0</v>
      </c>
      <c r="F10931" s="42">
        <v>1</v>
      </c>
      <c r="G10931" s="4">
        <v>15</v>
      </c>
      <c r="H10931" s="18">
        <v>29.644259999999999</v>
      </c>
    </row>
    <row r="10932" spans="1:8" s="15" customFormat="1" ht="16.5" hidden="1" customHeight="1" outlineLevel="1" x14ac:dyDescent="0.25">
      <c r="A10932" s="18">
        <v>5369</v>
      </c>
      <c r="B10932" s="4" t="s">
        <v>250</v>
      </c>
      <c r="C10932" s="38" t="s">
        <v>9045</v>
      </c>
      <c r="D10932" s="18">
        <v>2022</v>
      </c>
      <c r="E10932" s="18" t="s">
        <v>0</v>
      </c>
      <c r="F10932" s="42">
        <v>1</v>
      </c>
      <c r="G10932" s="4">
        <v>15</v>
      </c>
      <c r="H10932" s="18">
        <v>29.681229999999999</v>
      </c>
    </row>
    <row r="10933" spans="1:8" s="15" customFormat="1" ht="16.5" hidden="1" customHeight="1" outlineLevel="1" x14ac:dyDescent="0.25">
      <c r="A10933" s="18">
        <v>5368</v>
      </c>
      <c r="B10933" s="4" t="s">
        <v>250</v>
      </c>
      <c r="C10933" s="38" t="s">
        <v>9046</v>
      </c>
      <c r="D10933" s="18">
        <v>2022</v>
      </c>
      <c r="E10933" s="18" t="s">
        <v>0</v>
      </c>
      <c r="F10933" s="42">
        <v>1</v>
      </c>
      <c r="G10933" s="4">
        <v>15</v>
      </c>
      <c r="H10933" s="18">
        <v>29.564350000000001</v>
      </c>
    </row>
    <row r="10934" spans="1:8" s="15" customFormat="1" ht="16.5" hidden="1" customHeight="1" outlineLevel="1" x14ac:dyDescent="0.25">
      <c r="A10934" s="18">
        <v>5367</v>
      </c>
      <c r="B10934" s="4" t="s">
        <v>250</v>
      </c>
      <c r="C10934" s="38" t="s">
        <v>9047</v>
      </c>
      <c r="D10934" s="18">
        <v>2022</v>
      </c>
      <c r="E10934" s="18" t="s">
        <v>0</v>
      </c>
      <c r="F10934" s="42">
        <v>1</v>
      </c>
      <c r="G10934" s="4">
        <v>15</v>
      </c>
      <c r="H10934" s="18">
        <v>26.030619999999999</v>
      </c>
    </row>
    <row r="10935" spans="1:8" s="15" customFormat="1" ht="16.5" hidden="1" customHeight="1" outlineLevel="1" x14ac:dyDescent="0.25">
      <c r="A10935" s="18">
        <v>5366</v>
      </c>
      <c r="B10935" s="4" t="s">
        <v>250</v>
      </c>
      <c r="C10935" s="38" t="s">
        <v>9048</v>
      </c>
      <c r="D10935" s="18">
        <v>2022</v>
      </c>
      <c r="E10935" s="18" t="s">
        <v>0</v>
      </c>
      <c r="F10935" s="42">
        <v>1</v>
      </c>
      <c r="G10935" s="4">
        <v>15</v>
      </c>
      <c r="H10935" s="18">
        <v>26.142130000000002</v>
      </c>
    </row>
    <row r="10936" spans="1:8" s="15" customFormat="1" ht="16.5" hidden="1" customHeight="1" outlineLevel="1" x14ac:dyDescent="0.25">
      <c r="A10936" s="18">
        <v>5365</v>
      </c>
      <c r="B10936" s="4" t="s">
        <v>250</v>
      </c>
      <c r="C10936" s="38" t="s">
        <v>9049</v>
      </c>
      <c r="D10936" s="18">
        <v>2022</v>
      </c>
      <c r="E10936" s="18" t="s">
        <v>0</v>
      </c>
      <c r="F10936" s="42">
        <v>1</v>
      </c>
      <c r="G10936" s="4">
        <v>15</v>
      </c>
      <c r="H10936" s="18">
        <v>28.358360000000001</v>
      </c>
    </row>
    <row r="10937" spans="1:8" s="15" customFormat="1" ht="16.5" hidden="1" customHeight="1" outlineLevel="1" x14ac:dyDescent="0.25">
      <c r="A10937" s="18">
        <v>5364</v>
      </c>
      <c r="B10937" s="4" t="s">
        <v>250</v>
      </c>
      <c r="C10937" s="38" t="s">
        <v>9050</v>
      </c>
      <c r="D10937" s="18">
        <v>2022</v>
      </c>
      <c r="E10937" s="18" t="s">
        <v>0</v>
      </c>
      <c r="F10937" s="42">
        <v>1</v>
      </c>
      <c r="G10937" s="4">
        <v>15</v>
      </c>
      <c r="H10937" s="18">
        <v>43.062489999999997</v>
      </c>
    </row>
    <row r="10938" spans="1:8" s="15" customFormat="1" ht="16.5" hidden="1" customHeight="1" outlineLevel="1" x14ac:dyDescent="0.25">
      <c r="A10938" s="18">
        <v>5362</v>
      </c>
      <c r="B10938" s="4" t="s">
        <v>250</v>
      </c>
      <c r="C10938" s="38" t="s">
        <v>9051</v>
      </c>
      <c r="D10938" s="18">
        <v>2022</v>
      </c>
      <c r="E10938" s="18" t="s">
        <v>0</v>
      </c>
      <c r="F10938" s="42">
        <v>1</v>
      </c>
      <c r="G10938" s="4">
        <v>15</v>
      </c>
      <c r="H10938" s="18">
        <v>28.278359999999999</v>
      </c>
    </row>
    <row r="10939" spans="1:8" s="15" customFormat="1" ht="16.5" hidden="1" customHeight="1" outlineLevel="1" x14ac:dyDescent="0.25">
      <c r="A10939" s="18">
        <v>5393</v>
      </c>
      <c r="B10939" s="4" t="s">
        <v>250</v>
      </c>
      <c r="C10939" s="38" t="s">
        <v>9052</v>
      </c>
      <c r="D10939" s="18">
        <v>2022</v>
      </c>
      <c r="E10939" s="18" t="s">
        <v>0</v>
      </c>
      <c r="F10939" s="42">
        <v>1</v>
      </c>
      <c r="G10939" s="4">
        <v>15</v>
      </c>
      <c r="H10939" s="18">
        <v>35.51773</v>
      </c>
    </row>
    <row r="10940" spans="1:8" s="15" customFormat="1" ht="16.5" hidden="1" customHeight="1" outlineLevel="1" x14ac:dyDescent="0.25">
      <c r="A10940" s="18">
        <v>5394</v>
      </c>
      <c r="B10940" s="4" t="s">
        <v>250</v>
      </c>
      <c r="C10940" s="38" t="s">
        <v>9053</v>
      </c>
      <c r="D10940" s="18">
        <v>2022</v>
      </c>
      <c r="E10940" s="18" t="s">
        <v>0</v>
      </c>
      <c r="F10940" s="42">
        <v>1</v>
      </c>
      <c r="G10940" s="4">
        <v>15</v>
      </c>
      <c r="H10940" s="18">
        <v>35.469639999999998</v>
      </c>
    </row>
    <row r="10941" spans="1:8" s="15" customFormat="1" ht="16.5" hidden="1" customHeight="1" outlineLevel="1" x14ac:dyDescent="0.25">
      <c r="A10941" s="18">
        <v>5416</v>
      </c>
      <c r="B10941" s="4" t="s">
        <v>250</v>
      </c>
      <c r="C10941" s="38" t="s">
        <v>9054</v>
      </c>
      <c r="D10941" s="18">
        <v>2022</v>
      </c>
      <c r="E10941" s="18" t="s">
        <v>0</v>
      </c>
      <c r="F10941" s="42">
        <v>1</v>
      </c>
      <c r="G10941" s="4">
        <v>15</v>
      </c>
      <c r="H10941" s="18">
        <v>25.97213</v>
      </c>
    </row>
    <row r="10942" spans="1:8" s="15" customFormat="1" ht="16.5" hidden="1" customHeight="1" outlineLevel="1" x14ac:dyDescent="0.25">
      <c r="A10942" s="18">
        <v>5415</v>
      </c>
      <c r="B10942" s="4" t="s">
        <v>250</v>
      </c>
      <c r="C10942" s="38" t="s">
        <v>9055</v>
      </c>
      <c r="D10942" s="18">
        <v>2022</v>
      </c>
      <c r="E10942" s="18" t="s">
        <v>0</v>
      </c>
      <c r="F10942" s="42">
        <v>1</v>
      </c>
      <c r="G10942" s="4">
        <v>15</v>
      </c>
      <c r="H10942" s="18">
        <v>26.216930000000001</v>
      </c>
    </row>
    <row r="10943" spans="1:8" s="15" customFormat="1" ht="16.5" hidden="1" customHeight="1" outlineLevel="1" x14ac:dyDescent="0.25">
      <c r="A10943" s="18">
        <v>5414</v>
      </c>
      <c r="B10943" s="4" t="s">
        <v>250</v>
      </c>
      <c r="C10943" s="38" t="s">
        <v>9056</v>
      </c>
      <c r="D10943" s="18">
        <v>2022</v>
      </c>
      <c r="E10943" s="18" t="s">
        <v>0</v>
      </c>
      <c r="F10943" s="42">
        <v>1</v>
      </c>
      <c r="G10943" s="4">
        <v>13.1</v>
      </c>
      <c r="H10943" s="18">
        <v>25.972100000000001</v>
      </c>
    </row>
    <row r="10944" spans="1:8" s="15" customFormat="1" ht="16.5" hidden="1" customHeight="1" outlineLevel="1" x14ac:dyDescent="0.25">
      <c r="A10944" s="18">
        <v>5413</v>
      </c>
      <c r="B10944" s="4" t="s">
        <v>250</v>
      </c>
      <c r="C10944" s="38" t="s">
        <v>9057</v>
      </c>
      <c r="D10944" s="18">
        <v>2022</v>
      </c>
      <c r="E10944" s="18" t="s">
        <v>0</v>
      </c>
      <c r="F10944" s="42">
        <v>1</v>
      </c>
      <c r="G10944" s="4">
        <v>15</v>
      </c>
      <c r="H10944" s="18">
        <v>27.479710000000001</v>
      </c>
    </row>
    <row r="10945" spans="1:8" s="15" customFormat="1" ht="16.5" hidden="1" customHeight="1" outlineLevel="1" x14ac:dyDescent="0.25">
      <c r="A10945" s="18">
        <v>5412</v>
      </c>
      <c r="B10945" s="4" t="s">
        <v>250</v>
      </c>
      <c r="C10945" s="38" t="s">
        <v>9058</v>
      </c>
      <c r="D10945" s="18">
        <v>2022</v>
      </c>
      <c r="E10945" s="18" t="s">
        <v>0</v>
      </c>
      <c r="F10945" s="42">
        <v>1</v>
      </c>
      <c r="G10945" s="4">
        <v>10.5</v>
      </c>
      <c r="H10945" s="18">
        <v>28.64986</v>
      </c>
    </row>
    <row r="10946" spans="1:8" s="15" customFormat="1" ht="16.5" hidden="1" customHeight="1" outlineLevel="1" x14ac:dyDescent="0.25">
      <c r="A10946" s="18">
        <v>5411</v>
      </c>
      <c r="B10946" s="4" t="s">
        <v>250</v>
      </c>
      <c r="C10946" s="38" t="s">
        <v>9059</v>
      </c>
      <c r="D10946" s="18">
        <v>2022</v>
      </c>
      <c r="E10946" s="18" t="s">
        <v>0</v>
      </c>
      <c r="F10946" s="42">
        <v>1</v>
      </c>
      <c r="G10946" s="4">
        <v>0.75</v>
      </c>
      <c r="H10946" s="18">
        <v>26.128150000000002</v>
      </c>
    </row>
    <row r="10947" spans="1:8" s="15" customFormat="1" ht="16.5" hidden="1" customHeight="1" outlineLevel="1" x14ac:dyDescent="0.25">
      <c r="A10947" s="18">
        <v>5409</v>
      </c>
      <c r="B10947" s="4" t="s">
        <v>250</v>
      </c>
      <c r="C10947" s="38" t="s">
        <v>9060</v>
      </c>
      <c r="D10947" s="18">
        <v>2022</v>
      </c>
      <c r="E10947" s="18" t="s">
        <v>0</v>
      </c>
      <c r="F10947" s="42">
        <v>1</v>
      </c>
      <c r="G10947" s="4">
        <v>15</v>
      </c>
      <c r="H10947" s="18">
        <v>27.359580000000001</v>
      </c>
    </row>
    <row r="10948" spans="1:8" s="15" customFormat="1" ht="16.5" hidden="1" customHeight="1" outlineLevel="1" x14ac:dyDescent="0.25">
      <c r="A10948" s="18">
        <v>5408</v>
      </c>
      <c r="B10948" s="4" t="s">
        <v>250</v>
      </c>
      <c r="C10948" s="38" t="s">
        <v>9061</v>
      </c>
      <c r="D10948" s="18">
        <v>2022</v>
      </c>
      <c r="E10948" s="18" t="s">
        <v>0</v>
      </c>
      <c r="F10948" s="42">
        <v>1</v>
      </c>
      <c r="G10948" s="4">
        <v>14</v>
      </c>
      <c r="H10948" s="18">
        <v>29.832889999999999</v>
      </c>
    </row>
    <row r="10949" spans="1:8" s="15" customFormat="1" ht="16.5" hidden="1" customHeight="1" outlineLevel="1" x14ac:dyDescent="0.25">
      <c r="A10949" s="18">
        <v>5407</v>
      </c>
      <c r="B10949" s="4" t="s">
        <v>250</v>
      </c>
      <c r="C10949" s="38" t="s">
        <v>9062</v>
      </c>
      <c r="D10949" s="18">
        <v>2022</v>
      </c>
      <c r="E10949" s="18" t="s">
        <v>0</v>
      </c>
      <c r="F10949" s="42">
        <v>1</v>
      </c>
      <c r="G10949" s="4">
        <v>12</v>
      </c>
      <c r="H10949" s="18">
        <v>29.86703</v>
      </c>
    </row>
    <row r="10950" spans="1:8" s="15" customFormat="1" ht="16.5" hidden="1" customHeight="1" outlineLevel="1" x14ac:dyDescent="0.25">
      <c r="A10950" s="18">
        <v>5406</v>
      </c>
      <c r="B10950" s="4" t="s">
        <v>250</v>
      </c>
      <c r="C10950" s="38" t="s">
        <v>9063</v>
      </c>
      <c r="D10950" s="18">
        <v>2022</v>
      </c>
      <c r="E10950" s="18" t="s">
        <v>0</v>
      </c>
      <c r="F10950" s="42">
        <v>1</v>
      </c>
      <c r="G10950" s="4">
        <v>15</v>
      </c>
      <c r="H10950" s="18">
        <v>34.873359999999998</v>
      </c>
    </row>
    <row r="10951" spans="1:8" s="15" customFormat="1" ht="16.5" hidden="1" customHeight="1" outlineLevel="1" x14ac:dyDescent="0.25">
      <c r="A10951" s="18">
        <v>5405</v>
      </c>
      <c r="B10951" s="4" t="s">
        <v>250</v>
      </c>
      <c r="C10951" s="38" t="s">
        <v>9064</v>
      </c>
      <c r="D10951" s="18">
        <v>2022</v>
      </c>
      <c r="E10951" s="18" t="s">
        <v>0</v>
      </c>
      <c r="F10951" s="42">
        <v>1</v>
      </c>
      <c r="G10951" s="4">
        <v>15</v>
      </c>
      <c r="H10951" s="18">
        <v>27.302520000000001</v>
      </c>
    </row>
    <row r="10952" spans="1:8" s="15" customFormat="1" ht="16.5" hidden="1" customHeight="1" outlineLevel="1" x14ac:dyDescent="0.25">
      <c r="A10952" s="18">
        <v>5403</v>
      </c>
      <c r="B10952" s="4" t="s">
        <v>250</v>
      </c>
      <c r="C10952" s="38" t="s">
        <v>9065</v>
      </c>
      <c r="D10952" s="18">
        <v>2022</v>
      </c>
      <c r="E10952" s="18" t="s">
        <v>0</v>
      </c>
      <c r="F10952" s="42">
        <v>1</v>
      </c>
      <c r="G10952" s="4">
        <v>15</v>
      </c>
      <c r="H10952" s="18">
        <v>27.410209999999999</v>
      </c>
    </row>
    <row r="10953" spans="1:8" s="15" customFormat="1" ht="16.5" hidden="1" customHeight="1" outlineLevel="1" x14ac:dyDescent="0.25">
      <c r="A10953" s="18">
        <v>5402</v>
      </c>
      <c r="B10953" s="4" t="s">
        <v>250</v>
      </c>
      <c r="C10953" s="38" t="s">
        <v>9066</v>
      </c>
      <c r="D10953" s="18">
        <v>2022</v>
      </c>
      <c r="E10953" s="18" t="s">
        <v>0</v>
      </c>
      <c r="F10953" s="42">
        <v>1</v>
      </c>
      <c r="G10953" s="4">
        <v>15</v>
      </c>
      <c r="H10953" s="18">
        <v>27.16808</v>
      </c>
    </row>
    <row r="10954" spans="1:8" s="15" customFormat="1" ht="16.5" hidden="1" customHeight="1" outlineLevel="1" x14ac:dyDescent="0.25">
      <c r="A10954" s="18">
        <v>5401</v>
      </c>
      <c r="B10954" s="4" t="s">
        <v>250</v>
      </c>
      <c r="C10954" s="38" t="s">
        <v>9067</v>
      </c>
      <c r="D10954" s="18">
        <v>2022</v>
      </c>
      <c r="E10954" s="18" t="s">
        <v>0</v>
      </c>
      <c r="F10954" s="42">
        <v>1</v>
      </c>
      <c r="G10954" s="4">
        <v>15</v>
      </c>
      <c r="H10954" s="18">
        <v>31.88531</v>
      </c>
    </row>
    <row r="10955" spans="1:8" s="15" customFormat="1" ht="16.5" hidden="1" customHeight="1" outlineLevel="1" x14ac:dyDescent="0.25">
      <c r="A10955" s="18">
        <v>5400</v>
      </c>
      <c r="B10955" s="4" t="s">
        <v>250</v>
      </c>
      <c r="C10955" s="38" t="s">
        <v>9068</v>
      </c>
      <c r="D10955" s="18">
        <v>2022</v>
      </c>
      <c r="E10955" s="18" t="s">
        <v>0</v>
      </c>
      <c r="F10955" s="42">
        <v>1</v>
      </c>
      <c r="G10955" s="4">
        <v>5</v>
      </c>
      <c r="H10955" s="18">
        <v>27.082190000000001</v>
      </c>
    </row>
    <row r="10956" spans="1:8" s="15" customFormat="1" ht="16.5" hidden="1" customHeight="1" outlineLevel="1" x14ac:dyDescent="0.25">
      <c r="A10956" s="18">
        <v>5371</v>
      </c>
      <c r="B10956" s="4" t="s">
        <v>250</v>
      </c>
      <c r="C10956" s="38" t="s">
        <v>9069</v>
      </c>
      <c r="D10956" s="18">
        <v>2022</v>
      </c>
      <c r="E10956" s="18" t="s">
        <v>0</v>
      </c>
      <c r="F10956" s="42">
        <v>1</v>
      </c>
      <c r="G10956" s="4">
        <v>15</v>
      </c>
      <c r="H10956" s="18">
        <v>29.694089999999999</v>
      </c>
    </row>
    <row r="10957" spans="1:8" s="15" customFormat="1" ht="16.5" hidden="1" customHeight="1" outlineLevel="1" x14ac:dyDescent="0.25">
      <c r="A10957" s="18">
        <v>5372</v>
      </c>
      <c r="B10957" s="4" t="s">
        <v>250</v>
      </c>
      <c r="C10957" s="38" t="s">
        <v>9070</v>
      </c>
      <c r="D10957" s="18">
        <v>2022</v>
      </c>
      <c r="E10957" s="18" t="s">
        <v>0</v>
      </c>
      <c r="F10957" s="42">
        <v>1</v>
      </c>
      <c r="G10957" s="4">
        <v>15</v>
      </c>
      <c r="H10957" s="18">
        <v>33.91968</v>
      </c>
    </row>
    <row r="10958" spans="1:8" s="15" customFormat="1" ht="16.5" hidden="1" customHeight="1" outlineLevel="1" x14ac:dyDescent="0.25">
      <c r="A10958" s="18">
        <v>5373</v>
      </c>
      <c r="B10958" s="4" t="s">
        <v>250</v>
      </c>
      <c r="C10958" s="38" t="s">
        <v>9071</v>
      </c>
      <c r="D10958" s="18">
        <v>2022</v>
      </c>
      <c r="E10958" s="18" t="s">
        <v>0</v>
      </c>
      <c r="F10958" s="42">
        <v>1</v>
      </c>
      <c r="G10958" s="4">
        <v>15</v>
      </c>
      <c r="H10958" s="18">
        <v>41.81071</v>
      </c>
    </row>
    <row r="10959" spans="1:8" s="15" customFormat="1" ht="16.5" hidden="1" customHeight="1" outlineLevel="1" x14ac:dyDescent="0.25">
      <c r="A10959" s="18">
        <v>5374</v>
      </c>
      <c r="B10959" s="4" t="s">
        <v>250</v>
      </c>
      <c r="C10959" s="38" t="s">
        <v>9072</v>
      </c>
      <c r="D10959" s="18">
        <v>2022</v>
      </c>
      <c r="E10959" s="18" t="s">
        <v>0</v>
      </c>
      <c r="F10959" s="42">
        <v>1</v>
      </c>
      <c r="G10959" s="4">
        <v>12</v>
      </c>
      <c r="H10959" s="18">
        <v>27.66086</v>
      </c>
    </row>
    <row r="10960" spans="1:8" s="15" customFormat="1" ht="16.5" hidden="1" customHeight="1" outlineLevel="1" x14ac:dyDescent="0.25">
      <c r="A10960" s="18">
        <v>5376</v>
      </c>
      <c r="B10960" s="4" t="s">
        <v>250</v>
      </c>
      <c r="C10960" s="38" t="s">
        <v>9073</v>
      </c>
      <c r="D10960" s="18">
        <v>2022</v>
      </c>
      <c r="E10960" s="18" t="s">
        <v>0</v>
      </c>
      <c r="F10960" s="42">
        <v>1</v>
      </c>
      <c r="G10960" s="4">
        <v>12</v>
      </c>
      <c r="H10960" s="18">
        <v>27.70551</v>
      </c>
    </row>
    <row r="10961" spans="1:8" s="15" customFormat="1" ht="16.5" hidden="1" customHeight="1" outlineLevel="1" x14ac:dyDescent="0.25">
      <c r="A10961" s="18">
        <v>5377</v>
      </c>
      <c r="B10961" s="4" t="s">
        <v>250</v>
      </c>
      <c r="C10961" s="38" t="s">
        <v>9074</v>
      </c>
      <c r="D10961" s="18">
        <v>2022</v>
      </c>
      <c r="E10961" s="18" t="s">
        <v>0</v>
      </c>
      <c r="F10961" s="42">
        <v>1</v>
      </c>
      <c r="G10961" s="4">
        <v>15</v>
      </c>
      <c r="H10961" s="18">
        <v>31.901009999999999</v>
      </c>
    </row>
    <row r="10962" spans="1:8" s="15" customFormat="1" ht="16.5" hidden="1" customHeight="1" outlineLevel="1" x14ac:dyDescent="0.25">
      <c r="A10962" s="18">
        <v>5378</v>
      </c>
      <c r="B10962" s="4" t="s">
        <v>250</v>
      </c>
      <c r="C10962" s="38" t="s">
        <v>9075</v>
      </c>
      <c r="D10962" s="18">
        <v>2022</v>
      </c>
      <c r="E10962" s="18" t="s">
        <v>0</v>
      </c>
      <c r="F10962" s="42">
        <v>1</v>
      </c>
      <c r="G10962" s="4">
        <v>15</v>
      </c>
      <c r="H10962" s="18">
        <v>40.201450000000001</v>
      </c>
    </row>
    <row r="10963" spans="1:8" s="15" customFormat="1" ht="16.5" hidden="1" customHeight="1" outlineLevel="1" x14ac:dyDescent="0.25">
      <c r="A10963" s="18">
        <v>5379</v>
      </c>
      <c r="B10963" s="4" t="s">
        <v>250</v>
      </c>
      <c r="C10963" s="38" t="s">
        <v>9076</v>
      </c>
      <c r="D10963" s="18">
        <v>2022</v>
      </c>
      <c r="E10963" s="18" t="s">
        <v>0</v>
      </c>
      <c r="F10963" s="42">
        <v>1</v>
      </c>
      <c r="G10963" s="4">
        <v>15</v>
      </c>
      <c r="H10963" s="18">
        <v>33.502600000000001</v>
      </c>
    </row>
    <row r="10964" spans="1:8" s="15" customFormat="1" ht="16.5" hidden="1" customHeight="1" outlineLevel="1" x14ac:dyDescent="0.25">
      <c r="A10964" s="18">
        <v>5380</v>
      </c>
      <c r="B10964" s="4" t="s">
        <v>250</v>
      </c>
      <c r="C10964" s="38" t="s">
        <v>9077</v>
      </c>
      <c r="D10964" s="18">
        <v>2022</v>
      </c>
      <c r="E10964" s="18" t="s">
        <v>0</v>
      </c>
      <c r="F10964" s="42">
        <v>1</v>
      </c>
      <c r="G10964" s="4">
        <v>15</v>
      </c>
      <c r="H10964" s="18">
        <v>27.62463</v>
      </c>
    </row>
    <row r="10965" spans="1:8" s="15" customFormat="1" ht="16.5" hidden="1" customHeight="1" outlineLevel="1" x14ac:dyDescent="0.25">
      <c r="A10965" s="18">
        <v>5381</v>
      </c>
      <c r="B10965" s="4" t="s">
        <v>250</v>
      </c>
      <c r="C10965" s="38" t="s">
        <v>9078</v>
      </c>
      <c r="D10965" s="18">
        <v>2022</v>
      </c>
      <c r="E10965" s="18" t="s">
        <v>0</v>
      </c>
      <c r="F10965" s="42">
        <v>1</v>
      </c>
      <c r="G10965" s="4">
        <v>14</v>
      </c>
      <c r="H10965" s="18">
        <v>32.344639999999998</v>
      </c>
    </row>
    <row r="10966" spans="1:8" s="15" customFormat="1" ht="16.5" hidden="1" customHeight="1" outlineLevel="1" x14ac:dyDescent="0.25">
      <c r="A10966" s="18">
        <v>5383</v>
      </c>
      <c r="B10966" s="4" t="s">
        <v>250</v>
      </c>
      <c r="C10966" s="38" t="s">
        <v>9079</v>
      </c>
      <c r="D10966" s="18">
        <v>2022</v>
      </c>
      <c r="E10966" s="18" t="s">
        <v>0</v>
      </c>
      <c r="F10966" s="42">
        <v>1</v>
      </c>
      <c r="G10966" s="4">
        <v>15</v>
      </c>
      <c r="H10966" s="18">
        <v>27.838850000000001</v>
      </c>
    </row>
    <row r="10967" spans="1:8" s="15" customFormat="1" ht="16.5" hidden="1" customHeight="1" outlineLevel="1" x14ac:dyDescent="0.25">
      <c r="A10967" s="18">
        <v>5384</v>
      </c>
      <c r="B10967" s="4" t="s">
        <v>250</v>
      </c>
      <c r="C10967" s="38" t="s">
        <v>9080</v>
      </c>
      <c r="D10967" s="18">
        <v>2022</v>
      </c>
      <c r="E10967" s="18" t="s">
        <v>0</v>
      </c>
      <c r="F10967" s="42">
        <v>1</v>
      </c>
      <c r="G10967" s="4">
        <v>15</v>
      </c>
      <c r="H10967" s="18">
        <v>27.365349999999999</v>
      </c>
    </row>
    <row r="10968" spans="1:8" s="15" customFormat="1" ht="16.5" hidden="1" customHeight="1" outlineLevel="1" x14ac:dyDescent="0.25">
      <c r="A10968" s="18">
        <v>5385</v>
      </c>
      <c r="B10968" s="4" t="s">
        <v>250</v>
      </c>
      <c r="C10968" s="38" t="s">
        <v>9081</v>
      </c>
      <c r="D10968" s="18">
        <v>2022</v>
      </c>
      <c r="E10968" s="18" t="s">
        <v>0</v>
      </c>
      <c r="F10968" s="42">
        <v>1</v>
      </c>
      <c r="G10968" s="4">
        <v>9.8000000000000007</v>
      </c>
      <c r="H10968" s="18">
        <v>29.100809999999999</v>
      </c>
    </row>
    <row r="10969" spans="1:8" s="15" customFormat="1" ht="16.5" hidden="1" customHeight="1" outlineLevel="1" x14ac:dyDescent="0.25">
      <c r="A10969" s="18">
        <v>5386</v>
      </c>
      <c r="B10969" s="4" t="s">
        <v>250</v>
      </c>
      <c r="C10969" s="38" t="s">
        <v>9082</v>
      </c>
      <c r="D10969" s="18">
        <v>2022</v>
      </c>
      <c r="E10969" s="18" t="s">
        <v>0</v>
      </c>
      <c r="F10969" s="42">
        <v>1</v>
      </c>
      <c r="G10969" s="4">
        <v>15</v>
      </c>
      <c r="H10969" s="18">
        <v>27.600899999999999</v>
      </c>
    </row>
    <row r="10970" spans="1:8" s="15" customFormat="1" ht="16.5" hidden="1" customHeight="1" outlineLevel="1" x14ac:dyDescent="0.25">
      <c r="A10970" s="18">
        <v>5392</v>
      </c>
      <c r="B10970" s="4" t="s">
        <v>250</v>
      </c>
      <c r="C10970" s="38" t="s">
        <v>9083</v>
      </c>
      <c r="D10970" s="18">
        <v>2022</v>
      </c>
      <c r="E10970" s="18" t="s">
        <v>0</v>
      </c>
      <c r="F10970" s="42">
        <v>1</v>
      </c>
      <c r="G10970" s="4">
        <v>14.6</v>
      </c>
      <c r="H10970" s="18">
        <v>30.12388</v>
      </c>
    </row>
    <row r="10971" spans="1:8" s="15" customFormat="1" ht="16.5" hidden="1" customHeight="1" outlineLevel="1" x14ac:dyDescent="0.25">
      <c r="A10971" s="18">
        <v>5389</v>
      </c>
      <c r="B10971" s="4" t="s">
        <v>250</v>
      </c>
      <c r="C10971" s="38" t="s">
        <v>9084</v>
      </c>
      <c r="D10971" s="18">
        <v>2022</v>
      </c>
      <c r="E10971" s="18" t="s">
        <v>0</v>
      </c>
      <c r="F10971" s="42">
        <v>1</v>
      </c>
      <c r="G10971" s="4">
        <v>15</v>
      </c>
      <c r="H10971" s="18">
        <v>27.791250000000002</v>
      </c>
    </row>
    <row r="10972" spans="1:8" s="15" customFormat="1" ht="16.5" hidden="1" customHeight="1" outlineLevel="1" x14ac:dyDescent="0.25">
      <c r="A10972" s="18">
        <v>5391</v>
      </c>
      <c r="B10972" s="4" t="s">
        <v>250</v>
      </c>
      <c r="C10972" s="38" t="s">
        <v>9085</v>
      </c>
      <c r="D10972" s="18">
        <v>2022</v>
      </c>
      <c r="E10972" s="18" t="s">
        <v>0</v>
      </c>
      <c r="F10972" s="42">
        <v>1</v>
      </c>
      <c r="G10972" s="4">
        <v>9.1999999999999993</v>
      </c>
      <c r="H10972" s="18">
        <v>29.552890000000001</v>
      </c>
    </row>
    <row r="10973" spans="1:8" s="15" customFormat="1" ht="16.5" hidden="1" customHeight="1" outlineLevel="1" x14ac:dyDescent="0.25">
      <c r="A10973" s="18">
        <v>5252</v>
      </c>
      <c r="B10973" s="4" t="s">
        <v>250</v>
      </c>
      <c r="C10973" s="38" t="s">
        <v>9086</v>
      </c>
      <c r="D10973" s="18">
        <v>2022</v>
      </c>
      <c r="E10973" s="18" t="s">
        <v>0</v>
      </c>
      <c r="F10973" s="42">
        <v>1</v>
      </c>
      <c r="G10973" s="4">
        <v>9</v>
      </c>
      <c r="H10973" s="18">
        <v>52.401000000000003</v>
      </c>
    </row>
    <row r="10974" spans="1:8" s="15" customFormat="1" ht="16.5" hidden="1" customHeight="1" outlineLevel="1" x14ac:dyDescent="0.25">
      <c r="A10974" s="18">
        <v>5253</v>
      </c>
      <c r="B10974" s="4" t="s">
        <v>250</v>
      </c>
      <c r="C10974" s="38" t="s">
        <v>9087</v>
      </c>
      <c r="D10974" s="18">
        <v>2022</v>
      </c>
      <c r="E10974" s="18" t="s">
        <v>0</v>
      </c>
      <c r="F10974" s="42">
        <v>1</v>
      </c>
      <c r="G10974" s="4">
        <v>15</v>
      </c>
      <c r="H10974" s="18">
        <v>45.483980000000003</v>
      </c>
    </row>
    <row r="10975" spans="1:8" s="15" customFormat="1" ht="16.5" hidden="1" customHeight="1" outlineLevel="1" x14ac:dyDescent="0.25">
      <c r="A10975" s="18">
        <v>5254</v>
      </c>
      <c r="B10975" s="4" t="s">
        <v>250</v>
      </c>
      <c r="C10975" s="38" t="s">
        <v>9088</v>
      </c>
      <c r="D10975" s="18">
        <v>2022</v>
      </c>
      <c r="E10975" s="18" t="s">
        <v>0</v>
      </c>
      <c r="F10975" s="42">
        <v>1</v>
      </c>
      <c r="G10975" s="4">
        <v>15</v>
      </c>
      <c r="H10975" s="18">
        <v>51.499130000000001</v>
      </c>
    </row>
    <row r="10976" spans="1:8" s="15" customFormat="1" ht="16.5" hidden="1" customHeight="1" outlineLevel="1" x14ac:dyDescent="0.25">
      <c r="A10976" s="18">
        <v>5255</v>
      </c>
      <c r="B10976" s="4" t="s">
        <v>250</v>
      </c>
      <c r="C10976" s="38" t="s">
        <v>9089</v>
      </c>
      <c r="D10976" s="18">
        <v>2022</v>
      </c>
      <c r="E10976" s="18" t="s">
        <v>0</v>
      </c>
      <c r="F10976" s="42">
        <v>1</v>
      </c>
      <c r="G10976" s="4">
        <v>15</v>
      </c>
      <c r="H10976" s="18">
        <v>52.081580000000002</v>
      </c>
    </row>
    <row r="10977" spans="1:8" s="15" customFormat="1" ht="16.5" hidden="1" customHeight="1" outlineLevel="1" x14ac:dyDescent="0.25">
      <c r="A10977" s="18">
        <v>5247</v>
      </c>
      <c r="B10977" s="4" t="s">
        <v>250</v>
      </c>
      <c r="C10977" s="38" t="s">
        <v>9090</v>
      </c>
      <c r="D10977" s="18">
        <v>2022</v>
      </c>
      <c r="E10977" s="18" t="s">
        <v>0</v>
      </c>
      <c r="F10977" s="42">
        <v>1</v>
      </c>
      <c r="G10977" s="4">
        <v>15</v>
      </c>
      <c r="H10977" s="18">
        <v>58.707099999999997</v>
      </c>
    </row>
    <row r="10978" spans="1:8" s="15" customFormat="1" ht="16.5" hidden="1" customHeight="1" outlineLevel="1" x14ac:dyDescent="0.25">
      <c r="A10978" s="18">
        <v>5248</v>
      </c>
      <c r="B10978" s="4" t="s">
        <v>250</v>
      </c>
      <c r="C10978" s="38" t="s">
        <v>9091</v>
      </c>
      <c r="D10978" s="18">
        <v>2022</v>
      </c>
      <c r="E10978" s="18" t="s">
        <v>0</v>
      </c>
      <c r="F10978" s="42">
        <v>1</v>
      </c>
      <c r="G10978" s="4">
        <v>15</v>
      </c>
      <c r="H10978" s="18">
        <v>52.059179999999998</v>
      </c>
    </row>
    <row r="10979" spans="1:8" s="15" customFormat="1" ht="16.5" hidden="1" customHeight="1" outlineLevel="1" x14ac:dyDescent="0.25">
      <c r="A10979" s="18">
        <v>5249</v>
      </c>
      <c r="B10979" s="4" t="s">
        <v>250</v>
      </c>
      <c r="C10979" s="38" t="s">
        <v>9092</v>
      </c>
      <c r="D10979" s="18">
        <v>2022</v>
      </c>
      <c r="E10979" s="18" t="s">
        <v>0</v>
      </c>
      <c r="F10979" s="42">
        <v>1</v>
      </c>
      <c r="G10979" s="4">
        <v>15</v>
      </c>
      <c r="H10979" s="18">
        <v>27.262810000000002</v>
      </c>
    </row>
    <row r="10980" spans="1:8" s="15" customFormat="1" ht="16.5" hidden="1" customHeight="1" outlineLevel="1" x14ac:dyDescent="0.25">
      <c r="A10980" s="18">
        <v>5250</v>
      </c>
      <c r="B10980" s="4" t="s">
        <v>250</v>
      </c>
      <c r="C10980" s="38" t="s">
        <v>9093</v>
      </c>
      <c r="D10980" s="18">
        <v>2022</v>
      </c>
      <c r="E10980" s="18" t="s">
        <v>0</v>
      </c>
      <c r="F10980" s="42">
        <v>1</v>
      </c>
      <c r="G10980" s="4">
        <v>15</v>
      </c>
      <c r="H10980" s="18">
        <v>55.383139999999997</v>
      </c>
    </row>
    <row r="10981" spans="1:8" s="15" customFormat="1" ht="16.5" hidden="1" customHeight="1" outlineLevel="1" x14ac:dyDescent="0.25">
      <c r="A10981" s="18">
        <v>5251</v>
      </c>
      <c r="B10981" s="4" t="s">
        <v>250</v>
      </c>
      <c r="C10981" s="38" t="s">
        <v>9094</v>
      </c>
      <c r="D10981" s="18">
        <v>2022</v>
      </c>
      <c r="E10981" s="18" t="s">
        <v>0</v>
      </c>
      <c r="F10981" s="42">
        <v>1</v>
      </c>
      <c r="G10981" s="4">
        <v>15</v>
      </c>
      <c r="H10981" s="18">
        <v>30.58681</v>
      </c>
    </row>
    <row r="10982" spans="1:8" s="15" customFormat="1" ht="16.5" hidden="1" customHeight="1" outlineLevel="1" x14ac:dyDescent="0.25">
      <c r="A10982" s="18">
        <v>5242</v>
      </c>
      <c r="B10982" s="4" t="s">
        <v>250</v>
      </c>
      <c r="C10982" s="38" t="s">
        <v>9095</v>
      </c>
      <c r="D10982" s="18">
        <v>2022</v>
      </c>
      <c r="E10982" s="18" t="s">
        <v>0</v>
      </c>
      <c r="F10982" s="42">
        <v>1</v>
      </c>
      <c r="G10982" s="4">
        <v>15</v>
      </c>
      <c r="H10982" s="18">
        <v>55.428069999999998</v>
      </c>
    </row>
    <row r="10983" spans="1:8" s="15" customFormat="1" ht="16.5" hidden="1" customHeight="1" outlineLevel="1" x14ac:dyDescent="0.25">
      <c r="A10983" s="18">
        <v>5243</v>
      </c>
      <c r="B10983" s="4" t="s">
        <v>250</v>
      </c>
      <c r="C10983" s="38" t="s">
        <v>9096</v>
      </c>
      <c r="D10983" s="18">
        <v>2022</v>
      </c>
      <c r="E10983" s="18" t="s">
        <v>0</v>
      </c>
      <c r="F10983" s="42">
        <v>1</v>
      </c>
      <c r="G10983" s="4">
        <v>15</v>
      </c>
      <c r="H10983" s="18">
        <v>28.340890000000002</v>
      </c>
    </row>
    <row r="10984" spans="1:8" s="15" customFormat="1" ht="16.5" hidden="1" customHeight="1" outlineLevel="1" x14ac:dyDescent="0.25">
      <c r="A10984" s="18">
        <v>5244</v>
      </c>
      <c r="B10984" s="4" t="s">
        <v>250</v>
      </c>
      <c r="C10984" s="38" t="s">
        <v>9097</v>
      </c>
      <c r="D10984" s="18">
        <v>2022</v>
      </c>
      <c r="E10984" s="18" t="s">
        <v>0</v>
      </c>
      <c r="F10984" s="42">
        <v>1</v>
      </c>
      <c r="G10984" s="4">
        <v>15</v>
      </c>
      <c r="H10984" s="18">
        <v>55.420870000000001</v>
      </c>
    </row>
    <row r="10985" spans="1:8" s="15" customFormat="1" ht="16.5" hidden="1" customHeight="1" outlineLevel="1" x14ac:dyDescent="0.25">
      <c r="A10985" s="18">
        <v>5237</v>
      </c>
      <c r="B10985" s="4" t="s">
        <v>250</v>
      </c>
      <c r="C10985" s="38" t="s">
        <v>9098</v>
      </c>
      <c r="D10985" s="18">
        <v>2022</v>
      </c>
      <c r="E10985" s="18" t="s">
        <v>0</v>
      </c>
      <c r="F10985" s="42">
        <v>1</v>
      </c>
      <c r="G10985" s="4">
        <v>15</v>
      </c>
      <c r="H10985" s="18">
        <v>29.624659999999999</v>
      </c>
    </row>
    <row r="10986" spans="1:8" s="15" customFormat="1" ht="16.5" hidden="1" customHeight="1" outlineLevel="1" x14ac:dyDescent="0.25">
      <c r="A10986" s="18">
        <v>5246</v>
      </c>
      <c r="B10986" s="4" t="s">
        <v>250</v>
      </c>
      <c r="C10986" s="38" t="s">
        <v>9099</v>
      </c>
      <c r="D10986" s="18">
        <v>2022</v>
      </c>
      <c r="E10986" s="18" t="s">
        <v>0</v>
      </c>
      <c r="F10986" s="42">
        <v>1</v>
      </c>
      <c r="G10986" s="4">
        <v>12</v>
      </c>
      <c r="H10986" s="18">
        <v>29.624639999999999</v>
      </c>
    </row>
    <row r="10987" spans="1:8" s="15" customFormat="1" ht="16.5" hidden="1" customHeight="1" outlineLevel="1" x14ac:dyDescent="0.25">
      <c r="A10987" s="18">
        <v>5238</v>
      </c>
      <c r="B10987" s="4" t="s">
        <v>250</v>
      </c>
      <c r="C10987" s="38" t="s">
        <v>9100</v>
      </c>
      <c r="D10987" s="18">
        <v>2022</v>
      </c>
      <c r="E10987" s="18" t="s">
        <v>0</v>
      </c>
      <c r="F10987" s="42">
        <v>1</v>
      </c>
      <c r="G10987" s="4">
        <v>15</v>
      </c>
      <c r="H10987" s="18">
        <v>29.645820000000001</v>
      </c>
    </row>
    <row r="10988" spans="1:8" s="15" customFormat="1" ht="16.5" hidden="1" customHeight="1" outlineLevel="1" x14ac:dyDescent="0.25">
      <c r="A10988" s="18">
        <v>5233</v>
      </c>
      <c r="B10988" s="4" t="s">
        <v>250</v>
      </c>
      <c r="C10988" s="38" t="s">
        <v>9101</v>
      </c>
      <c r="D10988" s="18">
        <v>2022</v>
      </c>
      <c r="E10988" s="18" t="s">
        <v>0</v>
      </c>
      <c r="F10988" s="42">
        <v>1</v>
      </c>
      <c r="G10988" s="4">
        <v>14.87</v>
      </c>
      <c r="H10988" s="18">
        <v>29.578869999999998</v>
      </c>
    </row>
    <row r="10989" spans="1:8" s="15" customFormat="1" ht="16.5" hidden="1" customHeight="1" outlineLevel="1" x14ac:dyDescent="0.25">
      <c r="A10989" s="18">
        <v>5234</v>
      </c>
      <c r="B10989" s="4" t="s">
        <v>250</v>
      </c>
      <c r="C10989" s="38" t="s">
        <v>9102</v>
      </c>
      <c r="D10989" s="18">
        <v>2022</v>
      </c>
      <c r="E10989" s="18" t="s">
        <v>0</v>
      </c>
      <c r="F10989" s="42">
        <v>1</v>
      </c>
      <c r="G10989" s="4">
        <v>10</v>
      </c>
      <c r="H10989" s="18">
        <v>28.940619999999999</v>
      </c>
    </row>
    <row r="10990" spans="1:8" s="15" customFormat="1" ht="16.5" hidden="1" customHeight="1" outlineLevel="1" x14ac:dyDescent="0.25">
      <c r="A10990" s="18">
        <v>5228</v>
      </c>
      <c r="B10990" s="4" t="s">
        <v>250</v>
      </c>
      <c r="C10990" s="38" t="s">
        <v>9103</v>
      </c>
      <c r="D10990" s="18">
        <v>2022</v>
      </c>
      <c r="E10990" s="18" t="s">
        <v>0</v>
      </c>
      <c r="F10990" s="42">
        <v>1</v>
      </c>
      <c r="G10990" s="4">
        <v>14.2</v>
      </c>
      <c r="H10990" s="18">
        <v>31.844080000000002</v>
      </c>
    </row>
    <row r="10991" spans="1:8" s="15" customFormat="1" ht="16.5" hidden="1" customHeight="1" outlineLevel="1" x14ac:dyDescent="0.25">
      <c r="A10991" s="18">
        <v>5230</v>
      </c>
      <c r="B10991" s="4" t="s">
        <v>250</v>
      </c>
      <c r="C10991" s="38" t="s">
        <v>9104</v>
      </c>
      <c r="D10991" s="18">
        <v>2022</v>
      </c>
      <c r="E10991" s="18" t="s">
        <v>0</v>
      </c>
      <c r="F10991" s="42">
        <v>1</v>
      </c>
      <c r="G10991" s="4">
        <v>15</v>
      </c>
      <c r="H10991" s="18">
        <v>28.59442</v>
      </c>
    </row>
    <row r="10992" spans="1:8" s="15" customFormat="1" ht="16.5" hidden="1" customHeight="1" outlineLevel="1" x14ac:dyDescent="0.25">
      <c r="A10992" s="18">
        <v>5229</v>
      </c>
      <c r="B10992" s="4" t="s">
        <v>250</v>
      </c>
      <c r="C10992" s="38" t="s">
        <v>9105</v>
      </c>
      <c r="D10992" s="18">
        <v>2022</v>
      </c>
      <c r="E10992" s="18" t="s">
        <v>0</v>
      </c>
      <c r="F10992" s="42">
        <v>1</v>
      </c>
      <c r="G10992" s="4">
        <v>15</v>
      </c>
      <c r="H10992" s="18">
        <v>29.070260000000001</v>
      </c>
    </row>
    <row r="10993" spans="1:8" s="15" customFormat="1" ht="16.5" hidden="1" customHeight="1" outlineLevel="1" x14ac:dyDescent="0.25">
      <c r="A10993" s="18">
        <v>5395</v>
      </c>
      <c r="B10993" s="4" t="s">
        <v>250</v>
      </c>
      <c r="C10993" s="38" t="s">
        <v>3891</v>
      </c>
      <c r="D10993" s="18">
        <v>2022</v>
      </c>
      <c r="E10993" s="18" t="s">
        <v>0</v>
      </c>
      <c r="F10993" s="42">
        <v>1</v>
      </c>
      <c r="G10993" s="4">
        <v>15</v>
      </c>
      <c r="H10993" s="18">
        <v>22</v>
      </c>
    </row>
    <row r="10994" spans="1:8" s="15" customFormat="1" ht="16.5" hidden="1" customHeight="1" outlineLevel="1" x14ac:dyDescent="0.25">
      <c r="A10994" s="18">
        <v>5396</v>
      </c>
      <c r="B10994" s="4" t="s">
        <v>250</v>
      </c>
      <c r="C10994" s="38" t="s">
        <v>3892</v>
      </c>
      <c r="D10994" s="18">
        <v>2022</v>
      </c>
      <c r="E10994" s="18" t="s">
        <v>0</v>
      </c>
      <c r="F10994" s="42">
        <v>1</v>
      </c>
      <c r="G10994" s="4">
        <v>15</v>
      </c>
      <c r="H10994" s="18">
        <v>22</v>
      </c>
    </row>
    <row r="10995" spans="1:8" s="15" customFormat="1" ht="16.5" hidden="1" customHeight="1" outlineLevel="1" x14ac:dyDescent="0.25">
      <c r="A10995" s="18">
        <v>5397</v>
      </c>
      <c r="B10995" s="4" t="s">
        <v>250</v>
      </c>
      <c r="C10995" s="38" t="s">
        <v>3893</v>
      </c>
      <c r="D10995" s="18">
        <v>2022</v>
      </c>
      <c r="E10995" s="18" t="s">
        <v>0</v>
      </c>
      <c r="F10995" s="42">
        <v>1</v>
      </c>
      <c r="G10995" s="4">
        <v>15</v>
      </c>
      <c r="H10995" s="18">
        <v>22</v>
      </c>
    </row>
    <row r="10996" spans="1:8" s="15" customFormat="1" ht="16.5" hidden="1" customHeight="1" outlineLevel="1" x14ac:dyDescent="0.25">
      <c r="A10996" s="18">
        <v>5398</v>
      </c>
      <c r="B10996" s="4" t="s">
        <v>250</v>
      </c>
      <c r="C10996" s="38" t="s">
        <v>3894</v>
      </c>
      <c r="D10996" s="18">
        <v>2022</v>
      </c>
      <c r="E10996" s="18" t="s">
        <v>0</v>
      </c>
      <c r="F10996" s="42">
        <v>1</v>
      </c>
      <c r="G10996" s="4">
        <v>150</v>
      </c>
      <c r="H10996" s="18">
        <v>22</v>
      </c>
    </row>
    <row r="10997" spans="1:8" s="15" customFormat="1" ht="16.5" hidden="1" customHeight="1" outlineLevel="1" x14ac:dyDescent="0.25">
      <c r="A10997" s="18">
        <v>5360</v>
      </c>
      <c r="B10997" s="4" t="s">
        <v>250</v>
      </c>
      <c r="C10997" s="38" t="s">
        <v>3895</v>
      </c>
      <c r="D10997" s="18">
        <v>2022</v>
      </c>
      <c r="E10997" s="18" t="s">
        <v>0</v>
      </c>
      <c r="F10997" s="42">
        <v>1</v>
      </c>
      <c r="G10997" s="4">
        <v>15</v>
      </c>
      <c r="H10997" s="18">
        <v>47</v>
      </c>
    </row>
    <row r="10998" spans="1:8" s="15" customFormat="1" ht="16.5" hidden="1" customHeight="1" outlineLevel="1" x14ac:dyDescent="0.25">
      <c r="A10998" s="18">
        <v>5361</v>
      </c>
      <c r="B10998" s="4" t="s">
        <v>250</v>
      </c>
      <c r="C10998" s="38" t="s">
        <v>3896</v>
      </c>
      <c r="D10998" s="18">
        <v>2022</v>
      </c>
      <c r="E10998" s="18" t="s">
        <v>0</v>
      </c>
      <c r="F10998" s="42">
        <v>1</v>
      </c>
      <c r="G10998" s="4">
        <v>7.5</v>
      </c>
      <c r="H10998" s="18">
        <v>41</v>
      </c>
    </row>
    <row r="10999" spans="1:8" s="15" customFormat="1" ht="16.5" hidden="1" customHeight="1" outlineLevel="1" x14ac:dyDescent="0.25">
      <c r="A10999" s="18">
        <v>5226</v>
      </c>
      <c r="B10999" s="4" t="s">
        <v>250</v>
      </c>
      <c r="C10999" s="38" t="s">
        <v>3897</v>
      </c>
      <c r="D10999" s="18">
        <v>2022</v>
      </c>
      <c r="E10999" s="18" t="s">
        <v>0</v>
      </c>
      <c r="F10999" s="42">
        <v>1</v>
      </c>
      <c r="G10999" s="4">
        <v>13</v>
      </c>
      <c r="H10999" s="18">
        <v>51</v>
      </c>
    </row>
    <row r="11000" spans="1:8" s="15" customFormat="1" ht="16.5" hidden="1" customHeight="1" outlineLevel="1" x14ac:dyDescent="0.25">
      <c r="A11000" s="18">
        <v>5227</v>
      </c>
      <c r="B11000" s="4" t="s">
        <v>250</v>
      </c>
      <c r="C11000" s="38" t="s">
        <v>3898</v>
      </c>
      <c r="D11000" s="18">
        <v>2022</v>
      </c>
      <c r="E11000" s="18" t="s">
        <v>0</v>
      </c>
      <c r="F11000" s="42">
        <v>1</v>
      </c>
      <c r="G11000" s="4">
        <v>15</v>
      </c>
      <c r="H11000" s="18">
        <v>51</v>
      </c>
    </row>
    <row r="11001" spans="1:8" s="15" customFormat="1" ht="16.5" hidden="1" customHeight="1" outlineLevel="1" x14ac:dyDescent="0.25">
      <c r="A11001" s="18">
        <v>5232</v>
      </c>
      <c r="B11001" s="4" t="s">
        <v>250</v>
      </c>
      <c r="C11001" s="38" t="s">
        <v>9106</v>
      </c>
      <c r="D11001" s="18">
        <v>2022</v>
      </c>
      <c r="E11001" s="18" t="s">
        <v>0</v>
      </c>
      <c r="F11001" s="42">
        <v>1</v>
      </c>
      <c r="G11001" s="4">
        <v>15</v>
      </c>
      <c r="H11001" s="18">
        <v>28</v>
      </c>
    </row>
    <row r="11002" spans="1:8" s="15" customFormat="1" ht="16.5" hidden="1" customHeight="1" outlineLevel="1" x14ac:dyDescent="0.25">
      <c r="A11002" s="18">
        <v>5077</v>
      </c>
      <c r="B11002" s="4" t="s">
        <v>250</v>
      </c>
      <c r="C11002" s="38" t="s">
        <v>3899</v>
      </c>
      <c r="D11002" s="18">
        <v>2022</v>
      </c>
      <c r="E11002" s="18" t="s">
        <v>0</v>
      </c>
      <c r="F11002" s="42">
        <v>1</v>
      </c>
      <c r="G11002" s="4">
        <v>15</v>
      </c>
      <c r="H11002" s="18">
        <v>34</v>
      </c>
    </row>
    <row r="11003" spans="1:8" s="15" customFormat="1" ht="16.5" hidden="1" customHeight="1" outlineLevel="1" x14ac:dyDescent="0.25">
      <c r="A11003" s="18">
        <v>5076</v>
      </c>
      <c r="B11003" s="4" t="s">
        <v>250</v>
      </c>
      <c r="C11003" s="38" t="s">
        <v>3900</v>
      </c>
      <c r="D11003" s="18">
        <v>2022</v>
      </c>
      <c r="E11003" s="18" t="s">
        <v>0</v>
      </c>
      <c r="F11003" s="42">
        <v>1</v>
      </c>
      <c r="G11003" s="4">
        <v>7.5</v>
      </c>
      <c r="H11003" s="18">
        <v>44</v>
      </c>
    </row>
    <row r="11004" spans="1:8" s="15" customFormat="1" ht="16.5" hidden="1" customHeight="1" outlineLevel="1" x14ac:dyDescent="0.25">
      <c r="A11004" s="18">
        <v>5084</v>
      </c>
      <c r="B11004" s="4" t="s">
        <v>250</v>
      </c>
      <c r="C11004" s="38" t="s">
        <v>9107</v>
      </c>
      <c r="D11004" s="18">
        <v>2022</v>
      </c>
      <c r="E11004" s="18" t="s">
        <v>0</v>
      </c>
      <c r="F11004" s="42">
        <v>1</v>
      </c>
      <c r="G11004" s="4">
        <v>20</v>
      </c>
      <c r="H11004" s="18">
        <v>61</v>
      </c>
    </row>
    <row r="11005" spans="1:8" s="15" customFormat="1" ht="16.5" hidden="1" customHeight="1" outlineLevel="1" x14ac:dyDescent="0.25">
      <c r="A11005" s="18">
        <v>5224</v>
      </c>
      <c r="B11005" s="4" t="s">
        <v>250</v>
      </c>
      <c r="C11005" s="38" t="s">
        <v>3901</v>
      </c>
      <c r="D11005" s="18">
        <v>2022</v>
      </c>
      <c r="E11005" s="18" t="s">
        <v>0</v>
      </c>
      <c r="F11005" s="42">
        <v>1</v>
      </c>
      <c r="G11005" s="4">
        <v>15</v>
      </c>
      <c r="H11005" s="18">
        <v>20</v>
      </c>
    </row>
    <row r="11006" spans="1:8" s="15" customFormat="1" ht="16.5" hidden="1" customHeight="1" outlineLevel="1" x14ac:dyDescent="0.25">
      <c r="A11006" s="18">
        <v>5225</v>
      </c>
      <c r="B11006" s="4" t="s">
        <v>250</v>
      </c>
      <c r="C11006" s="38" t="s">
        <v>3902</v>
      </c>
      <c r="D11006" s="18">
        <v>2022</v>
      </c>
      <c r="E11006" s="18" t="s">
        <v>0</v>
      </c>
      <c r="F11006" s="42">
        <v>1</v>
      </c>
      <c r="G11006" s="4">
        <v>15</v>
      </c>
      <c r="H11006" s="18">
        <v>31</v>
      </c>
    </row>
    <row r="11007" spans="1:8" s="15" customFormat="1" ht="16.5" hidden="1" customHeight="1" outlineLevel="1" x14ac:dyDescent="0.25">
      <c r="A11007" s="18">
        <v>5212</v>
      </c>
      <c r="B11007" s="4" t="s">
        <v>250</v>
      </c>
      <c r="C11007" s="38" t="s">
        <v>3903</v>
      </c>
      <c r="D11007" s="18">
        <v>2022</v>
      </c>
      <c r="E11007" s="18" t="s">
        <v>0</v>
      </c>
      <c r="F11007" s="42">
        <v>1</v>
      </c>
      <c r="G11007" s="4">
        <v>15</v>
      </c>
      <c r="H11007" s="18">
        <v>26</v>
      </c>
    </row>
    <row r="11008" spans="1:8" s="15" customFormat="1" ht="16.5" hidden="1" customHeight="1" outlineLevel="1" x14ac:dyDescent="0.25">
      <c r="A11008" s="18">
        <v>5213</v>
      </c>
      <c r="B11008" s="4" t="s">
        <v>250</v>
      </c>
      <c r="C11008" s="38" t="s">
        <v>3904</v>
      </c>
      <c r="D11008" s="18">
        <v>2022</v>
      </c>
      <c r="E11008" s="18" t="s">
        <v>0</v>
      </c>
      <c r="F11008" s="42">
        <v>1</v>
      </c>
      <c r="G11008" s="4">
        <v>13</v>
      </c>
      <c r="H11008" s="18">
        <v>29</v>
      </c>
    </row>
    <row r="11009" spans="1:8" s="15" customFormat="1" ht="16.5" hidden="1" customHeight="1" outlineLevel="1" x14ac:dyDescent="0.25">
      <c r="A11009" s="18">
        <v>5149</v>
      </c>
      <c r="B11009" s="4" t="s">
        <v>250</v>
      </c>
      <c r="C11009" s="38" t="s">
        <v>3905</v>
      </c>
      <c r="D11009" s="18">
        <v>2022</v>
      </c>
      <c r="E11009" s="18" t="s">
        <v>0</v>
      </c>
      <c r="F11009" s="42">
        <v>1</v>
      </c>
      <c r="G11009" s="4">
        <v>13.5</v>
      </c>
      <c r="H11009" s="18">
        <v>51</v>
      </c>
    </row>
    <row r="11010" spans="1:8" s="15" customFormat="1" ht="16.5" hidden="1" customHeight="1" outlineLevel="1" x14ac:dyDescent="0.25">
      <c r="A11010" s="18">
        <v>5151</v>
      </c>
      <c r="B11010" s="4" t="s">
        <v>250</v>
      </c>
      <c r="C11010" s="38" t="s">
        <v>3906</v>
      </c>
      <c r="D11010" s="18">
        <v>2022</v>
      </c>
      <c r="E11010" s="18" t="s">
        <v>0</v>
      </c>
      <c r="F11010" s="42">
        <v>1</v>
      </c>
      <c r="G11010" s="4">
        <v>150</v>
      </c>
      <c r="H11010" s="18">
        <v>95</v>
      </c>
    </row>
    <row r="11011" spans="1:8" s="15" customFormat="1" ht="16.5" hidden="1" customHeight="1" outlineLevel="1" x14ac:dyDescent="0.25">
      <c r="A11011" s="18">
        <v>5150</v>
      </c>
      <c r="B11011" s="4" t="s">
        <v>250</v>
      </c>
      <c r="C11011" s="38" t="s">
        <v>3907</v>
      </c>
      <c r="D11011" s="18">
        <v>2022</v>
      </c>
      <c r="E11011" s="18" t="s">
        <v>0</v>
      </c>
      <c r="F11011" s="42">
        <v>1</v>
      </c>
      <c r="G11011" s="4">
        <v>25</v>
      </c>
      <c r="H11011" s="18">
        <v>42</v>
      </c>
    </row>
    <row r="11012" spans="1:8" s="15" customFormat="1" ht="16.5" hidden="1" customHeight="1" outlineLevel="1" x14ac:dyDescent="0.25">
      <c r="A11012" s="18">
        <v>5152</v>
      </c>
      <c r="B11012" s="4" t="s">
        <v>250</v>
      </c>
      <c r="C11012" s="38" t="s">
        <v>3908</v>
      </c>
      <c r="D11012" s="18">
        <v>2022</v>
      </c>
      <c r="E11012" s="18" t="s">
        <v>0</v>
      </c>
      <c r="F11012" s="42">
        <v>1</v>
      </c>
      <c r="G11012" s="4">
        <v>15</v>
      </c>
      <c r="H11012" s="18">
        <v>24</v>
      </c>
    </row>
    <row r="11013" spans="1:8" s="15" customFormat="1" ht="16.5" hidden="1" customHeight="1" outlineLevel="1" x14ac:dyDescent="0.25">
      <c r="A11013" s="18">
        <v>5058</v>
      </c>
      <c r="B11013" s="4" t="s">
        <v>250</v>
      </c>
      <c r="C11013" s="38" t="s">
        <v>3909</v>
      </c>
      <c r="D11013" s="18">
        <v>2022</v>
      </c>
      <c r="E11013" s="18" t="s">
        <v>0</v>
      </c>
      <c r="F11013" s="42">
        <v>1</v>
      </c>
      <c r="G11013" s="4">
        <v>15</v>
      </c>
      <c r="H11013" s="18">
        <v>24</v>
      </c>
    </row>
    <row r="11014" spans="1:8" s="15" customFormat="1" ht="16.5" hidden="1" customHeight="1" outlineLevel="1" x14ac:dyDescent="0.25">
      <c r="A11014" s="18">
        <v>5059</v>
      </c>
      <c r="B11014" s="4" t="s">
        <v>250</v>
      </c>
      <c r="C11014" s="38" t="s">
        <v>3910</v>
      </c>
      <c r="D11014" s="18">
        <v>2022</v>
      </c>
      <c r="E11014" s="18" t="s">
        <v>0</v>
      </c>
      <c r="F11014" s="42">
        <v>2</v>
      </c>
      <c r="G11014" s="4">
        <v>30</v>
      </c>
      <c r="H11014" s="18">
        <v>48</v>
      </c>
    </row>
    <row r="11015" spans="1:8" s="15" customFormat="1" ht="16.5" hidden="1" customHeight="1" outlineLevel="1" x14ac:dyDescent="0.25">
      <c r="A11015" s="18">
        <v>5068</v>
      </c>
      <c r="B11015" s="4" t="s">
        <v>250</v>
      </c>
      <c r="C11015" s="38" t="s">
        <v>9108</v>
      </c>
      <c r="D11015" s="18">
        <v>2022</v>
      </c>
      <c r="E11015" s="18" t="s">
        <v>0</v>
      </c>
      <c r="F11015" s="42">
        <v>1</v>
      </c>
      <c r="G11015" s="4">
        <v>90</v>
      </c>
      <c r="H11015" s="18">
        <v>24</v>
      </c>
    </row>
    <row r="11016" spans="1:8" s="15" customFormat="1" ht="16.5" hidden="1" customHeight="1" outlineLevel="1" x14ac:dyDescent="0.25">
      <c r="A11016" s="18">
        <v>5338</v>
      </c>
      <c r="B11016" s="4" t="s">
        <v>250</v>
      </c>
      <c r="C11016" s="38" t="s">
        <v>3912</v>
      </c>
      <c r="D11016" s="18">
        <v>2022</v>
      </c>
      <c r="E11016" s="18" t="s">
        <v>0</v>
      </c>
      <c r="F11016" s="42">
        <v>1</v>
      </c>
      <c r="G11016" s="4">
        <v>2</v>
      </c>
      <c r="H11016" s="18">
        <v>15</v>
      </c>
    </row>
    <row r="11017" spans="1:8" s="15" customFormat="1" ht="16.5" hidden="1" customHeight="1" outlineLevel="1" x14ac:dyDescent="0.25">
      <c r="A11017" s="18">
        <v>5144</v>
      </c>
      <c r="B11017" s="4" t="s">
        <v>250</v>
      </c>
      <c r="C11017" s="38" t="s">
        <v>3914</v>
      </c>
      <c r="D11017" s="18">
        <v>2022</v>
      </c>
      <c r="E11017" s="18" t="s">
        <v>0</v>
      </c>
      <c r="F11017" s="42">
        <v>1</v>
      </c>
      <c r="G11017" s="4">
        <v>15</v>
      </c>
      <c r="H11017" s="18">
        <v>24</v>
      </c>
    </row>
    <row r="11018" spans="1:8" s="15" customFormat="1" ht="16.5" hidden="1" customHeight="1" outlineLevel="1" x14ac:dyDescent="0.25">
      <c r="A11018" s="18">
        <v>5301</v>
      </c>
      <c r="B11018" s="4" t="s">
        <v>250</v>
      </c>
      <c r="C11018" s="38" t="s">
        <v>3915</v>
      </c>
      <c r="D11018" s="18">
        <v>2022</v>
      </c>
      <c r="E11018" s="18" t="s">
        <v>0</v>
      </c>
      <c r="F11018" s="42">
        <v>2</v>
      </c>
      <c r="G11018" s="4">
        <v>15</v>
      </c>
      <c r="H11018" s="18">
        <v>339</v>
      </c>
    </row>
    <row r="11019" spans="1:8" s="15" customFormat="1" ht="16.5" hidden="1" customHeight="1" outlineLevel="1" x14ac:dyDescent="0.25">
      <c r="A11019" s="18">
        <v>5302</v>
      </c>
      <c r="B11019" s="4" t="s">
        <v>250</v>
      </c>
      <c r="C11019" s="38" t="s">
        <v>3916</v>
      </c>
      <c r="D11019" s="18">
        <v>2022</v>
      </c>
      <c r="E11019" s="18" t="s">
        <v>0</v>
      </c>
      <c r="F11019" s="42">
        <v>1</v>
      </c>
      <c r="G11019" s="4">
        <v>25</v>
      </c>
      <c r="H11019" s="18">
        <v>311</v>
      </c>
    </row>
    <row r="11020" spans="1:8" s="15" customFormat="1" ht="16.5" hidden="1" customHeight="1" outlineLevel="1" x14ac:dyDescent="0.25">
      <c r="A11020" s="18">
        <v>5256</v>
      </c>
      <c r="B11020" s="4" t="s">
        <v>250</v>
      </c>
      <c r="C11020" s="38" t="s">
        <v>3917</v>
      </c>
      <c r="D11020" s="18">
        <v>2022</v>
      </c>
      <c r="E11020" s="18" t="s">
        <v>0</v>
      </c>
      <c r="F11020" s="42">
        <v>1</v>
      </c>
      <c r="G11020" s="4">
        <v>15</v>
      </c>
      <c r="H11020" s="18">
        <v>24</v>
      </c>
    </row>
    <row r="11021" spans="1:8" s="15" customFormat="1" ht="16.5" hidden="1" customHeight="1" outlineLevel="1" x14ac:dyDescent="0.25">
      <c r="A11021" s="18">
        <v>5258</v>
      </c>
      <c r="B11021" s="4" t="s">
        <v>250</v>
      </c>
      <c r="C11021" s="38" t="s">
        <v>3918</v>
      </c>
      <c r="D11021" s="18">
        <v>2022</v>
      </c>
      <c r="E11021" s="18" t="s">
        <v>0</v>
      </c>
      <c r="F11021" s="42">
        <v>1</v>
      </c>
      <c r="G11021" s="4">
        <v>15</v>
      </c>
      <c r="H11021" s="18">
        <v>35</v>
      </c>
    </row>
    <row r="11022" spans="1:8" s="15" customFormat="1" ht="16.5" hidden="1" customHeight="1" outlineLevel="1" x14ac:dyDescent="0.25">
      <c r="A11022" s="18">
        <v>5259</v>
      </c>
      <c r="B11022" s="4" t="s">
        <v>250</v>
      </c>
      <c r="C11022" s="38" t="s">
        <v>3919</v>
      </c>
      <c r="D11022" s="18">
        <v>2022</v>
      </c>
      <c r="E11022" s="18" t="s">
        <v>0</v>
      </c>
      <c r="F11022" s="42">
        <v>1</v>
      </c>
      <c r="G11022" s="4">
        <v>15</v>
      </c>
      <c r="H11022" s="18">
        <v>49</v>
      </c>
    </row>
    <row r="11023" spans="1:8" s="15" customFormat="1" ht="16.5" hidden="1" customHeight="1" outlineLevel="1" x14ac:dyDescent="0.25">
      <c r="A11023" s="18">
        <v>5260</v>
      </c>
      <c r="B11023" s="4" t="s">
        <v>250</v>
      </c>
      <c r="C11023" s="38" t="s">
        <v>3920</v>
      </c>
      <c r="D11023" s="18">
        <v>2022</v>
      </c>
      <c r="E11023" s="18" t="s">
        <v>0</v>
      </c>
      <c r="F11023" s="42">
        <v>1</v>
      </c>
      <c r="G11023" s="4">
        <v>15</v>
      </c>
      <c r="H11023" s="18">
        <v>54</v>
      </c>
    </row>
    <row r="11024" spans="1:8" s="15" customFormat="1" ht="16.5" hidden="1" customHeight="1" outlineLevel="1" x14ac:dyDescent="0.25">
      <c r="A11024" s="18">
        <v>5098</v>
      </c>
      <c r="B11024" s="4" t="s">
        <v>250</v>
      </c>
      <c r="C11024" s="38" t="s">
        <v>3921</v>
      </c>
      <c r="D11024" s="18">
        <v>2022</v>
      </c>
      <c r="E11024" s="18" t="s">
        <v>0</v>
      </c>
      <c r="F11024" s="42">
        <v>1</v>
      </c>
      <c r="G11024" s="4">
        <v>150</v>
      </c>
      <c r="H11024" s="18">
        <v>94</v>
      </c>
    </row>
    <row r="11025" spans="1:8" s="15" customFormat="1" ht="16.5" hidden="1" customHeight="1" outlineLevel="1" x14ac:dyDescent="0.25">
      <c r="A11025" s="18">
        <v>5099</v>
      </c>
      <c r="B11025" s="4" t="s">
        <v>250</v>
      </c>
      <c r="C11025" s="38" t="s">
        <v>3922</v>
      </c>
      <c r="D11025" s="18">
        <v>2022</v>
      </c>
      <c r="E11025" s="18" t="s">
        <v>0</v>
      </c>
      <c r="F11025" s="42">
        <v>1</v>
      </c>
      <c r="G11025" s="4">
        <v>15</v>
      </c>
      <c r="H11025" s="18">
        <v>94</v>
      </c>
    </row>
    <row r="11026" spans="1:8" s="15" customFormat="1" ht="16.5" hidden="1" customHeight="1" outlineLevel="1" x14ac:dyDescent="0.25">
      <c r="A11026" s="18">
        <v>5100</v>
      </c>
      <c r="B11026" s="4" t="s">
        <v>250</v>
      </c>
      <c r="C11026" s="38" t="s">
        <v>3923</v>
      </c>
      <c r="D11026" s="18">
        <v>2022</v>
      </c>
      <c r="E11026" s="18" t="s">
        <v>0</v>
      </c>
      <c r="F11026" s="42">
        <v>1</v>
      </c>
      <c r="G11026" s="4">
        <v>10</v>
      </c>
      <c r="H11026" s="18">
        <v>89</v>
      </c>
    </row>
    <row r="11027" spans="1:8" s="15" customFormat="1" ht="16.5" hidden="1" customHeight="1" outlineLevel="1" x14ac:dyDescent="0.25">
      <c r="A11027" s="18">
        <v>5101</v>
      </c>
      <c r="B11027" s="4" t="s">
        <v>250</v>
      </c>
      <c r="C11027" s="38" t="s">
        <v>3924</v>
      </c>
      <c r="D11027" s="18">
        <v>2022</v>
      </c>
      <c r="E11027" s="18" t="s">
        <v>0</v>
      </c>
      <c r="F11027" s="42">
        <v>1</v>
      </c>
      <c r="G11027" s="4">
        <v>15</v>
      </c>
      <c r="H11027" s="18">
        <v>87</v>
      </c>
    </row>
    <row r="11028" spans="1:8" s="15" customFormat="1" ht="16.5" hidden="1" customHeight="1" outlineLevel="1" x14ac:dyDescent="0.25">
      <c r="A11028" s="18">
        <v>5102</v>
      </c>
      <c r="B11028" s="4" t="s">
        <v>250</v>
      </c>
      <c r="C11028" s="38" t="s">
        <v>3925</v>
      </c>
      <c r="D11028" s="18">
        <v>2022</v>
      </c>
      <c r="E11028" s="18" t="s">
        <v>0</v>
      </c>
      <c r="F11028" s="42">
        <v>1</v>
      </c>
      <c r="G11028" s="4">
        <v>15</v>
      </c>
      <c r="H11028" s="18">
        <v>47</v>
      </c>
    </row>
    <row r="11029" spans="1:8" s="15" customFormat="1" ht="16.5" hidden="1" customHeight="1" outlineLevel="1" x14ac:dyDescent="0.25">
      <c r="A11029" s="18">
        <v>5103</v>
      </c>
      <c r="B11029" s="4" t="s">
        <v>250</v>
      </c>
      <c r="C11029" s="38" t="s">
        <v>3926</v>
      </c>
      <c r="D11029" s="18">
        <v>2022</v>
      </c>
      <c r="E11029" s="18" t="s">
        <v>0</v>
      </c>
      <c r="F11029" s="42">
        <v>1</v>
      </c>
      <c r="G11029" s="4">
        <v>15</v>
      </c>
      <c r="H11029" s="18">
        <v>42</v>
      </c>
    </row>
    <row r="11030" spans="1:8" s="15" customFormat="1" ht="16.5" hidden="1" customHeight="1" outlineLevel="1" x14ac:dyDescent="0.25">
      <c r="A11030" s="18">
        <v>5104</v>
      </c>
      <c r="B11030" s="4" t="s">
        <v>250</v>
      </c>
      <c r="C11030" s="38" t="s">
        <v>3927</v>
      </c>
      <c r="D11030" s="18">
        <v>2022</v>
      </c>
      <c r="E11030" s="18" t="s">
        <v>0</v>
      </c>
      <c r="F11030" s="42">
        <v>1</v>
      </c>
      <c r="G11030" s="4">
        <v>15</v>
      </c>
      <c r="H11030" s="18">
        <v>46</v>
      </c>
    </row>
    <row r="11031" spans="1:8" s="15" customFormat="1" ht="16.5" hidden="1" customHeight="1" outlineLevel="1" x14ac:dyDescent="0.25">
      <c r="A11031" s="18">
        <v>5257</v>
      </c>
      <c r="B11031" s="4" t="s">
        <v>250</v>
      </c>
      <c r="C11031" s="38" t="s">
        <v>3928</v>
      </c>
      <c r="D11031" s="18">
        <v>2022</v>
      </c>
      <c r="E11031" s="18" t="s">
        <v>0</v>
      </c>
      <c r="F11031" s="42">
        <v>1</v>
      </c>
      <c r="G11031" s="4">
        <v>7.5</v>
      </c>
      <c r="H11031" s="18">
        <v>40</v>
      </c>
    </row>
    <row r="11032" spans="1:8" s="15" customFormat="1" ht="16.5" hidden="1" customHeight="1" outlineLevel="1" x14ac:dyDescent="0.25">
      <c r="A11032" s="18">
        <v>5307</v>
      </c>
      <c r="B11032" s="4" t="s">
        <v>250</v>
      </c>
      <c r="C11032" s="38" t="s">
        <v>9109</v>
      </c>
      <c r="D11032" s="18">
        <v>2022</v>
      </c>
      <c r="E11032" s="18" t="s">
        <v>0</v>
      </c>
      <c r="F11032" s="42">
        <v>1</v>
      </c>
      <c r="G11032" s="4">
        <v>15</v>
      </c>
      <c r="H11032" s="18">
        <v>37</v>
      </c>
    </row>
    <row r="11033" spans="1:8" s="15" customFormat="1" ht="16.5" hidden="1" customHeight="1" outlineLevel="1" x14ac:dyDescent="0.25">
      <c r="A11033" s="18">
        <v>5310</v>
      </c>
      <c r="B11033" s="4" t="s">
        <v>250</v>
      </c>
      <c r="C11033" s="38" t="s">
        <v>9110</v>
      </c>
      <c r="D11033" s="18">
        <v>2022</v>
      </c>
      <c r="E11033" s="18" t="s">
        <v>0</v>
      </c>
      <c r="F11033" s="42">
        <v>1</v>
      </c>
      <c r="G11033" s="4">
        <v>10</v>
      </c>
      <c r="H11033" s="18">
        <v>36</v>
      </c>
    </row>
    <row r="11034" spans="1:8" s="15" customFormat="1" ht="16.5" hidden="1" customHeight="1" outlineLevel="1" x14ac:dyDescent="0.25">
      <c r="A11034" s="18">
        <v>5311</v>
      </c>
      <c r="B11034" s="4" t="s">
        <v>250</v>
      </c>
      <c r="C11034" s="38" t="s">
        <v>9111</v>
      </c>
      <c r="D11034" s="18">
        <v>2022</v>
      </c>
      <c r="E11034" s="18" t="s">
        <v>0</v>
      </c>
      <c r="F11034" s="42">
        <v>1</v>
      </c>
      <c r="G11034" s="4">
        <v>15</v>
      </c>
      <c r="H11034" s="18">
        <v>36</v>
      </c>
    </row>
    <row r="11035" spans="1:8" s="15" customFormat="1" ht="16.5" hidden="1" customHeight="1" outlineLevel="1" x14ac:dyDescent="0.25">
      <c r="A11035" s="18">
        <v>5312</v>
      </c>
      <c r="B11035" s="4" t="s">
        <v>250</v>
      </c>
      <c r="C11035" s="38" t="s">
        <v>9112</v>
      </c>
      <c r="D11035" s="18">
        <v>2022</v>
      </c>
      <c r="E11035" s="18" t="s">
        <v>0</v>
      </c>
      <c r="F11035" s="42">
        <v>1</v>
      </c>
      <c r="G11035" s="4">
        <v>15</v>
      </c>
      <c r="H11035" s="18">
        <v>35</v>
      </c>
    </row>
    <row r="11036" spans="1:8" s="15" customFormat="1" ht="16.5" hidden="1" customHeight="1" outlineLevel="1" x14ac:dyDescent="0.25">
      <c r="A11036" s="18">
        <v>5313</v>
      </c>
      <c r="B11036" s="4" t="s">
        <v>250</v>
      </c>
      <c r="C11036" s="38" t="s">
        <v>9113</v>
      </c>
      <c r="D11036" s="18">
        <v>2022</v>
      </c>
      <c r="E11036" s="18" t="s">
        <v>0</v>
      </c>
      <c r="F11036" s="42">
        <v>1</v>
      </c>
      <c r="G11036" s="4">
        <v>10</v>
      </c>
      <c r="H11036" s="18">
        <v>35</v>
      </c>
    </row>
    <row r="11037" spans="1:8" s="15" customFormat="1" ht="16.5" hidden="1" customHeight="1" outlineLevel="1" x14ac:dyDescent="0.25">
      <c r="A11037" s="18">
        <v>5314</v>
      </c>
      <c r="B11037" s="4" t="s">
        <v>250</v>
      </c>
      <c r="C11037" s="38" t="s">
        <v>9114</v>
      </c>
      <c r="D11037" s="18">
        <v>2022</v>
      </c>
      <c r="E11037" s="18" t="s">
        <v>0</v>
      </c>
      <c r="F11037" s="42">
        <v>1</v>
      </c>
      <c r="G11037" s="4">
        <v>15</v>
      </c>
      <c r="H11037" s="18">
        <v>35</v>
      </c>
    </row>
    <row r="11038" spans="1:8" s="15" customFormat="1" ht="16.5" hidden="1" customHeight="1" outlineLevel="1" x14ac:dyDescent="0.25">
      <c r="A11038" s="18">
        <v>5315</v>
      </c>
      <c r="B11038" s="4" t="s">
        <v>250</v>
      </c>
      <c r="C11038" s="38" t="s">
        <v>9115</v>
      </c>
      <c r="D11038" s="18">
        <v>2022</v>
      </c>
      <c r="E11038" s="18" t="s">
        <v>0</v>
      </c>
      <c r="F11038" s="42">
        <v>1</v>
      </c>
      <c r="G11038" s="4">
        <v>15</v>
      </c>
      <c r="H11038" s="18">
        <v>39</v>
      </c>
    </row>
    <row r="11039" spans="1:8" s="15" customFormat="1" ht="16.5" hidden="1" customHeight="1" outlineLevel="1" x14ac:dyDescent="0.25">
      <c r="A11039" s="18">
        <v>5148</v>
      </c>
      <c r="B11039" s="4" t="s">
        <v>250</v>
      </c>
      <c r="C11039" s="38" t="s">
        <v>9116</v>
      </c>
      <c r="D11039" s="18">
        <v>2022</v>
      </c>
      <c r="E11039" s="18" t="s">
        <v>0</v>
      </c>
      <c r="F11039" s="42">
        <v>1</v>
      </c>
      <c r="G11039" s="4">
        <v>12</v>
      </c>
      <c r="H11039" s="18">
        <v>37</v>
      </c>
    </row>
    <row r="11040" spans="1:8" s="15" customFormat="1" ht="16.5" hidden="1" customHeight="1" outlineLevel="1" x14ac:dyDescent="0.25">
      <c r="A11040" s="18">
        <v>5147</v>
      </c>
      <c r="B11040" s="4" t="s">
        <v>250</v>
      </c>
      <c r="C11040" s="38" t="s">
        <v>9117</v>
      </c>
      <c r="D11040" s="18">
        <v>2022</v>
      </c>
      <c r="E11040" s="18" t="s">
        <v>0</v>
      </c>
      <c r="F11040" s="42">
        <v>1</v>
      </c>
      <c r="G11040" s="4">
        <v>15</v>
      </c>
      <c r="H11040" s="18">
        <v>43</v>
      </c>
    </row>
    <row r="11041" spans="1:8" s="15" customFormat="1" ht="16.5" hidden="1" customHeight="1" outlineLevel="1" x14ac:dyDescent="0.25">
      <c r="A11041" s="18">
        <v>5316</v>
      </c>
      <c r="B11041" s="4" t="s">
        <v>250</v>
      </c>
      <c r="C11041" s="38" t="s">
        <v>9118</v>
      </c>
      <c r="D11041" s="18">
        <v>2022</v>
      </c>
      <c r="E11041" s="18" t="s">
        <v>0</v>
      </c>
      <c r="F11041" s="42">
        <v>1</v>
      </c>
      <c r="G11041" s="4">
        <v>15</v>
      </c>
      <c r="H11041" s="18">
        <v>39</v>
      </c>
    </row>
    <row r="11042" spans="1:8" s="15" customFormat="1" ht="16.5" hidden="1" customHeight="1" outlineLevel="1" x14ac:dyDescent="0.25">
      <c r="A11042" s="18">
        <v>5317</v>
      </c>
      <c r="B11042" s="4" t="s">
        <v>250</v>
      </c>
      <c r="C11042" s="38" t="s">
        <v>9119</v>
      </c>
      <c r="D11042" s="18">
        <v>2022</v>
      </c>
      <c r="E11042" s="18" t="s">
        <v>0</v>
      </c>
      <c r="F11042" s="42">
        <v>1</v>
      </c>
      <c r="G11042" s="4">
        <v>15</v>
      </c>
      <c r="H11042" s="18">
        <v>42</v>
      </c>
    </row>
    <row r="11043" spans="1:8" s="15" customFormat="1" ht="16.5" hidden="1" customHeight="1" outlineLevel="1" x14ac:dyDescent="0.25">
      <c r="A11043" s="18">
        <v>5318</v>
      </c>
      <c r="B11043" s="4" t="s">
        <v>250</v>
      </c>
      <c r="C11043" s="38" t="s">
        <v>9120</v>
      </c>
      <c r="D11043" s="18">
        <v>2022</v>
      </c>
      <c r="E11043" s="18" t="s">
        <v>0</v>
      </c>
      <c r="F11043" s="42">
        <v>1</v>
      </c>
      <c r="G11043" s="4">
        <v>15</v>
      </c>
      <c r="H11043" s="18">
        <v>41</v>
      </c>
    </row>
    <row r="11044" spans="1:8" s="15" customFormat="1" ht="16.5" hidden="1" customHeight="1" outlineLevel="1" x14ac:dyDescent="0.25">
      <c r="A11044" s="18">
        <v>5319</v>
      </c>
      <c r="B11044" s="4" t="s">
        <v>250</v>
      </c>
      <c r="C11044" s="38" t="s">
        <v>9121</v>
      </c>
      <c r="D11044" s="18">
        <v>2022</v>
      </c>
      <c r="E11044" s="18" t="s">
        <v>0</v>
      </c>
      <c r="F11044" s="42">
        <v>1</v>
      </c>
      <c r="G11044" s="4">
        <v>15</v>
      </c>
      <c r="H11044" s="18">
        <v>35</v>
      </c>
    </row>
    <row r="11045" spans="1:8" s="15" customFormat="1" ht="16.5" hidden="1" customHeight="1" outlineLevel="1" x14ac:dyDescent="0.25">
      <c r="A11045" s="18">
        <v>5146</v>
      </c>
      <c r="B11045" s="4" t="s">
        <v>250</v>
      </c>
      <c r="C11045" s="38" t="s">
        <v>9122</v>
      </c>
      <c r="D11045" s="18">
        <v>2022</v>
      </c>
      <c r="E11045" s="18" t="s">
        <v>0</v>
      </c>
      <c r="F11045" s="42">
        <v>1</v>
      </c>
      <c r="G11045" s="4">
        <v>15</v>
      </c>
      <c r="H11045" s="18">
        <v>45</v>
      </c>
    </row>
    <row r="11046" spans="1:8" s="15" customFormat="1" ht="16.5" hidden="1" customHeight="1" outlineLevel="1" x14ac:dyDescent="0.25">
      <c r="A11046" s="18">
        <v>5136</v>
      </c>
      <c r="B11046" s="4" t="s">
        <v>250</v>
      </c>
      <c r="C11046" s="38" t="s">
        <v>9123</v>
      </c>
      <c r="D11046" s="18">
        <v>2022</v>
      </c>
      <c r="E11046" s="18" t="s">
        <v>0</v>
      </c>
      <c r="F11046" s="42">
        <v>1</v>
      </c>
      <c r="G11046" s="4">
        <v>15</v>
      </c>
      <c r="H11046" s="18">
        <v>53</v>
      </c>
    </row>
    <row r="11047" spans="1:8" s="15" customFormat="1" ht="16.5" hidden="1" customHeight="1" outlineLevel="1" x14ac:dyDescent="0.25">
      <c r="A11047" s="18">
        <v>5091</v>
      </c>
      <c r="B11047" s="4" t="s">
        <v>250</v>
      </c>
      <c r="C11047" s="38" t="s">
        <v>9124</v>
      </c>
      <c r="D11047" s="18">
        <v>2022</v>
      </c>
      <c r="E11047" s="18" t="s">
        <v>0</v>
      </c>
      <c r="F11047" s="42">
        <v>1</v>
      </c>
      <c r="G11047" s="4">
        <v>15</v>
      </c>
      <c r="H11047" s="18">
        <v>40</v>
      </c>
    </row>
    <row r="11048" spans="1:8" s="15" customFormat="1" ht="16.5" hidden="1" customHeight="1" outlineLevel="1" x14ac:dyDescent="0.25">
      <c r="A11048" s="18">
        <v>5139</v>
      </c>
      <c r="B11048" s="4" t="s">
        <v>250</v>
      </c>
      <c r="C11048" s="38" t="s">
        <v>9125</v>
      </c>
      <c r="D11048" s="18">
        <v>2022</v>
      </c>
      <c r="E11048" s="18" t="s">
        <v>0</v>
      </c>
      <c r="F11048" s="42">
        <v>1</v>
      </c>
      <c r="G11048" s="4">
        <v>15</v>
      </c>
      <c r="H11048" s="18">
        <v>36</v>
      </c>
    </row>
    <row r="11049" spans="1:8" s="15" customFormat="1" ht="16.5" hidden="1" customHeight="1" outlineLevel="1" x14ac:dyDescent="0.25">
      <c r="A11049" s="18">
        <v>5143</v>
      </c>
      <c r="B11049" s="4" t="s">
        <v>250</v>
      </c>
      <c r="C11049" s="38" t="s">
        <v>9126</v>
      </c>
      <c r="D11049" s="18">
        <v>2022</v>
      </c>
      <c r="E11049" s="18" t="s">
        <v>0</v>
      </c>
      <c r="F11049" s="42">
        <v>1</v>
      </c>
      <c r="G11049" s="4">
        <v>15</v>
      </c>
      <c r="H11049" s="18">
        <v>45</v>
      </c>
    </row>
    <row r="11050" spans="1:8" s="15" customFormat="1" ht="16.5" hidden="1" customHeight="1" outlineLevel="1" x14ac:dyDescent="0.25">
      <c r="A11050" s="18">
        <v>5144</v>
      </c>
      <c r="B11050" s="4" t="s">
        <v>250</v>
      </c>
      <c r="C11050" s="38" t="s">
        <v>9127</v>
      </c>
      <c r="D11050" s="18">
        <v>2022</v>
      </c>
      <c r="E11050" s="18" t="s">
        <v>0</v>
      </c>
      <c r="F11050" s="42">
        <v>1</v>
      </c>
      <c r="G11050" s="4">
        <v>10</v>
      </c>
      <c r="H11050" s="18">
        <v>40</v>
      </c>
    </row>
    <row r="11051" spans="1:8" s="15" customFormat="1" ht="16.5" hidden="1" customHeight="1" outlineLevel="1" x14ac:dyDescent="0.25">
      <c r="A11051" s="18">
        <v>5133</v>
      </c>
      <c r="B11051" s="4" t="s">
        <v>250</v>
      </c>
      <c r="C11051" s="38" t="s">
        <v>9128</v>
      </c>
      <c r="D11051" s="18">
        <v>2022</v>
      </c>
      <c r="E11051" s="18" t="s">
        <v>0</v>
      </c>
      <c r="F11051" s="42">
        <v>1</v>
      </c>
      <c r="G11051" s="4">
        <v>15</v>
      </c>
      <c r="H11051" s="18">
        <v>51</v>
      </c>
    </row>
    <row r="11052" spans="1:8" s="15" customFormat="1" ht="16.5" hidden="1" customHeight="1" outlineLevel="1" x14ac:dyDescent="0.25">
      <c r="A11052" s="18">
        <v>5142</v>
      </c>
      <c r="B11052" s="4" t="s">
        <v>250</v>
      </c>
      <c r="C11052" s="38" t="s">
        <v>9129</v>
      </c>
      <c r="D11052" s="18">
        <v>2022</v>
      </c>
      <c r="E11052" s="18" t="s">
        <v>0</v>
      </c>
      <c r="F11052" s="42">
        <v>1</v>
      </c>
      <c r="G11052" s="4">
        <v>15</v>
      </c>
      <c r="H11052" s="18">
        <v>45</v>
      </c>
    </row>
    <row r="11053" spans="1:8" s="15" customFormat="1" ht="16.5" hidden="1" customHeight="1" outlineLevel="1" x14ac:dyDescent="0.25">
      <c r="A11053" s="18">
        <v>5137</v>
      </c>
      <c r="B11053" s="4" t="s">
        <v>250</v>
      </c>
      <c r="C11053" s="38" t="s">
        <v>9130</v>
      </c>
      <c r="D11053" s="18">
        <v>2022</v>
      </c>
      <c r="E11053" s="18" t="s">
        <v>0</v>
      </c>
      <c r="F11053" s="42">
        <v>1</v>
      </c>
      <c r="G11053" s="4">
        <v>15</v>
      </c>
      <c r="H11053" s="18">
        <v>41</v>
      </c>
    </row>
    <row r="11054" spans="1:8" s="15" customFormat="1" ht="16.5" hidden="1" customHeight="1" outlineLevel="1" x14ac:dyDescent="0.25">
      <c r="A11054" s="18">
        <v>5134</v>
      </c>
      <c r="B11054" s="4" t="s">
        <v>250</v>
      </c>
      <c r="C11054" s="38" t="s">
        <v>9131</v>
      </c>
      <c r="D11054" s="18">
        <v>2022</v>
      </c>
      <c r="E11054" s="18" t="s">
        <v>0</v>
      </c>
      <c r="F11054" s="42">
        <v>1</v>
      </c>
      <c r="G11054" s="4">
        <v>15</v>
      </c>
      <c r="H11054" s="18">
        <v>43</v>
      </c>
    </row>
    <row r="11055" spans="1:8" s="15" customFormat="1" ht="16.5" hidden="1" customHeight="1" outlineLevel="1" x14ac:dyDescent="0.25">
      <c r="A11055" s="18">
        <v>5135</v>
      </c>
      <c r="B11055" s="4" t="s">
        <v>250</v>
      </c>
      <c r="C11055" s="38" t="s">
        <v>9132</v>
      </c>
      <c r="D11055" s="18">
        <v>2022</v>
      </c>
      <c r="E11055" s="18" t="s">
        <v>0</v>
      </c>
      <c r="F11055" s="42">
        <v>1</v>
      </c>
      <c r="G11055" s="4">
        <v>15</v>
      </c>
      <c r="H11055" s="18">
        <v>43</v>
      </c>
    </row>
    <row r="11056" spans="1:8" s="15" customFormat="1" ht="16.5" hidden="1" customHeight="1" outlineLevel="1" x14ac:dyDescent="0.25">
      <c r="A11056" s="18">
        <v>5326</v>
      </c>
      <c r="B11056" s="4" t="s">
        <v>250</v>
      </c>
      <c r="C11056" s="38" t="s">
        <v>9133</v>
      </c>
      <c r="D11056" s="18">
        <v>2022</v>
      </c>
      <c r="E11056" s="18" t="s">
        <v>0</v>
      </c>
      <c r="F11056" s="42">
        <v>1</v>
      </c>
      <c r="G11056" s="4">
        <v>15</v>
      </c>
      <c r="H11056" s="18">
        <v>35</v>
      </c>
    </row>
    <row r="11057" spans="1:8" s="15" customFormat="1" ht="16.5" hidden="1" customHeight="1" outlineLevel="1" x14ac:dyDescent="0.25">
      <c r="A11057" s="18">
        <v>5138</v>
      </c>
      <c r="B11057" s="4" t="s">
        <v>250</v>
      </c>
      <c r="C11057" s="38" t="s">
        <v>9134</v>
      </c>
      <c r="D11057" s="18">
        <v>2022</v>
      </c>
      <c r="E11057" s="18" t="s">
        <v>0</v>
      </c>
      <c r="F11057" s="42">
        <v>1</v>
      </c>
      <c r="G11057" s="4">
        <v>15</v>
      </c>
      <c r="H11057" s="18">
        <v>38</v>
      </c>
    </row>
    <row r="11058" spans="1:8" s="15" customFormat="1" ht="29.25" hidden="1" customHeight="1" outlineLevel="1" x14ac:dyDescent="0.25">
      <c r="A11058" s="18">
        <v>1218</v>
      </c>
      <c r="B11058" s="4" t="s">
        <v>250</v>
      </c>
      <c r="C11058" s="38" t="s">
        <v>1123</v>
      </c>
      <c r="D11058" s="129" t="s">
        <v>1120</v>
      </c>
      <c r="E11058" s="18"/>
      <c r="F11058" s="4">
        <v>1</v>
      </c>
      <c r="G11058" s="4">
        <v>15</v>
      </c>
      <c r="H11058" s="42">
        <v>55.732999999999997</v>
      </c>
    </row>
    <row r="11059" spans="1:8" s="15" customFormat="1" ht="29.25" hidden="1" customHeight="1" outlineLevel="1" x14ac:dyDescent="0.25">
      <c r="A11059" s="18">
        <v>1246</v>
      </c>
      <c r="B11059" s="4" t="s">
        <v>250</v>
      </c>
      <c r="C11059" s="38" t="s">
        <v>1124</v>
      </c>
      <c r="D11059" s="129" t="s">
        <v>1120</v>
      </c>
      <c r="E11059" s="18"/>
      <c r="F11059" s="4">
        <v>1</v>
      </c>
      <c r="G11059" s="4">
        <v>15</v>
      </c>
      <c r="H11059" s="42">
        <v>52.582000000000001</v>
      </c>
    </row>
    <row r="11060" spans="1:8" s="15" customFormat="1" ht="29.25" hidden="1" customHeight="1" outlineLevel="1" x14ac:dyDescent="0.25">
      <c r="A11060" s="18">
        <v>1219</v>
      </c>
      <c r="B11060" s="4" t="s">
        <v>250</v>
      </c>
      <c r="C11060" s="38" t="s">
        <v>1125</v>
      </c>
      <c r="D11060" s="129" t="s">
        <v>1120</v>
      </c>
      <c r="E11060" s="18"/>
      <c r="F11060" s="4">
        <v>1</v>
      </c>
      <c r="G11060" s="4">
        <v>15</v>
      </c>
      <c r="H11060" s="42">
        <v>62.484999999999999</v>
      </c>
    </row>
    <row r="11061" spans="1:8" s="15" customFormat="1" ht="29.25" hidden="1" customHeight="1" outlineLevel="1" x14ac:dyDescent="0.25">
      <c r="A11061" s="18">
        <v>1234</v>
      </c>
      <c r="B11061" s="4" t="s">
        <v>250</v>
      </c>
      <c r="C11061" s="38" t="s">
        <v>1126</v>
      </c>
      <c r="D11061" s="129" t="s">
        <v>1120</v>
      </c>
      <c r="E11061" s="18"/>
      <c r="F11061" s="4">
        <v>1</v>
      </c>
      <c r="G11061" s="4">
        <v>15</v>
      </c>
      <c r="H11061" s="42">
        <v>59.707999999999998</v>
      </c>
    </row>
    <row r="11062" spans="1:8" s="15" customFormat="1" ht="29.25" hidden="1" customHeight="1" outlineLevel="1" x14ac:dyDescent="0.25">
      <c r="A11062" s="18">
        <v>1173</v>
      </c>
      <c r="B11062" s="4" t="s">
        <v>250</v>
      </c>
      <c r="C11062" s="38" t="s">
        <v>1127</v>
      </c>
      <c r="D11062" s="129" t="s">
        <v>1120</v>
      </c>
      <c r="E11062" s="18"/>
      <c r="F11062" s="4">
        <v>1</v>
      </c>
      <c r="G11062" s="4">
        <v>15</v>
      </c>
      <c r="H11062" s="42">
        <v>55.536000000000001</v>
      </c>
    </row>
    <row r="11063" spans="1:8" s="15" customFormat="1" ht="29.25" hidden="1" customHeight="1" outlineLevel="1" x14ac:dyDescent="0.25">
      <c r="A11063" s="18">
        <v>1211</v>
      </c>
      <c r="B11063" s="4" t="s">
        <v>250</v>
      </c>
      <c r="C11063" s="38" t="s">
        <v>1128</v>
      </c>
      <c r="D11063" s="129" t="s">
        <v>1120</v>
      </c>
      <c r="E11063" s="18"/>
      <c r="F11063" s="4">
        <v>1</v>
      </c>
      <c r="G11063" s="4">
        <v>15</v>
      </c>
      <c r="H11063" s="42">
        <v>38.258000000000003</v>
      </c>
    </row>
    <row r="11064" spans="1:8" s="15" customFormat="1" ht="29.25" hidden="1" customHeight="1" outlineLevel="1" x14ac:dyDescent="0.25">
      <c r="A11064" s="18">
        <v>1191</v>
      </c>
      <c r="B11064" s="4" t="s">
        <v>250</v>
      </c>
      <c r="C11064" s="38" t="s">
        <v>1129</v>
      </c>
      <c r="D11064" s="129" t="s">
        <v>1120</v>
      </c>
      <c r="E11064" s="18"/>
      <c r="F11064" s="4">
        <v>1</v>
      </c>
      <c r="G11064" s="4">
        <v>15</v>
      </c>
      <c r="H11064" s="42">
        <v>51.682000000000002</v>
      </c>
    </row>
    <row r="11065" spans="1:8" s="15" customFormat="1" ht="29.25" hidden="1" customHeight="1" outlineLevel="1" x14ac:dyDescent="0.25">
      <c r="A11065" s="18">
        <v>1228</v>
      </c>
      <c r="B11065" s="4" t="s">
        <v>250</v>
      </c>
      <c r="C11065" s="38" t="s">
        <v>1130</v>
      </c>
      <c r="D11065" s="129" t="s">
        <v>1120</v>
      </c>
      <c r="E11065" s="18"/>
      <c r="F11065" s="4">
        <v>1</v>
      </c>
      <c r="G11065" s="4">
        <v>15</v>
      </c>
      <c r="H11065" s="42">
        <v>54.654000000000003</v>
      </c>
    </row>
    <row r="11066" spans="1:8" s="15" customFormat="1" ht="29.25" hidden="1" customHeight="1" outlineLevel="1" x14ac:dyDescent="0.25">
      <c r="A11066" s="18">
        <v>1236</v>
      </c>
      <c r="B11066" s="4" t="s">
        <v>250</v>
      </c>
      <c r="C11066" s="38" t="s">
        <v>1131</v>
      </c>
      <c r="D11066" s="129" t="s">
        <v>1120</v>
      </c>
      <c r="E11066" s="18"/>
      <c r="F11066" s="4">
        <v>1</v>
      </c>
      <c r="G11066" s="4">
        <v>15</v>
      </c>
      <c r="H11066" s="42">
        <v>51.976999999999997</v>
      </c>
    </row>
    <row r="11067" spans="1:8" s="15" customFormat="1" ht="29.25" hidden="1" customHeight="1" outlineLevel="1" x14ac:dyDescent="0.25">
      <c r="A11067" s="46">
        <v>9203</v>
      </c>
      <c r="B11067" s="4" t="s">
        <v>250</v>
      </c>
      <c r="C11067" s="38" t="s">
        <v>1132</v>
      </c>
      <c r="D11067" s="129" t="s">
        <v>1120</v>
      </c>
      <c r="E11067" s="18"/>
      <c r="F11067" s="4">
        <v>1</v>
      </c>
      <c r="G11067" s="4">
        <v>30</v>
      </c>
      <c r="H11067" s="42">
        <v>115.923</v>
      </c>
    </row>
    <row r="11068" spans="1:8" s="15" customFormat="1" ht="42" hidden="1" customHeight="1" outlineLevel="1" x14ac:dyDescent="0.25">
      <c r="A11068" s="46">
        <v>9226</v>
      </c>
      <c r="B11068" s="4" t="s">
        <v>250</v>
      </c>
      <c r="C11068" s="22" t="s">
        <v>1140</v>
      </c>
      <c r="D11068" s="129" t="s">
        <v>1120</v>
      </c>
      <c r="E11068" s="18"/>
      <c r="F11068" s="4">
        <v>1</v>
      </c>
      <c r="G11068" s="4">
        <v>15</v>
      </c>
      <c r="H11068" s="4">
        <v>59</v>
      </c>
    </row>
    <row r="11069" spans="1:8" s="15" customFormat="1" ht="42" hidden="1" customHeight="1" outlineLevel="1" x14ac:dyDescent="0.25">
      <c r="A11069" s="18">
        <v>1210</v>
      </c>
      <c r="B11069" s="4" t="s">
        <v>250</v>
      </c>
      <c r="C11069" s="22" t="s">
        <v>1041</v>
      </c>
      <c r="D11069" s="129" t="s">
        <v>1120</v>
      </c>
      <c r="E11069" s="18"/>
      <c r="F11069" s="4">
        <v>1</v>
      </c>
      <c r="G11069" s="4">
        <v>50</v>
      </c>
      <c r="H11069" s="4">
        <v>70.399000000000001</v>
      </c>
    </row>
    <row r="11070" spans="1:8" s="15" customFormat="1" ht="42" hidden="1" customHeight="1" outlineLevel="1" x14ac:dyDescent="0.25">
      <c r="A11070" s="18">
        <v>1159</v>
      </c>
      <c r="B11070" s="4" t="s">
        <v>250</v>
      </c>
      <c r="C11070" s="22" t="s">
        <v>1141</v>
      </c>
      <c r="D11070" s="129" t="s">
        <v>1120</v>
      </c>
      <c r="E11070" s="18"/>
      <c r="F11070" s="4">
        <v>1</v>
      </c>
      <c r="G11070" s="4">
        <v>15</v>
      </c>
      <c r="H11070" s="4">
        <v>40.844000000000001</v>
      </c>
    </row>
    <row r="11071" spans="1:8" s="15" customFormat="1" ht="42" hidden="1" customHeight="1" outlineLevel="1" x14ac:dyDescent="0.25">
      <c r="A11071" s="18">
        <v>1161</v>
      </c>
      <c r="B11071" s="4" t="s">
        <v>250</v>
      </c>
      <c r="C11071" s="22" t="s">
        <v>1142</v>
      </c>
      <c r="D11071" s="129" t="s">
        <v>1120</v>
      </c>
      <c r="E11071" s="18"/>
      <c r="F11071" s="4">
        <v>1</v>
      </c>
      <c r="G11071" s="4">
        <v>15</v>
      </c>
      <c r="H11071" s="4">
        <v>39.165999999999997</v>
      </c>
    </row>
    <row r="11072" spans="1:8" s="15" customFormat="1" ht="42" hidden="1" customHeight="1" outlineLevel="1" x14ac:dyDescent="0.25">
      <c r="A11072" s="18">
        <v>1241</v>
      </c>
      <c r="B11072" s="4" t="s">
        <v>250</v>
      </c>
      <c r="C11072" s="22" t="s">
        <v>1143</v>
      </c>
      <c r="D11072" s="129" t="s">
        <v>1120</v>
      </c>
      <c r="E11072" s="18"/>
      <c r="F11072" s="4">
        <v>1</v>
      </c>
      <c r="G11072" s="4">
        <v>10</v>
      </c>
      <c r="H11072" s="4">
        <v>39.865000000000002</v>
      </c>
    </row>
    <row r="11073" spans="1:8" s="15" customFormat="1" ht="42" hidden="1" customHeight="1" outlineLevel="1" x14ac:dyDescent="0.25">
      <c r="A11073" s="18">
        <v>1166</v>
      </c>
      <c r="B11073" s="4" t="s">
        <v>250</v>
      </c>
      <c r="C11073" s="22" t="s">
        <v>1144</v>
      </c>
      <c r="D11073" s="129" t="s">
        <v>1120</v>
      </c>
      <c r="E11073" s="18"/>
      <c r="F11073" s="4">
        <v>1</v>
      </c>
      <c r="G11073" s="4">
        <v>15</v>
      </c>
      <c r="H11073" s="4">
        <v>43.835000000000001</v>
      </c>
    </row>
    <row r="11074" spans="1:8" s="15" customFormat="1" ht="42" hidden="1" customHeight="1" outlineLevel="1" x14ac:dyDescent="0.25">
      <c r="A11074" s="18">
        <v>1220</v>
      </c>
      <c r="B11074" s="4" t="s">
        <v>250</v>
      </c>
      <c r="C11074" s="22" t="s">
        <v>1145</v>
      </c>
      <c r="D11074" s="129" t="s">
        <v>1120</v>
      </c>
      <c r="E11074" s="18"/>
      <c r="F11074" s="4">
        <v>1</v>
      </c>
      <c r="G11074" s="4">
        <v>15</v>
      </c>
      <c r="H11074" s="4">
        <v>41.057000000000002</v>
      </c>
    </row>
    <row r="11075" spans="1:8" s="15" customFormat="1" ht="42" hidden="1" customHeight="1" outlineLevel="1" x14ac:dyDescent="0.25">
      <c r="A11075" s="18">
        <v>1168</v>
      </c>
      <c r="B11075" s="4" t="s">
        <v>250</v>
      </c>
      <c r="C11075" s="22" t="s">
        <v>1146</v>
      </c>
      <c r="D11075" s="129" t="s">
        <v>1120</v>
      </c>
      <c r="E11075" s="18"/>
      <c r="F11075" s="4">
        <v>1</v>
      </c>
      <c r="G11075" s="4">
        <v>15</v>
      </c>
      <c r="H11075" s="4">
        <v>40.555999999999997</v>
      </c>
    </row>
    <row r="11076" spans="1:8" s="15" customFormat="1" ht="42" hidden="1" customHeight="1" outlineLevel="1" x14ac:dyDescent="0.25">
      <c r="A11076" s="18">
        <v>1167</v>
      </c>
      <c r="B11076" s="4" t="s">
        <v>250</v>
      </c>
      <c r="C11076" s="22" t="s">
        <v>1147</v>
      </c>
      <c r="D11076" s="129" t="s">
        <v>1120</v>
      </c>
      <c r="E11076" s="18"/>
      <c r="F11076" s="4">
        <v>1</v>
      </c>
      <c r="G11076" s="4">
        <v>15</v>
      </c>
      <c r="H11076" s="4">
        <v>39.895000000000003</v>
      </c>
    </row>
    <row r="11077" spans="1:8" s="15" customFormat="1" ht="42" hidden="1" customHeight="1" outlineLevel="1" x14ac:dyDescent="0.25">
      <c r="A11077" s="18">
        <v>1175</v>
      </c>
      <c r="B11077" s="4" t="s">
        <v>250</v>
      </c>
      <c r="C11077" s="22" t="s">
        <v>1148</v>
      </c>
      <c r="D11077" s="129" t="s">
        <v>1120</v>
      </c>
      <c r="E11077" s="18"/>
      <c r="F11077" s="4">
        <v>1</v>
      </c>
      <c r="G11077" s="4">
        <v>10</v>
      </c>
      <c r="H11077" s="4">
        <v>44.38</v>
      </c>
    </row>
    <row r="11078" spans="1:8" s="15" customFormat="1" ht="42" hidden="1" customHeight="1" outlineLevel="1" x14ac:dyDescent="0.25">
      <c r="A11078" s="18">
        <v>1186</v>
      </c>
      <c r="B11078" s="4" t="s">
        <v>250</v>
      </c>
      <c r="C11078" s="22" t="s">
        <v>1149</v>
      </c>
      <c r="D11078" s="129" t="s">
        <v>1120</v>
      </c>
      <c r="E11078" s="18"/>
      <c r="F11078" s="4">
        <v>1</v>
      </c>
      <c r="G11078" s="4">
        <v>15</v>
      </c>
      <c r="H11078" s="4">
        <v>20.709800000000001</v>
      </c>
    </row>
    <row r="11079" spans="1:8" s="15" customFormat="1" ht="19.5" hidden="1" customHeight="1" outlineLevel="1" x14ac:dyDescent="0.25">
      <c r="A11079" s="46">
        <v>9183</v>
      </c>
      <c r="B11079" s="4" t="s">
        <v>250</v>
      </c>
      <c r="C11079" s="38" t="s">
        <v>2466</v>
      </c>
      <c r="D11079" s="18">
        <v>2021</v>
      </c>
      <c r="E11079" s="18"/>
      <c r="F11079" s="4">
        <v>1</v>
      </c>
      <c r="G11079" s="4">
        <v>15</v>
      </c>
      <c r="H11079" s="42">
        <v>87</v>
      </c>
    </row>
    <row r="11080" spans="1:8" s="15" customFormat="1" ht="19.5" hidden="1" customHeight="1" outlineLevel="1" x14ac:dyDescent="0.25">
      <c r="A11080" s="45">
        <v>90</v>
      </c>
      <c r="B11080" s="4" t="s">
        <v>250</v>
      </c>
      <c r="C11080" s="22" t="s">
        <v>2467</v>
      </c>
      <c r="D11080" s="18">
        <v>2021</v>
      </c>
      <c r="E11080" s="18"/>
      <c r="F11080" s="4">
        <v>1</v>
      </c>
      <c r="G11080" s="4">
        <v>15</v>
      </c>
      <c r="H11080" s="4">
        <v>58</v>
      </c>
    </row>
    <row r="11081" spans="1:8" s="15" customFormat="1" ht="19.5" hidden="1" customHeight="1" outlineLevel="1" x14ac:dyDescent="0.25">
      <c r="A11081" s="46">
        <v>9187</v>
      </c>
      <c r="B11081" s="4" t="s">
        <v>250</v>
      </c>
      <c r="C11081" s="22" t="s">
        <v>2468</v>
      </c>
      <c r="D11081" s="18">
        <v>2021</v>
      </c>
      <c r="E11081" s="18"/>
      <c r="F11081" s="4">
        <v>1</v>
      </c>
      <c r="G11081" s="4">
        <v>15</v>
      </c>
      <c r="H11081" s="4">
        <v>103</v>
      </c>
    </row>
    <row r="11082" spans="1:8" s="15" customFormat="1" ht="19.5" hidden="1" customHeight="1" outlineLevel="1" x14ac:dyDescent="0.25">
      <c r="A11082" s="45">
        <v>101</v>
      </c>
      <c r="B11082" s="4" t="s">
        <v>250</v>
      </c>
      <c r="C11082" s="22" t="s">
        <v>2469</v>
      </c>
      <c r="D11082" s="18">
        <v>2021</v>
      </c>
      <c r="E11082" s="18"/>
      <c r="F11082" s="4">
        <v>1</v>
      </c>
      <c r="G11082" s="4">
        <v>15</v>
      </c>
      <c r="H11082" s="4">
        <v>78</v>
      </c>
    </row>
    <row r="11083" spans="1:8" s="15" customFormat="1" ht="19.5" hidden="1" customHeight="1" outlineLevel="1" x14ac:dyDescent="0.25">
      <c r="A11083" s="46">
        <v>9185</v>
      </c>
      <c r="B11083" s="4" t="s">
        <v>250</v>
      </c>
      <c r="C11083" s="22" t="s">
        <v>2470</v>
      </c>
      <c r="D11083" s="18">
        <v>2021</v>
      </c>
      <c r="E11083" s="18"/>
      <c r="F11083" s="4">
        <v>1</v>
      </c>
      <c r="G11083" s="4">
        <v>15</v>
      </c>
      <c r="H11083" s="4">
        <v>117</v>
      </c>
    </row>
    <row r="11084" spans="1:8" s="15" customFormat="1" ht="19.5" hidden="1" customHeight="1" outlineLevel="1" x14ac:dyDescent="0.25">
      <c r="A11084" s="46">
        <v>9796</v>
      </c>
      <c r="B11084" s="4" t="s">
        <v>250</v>
      </c>
      <c r="C11084" s="22" t="s">
        <v>1392</v>
      </c>
      <c r="D11084" s="18">
        <v>2021</v>
      </c>
      <c r="E11084" s="18"/>
      <c r="F11084" s="4">
        <v>1</v>
      </c>
      <c r="G11084" s="4">
        <v>15</v>
      </c>
      <c r="H11084" s="4">
        <v>41</v>
      </c>
    </row>
    <row r="11085" spans="1:8" s="15" customFormat="1" ht="19.5" hidden="1" customHeight="1" outlineLevel="1" x14ac:dyDescent="0.25">
      <c r="A11085" s="45">
        <v>173</v>
      </c>
      <c r="B11085" s="4" t="s">
        <v>250</v>
      </c>
      <c r="C11085" s="22" t="s">
        <v>2471</v>
      </c>
      <c r="D11085" s="18">
        <v>2021</v>
      </c>
      <c r="E11085" s="18"/>
      <c r="F11085" s="4">
        <v>1</v>
      </c>
      <c r="G11085" s="4">
        <v>15</v>
      </c>
      <c r="H11085" s="4">
        <v>88</v>
      </c>
    </row>
    <row r="11086" spans="1:8" s="15" customFormat="1" ht="19.5" hidden="1" customHeight="1" outlineLevel="1" x14ac:dyDescent="0.25">
      <c r="A11086" s="45">
        <v>86</v>
      </c>
      <c r="B11086" s="4" t="s">
        <v>250</v>
      </c>
      <c r="C11086" s="22" t="s">
        <v>2472</v>
      </c>
      <c r="D11086" s="18">
        <v>2021</v>
      </c>
      <c r="E11086" s="18"/>
      <c r="F11086" s="4">
        <v>1</v>
      </c>
      <c r="G11086" s="4">
        <v>15</v>
      </c>
      <c r="H11086" s="4">
        <v>87</v>
      </c>
    </row>
    <row r="11087" spans="1:8" s="15" customFormat="1" ht="19.5" hidden="1" customHeight="1" outlineLevel="1" x14ac:dyDescent="0.25">
      <c r="A11087" s="46">
        <v>9184</v>
      </c>
      <c r="B11087" s="4" t="s">
        <v>250</v>
      </c>
      <c r="C11087" s="22" t="s">
        <v>2473</v>
      </c>
      <c r="D11087" s="18">
        <v>2021</v>
      </c>
      <c r="E11087" s="18"/>
      <c r="F11087" s="4">
        <v>1</v>
      </c>
      <c r="G11087" s="4">
        <v>15</v>
      </c>
      <c r="H11087" s="4">
        <v>74</v>
      </c>
    </row>
    <row r="11088" spans="1:8" s="15" customFormat="1" ht="19.5" hidden="1" customHeight="1" outlineLevel="1" x14ac:dyDescent="0.25">
      <c r="A11088" s="46">
        <v>9180</v>
      </c>
      <c r="B11088" s="4" t="s">
        <v>250</v>
      </c>
      <c r="C11088" s="22" t="s">
        <v>2474</v>
      </c>
      <c r="D11088" s="18">
        <v>2021</v>
      </c>
      <c r="E11088" s="18"/>
      <c r="F11088" s="4">
        <v>1</v>
      </c>
      <c r="G11088" s="4">
        <v>10</v>
      </c>
      <c r="H11088" s="4">
        <v>79</v>
      </c>
    </row>
    <row r="11089" spans="1:8" s="15" customFormat="1" ht="19.5" hidden="1" customHeight="1" outlineLevel="1" x14ac:dyDescent="0.25">
      <c r="A11089" s="45">
        <v>27</v>
      </c>
      <c r="B11089" s="4" t="s">
        <v>250</v>
      </c>
      <c r="C11089" s="22" t="s">
        <v>2475</v>
      </c>
      <c r="D11089" s="18">
        <v>2021</v>
      </c>
      <c r="E11089" s="18"/>
      <c r="F11089" s="4">
        <v>1</v>
      </c>
      <c r="G11089" s="4">
        <v>7</v>
      </c>
      <c r="H11089" s="4">
        <v>68</v>
      </c>
    </row>
    <row r="11090" spans="1:8" s="15" customFormat="1" ht="19.5" hidden="1" customHeight="1" outlineLevel="1" x14ac:dyDescent="0.25">
      <c r="A11090" s="46">
        <v>9191</v>
      </c>
      <c r="B11090" s="4" t="s">
        <v>250</v>
      </c>
      <c r="C11090" s="22" t="s">
        <v>2476</v>
      </c>
      <c r="D11090" s="18">
        <v>2021</v>
      </c>
      <c r="E11090" s="18"/>
      <c r="F11090" s="4">
        <v>1</v>
      </c>
      <c r="G11090" s="4">
        <v>15</v>
      </c>
      <c r="H11090" s="4">
        <v>83</v>
      </c>
    </row>
    <row r="11091" spans="1:8" s="15" customFormat="1" ht="19.5" hidden="1" customHeight="1" outlineLevel="1" x14ac:dyDescent="0.25">
      <c r="A11091" s="45">
        <v>1434</v>
      </c>
      <c r="B11091" s="4" t="s">
        <v>250</v>
      </c>
      <c r="C11091" s="22" t="s">
        <v>1393</v>
      </c>
      <c r="D11091" s="18">
        <v>2021</v>
      </c>
      <c r="E11091" s="18"/>
      <c r="F11091" s="4">
        <v>1</v>
      </c>
      <c r="G11091" s="4">
        <v>15</v>
      </c>
      <c r="H11091" s="4">
        <v>32</v>
      </c>
    </row>
    <row r="11092" spans="1:8" s="15" customFormat="1" ht="19.5" hidden="1" customHeight="1" outlineLevel="1" x14ac:dyDescent="0.25">
      <c r="A11092" s="46">
        <v>9226</v>
      </c>
      <c r="B11092" s="4" t="s">
        <v>250</v>
      </c>
      <c r="C11092" s="22" t="s">
        <v>1140</v>
      </c>
      <c r="D11092" s="18">
        <v>2021</v>
      </c>
      <c r="E11092" s="18"/>
      <c r="F11092" s="4">
        <v>1</v>
      </c>
      <c r="G11092" s="4">
        <v>15</v>
      </c>
      <c r="H11092" s="4">
        <v>59</v>
      </c>
    </row>
    <row r="11093" spans="1:8" s="15" customFormat="1" ht="19.5" hidden="1" customHeight="1" outlineLevel="1" x14ac:dyDescent="0.25">
      <c r="A11093" s="45">
        <v>76</v>
      </c>
      <c r="B11093" s="4" t="s">
        <v>250</v>
      </c>
      <c r="C11093" s="22" t="s">
        <v>2477</v>
      </c>
      <c r="D11093" s="18">
        <v>2021</v>
      </c>
      <c r="E11093" s="18"/>
      <c r="F11093" s="4">
        <v>1</v>
      </c>
      <c r="G11093" s="4">
        <v>15</v>
      </c>
      <c r="H11093" s="4">
        <v>94</v>
      </c>
    </row>
    <row r="11094" spans="1:8" s="15" customFormat="1" ht="19.5" hidden="1" customHeight="1" outlineLevel="1" x14ac:dyDescent="0.25">
      <c r="A11094" s="45">
        <v>1436</v>
      </c>
      <c r="B11094" s="4" t="s">
        <v>250</v>
      </c>
      <c r="C11094" s="22" t="s">
        <v>1397</v>
      </c>
      <c r="D11094" s="18">
        <v>2021</v>
      </c>
      <c r="E11094" s="18"/>
      <c r="F11094" s="4">
        <v>1</v>
      </c>
      <c r="G11094" s="4">
        <v>15</v>
      </c>
      <c r="H11094" s="4">
        <v>30</v>
      </c>
    </row>
    <row r="11095" spans="1:8" s="15" customFormat="1" ht="19.5" hidden="1" customHeight="1" outlineLevel="1" x14ac:dyDescent="0.25">
      <c r="A11095" s="46">
        <v>9190</v>
      </c>
      <c r="B11095" s="4" t="s">
        <v>250</v>
      </c>
      <c r="C11095" s="22" t="s">
        <v>2478</v>
      </c>
      <c r="D11095" s="18">
        <v>2021</v>
      </c>
      <c r="E11095" s="18"/>
      <c r="F11095" s="4">
        <v>1</v>
      </c>
      <c r="G11095" s="4">
        <v>15</v>
      </c>
      <c r="H11095" s="4">
        <v>84</v>
      </c>
    </row>
    <row r="11096" spans="1:8" s="15" customFormat="1" ht="19.5" hidden="1" customHeight="1" outlineLevel="1" x14ac:dyDescent="0.25">
      <c r="A11096" s="46">
        <v>9224</v>
      </c>
      <c r="B11096" s="4" t="s">
        <v>250</v>
      </c>
      <c r="C11096" s="22" t="s">
        <v>2479</v>
      </c>
      <c r="D11096" s="18">
        <v>2021</v>
      </c>
      <c r="E11096" s="18"/>
      <c r="F11096" s="4">
        <v>1</v>
      </c>
      <c r="G11096" s="4">
        <v>7</v>
      </c>
      <c r="H11096" s="4">
        <v>43</v>
      </c>
    </row>
    <row r="11097" spans="1:8" s="15" customFormat="1" ht="19.5" hidden="1" customHeight="1" outlineLevel="1" x14ac:dyDescent="0.25">
      <c r="A11097" s="46">
        <v>9246</v>
      </c>
      <c r="B11097" s="4" t="s">
        <v>250</v>
      </c>
      <c r="C11097" s="22" t="s">
        <v>2480</v>
      </c>
      <c r="D11097" s="18">
        <v>2021</v>
      </c>
      <c r="E11097" s="18"/>
      <c r="F11097" s="4">
        <v>1</v>
      </c>
      <c r="G11097" s="4">
        <v>15</v>
      </c>
      <c r="H11097" s="4">
        <v>62</v>
      </c>
    </row>
    <row r="11098" spans="1:8" s="15" customFormat="1" ht="19.5" hidden="1" customHeight="1" outlineLevel="1" x14ac:dyDescent="0.25">
      <c r="A11098" s="46">
        <v>9243</v>
      </c>
      <c r="B11098" s="4" t="s">
        <v>250</v>
      </c>
      <c r="C11098" s="22" t="s">
        <v>2481</v>
      </c>
      <c r="D11098" s="18">
        <v>2021</v>
      </c>
      <c r="E11098" s="18"/>
      <c r="F11098" s="4">
        <v>1</v>
      </c>
      <c r="G11098" s="4">
        <v>15</v>
      </c>
      <c r="H11098" s="4">
        <v>59</v>
      </c>
    </row>
    <row r="11099" spans="1:8" s="15" customFormat="1" ht="19.5" hidden="1" customHeight="1" outlineLevel="1" x14ac:dyDescent="0.25">
      <c r="A11099" s="46">
        <v>9182</v>
      </c>
      <c r="B11099" s="4" t="s">
        <v>250</v>
      </c>
      <c r="C11099" s="22" t="s">
        <v>2482</v>
      </c>
      <c r="D11099" s="18">
        <v>2021</v>
      </c>
      <c r="E11099" s="18"/>
      <c r="F11099" s="4">
        <v>1</v>
      </c>
      <c r="G11099" s="4">
        <v>15</v>
      </c>
      <c r="H11099" s="4">
        <v>90</v>
      </c>
    </row>
    <row r="11100" spans="1:8" s="15" customFormat="1" ht="19.5" hidden="1" customHeight="1" outlineLevel="1" x14ac:dyDescent="0.25">
      <c r="A11100" s="46">
        <v>9186</v>
      </c>
      <c r="B11100" s="4" t="s">
        <v>250</v>
      </c>
      <c r="C11100" s="22" t="s">
        <v>2483</v>
      </c>
      <c r="D11100" s="18">
        <v>2021</v>
      </c>
      <c r="E11100" s="18"/>
      <c r="F11100" s="4">
        <v>1</v>
      </c>
      <c r="G11100" s="4">
        <v>15</v>
      </c>
      <c r="H11100" s="4">
        <v>66</v>
      </c>
    </row>
    <row r="11101" spans="1:8" s="15" customFormat="1" ht="19.5" hidden="1" customHeight="1" outlineLevel="1" x14ac:dyDescent="0.25">
      <c r="A11101" s="45">
        <v>99</v>
      </c>
      <c r="B11101" s="4" t="s">
        <v>250</v>
      </c>
      <c r="C11101" s="22" t="s">
        <v>2484</v>
      </c>
      <c r="D11101" s="18">
        <v>2021</v>
      </c>
      <c r="E11101" s="18"/>
      <c r="F11101" s="4">
        <v>1</v>
      </c>
      <c r="G11101" s="4">
        <v>15</v>
      </c>
      <c r="H11101" s="4">
        <v>99</v>
      </c>
    </row>
    <row r="11102" spans="1:8" s="15" customFormat="1" ht="19.5" hidden="1" customHeight="1" outlineLevel="1" x14ac:dyDescent="0.25">
      <c r="A11102" s="45">
        <v>83</v>
      </c>
      <c r="B11102" s="4" t="s">
        <v>250</v>
      </c>
      <c r="C11102" s="22" t="s">
        <v>2485</v>
      </c>
      <c r="D11102" s="18">
        <v>2021</v>
      </c>
      <c r="E11102" s="18"/>
      <c r="F11102" s="4">
        <v>1</v>
      </c>
      <c r="G11102" s="4">
        <v>15</v>
      </c>
      <c r="H11102" s="4">
        <v>72</v>
      </c>
    </row>
    <row r="11103" spans="1:8" s="15" customFormat="1" ht="19.5" hidden="1" customHeight="1" outlineLevel="1" x14ac:dyDescent="0.25">
      <c r="A11103" s="45">
        <v>1400</v>
      </c>
      <c r="B11103" s="4" t="s">
        <v>250</v>
      </c>
      <c r="C11103" s="22" t="s">
        <v>1401</v>
      </c>
      <c r="D11103" s="18">
        <v>2021</v>
      </c>
      <c r="E11103" s="18"/>
      <c r="F11103" s="4">
        <v>1</v>
      </c>
      <c r="G11103" s="4">
        <v>15</v>
      </c>
      <c r="H11103" s="4">
        <v>34</v>
      </c>
    </row>
    <row r="11104" spans="1:8" s="15" customFormat="1" ht="19.5" hidden="1" customHeight="1" outlineLevel="1" x14ac:dyDescent="0.25">
      <c r="A11104" s="46">
        <v>9788</v>
      </c>
      <c r="B11104" s="4" t="s">
        <v>250</v>
      </c>
      <c r="C11104" s="22" t="s">
        <v>1402</v>
      </c>
      <c r="D11104" s="18">
        <v>2021</v>
      </c>
      <c r="E11104" s="18"/>
      <c r="F11104" s="4">
        <v>1</v>
      </c>
      <c r="G11104" s="4">
        <v>15</v>
      </c>
      <c r="H11104" s="4">
        <v>39</v>
      </c>
    </row>
    <row r="11105" spans="1:8" s="15" customFormat="1" ht="19.5" hidden="1" customHeight="1" outlineLevel="1" x14ac:dyDescent="0.25">
      <c r="A11105" s="45">
        <v>1491</v>
      </c>
      <c r="B11105" s="4" t="s">
        <v>250</v>
      </c>
      <c r="C11105" s="22" t="s">
        <v>1403</v>
      </c>
      <c r="D11105" s="18">
        <v>2021</v>
      </c>
      <c r="E11105" s="18"/>
      <c r="F11105" s="4">
        <v>1</v>
      </c>
      <c r="G11105" s="4">
        <v>15</v>
      </c>
      <c r="H11105" s="4">
        <v>31</v>
      </c>
    </row>
    <row r="11106" spans="1:8" s="15" customFormat="1" ht="19.5" hidden="1" customHeight="1" outlineLevel="1" x14ac:dyDescent="0.25">
      <c r="A11106" s="45">
        <v>110</v>
      </c>
      <c r="B11106" s="4" t="s">
        <v>250</v>
      </c>
      <c r="C11106" s="22" t="s">
        <v>2486</v>
      </c>
      <c r="D11106" s="18">
        <v>2021</v>
      </c>
      <c r="E11106" s="18"/>
      <c r="F11106" s="4">
        <v>1</v>
      </c>
      <c r="G11106" s="4">
        <v>15</v>
      </c>
      <c r="H11106" s="4">
        <v>70</v>
      </c>
    </row>
    <row r="11107" spans="1:8" s="15" customFormat="1" ht="19.5" hidden="1" customHeight="1" outlineLevel="1" x14ac:dyDescent="0.25">
      <c r="A11107" s="45">
        <v>113</v>
      </c>
      <c r="B11107" s="4" t="s">
        <v>250</v>
      </c>
      <c r="C11107" s="22" t="s">
        <v>2487</v>
      </c>
      <c r="D11107" s="18">
        <v>2021</v>
      </c>
      <c r="E11107" s="18"/>
      <c r="F11107" s="4">
        <v>1</v>
      </c>
      <c r="G11107" s="4">
        <v>15</v>
      </c>
      <c r="H11107" s="4">
        <v>60</v>
      </c>
    </row>
    <row r="11108" spans="1:8" s="15" customFormat="1" ht="19.5" hidden="1" customHeight="1" outlineLevel="1" x14ac:dyDescent="0.25">
      <c r="A11108" s="46">
        <v>9222</v>
      </c>
      <c r="B11108" s="4" t="s">
        <v>250</v>
      </c>
      <c r="C11108" s="22" t="s">
        <v>2488</v>
      </c>
      <c r="D11108" s="18">
        <v>2021</v>
      </c>
      <c r="E11108" s="18"/>
      <c r="F11108" s="4">
        <v>1</v>
      </c>
      <c r="G11108" s="4">
        <v>15</v>
      </c>
      <c r="H11108" s="4">
        <v>88</v>
      </c>
    </row>
    <row r="11109" spans="1:8" s="15" customFormat="1" ht="19.5" hidden="1" customHeight="1" outlineLevel="1" x14ac:dyDescent="0.25">
      <c r="A11109" s="46">
        <v>9223</v>
      </c>
      <c r="B11109" s="4" t="s">
        <v>250</v>
      </c>
      <c r="C11109" s="22" t="s">
        <v>2489</v>
      </c>
      <c r="D11109" s="18">
        <v>2021</v>
      </c>
      <c r="E11109" s="18"/>
      <c r="F11109" s="4">
        <v>1</v>
      </c>
      <c r="G11109" s="4">
        <v>15</v>
      </c>
      <c r="H11109" s="4">
        <v>109</v>
      </c>
    </row>
    <row r="11110" spans="1:8" s="15" customFormat="1" ht="19.5" hidden="1" customHeight="1" outlineLevel="1" x14ac:dyDescent="0.25">
      <c r="A11110" s="46">
        <v>9189</v>
      </c>
      <c r="B11110" s="4" t="s">
        <v>250</v>
      </c>
      <c r="C11110" s="22" t="s">
        <v>2490</v>
      </c>
      <c r="D11110" s="18">
        <v>2021</v>
      </c>
      <c r="E11110" s="18"/>
      <c r="F11110" s="4">
        <v>1</v>
      </c>
      <c r="G11110" s="4">
        <v>15</v>
      </c>
      <c r="H11110" s="4">
        <v>102</v>
      </c>
    </row>
    <row r="11111" spans="1:8" s="15" customFormat="1" ht="19.5" hidden="1" customHeight="1" outlineLevel="1" x14ac:dyDescent="0.25">
      <c r="A11111" s="46">
        <v>9188</v>
      </c>
      <c r="B11111" s="4" t="s">
        <v>250</v>
      </c>
      <c r="C11111" s="22" t="s">
        <v>2491</v>
      </c>
      <c r="D11111" s="18">
        <v>2021</v>
      </c>
      <c r="E11111" s="18"/>
      <c r="F11111" s="4">
        <v>1</v>
      </c>
      <c r="G11111" s="4">
        <v>15</v>
      </c>
      <c r="H11111" s="4">
        <v>107</v>
      </c>
    </row>
    <row r="11112" spans="1:8" s="15" customFormat="1" ht="19.5" hidden="1" customHeight="1" outlineLevel="1" x14ac:dyDescent="0.25">
      <c r="A11112" s="45">
        <v>832</v>
      </c>
      <c r="B11112" s="4" t="s">
        <v>250</v>
      </c>
      <c r="C11112" s="22" t="s">
        <v>1404</v>
      </c>
      <c r="D11112" s="18">
        <v>2021</v>
      </c>
      <c r="E11112" s="18"/>
      <c r="F11112" s="4">
        <v>1</v>
      </c>
      <c r="G11112" s="4">
        <v>30</v>
      </c>
      <c r="H11112" s="4">
        <v>34</v>
      </c>
    </row>
    <row r="11113" spans="1:8" s="15" customFormat="1" ht="19.5" hidden="1" customHeight="1" outlineLevel="1" x14ac:dyDescent="0.25">
      <c r="A11113" s="45">
        <v>1575</v>
      </c>
      <c r="B11113" s="4" t="s">
        <v>250</v>
      </c>
      <c r="C11113" s="22" t="s">
        <v>2492</v>
      </c>
      <c r="D11113" s="18">
        <v>2021</v>
      </c>
      <c r="E11113" s="18"/>
      <c r="F11113" s="4">
        <v>1</v>
      </c>
      <c r="G11113" s="4">
        <v>15</v>
      </c>
      <c r="H11113" s="4">
        <v>112</v>
      </c>
    </row>
    <row r="11114" spans="1:8" s="15" customFormat="1" ht="19.5" hidden="1" customHeight="1" outlineLevel="1" x14ac:dyDescent="0.25">
      <c r="A11114" s="45">
        <v>789</v>
      </c>
      <c r="B11114" s="4" t="s">
        <v>250</v>
      </c>
      <c r="C11114" s="22" t="s">
        <v>1408</v>
      </c>
      <c r="D11114" s="18">
        <v>2021</v>
      </c>
      <c r="E11114" s="18"/>
      <c r="F11114" s="4">
        <v>1</v>
      </c>
      <c r="G11114" s="4">
        <v>15</v>
      </c>
      <c r="H11114" s="4">
        <v>29</v>
      </c>
    </row>
    <row r="11115" spans="1:8" s="15" customFormat="1" ht="19.5" hidden="1" customHeight="1" outlineLevel="1" x14ac:dyDescent="0.25">
      <c r="A11115" s="46">
        <v>9181</v>
      </c>
      <c r="B11115" s="4" t="s">
        <v>250</v>
      </c>
      <c r="C11115" s="22" t="s">
        <v>2493</v>
      </c>
      <c r="D11115" s="18">
        <v>2021</v>
      </c>
      <c r="E11115" s="18"/>
      <c r="F11115" s="4">
        <v>1</v>
      </c>
      <c r="G11115" s="4">
        <v>5</v>
      </c>
      <c r="H11115" s="4">
        <v>116</v>
      </c>
    </row>
    <row r="11116" spans="1:8" s="15" customFormat="1" ht="19.5" hidden="1" customHeight="1" outlineLevel="1" x14ac:dyDescent="0.25">
      <c r="A11116" s="45">
        <v>100</v>
      </c>
      <c r="B11116" s="4" t="s">
        <v>250</v>
      </c>
      <c r="C11116" s="22" t="s">
        <v>2494</v>
      </c>
      <c r="D11116" s="18">
        <v>2021</v>
      </c>
      <c r="E11116" s="18"/>
      <c r="F11116" s="4">
        <v>1</v>
      </c>
      <c r="G11116" s="4">
        <v>15</v>
      </c>
      <c r="H11116" s="4">
        <v>110</v>
      </c>
    </row>
    <row r="11117" spans="1:8" s="15" customFormat="1" ht="19.5" hidden="1" customHeight="1" outlineLevel="1" x14ac:dyDescent="0.25">
      <c r="A11117" s="45">
        <v>1388</v>
      </c>
      <c r="B11117" s="4" t="s">
        <v>250</v>
      </c>
      <c r="C11117" s="22" t="s">
        <v>1409</v>
      </c>
      <c r="D11117" s="18">
        <v>2021</v>
      </c>
      <c r="E11117" s="18"/>
      <c r="F11117" s="4">
        <v>1</v>
      </c>
      <c r="G11117" s="4">
        <v>15</v>
      </c>
      <c r="H11117" s="4">
        <v>52</v>
      </c>
    </row>
    <row r="11118" spans="1:8" s="15" customFormat="1" ht="19.5" hidden="1" customHeight="1" outlineLevel="1" x14ac:dyDescent="0.25">
      <c r="A11118" s="45">
        <v>1395</v>
      </c>
      <c r="B11118" s="4" t="s">
        <v>250</v>
      </c>
      <c r="C11118" s="22" t="s">
        <v>1410</v>
      </c>
      <c r="D11118" s="18">
        <v>2021</v>
      </c>
      <c r="E11118" s="18"/>
      <c r="F11118" s="4">
        <v>1</v>
      </c>
      <c r="G11118" s="4">
        <v>15</v>
      </c>
      <c r="H11118" s="4">
        <v>41</v>
      </c>
    </row>
    <row r="11119" spans="1:8" s="15" customFormat="1" ht="19.5" hidden="1" customHeight="1" outlineLevel="1" x14ac:dyDescent="0.25">
      <c r="A11119" s="45">
        <v>105</v>
      </c>
      <c r="B11119" s="4" t="s">
        <v>250</v>
      </c>
      <c r="C11119" s="22" t="s">
        <v>2495</v>
      </c>
      <c r="D11119" s="18">
        <v>2021</v>
      </c>
      <c r="E11119" s="18"/>
      <c r="F11119" s="4">
        <v>1</v>
      </c>
      <c r="G11119" s="4">
        <v>15</v>
      </c>
      <c r="H11119" s="4">
        <v>109</v>
      </c>
    </row>
    <row r="11120" spans="1:8" s="15" customFormat="1" ht="19.5" hidden="1" customHeight="1" outlineLevel="1" x14ac:dyDescent="0.25">
      <c r="A11120" s="46">
        <v>9898</v>
      </c>
      <c r="B11120" s="4" t="s">
        <v>250</v>
      </c>
      <c r="C11120" s="22" t="s">
        <v>2496</v>
      </c>
      <c r="D11120" s="18">
        <v>2021</v>
      </c>
      <c r="E11120" s="18"/>
      <c r="F11120" s="4">
        <v>1</v>
      </c>
      <c r="G11120" s="4">
        <v>7</v>
      </c>
      <c r="H11120" s="4">
        <v>94</v>
      </c>
    </row>
    <row r="11121" spans="1:8" s="15" customFormat="1" ht="19.5" hidden="1" customHeight="1" outlineLevel="1" x14ac:dyDescent="0.25">
      <c r="A11121" s="45">
        <v>102</v>
      </c>
      <c r="B11121" s="4" t="s">
        <v>250</v>
      </c>
      <c r="C11121" s="22" t="s">
        <v>2497</v>
      </c>
      <c r="D11121" s="18">
        <v>2021</v>
      </c>
      <c r="E11121" s="18"/>
      <c r="F11121" s="4">
        <v>1</v>
      </c>
      <c r="G11121" s="4">
        <v>15</v>
      </c>
      <c r="H11121" s="4">
        <v>52</v>
      </c>
    </row>
    <row r="11122" spans="1:8" s="15" customFormat="1" ht="19.5" hidden="1" customHeight="1" outlineLevel="1" x14ac:dyDescent="0.25">
      <c r="A11122" s="45">
        <v>94</v>
      </c>
      <c r="B11122" s="4" t="s">
        <v>250</v>
      </c>
      <c r="C11122" s="22" t="s">
        <v>2498</v>
      </c>
      <c r="D11122" s="18">
        <v>2021</v>
      </c>
      <c r="E11122" s="18"/>
      <c r="F11122" s="4">
        <v>1</v>
      </c>
      <c r="G11122" s="4">
        <v>15</v>
      </c>
      <c r="H11122" s="4">
        <v>60</v>
      </c>
    </row>
    <row r="11123" spans="1:8" s="15" customFormat="1" ht="19.5" hidden="1" customHeight="1" outlineLevel="1" x14ac:dyDescent="0.25">
      <c r="A11123" s="46">
        <v>9968</v>
      </c>
      <c r="B11123" s="4" t="s">
        <v>250</v>
      </c>
      <c r="C11123" s="22" t="s">
        <v>2499</v>
      </c>
      <c r="D11123" s="18">
        <v>2021</v>
      </c>
      <c r="E11123" s="18"/>
      <c r="F11123" s="4">
        <v>1</v>
      </c>
      <c r="G11123" s="4">
        <v>15</v>
      </c>
      <c r="H11123" s="4">
        <v>50</v>
      </c>
    </row>
    <row r="11124" spans="1:8" s="15" customFormat="1" ht="19.5" hidden="1" customHeight="1" outlineLevel="1" x14ac:dyDescent="0.25">
      <c r="A11124" s="46">
        <v>9901</v>
      </c>
      <c r="B11124" s="4" t="s">
        <v>250</v>
      </c>
      <c r="C11124" s="22" t="s">
        <v>2500</v>
      </c>
      <c r="D11124" s="18">
        <v>2021</v>
      </c>
      <c r="E11124" s="18"/>
      <c r="F11124" s="4">
        <v>1</v>
      </c>
      <c r="G11124" s="4">
        <v>15</v>
      </c>
      <c r="H11124" s="4">
        <v>53</v>
      </c>
    </row>
    <row r="11125" spans="1:8" s="15" customFormat="1" ht="19.5" hidden="1" customHeight="1" outlineLevel="1" x14ac:dyDescent="0.25">
      <c r="A11125" s="45">
        <v>1677</v>
      </c>
      <c r="B11125" s="4" t="s">
        <v>250</v>
      </c>
      <c r="C11125" s="22" t="s">
        <v>2501</v>
      </c>
      <c r="D11125" s="18">
        <v>2021</v>
      </c>
      <c r="E11125" s="18"/>
      <c r="F11125" s="4">
        <v>1</v>
      </c>
      <c r="G11125" s="4">
        <v>15</v>
      </c>
      <c r="H11125" s="4">
        <v>67</v>
      </c>
    </row>
    <row r="11126" spans="1:8" s="15" customFormat="1" ht="19.5" hidden="1" customHeight="1" outlineLevel="1" x14ac:dyDescent="0.25">
      <c r="A11126" s="45">
        <v>75</v>
      </c>
      <c r="B11126" s="4" t="s">
        <v>250</v>
      </c>
      <c r="C11126" s="22" t="s">
        <v>2502</v>
      </c>
      <c r="D11126" s="18">
        <v>2021</v>
      </c>
      <c r="E11126" s="18"/>
      <c r="F11126" s="4">
        <v>1</v>
      </c>
      <c r="G11126" s="4">
        <v>15</v>
      </c>
      <c r="H11126" s="4">
        <v>114</v>
      </c>
    </row>
    <row r="11127" spans="1:8" s="15" customFormat="1" ht="19.5" hidden="1" customHeight="1" outlineLevel="1" x14ac:dyDescent="0.25">
      <c r="A11127" s="46">
        <v>9900</v>
      </c>
      <c r="B11127" s="4" t="s">
        <v>250</v>
      </c>
      <c r="C11127" s="22" t="s">
        <v>2503</v>
      </c>
      <c r="D11127" s="18">
        <v>2021</v>
      </c>
      <c r="E11127" s="18"/>
      <c r="F11127" s="4">
        <v>1</v>
      </c>
      <c r="G11127" s="4">
        <v>15</v>
      </c>
      <c r="H11127" s="4">
        <v>114</v>
      </c>
    </row>
    <row r="11128" spans="1:8" s="15" customFormat="1" ht="19.5" hidden="1" customHeight="1" outlineLevel="1" x14ac:dyDescent="0.25">
      <c r="A11128" s="45">
        <v>120</v>
      </c>
      <c r="B11128" s="4" t="s">
        <v>250</v>
      </c>
      <c r="C11128" s="22" t="s">
        <v>2504</v>
      </c>
      <c r="D11128" s="18">
        <v>2021</v>
      </c>
      <c r="E11128" s="18"/>
      <c r="F11128" s="4">
        <v>1</v>
      </c>
      <c r="G11128" s="4">
        <v>15</v>
      </c>
      <c r="H11128" s="4">
        <v>134</v>
      </c>
    </row>
    <row r="11129" spans="1:8" s="15" customFormat="1" ht="19.5" hidden="1" customHeight="1" outlineLevel="1" x14ac:dyDescent="0.25">
      <c r="A11129" s="45">
        <v>73</v>
      </c>
      <c r="B11129" s="4" t="s">
        <v>250</v>
      </c>
      <c r="C11129" s="22" t="s">
        <v>2505</v>
      </c>
      <c r="D11129" s="18">
        <v>2021</v>
      </c>
      <c r="E11129" s="18"/>
      <c r="F11129" s="4">
        <v>1</v>
      </c>
      <c r="G11129" s="4">
        <v>15</v>
      </c>
      <c r="H11129" s="4">
        <v>125</v>
      </c>
    </row>
    <row r="11130" spans="1:8" s="15" customFormat="1" ht="19.5" hidden="1" customHeight="1" outlineLevel="1" x14ac:dyDescent="0.25">
      <c r="A11130" s="46">
        <v>9899</v>
      </c>
      <c r="B11130" s="4" t="s">
        <v>250</v>
      </c>
      <c r="C11130" s="22" t="s">
        <v>2506</v>
      </c>
      <c r="D11130" s="18">
        <v>2021</v>
      </c>
      <c r="E11130" s="18"/>
      <c r="F11130" s="4">
        <v>1</v>
      </c>
      <c r="G11130" s="4">
        <v>15</v>
      </c>
      <c r="H11130" s="4">
        <v>96</v>
      </c>
    </row>
    <row r="11131" spans="1:8" s="15" customFormat="1" ht="19.5" hidden="1" customHeight="1" outlineLevel="1" x14ac:dyDescent="0.25">
      <c r="A11131" s="46">
        <v>9965</v>
      </c>
      <c r="B11131" s="4" t="s">
        <v>250</v>
      </c>
      <c r="C11131" s="22" t="s">
        <v>2507</v>
      </c>
      <c r="D11131" s="18">
        <v>2021</v>
      </c>
      <c r="E11131" s="18"/>
      <c r="F11131" s="4">
        <v>1</v>
      </c>
      <c r="G11131" s="4">
        <v>50</v>
      </c>
      <c r="H11131" s="4">
        <v>102</v>
      </c>
    </row>
    <row r="11132" spans="1:8" s="15" customFormat="1" ht="19.5" hidden="1" customHeight="1" outlineLevel="1" x14ac:dyDescent="0.25">
      <c r="A11132" s="45">
        <v>1362</v>
      </c>
      <c r="B11132" s="4" t="s">
        <v>250</v>
      </c>
      <c r="C11132" s="22" t="s">
        <v>1412</v>
      </c>
      <c r="D11132" s="18">
        <v>2021</v>
      </c>
      <c r="E11132" s="18"/>
      <c r="F11132" s="4">
        <v>1</v>
      </c>
      <c r="G11132" s="4">
        <v>15</v>
      </c>
      <c r="H11132" s="4">
        <v>61</v>
      </c>
    </row>
    <row r="11133" spans="1:8" s="15" customFormat="1" ht="19.5" hidden="1" customHeight="1" outlineLevel="1" x14ac:dyDescent="0.25">
      <c r="A11133" s="45">
        <v>1405</v>
      </c>
      <c r="B11133" s="4" t="s">
        <v>250</v>
      </c>
      <c r="C11133" s="22" t="s">
        <v>1413</v>
      </c>
      <c r="D11133" s="18">
        <v>2021</v>
      </c>
      <c r="E11133" s="18"/>
      <c r="F11133" s="4">
        <v>2</v>
      </c>
      <c r="G11133" s="4">
        <v>30</v>
      </c>
      <c r="H11133" s="4">
        <v>119</v>
      </c>
    </row>
    <row r="11134" spans="1:8" s="15" customFormat="1" ht="19.5" hidden="1" customHeight="1" outlineLevel="1" x14ac:dyDescent="0.25">
      <c r="A11134" s="45">
        <v>1418</v>
      </c>
      <c r="B11134" s="4" t="s">
        <v>250</v>
      </c>
      <c r="C11134" s="22" t="s">
        <v>1414</v>
      </c>
      <c r="D11134" s="18">
        <v>2021</v>
      </c>
      <c r="E11134" s="18"/>
      <c r="F11134" s="4">
        <v>1</v>
      </c>
      <c r="G11134" s="4">
        <v>15</v>
      </c>
      <c r="H11134" s="4">
        <v>42</v>
      </c>
    </row>
    <row r="11135" spans="1:8" s="15" customFormat="1" ht="19.5" hidden="1" customHeight="1" outlineLevel="1" x14ac:dyDescent="0.25">
      <c r="A11135" s="45">
        <v>1430</v>
      </c>
      <c r="B11135" s="4" t="s">
        <v>250</v>
      </c>
      <c r="C11135" s="22" t="s">
        <v>1415</v>
      </c>
      <c r="D11135" s="18">
        <v>2021</v>
      </c>
      <c r="E11135" s="18"/>
      <c r="F11135" s="4">
        <v>2</v>
      </c>
      <c r="G11135" s="4">
        <v>30</v>
      </c>
      <c r="H11135" s="4">
        <v>70</v>
      </c>
    </row>
    <row r="11136" spans="1:8" s="15" customFormat="1" ht="19.5" hidden="1" customHeight="1" outlineLevel="1" x14ac:dyDescent="0.25">
      <c r="A11136" s="45">
        <v>1396</v>
      </c>
      <c r="B11136" s="4" t="s">
        <v>250</v>
      </c>
      <c r="C11136" s="22" t="s">
        <v>1416</v>
      </c>
      <c r="D11136" s="18">
        <v>2021</v>
      </c>
      <c r="E11136" s="18"/>
      <c r="F11136" s="4">
        <v>1</v>
      </c>
      <c r="G11136" s="4">
        <v>15</v>
      </c>
      <c r="H11136" s="4">
        <v>72</v>
      </c>
    </row>
    <row r="11137" spans="1:8" s="15" customFormat="1" ht="19.5" hidden="1" customHeight="1" outlineLevel="1" x14ac:dyDescent="0.25">
      <c r="A11137" s="46">
        <v>9789</v>
      </c>
      <c r="B11137" s="4" t="s">
        <v>250</v>
      </c>
      <c r="C11137" s="22" t="s">
        <v>1417</v>
      </c>
      <c r="D11137" s="18">
        <v>2021</v>
      </c>
      <c r="E11137" s="18"/>
      <c r="F11137" s="4">
        <v>1</v>
      </c>
      <c r="G11137" s="4">
        <v>15</v>
      </c>
      <c r="H11137" s="4">
        <v>72</v>
      </c>
    </row>
    <row r="11138" spans="1:8" s="15" customFormat="1" ht="19.5" hidden="1" customHeight="1" outlineLevel="1" x14ac:dyDescent="0.25">
      <c r="A11138" s="46">
        <v>9967</v>
      </c>
      <c r="B11138" s="4" t="s">
        <v>250</v>
      </c>
      <c r="C11138" s="22" t="s">
        <v>2508</v>
      </c>
      <c r="D11138" s="18">
        <v>2021</v>
      </c>
      <c r="E11138" s="18"/>
      <c r="F11138" s="4">
        <v>1</v>
      </c>
      <c r="G11138" s="4">
        <v>10</v>
      </c>
      <c r="H11138" s="4">
        <v>67</v>
      </c>
    </row>
    <row r="11139" spans="1:8" s="15" customFormat="1" ht="19.5" hidden="1" customHeight="1" outlineLevel="1" x14ac:dyDescent="0.25">
      <c r="A11139" s="45">
        <v>1674</v>
      </c>
      <c r="B11139" s="4" t="s">
        <v>250</v>
      </c>
      <c r="C11139" s="22" t="s">
        <v>2509</v>
      </c>
      <c r="D11139" s="18">
        <v>2021</v>
      </c>
      <c r="E11139" s="18"/>
      <c r="F11139" s="4">
        <v>1</v>
      </c>
      <c r="G11139" s="4">
        <v>15</v>
      </c>
      <c r="H11139" s="4">
        <v>63</v>
      </c>
    </row>
    <row r="11140" spans="1:8" s="15" customFormat="1" ht="19.5" hidden="1" customHeight="1" outlineLevel="1" x14ac:dyDescent="0.25">
      <c r="A11140" s="46">
        <v>9964</v>
      </c>
      <c r="B11140" s="4" t="s">
        <v>250</v>
      </c>
      <c r="C11140" s="22" t="s">
        <v>2510</v>
      </c>
      <c r="D11140" s="18">
        <v>2021</v>
      </c>
      <c r="E11140" s="18"/>
      <c r="F11140" s="4">
        <v>1</v>
      </c>
      <c r="G11140" s="4">
        <v>30</v>
      </c>
      <c r="H11140" s="4">
        <v>46</v>
      </c>
    </row>
    <row r="11141" spans="1:8" s="15" customFormat="1" ht="19.5" hidden="1" customHeight="1" outlineLevel="1" x14ac:dyDescent="0.25">
      <c r="A11141" s="45">
        <v>92</v>
      </c>
      <c r="B11141" s="4" t="s">
        <v>250</v>
      </c>
      <c r="C11141" s="22" t="s">
        <v>2511</v>
      </c>
      <c r="D11141" s="18">
        <v>2021</v>
      </c>
      <c r="E11141" s="18"/>
      <c r="F11141" s="4">
        <v>1</v>
      </c>
      <c r="G11141" s="4">
        <v>15</v>
      </c>
      <c r="H11141" s="4">
        <v>40</v>
      </c>
    </row>
    <row r="11142" spans="1:8" s="15" customFormat="1" ht="19.5" hidden="1" customHeight="1" outlineLevel="1" x14ac:dyDescent="0.25">
      <c r="A11142" s="45">
        <v>1557</v>
      </c>
      <c r="B11142" s="4" t="s">
        <v>250</v>
      </c>
      <c r="C11142" s="22" t="s">
        <v>2512</v>
      </c>
      <c r="D11142" s="18">
        <v>2021</v>
      </c>
      <c r="E11142" s="18"/>
      <c r="F11142" s="4">
        <v>1</v>
      </c>
      <c r="G11142" s="4">
        <v>15</v>
      </c>
      <c r="H11142" s="4">
        <v>52</v>
      </c>
    </row>
    <row r="11143" spans="1:8" s="15" customFormat="1" ht="19.5" hidden="1" customHeight="1" outlineLevel="1" x14ac:dyDescent="0.25">
      <c r="A11143" s="45">
        <v>1738</v>
      </c>
      <c r="B11143" s="4" t="s">
        <v>250</v>
      </c>
      <c r="C11143" s="22" t="s">
        <v>2513</v>
      </c>
      <c r="D11143" s="18">
        <v>2021</v>
      </c>
      <c r="E11143" s="18"/>
      <c r="F11143" s="4">
        <v>1</v>
      </c>
      <c r="G11143" s="4">
        <v>15</v>
      </c>
      <c r="H11143" s="4">
        <v>45</v>
      </c>
    </row>
    <row r="11144" spans="1:8" s="15" customFormat="1" ht="19.5" hidden="1" customHeight="1" outlineLevel="1" x14ac:dyDescent="0.25">
      <c r="A11144" s="46">
        <v>9746</v>
      </c>
      <c r="B11144" s="4" t="s">
        <v>250</v>
      </c>
      <c r="C11144" s="22" t="s">
        <v>1421</v>
      </c>
      <c r="D11144" s="18">
        <v>2021</v>
      </c>
      <c r="E11144" s="18"/>
      <c r="F11144" s="4">
        <v>1</v>
      </c>
      <c r="G11144" s="4">
        <v>15</v>
      </c>
      <c r="H11144" s="4">
        <v>43</v>
      </c>
    </row>
    <row r="11145" spans="1:8" s="15" customFormat="1" ht="19.5" hidden="1" customHeight="1" outlineLevel="1" x14ac:dyDescent="0.25">
      <c r="A11145" s="45">
        <v>157</v>
      </c>
      <c r="B11145" s="4" t="s">
        <v>250</v>
      </c>
      <c r="C11145" s="22" t="s">
        <v>2025</v>
      </c>
      <c r="D11145" s="18">
        <v>2021</v>
      </c>
      <c r="E11145" s="18"/>
      <c r="F11145" s="4">
        <v>1</v>
      </c>
      <c r="G11145" s="4">
        <v>15</v>
      </c>
      <c r="H11145" s="4">
        <v>32</v>
      </c>
    </row>
    <row r="11146" spans="1:8" s="15" customFormat="1" ht="19.5" hidden="1" customHeight="1" outlineLevel="1" x14ac:dyDescent="0.25">
      <c r="A11146" s="45">
        <v>1720</v>
      </c>
      <c r="B11146" s="4" t="s">
        <v>250</v>
      </c>
      <c r="C11146" s="22" t="s">
        <v>2514</v>
      </c>
      <c r="D11146" s="18">
        <v>2021</v>
      </c>
      <c r="E11146" s="18"/>
      <c r="F11146" s="4">
        <v>1</v>
      </c>
      <c r="G11146" s="4">
        <v>15</v>
      </c>
      <c r="H11146" s="4">
        <v>47</v>
      </c>
    </row>
    <row r="11147" spans="1:8" s="15" customFormat="1" ht="19.5" hidden="1" customHeight="1" outlineLevel="1" x14ac:dyDescent="0.25">
      <c r="A11147" s="45">
        <v>1742</v>
      </c>
      <c r="B11147" s="4" t="s">
        <v>250</v>
      </c>
      <c r="C11147" s="22" t="s">
        <v>2515</v>
      </c>
      <c r="D11147" s="18">
        <v>2021</v>
      </c>
      <c r="E11147" s="18"/>
      <c r="F11147" s="4">
        <v>1</v>
      </c>
      <c r="G11147" s="4">
        <v>15</v>
      </c>
      <c r="H11147" s="4">
        <v>40</v>
      </c>
    </row>
    <row r="11148" spans="1:8" s="15" customFormat="1" ht="19.5" hidden="1" customHeight="1" outlineLevel="1" x14ac:dyDescent="0.25">
      <c r="A11148" s="45">
        <v>1678</v>
      </c>
      <c r="B11148" s="4" t="s">
        <v>250</v>
      </c>
      <c r="C11148" s="22" t="s">
        <v>2516</v>
      </c>
      <c r="D11148" s="18">
        <v>2021</v>
      </c>
      <c r="E11148" s="18"/>
      <c r="F11148" s="4">
        <v>1</v>
      </c>
      <c r="G11148" s="4">
        <v>15</v>
      </c>
      <c r="H11148" s="4">
        <v>49</v>
      </c>
    </row>
    <row r="11149" spans="1:8" s="15" customFormat="1" ht="19.5" hidden="1" customHeight="1" outlineLevel="1" x14ac:dyDescent="0.25">
      <c r="A11149" s="45">
        <v>1710</v>
      </c>
      <c r="B11149" s="4" t="s">
        <v>250</v>
      </c>
      <c r="C11149" s="22" t="s">
        <v>2517</v>
      </c>
      <c r="D11149" s="18">
        <v>2021</v>
      </c>
      <c r="E11149" s="18"/>
      <c r="F11149" s="4">
        <v>1</v>
      </c>
      <c r="G11149" s="4">
        <v>15</v>
      </c>
      <c r="H11149" s="4">
        <v>45</v>
      </c>
    </row>
    <row r="11150" spans="1:8" s="15" customFormat="1" ht="19.5" hidden="1" customHeight="1" outlineLevel="1" x14ac:dyDescent="0.25">
      <c r="A11150" s="46">
        <v>9902</v>
      </c>
      <c r="B11150" s="4" t="s">
        <v>250</v>
      </c>
      <c r="C11150" s="22" t="s">
        <v>2518</v>
      </c>
      <c r="D11150" s="18">
        <v>2021</v>
      </c>
      <c r="E11150" s="18"/>
      <c r="F11150" s="4">
        <v>1</v>
      </c>
      <c r="G11150" s="4">
        <v>15</v>
      </c>
      <c r="H11150" s="4">
        <v>54</v>
      </c>
    </row>
    <row r="11151" spans="1:8" s="15" customFormat="1" ht="19.5" hidden="1" customHeight="1" outlineLevel="1" x14ac:dyDescent="0.25">
      <c r="A11151" s="46">
        <v>10308</v>
      </c>
      <c r="B11151" s="4" t="s">
        <v>250</v>
      </c>
      <c r="C11151" s="22" t="s">
        <v>2519</v>
      </c>
      <c r="D11151" s="18">
        <v>2021</v>
      </c>
      <c r="E11151" s="18"/>
      <c r="F11151" s="4">
        <v>2</v>
      </c>
      <c r="G11151" s="4">
        <v>28</v>
      </c>
      <c r="H11151" s="4">
        <v>87</v>
      </c>
    </row>
    <row r="11152" spans="1:8" s="15" customFormat="1" ht="19.5" hidden="1" customHeight="1" outlineLevel="1" x14ac:dyDescent="0.25">
      <c r="A11152" s="45">
        <v>1719</v>
      </c>
      <c r="B11152" s="4" t="s">
        <v>250</v>
      </c>
      <c r="C11152" s="22" t="s">
        <v>2520</v>
      </c>
      <c r="D11152" s="18">
        <v>2021</v>
      </c>
      <c r="E11152" s="18"/>
      <c r="F11152" s="4">
        <v>1</v>
      </c>
      <c r="G11152" s="4">
        <v>15</v>
      </c>
      <c r="H11152" s="4">
        <v>43</v>
      </c>
    </row>
    <row r="11153" spans="1:8" s="15" customFormat="1" ht="19.5" hidden="1" customHeight="1" outlineLevel="1" x14ac:dyDescent="0.25">
      <c r="A11153" s="46">
        <v>9962</v>
      </c>
      <c r="B11153" s="4" t="s">
        <v>250</v>
      </c>
      <c r="C11153" s="22" t="s">
        <v>2521</v>
      </c>
      <c r="D11153" s="18">
        <v>2021</v>
      </c>
      <c r="E11153" s="18"/>
      <c r="F11153" s="4">
        <v>1</v>
      </c>
      <c r="G11153" s="4">
        <v>50</v>
      </c>
      <c r="H11153" s="4">
        <v>33</v>
      </c>
    </row>
    <row r="11154" spans="1:8" s="15" customFormat="1" ht="19.5" hidden="1" customHeight="1" outlineLevel="1" x14ac:dyDescent="0.25">
      <c r="A11154" s="45">
        <v>1574</v>
      </c>
      <c r="B11154" s="4" t="s">
        <v>250</v>
      </c>
      <c r="C11154" s="22" t="s">
        <v>2522</v>
      </c>
      <c r="D11154" s="18">
        <v>2021</v>
      </c>
      <c r="E11154" s="18"/>
      <c r="F11154" s="4">
        <v>1</v>
      </c>
      <c r="G11154" s="4">
        <v>15</v>
      </c>
      <c r="H11154" s="4">
        <v>49</v>
      </c>
    </row>
    <row r="11155" spans="1:8" s="15" customFormat="1" ht="19.5" hidden="1" customHeight="1" outlineLevel="1" x14ac:dyDescent="0.25">
      <c r="A11155" s="45">
        <v>1715</v>
      </c>
      <c r="B11155" s="4" t="s">
        <v>250</v>
      </c>
      <c r="C11155" s="22" t="s">
        <v>2523</v>
      </c>
      <c r="D11155" s="18">
        <v>2021</v>
      </c>
      <c r="E11155" s="18"/>
      <c r="F11155" s="4">
        <v>1</v>
      </c>
      <c r="G11155" s="4">
        <v>15</v>
      </c>
      <c r="H11155" s="4">
        <v>49</v>
      </c>
    </row>
    <row r="11156" spans="1:8" s="15" customFormat="1" ht="19.5" hidden="1" customHeight="1" outlineLevel="1" x14ac:dyDescent="0.25">
      <c r="A11156" s="45">
        <v>1696</v>
      </c>
      <c r="B11156" s="4" t="s">
        <v>250</v>
      </c>
      <c r="C11156" s="22" t="s">
        <v>2524</v>
      </c>
      <c r="D11156" s="18">
        <v>2021</v>
      </c>
      <c r="E11156" s="18"/>
      <c r="F11156" s="4">
        <v>1</v>
      </c>
      <c r="G11156" s="4">
        <v>15</v>
      </c>
      <c r="H11156" s="4">
        <v>35</v>
      </c>
    </row>
    <row r="11157" spans="1:8" s="15" customFormat="1" ht="19.5" hidden="1" customHeight="1" outlineLevel="1" x14ac:dyDescent="0.25">
      <c r="A11157" s="46">
        <v>9966</v>
      </c>
      <c r="B11157" s="4" t="s">
        <v>250</v>
      </c>
      <c r="C11157" s="22" t="s">
        <v>2525</v>
      </c>
      <c r="D11157" s="18">
        <v>2021</v>
      </c>
      <c r="E11157" s="18"/>
      <c r="F11157" s="4">
        <v>1</v>
      </c>
      <c r="G11157" s="4">
        <v>20</v>
      </c>
      <c r="H11157" s="4">
        <v>42</v>
      </c>
    </row>
    <row r="11158" spans="1:8" s="15" customFormat="1" ht="19.5" hidden="1" customHeight="1" outlineLevel="1" x14ac:dyDescent="0.25">
      <c r="A11158" s="46">
        <v>9785</v>
      </c>
      <c r="B11158" s="4" t="s">
        <v>250</v>
      </c>
      <c r="C11158" s="22" t="s">
        <v>1427</v>
      </c>
      <c r="D11158" s="18">
        <v>2021</v>
      </c>
      <c r="E11158" s="18"/>
      <c r="F11158" s="4">
        <v>1</v>
      </c>
      <c r="G11158" s="4">
        <v>15</v>
      </c>
      <c r="H11158" s="4">
        <v>42</v>
      </c>
    </row>
    <row r="11159" spans="1:8" s="15" customFormat="1" ht="19.5" hidden="1" customHeight="1" outlineLevel="1" x14ac:dyDescent="0.25">
      <c r="A11159" s="45">
        <v>830</v>
      </c>
      <c r="B11159" s="4" t="s">
        <v>250</v>
      </c>
      <c r="C11159" s="22" t="s">
        <v>1428</v>
      </c>
      <c r="D11159" s="18">
        <v>2021</v>
      </c>
      <c r="E11159" s="18"/>
      <c r="F11159" s="4">
        <v>1</v>
      </c>
      <c r="G11159" s="4">
        <v>10</v>
      </c>
      <c r="H11159" s="4">
        <v>36</v>
      </c>
    </row>
    <row r="11160" spans="1:8" s="15" customFormat="1" ht="19.5" hidden="1" customHeight="1" outlineLevel="1" x14ac:dyDescent="0.25">
      <c r="A11160" s="45">
        <v>1391</v>
      </c>
      <c r="B11160" s="4" t="s">
        <v>250</v>
      </c>
      <c r="C11160" s="22" t="s">
        <v>1430</v>
      </c>
      <c r="D11160" s="18">
        <v>2021</v>
      </c>
      <c r="E11160" s="18"/>
      <c r="F11160" s="4">
        <v>1</v>
      </c>
      <c r="G11160" s="4">
        <v>30</v>
      </c>
      <c r="H11160" s="4">
        <v>57</v>
      </c>
    </row>
    <row r="11161" spans="1:8" s="15" customFormat="1" ht="19.5" hidden="1" customHeight="1" outlineLevel="1" x14ac:dyDescent="0.25">
      <c r="A11161" s="45">
        <v>1697</v>
      </c>
      <c r="B11161" s="4" t="s">
        <v>250</v>
      </c>
      <c r="C11161" s="22" t="s">
        <v>2526</v>
      </c>
      <c r="D11161" s="18">
        <v>2021</v>
      </c>
      <c r="E11161" s="18"/>
      <c r="F11161" s="4">
        <v>1</v>
      </c>
      <c r="G11161" s="4">
        <v>15</v>
      </c>
      <c r="H11161" s="4">
        <v>43</v>
      </c>
    </row>
    <row r="11162" spans="1:8" s="15" customFormat="1" ht="19.5" hidden="1" customHeight="1" outlineLevel="1" x14ac:dyDescent="0.25">
      <c r="A11162" s="45">
        <v>1683</v>
      </c>
      <c r="B11162" s="4" t="s">
        <v>250</v>
      </c>
      <c r="C11162" s="22" t="s">
        <v>2527</v>
      </c>
      <c r="D11162" s="18">
        <v>2021</v>
      </c>
      <c r="E11162" s="18"/>
      <c r="F11162" s="4">
        <v>1</v>
      </c>
      <c r="G11162" s="4">
        <v>15</v>
      </c>
      <c r="H11162" s="4">
        <v>41</v>
      </c>
    </row>
    <row r="11163" spans="1:8" s="15" customFormat="1" ht="19.5" hidden="1" customHeight="1" outlineLevel="1" x14ac:dyDescent="0.25">
      <c r="A11163" s="45">
        <v>1741</v>
      </c>
      <c r="B11163" s="4" t="s">
        <v>250</v>
      </c>
      <c r="C11163" s="22" t="s">
        <v>2528</v>
      </c>
      <c r="D11163" s="18">
        <v>2021</v>
      </c>
      <c r="E11163" s="18"/>
      <c r="F11163" s="4">
        <v>1</v>
      </c>
      <c r="G11163" s="4">
        <v>15</v>
      </c>
      <c r="H11163" s="4">
        <v>34</v>
      </c>
    </row>
    <row r="11164" spans="1:8" s="15" customFormat="1" ht="19.5" hidden="1" customHeight="1" outlineLevel="1" x14ac:dyDescent="0.25">
      <c r="A11164" s="45">
        <v>115</v>
      </c>
      <c r="B11164" s="4" t="s">
        <v>250</v>
      </c>
      <c r="C11164" s="22" t="s">
        <v>2529</v>
      </c>
      <c r="D11164" s="18">
        <v>2021</v>
      </c>
      <c r="E11164" s="18"/>
      <c r="F11164" s="4">
        <v>1</v>
      </c>
      <c r="G11164" s="4">
        <v>15</v>
      </c>
      <c r="H11164" s="4">
        <v>46</v>
      </c>
    </row>
    <row r="11165" spans="1:8" s="15" customFormat="1" ht="19.5" hidden="1" customHeight="1" outlineLevel="1" x14ac:dyDescent="0.25">
      <c r="A11165" s="45">
        <v>1728</v>
      </c>
      <c r="B11165" s="4" t="s">
        <v>250</v>
      </c>
      <c r="C11165" s="22" t="s">
        <v>2530</v>
      </c>
      <c r="D11165" s="18">
        <v>2021</v>
      </c>
      <c r="E11165" s="18"/>
      <c r="F11165" s="4">
        <v>1</v>
      </c>
      <c r="G11165" s="4">
        <v>15</v>
      </c>
      <c r="H11165" s="4">
        <v>48</v>
      </c>
    </row>
    <row r="11166" spans="1:8" s="15" customFormat="1" ht="19.5" hidden="1" customHeight="1" outlineLevel="1" x14ac:dyDescent="0.25">
      <c r="A11166" s="45">
        <v>1567</v>
      </c>
      <c r="B11166" s="4" t="s">
        <v>250</v>
      </c>
      <c r="C11166" s="22" t="s">
        <v>2531</v>
      </c>
      <c r="D11166" s="18">
        <v>2021</v>
      </c>
      <c r="E11166" s="18"/>
      <c r="F11166" s="4">
        <v>1</v>
      </c>
      <c r="G11166" s="4">
        <v>15</v>
      </c>
      <c r="H11166" s="4">
        <v>52</v>
      </c>
    </row>
    <row r="11167" spans="1:8" s="15" customFormat="1" ht="19.5" hidden="1" customHeight="1" outlineLevel="1" x14ac:dyDescent="0.25">
      <c r="A11167" s="45">
        <v>1661</v>
      </c>
      <c r="B11167" s="4" t="s">
        <v>250</v>
      </c>
      <c r="C11167" s="22" t="s">
        <v>2532</v>
      </c>
      <c r="D11167" s="18">
        <v>2021</v>
      </c>
      <c r="E11167" s="18"/>
      <c r="F11167" s="4">
        <v>1</v>
      </c>
      <c r="G11167" s="4">
        <v>15</v>
      </c>
      <c r="H11167" s="4">
        <v>40</v>
      </c>
    </row>
    <row r="11168" spans="1:8" s="15" customFormat="1" ht="19.5" hidden="1" customHeight="1" outlineLevel="1" x14ac:dyDescent="0.25">
      <c r="A11168" s="46">
        <v>9903</v>
      </c>
      <c r="B11168" s="4" t="s">
        <v>250</v>
      </c>
      <c r="C11168" s="22" t="s">
        <v>2533</v>
      </c>
      <c r="D11168" s="18">
        <v>2021</v>
      </c>
      <c r="E11168" s="18"/>
      <c r="F11168" s="4">
        <v>1</v>
      </c>
      <c r="G11168" s="4">
        <v>10</v>
      </c>
      <c r="H11168" s="4">
        <v>38</v>
      </c>
    </row>
    <row r="11169" spans="1:8" s="15" customFormat="1" ht="19.5" hidden="1" customHeight="1" outlineLevel="1" x14ac:dyDescent="0.25">
      <c r="A11169" s="45">
        <v>1704</v>
      </c>
      <c r="B11169" s="4" t="s">
        <v>250</v>
      </c>
      <c r="C11169" s="22" t="s">
        <v>2534</v>
      </c>
      <c r="D11169" s="18">
        <v>2021</v>
      </c>
      <c r="E11169" s="18"/>
      <c r="F11169" s="4">
        <v>1</v>
      </c>
      <c r="G11169" s="4">
        <v>15</v>
      </c>
      <c r="H11169" s="4">
        <v>36</v>
      </c>
    </row>
    <row r="11170" spans="1:8" s="15" customFormat="1" ht="19.5" hidden="1" customHeight="1" outlineLevel="1" x14ac:dyDescent="0.25">
      <c r="A11170" s="45">
        <v>1743</v>
      </c>
      <c r="B11170" s="4" t="s">
        <v>250</v>
      </c>
      <c r="C11170" s="22" t="s">
        <v>2535</v>
      </c>
      <c r="D11170" s="18">
        <v>2021</v>
      </c>
      <c r="E11170" s="18"/>
      <c r="F11170" s="4">
        <v>1</v>
      </c>
      <c r="G11170" s="4">
        <v>15</v>
      </c>
      <c r="H11170" s="4">
        <v>48</v>
      </c>
    </row>
    <row r="11171" spans="1:8" s="15" customFormat="1" ht="19.5" hidden="1" customHeight="1" outlineLevel="1" x14ac:dyDescent="0.25">
      <c r="A11171" s="45">
        <v>1703</v>
      </c>
      <c r="B11171" s="4" t="s">
        <v>250</v>
      </c>
      <c r="C11171" s="22" t="s">
        <v>2536</v>
      </c>
      <c r="D11171" s="18">
        <v>2021</v>
      </c>
      <c r="E11171" s="18"/>
      <c r="F11171" s="4">
        <v>1</v>
      </c>
      <c r="G11171" s="4">
        <v>15</v>
      </c>
      <c r="H11171" s="4">
        <v>46</v>
      </c>
    </row>
    <row r="11172" spans="1:8" s="15" customFormat="1" ht="19.5" hidden="1" customHeight="1" outlineLevel="1" x14ac:dyDescent="0.25">
      <c r="A11172" s="45">
        <v>109</v>
      </c>
      <c r="B11172" s="4" t="s">
        <v>250</v>
      </c>
      <c r="C11172" s="22" t="s">
        <v>2537</v>
      </c>
      <c r="D11172" s="18">
        <v>2021</v>
      </c>
      <c r="E11172" s="18"/>
      <c r="F11172" s="4">
        <v>1</v>
      </c>
      <c r="G11172" s="4">
        <v>15</v>
      </c>
      <c r="H11172" s="4">
        <v>55</v>
      </c>
    </row>
    <row r="11173" spans="1:8" s="15" customFormat="1" ht="19.5" hidden="1" customHeight="1" outlineLevel="1" x14ac:dyDescent="0.25">
      <c r="A11173" s="45">
        <v>95</v>
      </c>
      <c r="B11173" s="4" t="s">
        <v>250</v>
      </c>
      <c r="C11173" s="22" t="s">
        <v>2538</v>
      </c>
      <c r="D11173" s="18">
        <v>2021</v>
      </c>
      <c r="E11173" s="18"/>
      <c r="F11173" s="4">
        <v>1</v>
      </c>
      <c r="G11173" s="4">
        <v>15</v>
      </c>
      <c r="H11173" s="4">
        <v>54</v>
      </c>
    </row>
    <row r="11174" spans="1:8" s="15" customFormat="1" ht="19.5" hidden="1" customHeight="1" outlineLevel="1" x14ac:dyDescent="0.25">
      <c r="A11174" s="45">
        <v>1698</v>
      </c>
      <c r="B11174" s="4" t="s">
        <v>250</v>
      </c>
      <c r="C11174" s="22" t="s">
        <v>2539</v>
      </c>
      <c r="D11174" s="18">
        <v>2021</v>
      </c>
      <c r="E11174" s="18"/>
      <c r="F11174" s="4">
        <v>1</v>
      </c>
      <c r="G11174" s="4">
        <v>15</v>
      </c>
      <c r="H11174" s="4">
        <v>41</v>
      </c>
    </row>
    <row r="11175" spans="1:8" s="15" customFormat="1" ht="19.5" hidden="1" customHeight="1" outlineLevel="1" x14ac:dyDescent="0.25">
      <c r="A11175" s="45">
        <v>835</v>
      </c>
      <c r="B11175" s="4" t="s">
        <v>250</v>
      </c>
      <c r="C11175" s="22" t="s">
        <v>1433</v>
      </c>
      <c r="D11175" s="18">
        <v>2021</v>
      </c>
      <c r="E11175" s="18"/>
      <c r="F11175" s="4">
        <v>1</v>
      </c>
      <c r="G11175" s="4">
        <v>15</v>
      </c>
      <c r="H11175" s="4">
        <v>36</v>
      </c>
    </row>
    <row r="11176" spans="1:8" s="15" customFormat="1" ht="19.5" hidden="1" customHeight="1" outlineLevel="1" x14ac:dyDescent="0.25">
      <c r="A11176" s="46">
        <v>9787</v>
      </c>
      <c r="B11176" s="4" t="s">
        <v>250</v>
      </c>
      <c r="C11176" s="22" t="s">
        <v>1434</v>
      </c>
      <c r="D11176" s="18">
        <v>2021</v>
      </c>
      <c r="E11176" s="18"/>
      <c r="F11176" s="4">
        <v>1</v>
      </c>
      <c r="G11176" s="4">
        <v>15</v>
      </c>
      <c r="H11176" s="4">
        <v>36</v>
      </c>
    </row>
    <row r="11177" spans="1:8" s="15" customFormat="1" ht="19.5" hidden="1" customHeight="1" outlineLevel="1" x14ac:dyDescent="0.25">
      <c r="A11177" s="45">
        <v>1415</v>
      </c>
      <c r="B11177" s="4" t="s">
        <v>250</v>
      </c>
      <c r="C11177" s="22" t="s">
        <v>1441</v>
      </c>
      <c r="D11177" s="18">
        <v>2021</v>
      </c>
      <c r="E11177" s="18"/>
      <c r="F11177" s="4">
        <v>1</v>
      </c>
      <c r="G11177" s="4">
        <v>15</v>
      </c>
      <c r="H11177" s="4">
        <v>49</v>
      </c>
    </row>
    <row r="11178" spans="1:8" s="15" customFormat="1" ht="19.5" hidden="1" customHeight="1" outlineLevel="1" x14ac:dyDescent="0.25">
      <c r="A11178" s="46">
        <v>9742</v>
      </c>
      <c r="B11178" s="4" t="s">
        <v>250</v>
      </c>
      <c r="C11178" s="22" t="s">
        <v>1811</v>
      </c>
      <c r="D11178" s="18">
        <v>2021</v>
      </c>
      <c r="E11178" s="18"/>
      <c r="F11178" s="4">
        <v>1</v>
      </c>
      <c r="G11178" s="4">
        <v>20</v>
      </c>
      <c r="H11178" s="4">
        <v>144</v>
      </c>
    </row>
    <row r="11179" spans="1:8" s="15" customFormat="1" ht="19.5" hidden="1" customHeight="1" outlineLevel="1" x14ac:dyDescent="0.25">
      <c r="A11179" s="45">
        <v>1397</v>
      </c>
      <c r="B11179" s="4" t="s">
        <v>250</v>
      </c>
      <c r="C11179" s="22" t="s">
        <v>1443</v>
      </c>
      <c r="D11179" s="18">
        <v>2021</v>
      </c>
      <c r="E11179" s="18"/>
      <c r="F11179" s="4">
        <v>1</v>
      </c>
      <c r="G11179" s="4">
        <v>15</v>
      </c>
      <c r="H11179" s="4">
        <v>52</v>
      </c>
    </row>
    <row r="11180" spans="1:8" s="15" customFormat="1" ht="19.5" hidden="1" customHeight="1" outlineLevel="1" x14ac:dyDescent="0.25">
      <c r="A11180" s="45">
        <v>1265</v>
      </c>
      <c r="B11180" s="4" t="s">
        <v>250</v>
      </c>
      <c r="C11180" s="22" t="s">
        <v>1444</v>
      </c>
      <c r="D11180" s="18">
        <v>2021</v>
      </c>
      <c r="E11180" s="18"/>
      <c r="F11180" s="4">
        <v>1</v>
      </c>
      <c r="G11180" s="4">
        <v>15</v>
      </c>
      <c r="H11180" s="4">
        <v>53</v>
      </c>
    </row>
    <row r="11181" spans="1:8" s="15" customFormat="1" ht="19.5" hidden="1" customHeight="1" outlineLevel="1" x14ac:dyDescent="0.25">
      <c r="A11181" s="45">
        <v>829</v>
      </c>
      <c r="B11181" s="4" t="s">
        <v>250</v>
      </c>
      <c r="C11181" s="22" t="s">
        <v>1445</v>
      </c>
      <c r="D11181" s="18">
        <v>2021</v>
      </c>
      <c r="E11181" s="18"/>
      <c r="F11181" s="4">
        <v>1</v>
      </c>
      <c r="G11181" s="4">
        <v>15</v>
      </c>
      <c r="H11181" s="4">
        <v>52</v>
      </c>
    </row>
    <row r="11182" spans="1:8" s="15" customFormat="1" ht="19.5" hidden="1" customHeight="1" outlineLevel="1" x14ac:dyDescent="0.25">
      <c r="A11182" s="45">
        <v>213</v>
      </c>
      <c r="B11182" s="4" t="s">
        <v>250</v>
      </c>
      <c r="C11182" s="22" t="s">
        <v>2540</v>
      </c>
      <c r="D11182" s="18">
        <v>2021</v>
      </c>
      <c r="E11182" s="18"/>
      <c r="F11182" s="4">
        <v>2</v>
      </c>
      <c r="G11182" s="4">
        <v>10</v>
      </c>
      <c r="H11182" s="4">
        <v>84.909270000000006</v>
      </c>
    </row>
    <row r="11183" spans="1:8" s="15" customFormat="1" ht="19.5" hidden="1" customHeight="1" outlineLevel="1" x14ac:dyDescent="0.25">
      <c r="A11183" s="45">
        <v>219</v>
      </c>
      <c r="B11183" s="4" t="s">
        <v>250</v>
      </c>
      <c r="C11183" s="22" t="s">
        <v>2541</v>
      </c>
      <c r="D11183" s="18">
        <v>2021</v>
      </c>
      <c r="E11183" s="18"/>
      <c r="F11183" s="4">
        <v>1</v>
      </c>
      <c r="G11183" s="4">
        <v>15</v>
      </c>
      <c r="H11183" s="4">
        <v>70.043599999999998</v>
      </c>
    </row>
    <row r="11184" spans="1:8" s="15" customFormat="1" ht="19.5" hidden="1" customHeight="1" outlineLevel="1" x14ac:dyDescent="0.25">
      <c r="A11184" s="45">
        <v>222</v>
      </c>
      <c r="B11184" s="4" t="s">
        <v>250</v>
      </c>
      <c r="C11184" s="22" t="s">
        <v>2542</v>
      </c>
      <c r="D11184" s="18">
        <v>2021</v>
      </c>
      <c r="E11184" s="18"/>
      <c r="F11184" s="4">
        <v>1</v>
      </c>
      <c r="G11184" s="4">
        <v>15</v>
      </c>
      <c r="H11184" s="4">
        <v>56.446109999999997</v>
      </c>
    </row>
    <row r="11185" spans="1:8" s="15" customFormat="1" ht="19.5" hidden="1" customHeight="1" outlineLevel="1" x14ac:dyDescent="0.25">
      <c r="A11185" s="46">
        <v>9004</v>
      </c>
      <c r="B11185" s="4" t="s">
        <v>250</v>
      </c>
      <c r="C11185" s="22" t="s">
        <v>2543</v>
      </c>
      <c r="D11185" s="18">
        <v>2021</v>
      </c>
      <c r="E11185" s="18"/>
      <c r="F11185" s="4">
        <v>1</v>
      </c>
      <c r="G11185" s="4">
        <v>15</v>
      </c>
      <c r="H11185" s="4">
        <v>55.785539999999997</v>
      </c>
    </row>
    <row r="11186" spans="1:8" s="15" customFormat="1" ht="19.5" hidden="1" customHeight="1" outlineLevel="1" x14ac:dyDescent="0.25">
      <c r="A11186" s="46">
        <v>9540</v>
      </c>
      <c r="B11186" s="4" t="s">
        <v>250</v>
      </c>
      <c r="C11186" s="22" t="s">
        <v>1159</v>
      </c>
      <c r="D11186" s="18">
        <v>2021</v>
      </c>
      <c r="E11186" s="18"/>
      <c r="F11186" s="4">
        <v>1</v>
      </c>
      <c r="G11186" s="4">
        <v>50</v>
      </c>
      <c r="H11186" s="4">
        <v>31.010840000000002</v>
      </c>
    </row>
    <row r="11187" spans="1:8" s="15" customFormat="1" ht="19.5" hidden="1" customHeight="1" outlineLevel="1" x14ac:dyDescent="0.25">
      <c r="A11187" s="45">
        <v>188</v>
      </c>
      <c r="B11187" s="4" t="s">
        <v>250</v>
      </c>
      <c r="C11187" s="22" t="s">
        <v>2544</v>
      </c>
      <c r="D11187" s="18">
        <v>2021</v>
      </c>
      <c r="E11187" s="18"/>
      <c r="F11187" s="4">
        <v>1</v>
      </c>
      <c r="G11187" s="4">
        <v>15</v>
      </c>
      <c r="H11187" s="4">
        <v>58.5349</v>
      </c>
    </row>
    <row r="11188" spans="1:8" s="15" customFormat="1" ht="19.5" hidden="1" customHeight="1" outlineLevel="1" x14ac:dyDescent="0.25">
      <c r="A11188" s="45">
        <v>184</v>
      </c>
      <c r="B11188" s="4" t="s">
        <v>250</v>
      </c>
      <c r="C11188" s="22" t="s">
        <v>2545</v>
      </c>
      <c r="D11188" s="18">
        <v>2021</v>
      </c>
      <c r="E11188" s="18"/>
      <c r="F11188" s="4">
        <v>1</v>
      </c>
      <c r="G11188" s="4">
        <v>15</v>
      </c>
      <c r="H11188" s="4">
        <v>64.937389999999994</v>
      </c>
    </row>
    <row r="11189" spans="1:8" s="15" customFormat="1" ht="19.5" hidden="1" customHeight="1" outlineLevel="1" x14ac:dyDescent="0.25">
      <c r="A11189" s="46">
        <v>9006</v>
      </c>
      <c r="B11189" s="4" t="s">
        <v>250</v>
      </c>
      <c r="C11189" s="22" t="s">
        <v>2546</v>
      </c>
      <c r="D11189" s="18">
        <v>2021</v>
      </c>
      <c r="E11189" s="18"/>
      <c r="F11189" s="4">
        <v>1</v>
      </c>
      <c r="G11189" s="4">
        <v>30</v>
      </c>
      <c r="H11189" s="4">
        <v>53.23395</v>
      </c>
    </row>
    <row r="11190" spans="1:8" s="15" customFormat="1" ht="19.5" hidden="1" customHeight="1" outlineLevel="1" x14ac:dyDescent="0.25">
      <c r="A11190" s="46">
        <v>9562</v>
      </c>
      <c r="B11190" s="4" t="s">
        <v>250</v>
      </c>
      <c r="C11190" s="22" t="s">
        <v>1302</v>
      </c>
      <c r="D11190" s="18">
        <v>2021</v>
      </c>
      <c r="E11190" s="18"/>
      <c r="F11190" s="4">
        <v>1</v>
      </c>
      <c r="G11190" s="4">
        <v>15</v>
      </c>
      <c r="H11190" s="4">
        <v>24.238510000000002</v>
      </c>
    </row>
    <row r="11191" spans="1:8" s="15" customFormat="1" ht="19.5" hidden="1" customHeight="1" outlineLevel="1" x14ac:dyDescent="0.25">
      <c r="A11191" s="45">
        <v>227</v>
      </c>
      <c r="B11191" s="4" t="s">
        <v>250</v>
      </c>
      <c r="C11191" s="22" t="s">
        <v>2547</v>
      </c>
      <c r="D11191" s="18">
        <v>2021</v>
      </c>
      <c r="E11191" s="18"/>
      <c r="F11191" s="4">
        <v>2</v>
      </c>
      <c r="G11191" s="4">
        <v>30</v>
      </c>
      <c r="H11191" s="4">
        <v>89.336590000000001</v>
      </c>
    </row>
    <row r="11192" spans="1:8" s="15" customFormat="1" ht="19.5" hidden="1" customHeight="1" outlineLevel="1" x14ac:dyDescent="0.25">
      <c r="A11192" s="45">
        <v>243</v>
      </c>
      <c r="B11192" s="4" t="s">
        <v>250</v>
      </c>
      <c r="C11192" s="22" t="s">
        <v>2548</v>
      </c>
      <c r="D11192" s="18">
        <v>2021</v>
      </c>
      <c r="E11192" s="18"/>
      <c r="F11192" s="4">
        <v>1</v>
      </c>
      <c r="G11192" s="4">
        <v>10</v>
      </c>
      <c r="H11192" s="4">
        <v>30.795819999999999</v>
      </c>
    </row>
    <row r="11193" spans="1:8" s="15" customFormat="1" ht="19.5" hidden="1" customHeight="1" outlineLevel="1" x14ac:dyDescent="0.25">
      <c r="A11193" s="45">
        <v>244</v>
      </c>
      <c r="B11193" s="4" t="s">
        <v>250</v>
      </c>
      <c r="C11193" s="22" t="s">
        <v>2549</v>
      </c>
      <c r="D11193" s="18">
        <v>2021</v>
      </c>
      <c r="E11193" s="18"/>
      <c r="F11193" s="4">
        <v>1</v>
      </c>
      <c r="G11193" s="4">
        <v>15</v>
      </c>
      <c r="H11193" s="4">
        <v>79.269419999999997</v>
      </c>
    </row>
    <row r="11194" spans="1:8" s="15" customFormat="1" ht="19.5" hidden="1" customHeight="1" outlineLevel="1" x14ac:dyDescent="0.25">
      <c r="A11194" s="45">
        <v>198</v>
      </c>
      <c r="B11194" s="4" t="s">
        <v>250</v>
      </c>
      <c r="C11194" s="22" t="s">
        <v>2550</v>
      </c>
      <c r="D11194" s="18">
        <v>2021</v>
      </c>
      <c r="E11194" s="18"/>
      <c r="F11194" s="4">
        <v>1</v>
      </c>
      <c r="G11194" s="4">
        <v>15</v>
      </c>
      <c r="H11194" s="4">
        <v>33.205640000000002</v>
      </c>
    </row>
    <row r="11195" spans="1:8" s="15" customFormat="1" ht="19.5" hidden="1" customHeight="1" outlineLevel="1" x14ac:dyDescent="0.25">
      <c r="A11195" s="46">
        <v>9135</v>
      </c>
      <c r="B11195" s="4" t="s">
        <v>250</v>
      </c>
      <c r="C11195" s="22" t="s">
        <v>2551</v>
      </c>
      <c r="D11195" s="18">
        <v>2021</v>
      </c>
      <c r="E11195" s="18"/>
      <c r="F11195" s="4">
        <v>1</v>
      </c>
      <c r="G11195" s="4">
        <v>9</v>
      </c>
      <c r="H11195" s="4">
        <v>33.50423</v>
      </c>
    </row>
    <row r="11196" spans="1:8" s="15" customFormat="1" ht="19.5" hidden="1" customHeight="1" outlineLevel="1" x14ac:dyDescent="0.25">
      <c r="A11196" s="46">
        <v>9134</v>
      </c>
      <c r="B11196" s="4" t="s">
        <v>250</v>
      </c>
      <c r="C11196" s="22" t="s">
        <v>2552</v>
      </c>
      <c r="D11196" s="18">
        <v>2021</v>
      </c>
      <c r="E11196" s="18"/>
      <c r="F11196" s="4">
        <v>1</v>
      </c>
      <c r="G11196" s="4">
        <v>9</v>
      </c>
      <c r="H11196" s="4">
        <v>32.924329999999998</v>
      </c>
    </row>
    <row r="11197" spans="1:8" s="15" customFormat="1" ht="19.5" hidden="1" customHeight="1" outlineLevel="1" x14ac:dyDescent="0.25">
      <c r="A11197" s="46">
        <v>9234</v>
      </c>
      <c r="B11197" s="4" t="s">
        <v>250</v>
      </c>
      <c r="C11197" s="22" t="s">
        <v>2553</v>
      </c>
      <c r="D11197" s="18">
        <v>2021</v>
      </c>
      <c r="E11197" s="18"/>
      <c r="F11197" s="4">
        <v>1</v>
      </c>
      <c r="G11197" s="4">
        <v>30</v>
      </c>
      <c r="H11197" s="4">
        <v>42.860419999999998</v>
      </c>
    </row>
    <row r="11198" spans="1:8" s="15" customFormat="1" ht="19.5" hidden="1" customHeight="1" outlineLevel="1" x14ac:dyDescent="0.25">
      <c r="A11198" s="45">
        <v>234</v>
      </c>
      <c r="B11198" s="4" t="s">
        <v>250</v>
      </c>
      <c r="C11198" s="22" t="s">
        <v>2085</v>
      </c>
      <c r="D11198" s="18">
        <v>2021</v>
      </c>
      <c r="E11198" s="18"/>
      <c r="F11198" s="4">
        <v>2</v>
      </c>
      <c r="G11198" s="4">
        <v>50</v>
      </c>
      <c r="H11198" s="4">
        <v>42.1004</v>
      </c>
    </row>
    <row r="11199" spans="1:8" s="15" customFormat="1" ht="19.5" hidden="1" customHeight="1" outlineLevel="1" x14ac:dyDescent="0.25">
      <c r="A11199" s="45">
        <v>237</v>
      </c>
      <c r="B11199" s="4" t="s">
        <v>250</v>
      </c>
      <c r="C11199" s="22" t="s">
        <v>2086</v>
      </c>
      <c r="D11199" s="18">
        <v>2021</v>
      </c>
      <c r="E11199" s="18"/>
      <c r="F11199" s="4">
        <v>1</v>
      </c>
      <c r="G11199" s="4">
        <v>35</v>
      </c>
      <c r="H11199" s="4">
        <v>41.028399999999998</v>
      </c>
    </row>
    <row r="11200" spans="1:8" s="15" customFormat="1" ht="19.5" hidden="1" customHeight="1" outlineLevel="1" x14ac:dyDescent="0.25">
      <c r="A11200" s="45">
        <v>247</v>
      </c>
      <c r="B11200" s="4" t="s">
        <v>250</v>
      </c>
      <c r="C11200" s="22" t="s">
        <v>2087</v>
      </c>
      <c r="D11200" s="18">
        <v>2021</v>
      </c>
      <c r="E11200" s="18"/>
      <c r="F11200" s="4">
        <v>4</v>
      </c>
      <c r="G11200" s="4">
        <v>55</v>
      </c>
      <c r="H11200" s="4">
        <v>120.1448</v>
      </c>
    </row>
    <row r="11201" spans="1:8" s="15" customFormat="1" ht="19.5" hidden="1" customHeight="1" outlineLevel="1" x14ac:dyDescent="0.25">
      <c r="A11201" s="18">
        <v>59</v>
      </c>
      <c r="B11201" s="4" t="s">
        <v>250</v>
      </c>
      <c r="C11201" s="22" t="s">
        <v>2088</v>
      </c>
      <c r="D11201" s="18">
        <v>2021</v>
      </c>
      <c r="E11201" s="18"/>
      <c r="F11201" s="4">
        <v>2</v>
      </c>
      <c r="G11201" s="4">
        <v>30</v>
      </c>
      <c r="H11201" s="4">
        <v>52.8</v>
      </c>
    </row>
    <row r="11202" spans="1:8" s="15" customFormat="1" ht="19.5" hidden="1" customHeight="1" outlineLevel="1" x14ac:dyDescent="0.25">
      <c r="A11202" s="45">
        <v>240</v>
      </c>
      <c r="B11202" s="4" t="s">
        <v>250</v>
      </c>
      <c r="C11202" s="22" t="s">
        <v>2089</v>
      </c>
      <c r="D11202" s="18">
        <v>2021</v>
      </c>
      <c r="E11202" s="18"/>
      <c r="F11202" s="4">
        <v>1</v>
      </c>
      <c r="G11202" s="4">
        <v>25</v>
      </c>
      <c r="H11202" s="4">
        <v>53.38</v>
      </c>
    </row>
    <row r="11203" spans="1:8" s="15" customFormat="1" ht="19.5" hidden="1" customHeight="1" outlineLevel="1" x14ac:dyDescent="0.25">
      <c r="A11203" s="18">
        <v>224</v>
      </c>
      <c r="B11203" s="4" t="s">
        <v>250</v>
      </c>
      <c r="C11203" s="22" t="s">
        <v>2090</v>
      </c>
      <c r="D11203" s="18">
        <v>2021</v>
      </c>
      <c r="E11203" s="18"/>
      <c r="F11203" s="4">
        <v>1</v>
      </c>
      <c r="G11203" s="4">
        <v>10</v>
      </c>
      <c r="H11203" s="4">
        <v>48.12</v>
      </c>
    </row>
    <row r="11204" spans="1:8" s="15" customFormat="1" ht="19.5" hidden="1" customHeight="1" outlineLevel="1" x14ac:dyDescent="0.25">
      <c r="A11204" s="45">
        <v>202</v>
      </c>
      <c r="B11204" s="4" t="s">
        <v>250</v>
      </c>
      <c r="C11204" s="22" t="s">
        <v>2091</v>
      </c>
      <c r="D11204" s="18">
        <v>2021</v>
      </c>
      <c r="E11204" s="18"/>
      <c r="F11204" s="4">
        <v>1</v>
      </c>
      <c r="G11204" s="4">
        <v>31</v>
      </c>
      <c r="H11204" s="4">
        <v>42.722999999999999</v>
      </c>
    </row>
    <row r="11205" spans="1:8" s="15" customFormat="1" ht="19.5" hidden="1" customHeight="1" outlineLevel="1" x14ac:dyDescent="0.25">
      <c r="A11205" s="45">
        <v>205</v>
      </c>
      <c r="B11205" s="4" t="s">
        <v>250</v>
      </c>
      <c r="C11205" s="22" t="s">
        <v>2092</v>
      </c>
      <c r="D11205" s="18">
        <v>2021</v>
      </c>
      <c r="E11205" s="18"/>
      <c r="F11205" s="4">
        <v>1</v>
      </c>
      <c r="G11205" s="4">
        <v>23</v>
      </c>
      <c r="H11205" s="4">
        <v>42.051319999999997</v>
      </c>
    </row>
    <row r="11206" spans="1:8" s="15" customFormat="1" ht="19.5" hidden="1" customHeight="1" outlineLevel="1" x14ac:dyDescent="0.25">
      <c r="A11206" s="45">
        <v>206</v>
      </c>
      <c r="B11206" s="4" t="s">
        <v>250</v>
      </c>
      <c r="C11206" s="22" t="s">
        <v>2093</v>
      </c>
      <c r="D11206" s="18">
        <v>2021</v>
      </c>
      <c r="E11206" s="18"/>
      <c r="F11206" s="4">
        <v>1</v>
      </c>
      <c r="G11206" s="4">
        <v>23</v>
      </c>
      <c r="H11206" s="4">
        <v>42.856999999999999</v>
      </c>
    </row>
    <row r="11207" spans="1:8" s="15" customFormat="1" ht="19.5" hidden="1" customHeight="1" outlineLevel="1" x14ac:dyDescent="0.25">
      <c r="A11207" s="45">
        <v>828</v>
      </c>
      <c r="B11207" s="4" t="s">
        <v>250</v>
      </c>
      <c r="C11207" s="22" t="s">
        <v>1310</v>
      </c>
      <c r="D11207" s="18">
        <v>2021</v>
      </c>
      <c r="E11207" s="18"/>
      <c r="F11207" s="4">
        <v>1</v>
      </c>
      <c r="G11207" s="4">
        <v>150</v>
      </c>
      <c r="H11207" s="4">
        <v>27.00948</v>
      </c>
    </row>
    <row r="11208" spans="1:8" s="15" customFormat="1" ht="19.5" hidden="1" customHeight="1" outlineLevel="1" x14ac:dyDescent="0.25">
      <c r="A11208" s="45">
        <v>814</v>
      </c>
      <c r="B11208" s="4" t="s">
        <v>250</v>
      </c>
      <c r="C11208" s="22" t="s">
        <v>1311</v>
      </c>
      <c r="D11208" s="18">
        <v>2021</v>
      </c>
      <c r="E11208" s="18"/>
      <c r="F11208" s="4">
        <v>1</v>
      </c>
      <c r="G11208" s="4">
        <v>15</v>
      </c>
      <c r="H11208" s="4">
        <v>22.197279999999999</v>
      </c>
    </row>
    <row r="11209" spans="1:8" s="15" customFormat="1" ht="19.5" hidden="1" customHeight="1" outlineLevel="1" x14ac:dyDescent="0.25">
      <c r="A11209" s="45">
        <v>233</v>
      </c>
      <c r="B11209" s="4" t="s">
        <v>250</v>
      </c>
      <c r="C11209" s="22" t="s">
        <v>2554</v>
      </c>
      <c r="D11209" s="18">
        <v>2021</v>
      </c>
      <c r="E11209" s="18"/>
      <c r="F11209" s="4">
        <v>1</v>
      </c>
      <c r="G11209" s="4">
        <v>15</v>
      </c>
      <c r="H11209" s="4">
        <v>24.210909999999998</v>
      </c>
    </row>
    <row r="11210" spans="1:8" s="15" customFormat="1" ht="19.5" hidden="1" customHeight="1" outlineLevel="1" x14ac:dyDescent="0.25">
      <c r="A11210" s="46">
        <v>10097</v>
      </c>
      <c r="B11210" s="4" t="s">
        <v>250</v>
      </c>
      <c r="C11210" s="22" t="s">
        <v>2555</v>
      </c>
      <c r="D11210" s="18">
        <v>2021</v>
      </c>
      <c r="E11210" s="18"/>
      <c r="F11210" s="4">
        <v>1</v>
      </c>
      <c r="G11210" s="4">
        <v>15</v>
      </c>
      <c r="H11210" s="4">
        <v>27.75881</v>
      </c>
    </row>
    <row r="11211" spans="1:8" s="15" customFormat="1" ht="19.5" hidden="1" customHeight="1" outlineLevel="1" x14ac:dyDescent="0.25">
      <c r="A11211" s="46">
        <v>10213</v>
      </c>
      <c r="B11211" s="4" t="s">
        <v>250</v>
      </c>
      <c r="C11211" s="22" t="s">
        <v>2556</v>
      </c>
      <c r="D11211" s="18">
        <v>2021</v>
      </c>
      <c r="E11211" s="18"/>
      <c r="F11211" s="4">
        <v>1</v>
      </c>
      <c r="G11211" s="4">
        <v>15</v>
      </c>
      <c r="H11211" s="4">
        <v>27.787790000000001</v>
      </c>
    </row>
    <row r="11212" spans="1:8" s="15" customFormat="1" ht="19.5" hidden="1" customHeight="1" outlineLevel="1" x14ac:dyDescent="0.25">
      <c r="A11212" s="46">
        <v>10126</v>
      </c>
      <c r="B11212" s="4" t="s">
        <v>250</v>
      </c>
      <c r="C11212" s="22" t="s">
        <v>2557</v>
      </c>
      <c r="D11212" s="18">
        <v>2021</v>
      </c>
      <c r="E11212" s="18"/>
      <c r="F11212" s="4">
        <v>1</v>
      </c>
      <c r="G11212" s="4">
        <v>15</v>
      </c>
      <c r="H11212" s="4">
        <v>27.758790000000001</v>
      </c>
    </row>
    <row r="11213" spans="1:8" s="15" customFormat="1" ht="19.5" hidden="1" customHeight="1" outlineLevel="1" x14ac:dyDescent="0.25">
      <c r="A11213" s="46">
        <v>10237</v>
      </c>
      <c r="B11213" s="4" t="s">
        <v>250</v>
      </c>
      <c r="C11213" s="22" t="s">
        <v>2558</v>
      </c>
      <c r="D11213" s="18">
        <v>2021</v>
      </c>
      <c r="E11213" s="18"/>
      <c r="F11213" s="4">
        <v>1</v>
      </c>
      <c r="G11213" s="4">
        <v>15</v>
      </c>
      <c r="H11213" s="4">
        <v>27.786159999999999</v>
      </c>
    </row>
    <row r="11214" spans="1:8" s="15" customFormat="1" ht="19.5" hidden="1" customHeight="1" outlineLevel="1" x14ac:dyDescent="0.25">
      <c r="A11214" s="46">
        <v>10220</v>
      </c>
      <c r="B11214" s="4" t="s">
        <v>250</v>
      </c>
      <c r="C11214" s="22" t="s">
        <v>2559</v>
      </c>
      <c r="D11214" s="18">
        <v>2021</v>
      </c>
      <c r="E11214" s="18"/>
      <c r="F11214" s="4">
        <v>1</v>
      </c>
      <c r="G11214" s="4">
        <v>15</v>
      </c>
      <c r="H11214" s="4">
        <v>27.931370000000001</v>
      </c>
    </row>
    <row r="11215" spans="1:8" s="15" customFormat="1" ht="19.5" hidden="1" customHeight="1" outlineLevel="1" x14ac:dyDescent="0.25">
      <c r="A11215" s="46">
        <v>10201</v>
      </c>
      <c r="B11215" s="4" t="s">
        <v>250</v>
      </c>
      <c r="C11215" s="22" t="s">
        <v>2560</v>
      </c>
      <c r="D11215" s="18">
        <v>2021</v>
      </c>
      <c r="E11215" s="18"/>
      <c r="F11215" s="4">
        <v>1</v>
      </c>
      <c r="G11215" s="4">
        <v>15</v>
      </c>
      <c r="H11215" s="4">
        <v>29.229240000000001</v>
      </c>
    </row>
    <row r="11216" spans="1:8" s="15" customFormat="1" ht="19.5" hidden="1" customHeight="1" outlineLevel="1" x14ac:dyDescent="0.25">
      <c r="A11216" s="46">
        <v>10221</v>
      </c>
      <c r="B11216" s="4" t="s">
        <v>250</v>
      </c>
      <c r="C11216" s="22" t="s">
        <v>2561</v>
      </c>
      <c r="D11216" s="18">
        <v>2021</v>
      </c>
      <c r="E11216" s="18"/>
      <c r="F11216" s="4">
        <v>1</v>
      </c>
      <c r="G11216" s="4">
        <v>15</v>
      </c>
      <c r="H11216" s="4">
        <v>27.783740000000002</v>
      </c>
    </row>
    <row r="11217" spans="1:8" s="15" customFormat="1" ht="19.5" hidden="1" customHeight="1" outlineLevel="1" x14ac:dyDescent="0.25">
      <c r="A11217" s="46">
        <v>10255</v>
      </c>
      <c r="B11217" s="4" t="s">
        <v>250</v>
      </c>
      <c r="C11217" s="22" t="s">
        <v>2562</v>
      </c>
      <c r="D11217" s="18">
        <v>2021</v>
      </c>
      <c r="E11217" s="18"/>
      <c r="F11217" s="4">
        <v>1</v>
      </c>
      <c r="G11217" s="4">
        <v>15</v>
      </c>
      <c r="H11217" s="4">
        <v>28.940899999999999</v>
      </c>
    </row>
    <row r="11218" spans="1:8" s="15" customFormat="1" ht="19.5" hidden="1" customHeight="1" outlineLevel="1" x14ac:dyDescent="0.25">
      <c r="A11218" s="46">
        <v>10140</v>
      </c>
      <c r="B11218" s="4" t="s">
        <v>250</v>
      </c>
      <c r="C11218" s="22" t="s">
        <v>2563</v>
      </c>
      <c r="D11218" s="18">
        <v>2021</v>
      </c>
      <c r="E11218" s="18"/>
      <c r="F11218" s="4">
        <v>1</v>
      </c>
      <c r="G11218" s="4">
        <v>15</v>
      </c>
      <c r="H11218" s="4">
        <v>29.940819999999999</v>
      </c>
    </row>
    <row r="11219" spans="1:8" s="15" customFormat="1" ht="19.5" hidden="1" customHeight="1" outlineLevel="1" x14ac:dyDescent="0.25">
      <c r="A11219" s="46">
        <v>10096</v>
      </c>
      <c r="B11219" s="4" t="s">
        <v>250</v>
      </c>
      <c r="C11219" s="22" t="s">
        <v>2564</v>
      </c>
      <c r="D11219" s="18">
        <v>2021</v>
      </c>
      <c r="E11219" s="18"/>
      <c r="F11219" s="4">
        <v>1</v>
      </c>
      <c r="G11219" s="4">
        <v>15</v>
      </c>
      <c r="H11219" s="4">
        <v>27.641940000000002</v>
      </c>
    </row>
    <row r="11220" spans="1:8" s="15" customFormat="1" ht="19.5" hidden="1" customHeight="1" outlineLevel="1" x14ac:dyDescent="0.25">
      <c r="A11220" s="46">
        <v>10111</v>
      </c>
      <c r="B11220" s="4" t="s">
        <v>250</v>
      </c>
      <c r="C11220" s="22" t="s">
        <v>2565</v>
      </c>
      <c r="D11220" s="18">
        <v>2021</v>
      </c>
      <c r="E11220" s="18"/>
      <c r="F11220" s="4">
        <v>1</v>
      </c>
      <c r="G11220" s="4">
        <v>25</v>
      </c>
      <c r="H11220" s="4">
        <v>32.788139999999999</v>
      </c>
    </row>
    <row r="11221" spans="1:8" s="15" customFormat="1" ht="19.5" hidden="1" customHeight="1" outlineLevel="1" x14ac:dyDescent="0.25">
      <c r="A11221" s="46">
        <v>9239</v>
      </c>
      <c r="B11221" s="4" t="s">
        <v>250</v>
      </c>
      <c r="C11221" s="22" t="s">
        <v>2566</v>
      </c>
      <c r="D11221" s="18">
        <v>2021</v>
      </c>
      <c r="E11221" s="18"/>
      <c r="F11221" s="4">
        <v>1</v>
      </c>
      <c r="G11221" s="4">
        <v>15</v>
      </c>
      <c r="H11221" s="4">
        <v>32.64432</v>
      </c>
    </row>
    <row r="11222" spans="1:8" s="15" customFormat="1" ht="19.5" hidden="1" customHeight="1" outlineLevel="1" x14ac:dyDescent="0.25">
      <c r="A11222" s="45">
        <v>209</v>
      </c>
      <c r="B11222" s="4" t="s">
        <v>250</v>
      </c>
      <c r="C11222" s="22" t="s">
        <v>2567</v>
      </c>
      <c r="D11222" s="18">
        <v>2021</v>
      </c>
      <c r="E11222" s="18"/>
      <c r="F11222" s="4">
        <v>1</v>
      </c>
      <c r="G11222" s="4">
        <v>15</v>
      </c>
      <c r="H11222" s="4">
        <v>32.414839999999998</v>
      </c>
    </row>
    <row r="11223" spans="1:8" s="15" customFormat="1" ht="19.5" hidden="1" customHeight="1" outlineLevel="1" x14ac:dyDescent="0.25">
      <c r="A11223" s="46">
        <v>10210</v>
      </c>
      <c r="B11223" s="4" t="s">
        <v>250</v>
      </c>
      <c r="C11223" s="22" t="s">
        <v>2568</v>
      </c>
      <c r="D11223" s="18">
        <v>2021</v>
      </c>
      <c r="E11223" s="18"/>
      <c r="F11223" s="4">
        <v>1</v>
      </c>
      <c r="G11223" s="4">
        <v>15</v>
      </c>
      <c r="H11223" s="4">
        <v>34.539180000000002</v>
      </c>
    </row>
    <row r="11224" spans="1:8" s="15" customFormat="1" ht="19.5" hidden="1" customHeight="1" outlineLevel="1" x14ac:dyDescent="0.25">
      <c r="A11224" s="46">
        <v>10098</v>
      </c>
      <c r="B11224" s="4" t="s">
        <v>250</v>
      </c>
      <c r="C11224" s="22" t="s">
        <v>2569</v>
      </c>
      <c r="D11224" s="18">
        <v>2021</v>
      </c>
      <c r="E11224" s="18"/>
      <c r="F11224" s="4">
        <v>1</v>
      </c>
      <c r="G11224" s="4">
        <v>10</v>
      </c>
      <c r="H11224" s="4">
        <v>39.014000000000003</v>
      </c>
    </row>
    <row r="11225" spans="1:8" s="15" customFormat="1" ht="19.5" hidden="1" customHeight="1" outlineLevel="1" x14ac:dyDescent="0.25">
      <c r="A11225" s="46">
        <v>9959</v>
      </c>
      <c r="B11225" s="4" t="s">
        <v>250</v>
      </c>
      <c r="C11225" s="22" t="s">
        <v>2570</v>
      </c>
      <c r="D11225" s="18">
        <v>2021</v>
      </c>
      <c r="E11225" s="18"/>
      <c r="F11225" s="4">
        <v>1</v>
      </c>
      <c r="G11225" s="4">
        <v>10</v>
      </c>
      <c r="H11225" s="4">
        <v>32.373820000000002</v>
      </c>
    </row>
    <row r="11226" spans="1:8" s="15" customFormat="1" ht="19.5" hidden="1" customHeight="1" outlineLevel="1" x14ac:dyDescent="0.25">
      <c r="A11226" s="46">
        <v>9542</v>
      </c>
      <c r="B11226" s="4" t="s">
        <v>250</v>
      </c>
      <c r="C11226" s="22" t="s">
        <v>1165</v>
      </c>
      <c r="D11226" s="18">
        <v>2021</v>
      </c>
      <c r="E11226" s="18"/>
      <c r="F11226" s="4">
        <v>1</v>
      </c>
      <c r="G11226" s="4">
        <v>15</v>
      </c>
      <c r="H11226" s="4">
        <v>38.942999999999998</v>
      </c>
    </row>
    <row r="11227" spans="1:8" s="15" customFormat="1" ht="19.5" hidden="1" customHeight="1" outlineLevel="1" x14ac:dyDescent="0.25">
      <c r="A11227" s="46">
        <v>9563</v>
      </c>
      <c r="B11227" s="4" t="s">
        <v>250</v>
      </c>
      <c r="C11227" s="22" t="s">
        <v>1330</v>
      </c>
      <c r="D11227" s="18">
        <v>2021</v>
      </c>
      <c r="E11227" s="18"/>
      <c r="F11227" s="4">
        <v>1</v>
      </c>
      <c r="G11227" s="4">
        <v>15</v>
      </c>
      <c r="H11227" s="4">
        <v>30.483000000000001</v>
      </c>
    </row>
    <row r="11228" spans="1:8" s="15" customFormat="1" ht="19.5" hidden="1" customHeight="1" outlineLevel="1" x14ac:dyDescent="0.25">
      <c r="A11228" s="46">
        <v>9554</v>
      </c>
      <c r="B11228" s="4" t="s">
        <v>250</v>
      </c>
      <c r="C11228" s="22" t="s">
        <v>1331</v>
      </c>
      <c r="D11228" s="18">
        <v>2021</v>
      </c>
      <c r="E11228" s="18"/>
      <c r="F11228" s="4">
        <v>1</v>
      </c>
      <c r="G11228" s="4">
        <v>15</v>
      </c>
      <c r="H11228" s="4">
        <v>29.59</v>
      </c>
    </row>
    <row r="11229" spans="1:8" s="15" customFormat="1" ht="19.5" hidden="1" customHeight="1" outlineLevel="1" x14ac:dyDescent="0.25">
      <c r="A11229" s="46">
        <v>9561</v>
      </c>
      <c r="B11229" s="4" t="s">
        <v>250</v>
      </c>
      <c r="C11229" s="22" t="s">
        <v>1332</v>
      </c>
      <c r="D11229" s="18">
        <v>2021</v>
      </c>
      <c r="E11229" s="18"/>
      <c r="F11229" s="4">
        <v>1</v>
      </c>
      <c r="G11229" s="4">
        <v>15</v>
      </c>
      <c r="H11229" s="4">
        <v>28.588000000000001</v>
      </c>
    </row>
    <row r="11230" spans="1:8" s="15" customFormat="1" ht="19.5" hidden="1" customHeight="1" outlineLevel="1" x14ac:dyDescent="0.25">
      <c r="A11230" s="46">
        <v>10095</v>
      </c>
      <c r="B11230" s="4" t="s">
        <v>250</v>
      </c>
      <c r="C11230" s="22" t="s">
        <v>2571</v>
      </c>
      <c r="D11230" s="18">
        <v>2021</v>
      </c>
      <c r="E11230" s="18"/>
      <c r="F11230" s="4">
        <v>1</v>
      </c>
      <c r="G11230" s="4">
        <v>15</v>
      </c>
      <c r="H11230" s="4">
        <v>25.181000000000001</v>
      </c>
    </row>
    <row r="11231" spans="1:8" s="15" customFormat="1" ht="19.5" hidden="1" customHeight="1" outlineLevel="1" x14ac:dyDescent="0.25">
      <c r="A11231" s="46">
        <v>10165</v>
      </c>
      <c r="B11231" s="4" t="s">
        <v>250</v>
      </c>
      <c r="C11231" s="22" t="s">
        <v>2572</v>
      </c>
      <c r="D11231" s="18">
        <v>2021</v>
      </c>
      <c r="E11231" s="18"/>
      <c r="F11231" s="4">
        <v>1</v>
      </c>
      <c r="G11231" s="4">
        <v>15</v>
      </c>
      <c r="H11231" s="4">
        <v>24.852</v>
      </c>
    </row>
    <row r="11232" spans="1:8" s="15" customFormat="1" ht="19.5" hidden="1" customHeight="1" outlineLevel="1" x14ac:dyDescent="0.25">
      <c r="A11232" s="45">
        <v>2043</v>
      </c>
      <c r="B11232" s="4" t="s">
        <v>250</v>
      </c>
      <c r="C11232" s="22" t="s">
        <v>2573</v>
      </c>
      <c r="D11232" s="18">
        <v>2021</v>
      </c>
      <c r="E11232" s="18"/>
      <c r="F11232" s="4">
        <v>1</v>
      </c>
      <c r="G11232" s="4">
        <v>15</v>
      </c>
      <c r="H11232" s="4">
        <v>25.338999999999999</v>
      </c>
    </row>
    <row r="11233" spans="1:8" s="15" customFormat="1" ht="19.5" hidden="1" customHeight="1" outlineLevel="1" x14ac:dyDescent="0.25">
      <c r="A11233" s="46">
        <v>10195</v>
      </c>
      <c r="B11233" s="4" t="s">
        <v>250</v>
      </c>
      <c r="C11233" s="22" t="s">
        <v>2574</v>
      </c>
      <c r="D11233" s="18">
        <v>2021</v>
      </c>
      <c r="E11233" s="18"/>
      <c r="F11233" s="4">
        <v>1</v>
      </c>
      <c r="G11233" s="4">
        <v>15</v>
      </c>
      <c r="H11233" s="4">
        <v>24.852</v>
      </c>
    </row>
    <row r="11234" spans="1:8" s="15" customFormat="1" ht="19.5" hidden="1" customHeight="1" outlineLevel="1" x14ac:dyDescent="0.25">
      <c r="A11234" s="45">
        <v>826</v>
      </c>
      <c r="B11234" s="4" t="s">
        <v>250</v>
      </c>
      <c r="C11234" s="22" t="s">
        <v>1167</v>
      </c>
      <c r="D11234" s="18">
        <v>2021</v>
      </c>
      <c r="E11234" s="18"/>
      <c r="F11234" s="4">
        <v>1</v>
      </c>
      <c r="G11234" s="4">
        <v>15</v>
      </c>
      <c r="H11234" s="4">
        <v>26.571000000000002</v>
      </c>
    </row>
    <row r="11235" spans="1:8" s="15" customFormat="1" ht="19.5" hidden="1" customHeight="1" outlineLevel="1" x14ac:dyDescent="0.25">
      <c r="A11235" s="46">
        <v>9560</v>
      </c>
      <c r="B11235" s="4" t="s">
        <v>250</v>
      </c>
      <c r="C11235" s="22" t="s">
        <v>2575</v>
      </c>
      <c r="D11235" s="18">
        <v>2021</v>
      </c>
      <c r="E11235" s="18"/>
      <c r="F11235" s="4">
        <v>1</v>
      </c>
      <c r="G11235" s="4">
        <v>25</v>
      </c>
      <c r="H11235" s="4">
        <v>29.27</v>
      </c>
    </row>
    <row r="11236" spans="1:8" s="15" customFormat="1" ht="19.5" hidden="1" customHeight="1" outlineLevel="1" x14ac:dyDescent="0.25">
      <c r="A11236" s="46">
        <v>9543</v>
      </c>
      <c r="B11236" s="4" t="s">
        <v>250</v>
      </c>
      <c r="C11236" s="22" t="s">
        <v>1168</v>
      </c>
      <c r="D11236" s="18">
        <v>2021</v>
      </c>
      <c r="E11236" s="18"/>
      <c r="F11236" s="4">
        <v>2</v>
      </c>
      <c r="G11236" s="4">
        <v>30</v>
      </c>
      <c r="H11236" s="4">
        <v>58.712000000000003</v>
      </c>
    </row>
    <row r="11237" spans="1:8" s="15" customFormat="1" ht="19.5" hidden="1" customHeight="1" outlineLevel="1" x14ac:dyDescent="0.25">
      <c r="A11237" s="45">
        <v>812</v>
      </c>
      <c r="B11237" s="4" t="s">
        <v>250</v>
      </c>
      <c r="C11237" s="22" t="s">
        <v>1169</v>
      </c>
      <c r="D11237" s="18">
        <v>2021</v>
      </c>
      <c r="E11237" s="18"/>
      <c r="F11237" s="4">
        <v>1</v>
      </c>
      <c r="G11237" s="4">
        <v>15</v>
      </c>
      <c r="H11237" s="4">
        <v>27.771000000000001</v>
      </c>
    </row>
    <row r="11238" spans="1:8" s="15" customFormat="1" ht="19.5" hidden="1" customHeight="1" outlineLevel="1" x14ac:dyDescent="0.25">
      <c r="A11238" s="46">
        <v>9559</v>
      </c>
      <c r="B11238" s="4" t="s">
        <v>250</v>
      </c>
      <c r="C11238" s="22" t="s">
        <v>1334</v>
      </c>
      <c r="D11238" s="18">
        <v>2021</v>
      </c>
      <c r="E11238" s="18"/>
      <c r="F11238" s="4">
        <v>1</v>
      </c>
      <c r="G11238" s="4">
        <v>15</v>
      </c>
      <c r="H11238" s="4">
        <v>30.189</v>
      </c>
    </row>
    <row r="11239" spans="1:8" s="15" customFormat="1" ht="19.5" hidden="1" customHeight="1" outlineLevel="1" x14ac:dyDescent="0.25">
      <c r="A11239" s="45">
        <v>1181</v>
      </c>
      <c r="B11239" s="4" t="s">
        <v>250</v>
      </c>
      <c r="C11239" s="22" t="s">
        <v>1335</v>
      </c>
      <c r="D11239" s="18">
        <v>2021</v>
      </c>
      <c r="E11239" s="18"/>
      <c r="F11239" s="4">
        <v>2</v>
      </c>
      <c r="G11239" s="4">
        <v>100</v>
      </c>
      <c r="H11239" s="4">
        <v>57.8</v>
      </c>
    </row>
    <row r="11240" spans="1:8" s="15" customFormat="1" ht="19.5" hidden="1" customHeight="1" outlineLevel="1" x14ac:dyDescent="0.25">
      <c r="A11240" s="46">
        <v>9221</v>
      </c>
      <c r="B11240" s="4" t="s">
        <v>250</v>
      </c>
      <c r="C11240" s="22" t="s">
        <v>2576</v>
      </c>
      <c r="D11240" s="18">
        <v>2021</v>
      </c>
      <c r="E11240" s="18"/>
      <c r="F11240" s="4">
        <v>1</v>
      </c>
      <c r="G11240" s="4">
        <v>40</v>
      </c>
      <c r="H11240" s="4">
        <v>27.882000000000001</v>
      </c>
    </row>
    <row r="11241" spans="1:8" s="15" customFormat="1" ht="19.5" hidden="1" customHeight="1" outlineLevel="1" x14ac:dyDescent="0.25">
      <c r="A11241" s="46">
        <v>9237</v>
      </c>
      <c r="B11241" s="4" t="s">
        <v>250</v>
      </c>
      <c r="C11241" s="22" t="s">
        <v>2577</v>
      </c>
      <c r="D11241" s="18">
        <v>2021</v>
      </c>
      <c r="E11241" s="18"/>
      <c r="F11241" s="4">
        <v>1</v>
      </c>
      <c r="G11241" s="4">
        <v>15</v>
      </c>
      <c r="H11241" s="4">
        <v>27.844999999999999</v>
      </c>
    </row>
    <row r="11242" spans="1:8" s="15" customFormat="1" ht="19.5" hidden="1" customHeight="1" outlineLevel="1" x14ac:dyDescent="0.25">
      <c r="A11242" s="46">
        <v>9891</v>
      </c>
      <c r="B11242" s="4" t="s">
        <v>250</v>
      </c>
      <c r="C11242" s="22" t="s">
        <v>2578</v>
      </c>
      <c r="D11242" s="18">
        <v>2021</v>
      </c>
      <c r="E11242" s="18"/>
      <c r="F11242" s="4">
        <v>1</v>
      </c>
      <c r="G11242" s="4">
        <v>148.61000000000001</v>
      </c>
      <c r="H11242" s="4">
        <v>32.459000000000003</v>
      </c>
    </row>
    <row r="11243" spans="1:8" s="15" customFormat="1" ht="19.5" hidden="1" customHeight="1" outlineLevel="1" x14ac:dyDescent="0.25">
      <c r="A11243" s="46">
        <v>9546</v>
      </c>
      <c r="B11243" s="4" t="s">
        <v>250</v>
      </c>
      <c r="C11243" s="22" t="s">
        <v>1338</v>
      </c>
      <c r="D11243" s="18">
        <v>2021</v>
      </c>
      <c r="E11243" s="18"/>
      <c r="F11243" s="4">
        <v>1</v>
      </c>
      <c r="G11243" s="4">
        <v>15</v>
      </c>
      <c r="H11243" s="4">
        <v>30.114000000000001</v>
      </c>
    </row>
    <row r="11244" spans="1:8" s="15" customFormat="1" ht="19.5" hidden="1" customHeight="1" outlineLevel="1" x14ac:dyDescent="0.25">
      <c r="A11244" s="46">
        <v>9550</v>
      </c>
      <c r="B11244" s="4" t="s">
        <v>250</v>
      </c>
      <c r="C11244" s="22" t="s">
        <v>1170</v>
      </c>
      <c r="D11244" s="18">
        <v>2021</v>
      </c>
      <c r="E11244" s="18"/>
      <c r="F11244" s="4">
        <v>1</v>
      </c>
      <c r="G11244" s="4">
        <v>15</v>
      </c>
      <c r="H11244" s="4">
        <v>31.558</v>
      </c>
    </row>
    <row r="11245" spans="1:8" s="15" customFormat="1" ht="19.5" hidden="1" customHeight="1" outlineLevel="1" x14ac:dyDescent="0.25">
      <c r="A11245" s="46">
        <v>9548</v>
      </c>
      <c r="B11245" s="4" t="s">
        <v>250</v>
      </c>
      <c r="C11245" s="22" t="s">
        <v>1171</v>
      </c>
      <c r="D11245" s="18">
        <v>2021</v>
      </c>
      <c r="E11245" s="18"/>
      <c r="F11245" s="4">
        <v>1</v>
      </c>
      <c r="G11245" s="4">
        <v>15</v>
      </c>
      <c r="H11245" s="4">
        <v>34.454999999999998</v>
      </c>
    </row>
    <row r="11246" spans="1:8" s="15" customFormat="1" ht="19.5" hidden="1" customHeight="1" outlineLevel="1" x14ac:dyDescent="0.25">
      <c r="A11246" s="46">
        <v>9235</v>
      </c>
      <c r="B11246" s="4" t="s">
        <v>250</v>
      </c>
      <c r="C11246" s="22" t="s">
        <v>2123</v>
      </c>
      <c r="D11246" s="18">
        <v>2021</v>
      </c>
      <c r="E11246" s="18"/>
      <c r="F11246" s="4">
        <v>1</v>
      </c>
      <c r="G11246" s="4">
        <v>15</v>
      </c>
      <c r="H11246" s="4">
        <v>32.5</v>
      </c>
    </row>
    <row r="11247" spans="1:8" s="15" customFormat="1" ht="19.5" hidden="1" customHeight="1" outlineLevel="1" x14ac:dyDescent="0.25">
      <c r="A11247" s="46">
        <v>9227</v>
      </c>
      <c r="B11247" s="4" t="s">
        <v>250</v>
      </c>
      <c r="C11247" s="22" t="s">
        <v>2579</v>
      </c>
      <c r="D11247" s="18">
        <v>2021</v>
      </c>
      <c r="E11247" s="18"/>
      <c r="F11247" s="4">
        <v>1</v>
      </c>
      <c r="G11247" s="4">
        <v>15</v>
      </c>
      <c r="H11247" s="4">
        <v>38.81</v>
      </c>
    </row>
    <row r="11248" spans="1:8" s="15" customFormat="1" ht="19.5" hidden="1" customHeight="1" outlineLevel="1" x14ac:dyDescent="0.25">
      <c r="A11248" s="46">
        <v>9230</v>
      </c>
      <c r="B11248" s="4" t="s">
        <v>250</v>
      </c>
      <c r="C11248" s="22" t="s">
        <v>2580</v>
      </c>
      <c r="D11248" s="18">
        <v>2021</v>
      </c>
      <c r="E11248" s="18"/>
      <c r="F11248" s="4">
        <v>1</v>
      </c>
      <c r="G11248" s="4">
        <v>10</v>
      </c>
      <c r="H11248" s="4">
        <v>35.609000000000002</v>
      </c>
    </row>
    <row r="11249" spans="1:8" s="15" customFormat="1" ht="19.5" hidden="1" customHeight="1" outlineLevel="1" x14ac:dyDescent="0.25">
      <c r="A11249" s="46">
        <v>10130</v>
      </c>
      <c r="B11249" s="4" t="s">
        <v>250</v>
      </c>
      <c r="C11249" s="22" t="s">
        <v>2581</v>
      </c>
      <c r="D11249" s="18">
        <v>2021</v>
      </c>
      <c r="E11249" s="18"/>
      <c r="F11249" s="4">
        <v>1</v>
      </c>
      <c r="G11249" s="4">
        <v>15</v>
      </c>
      <c r="H11249" s="4">
        <v>33.036999999999999</v>
      </c>
    </row>
    <row r="11250" spans="1:8" s="15" customFormat="1" ht="19.5" hidden="1" customHeight="1" outlineLevel="1" x14ac:dyDescent="0.25">
      <c r="A11250" s="46">
        <v>10152</v>
      </c>
      <c r="B11250" s="4" t="s">
        <v>250</v>
      </c>
      <c r="C11250" s="22" t="s">
        <v>2582</v>
      </c>
      <c r="D11250" s="18">
        <v>2021</v>
      </c>
      <c r="E11250" s="18"/>
      <c r="F11250" s="4">
        <v>1</v>
      </c>
      <c r="G11250" s="4">
        <v>15</v>
      </c>
      <c r="H11250" s="4">
        <v>24.396999999999998</v>
      </c>
    </row>
    <row r="11251" spans="1:8" s="15" customFormat="1" ht="19.5" hidden="1" customHeight="1" outlineLevel="1" x14ac:dyDescent="0.25">
      <c r="A11251" s="46">
        <v>9229</v>
      </c>
      <c r="B11251" s="4" t="s">
        <v>250</v>
      </c>
      <c r="C11251" s="22" t="s">
        <v>2583</v>
      </c>
      <c r="D11251" s="18">
        <v>2021</v>
      </c>
      <c r="E11251" s="18"/>
      <c r="F11251" s="4">
        <v>1</v>
      </c>
      <c r="G11251" s="4">
        <v>15</v>
      </c>
      <c r="H11251" s="4">
        <v>39.927999999999997</v>
      </c>
    </row>
    <row r="11252" spans="1:8" s="15" customFormat="1" ht="19.5" hidden="1" customHeight="1" outlineLevel="1" x14ac:dyDescent="0.25">
      <c r="A11252" s="46">
        <v>9539</v>
      </c>
      <c r="B11252" s="4" t="s">
        <v>250</v>
      </c>
      <c r="C11252" s="22" t="s">
        <v>1172</v>
      </c>
      <c r="D11252" s="18">
        <v>2021</v>
      </c>
      <c r="E11252" s="18"/>
      <c r="F11252" s="4">
        <v>1</v>
      </c>
      <c r="G11252" s="4">
        <v>15</v>
      </c>
      <c r="H11252" s="4">
        <v>27.373000000000001</v>
      </c>
    </row>
    <row r="11253" spans="1:8" s="15" customFormat="1" ht="19.5" hidden="1" customHeight="1" outlineLevel="1" x14ac:dyDescent="0.25">
      <c r="A11253" s="45">
        <v>1170</v>
      </c>
      <c r="B11253" s="4" t="s">
        <v>250</v>
      </c>
      <c r="C11253" s="22" t="s">
        <v>1340</v>
      </c>
      <c r="D11253" s="18">
        <v>2021</v>
      </c>
      <c r="E11253" s="18"/>
      <c r="F11253" s="4">
        <v>1</v>
      </c>
      <c r="G11253" s="4">
        <v>60</v>
      </c>
      <c r="H11253" s="4">
        <v>32.5</v>
      </c>
    </row>
    <row r="11254" spans="1:8" s="15" customFormat="1" ht="19.5" hidden="1" customHeight="1" outlineLevel="1" x14ac:dyDescent="0.25">
      <c r="A11254" s="46">
        <v>10120</v>
      </c>
      <c r="B11254" s="4" t="s">
        <v>250</v>
      </c>
      <c r="C11254" s="22" t="s">
        <v>2584</v>
      </c>
      <c r="D11254" s="18">
        <v>2021</v>
      </c>
      <c r="E11254" s="18"/>
      <c r="F11254" s="4">
        <v>1</v>
      </c>
      <c r="G11254" s="4">
        <v>15</v>
      </c>
      <c r="H11254" s="4">
        <v>24.029</v>
      </c>
    </row>
    <row r="11255" spans="1:8" s="15" customFormat="1" ht="19.5" hidden="1" customHeight="1" outlineLevel="1" x14ac:dyDescent="0.25">
      <c r="A11255" s="46">
        <v>10236</v>
      </c>
      <c r="B11255" s="4" t="s">
        <v>250</v>
      </c>
      <c r="C11255" s="22" t="s">
        <v>2585</v>
      </c>
      <c r="D11255" s="18">
        <v>2021</v>
      </c>
      <c r="E11255" s="18"/>
      <c r="F11255" s="4">
        <v>1</v>
      </c>
      <c r="G11255" s="4">
        <v>15</v>
      </c>
      <c r="H11255" s="4">
        <v>24.029</v>
      </c>
    </row>
    <row r="11256" spans="1:8" s="15" customFormat="1" ht="19.5" hidden="1" customHeight="1" outlineLevel="1" x14ac:dyDescent="0.25">
      <c r="A11256" s="46">
        <v>10061</v>
      </c>
      <c r="B11256" s="4" t="s">
        <v>250</v>
      </c>
      <c r="C11256" s="22" t="s">
        <v>2586</v>
      </c>
      <c r="D11256" s="18">
        <v>2021</v>
      </c>
      <c r="E11256" s="18"/>
      <c r="F11256" s="4">
        <v>1</v>
      </c>
      <c r="G11256" s="4">
        <v>15</v>
      </c>
      <c r="H11256" s="4">
        <v>24.018000000000001</v>
      </c>
    </row>
    <row r="11257" spans="1:8" s="15" customFormat="1" ht="19.5" hidden="1" customHeight="1" outlineLevel="1" x14ac:dyDescent="0.25">
      <c r="A11257" s="46">
        <v>10118</v>
      </c>
      <c r="B11257" s="4" t="s">
        <v>250</v>
      </c>
      <c r="C11257" s="22" t="s">
        <v>2587</v>
      </c>
      <c r="D11257" s="18">
        <v>2021</v>
      </c>
      <c r="E11257" s="18"/>
      <c r="F11257" s="4">
        <v>1</v>
      </c>
      <c r="G11257" s="4">
        <v>15</v>
      </c>
      <c r="H11257" s="4">
        <v>24.018000000000001</v>
      </c>
    </row>
    <row r="11258" spans="1:8" s="15" customFormat="1" ht="19.5" hidden="1" customHeight="1" outlineLevel="1" x14ac:dyDescent="0.25">
      <c r="A11258" s="46">
        <v>10117</v>
      </c>
      <c r="B11258" s="4" t="s">
        <v>250</v>
      </c>
      <c r="C11258" s="22" t="s">
        <v>2588</v>
      </c>
      <c r="D11258" s="18">
        <v>2021</v>
      </c>
      <c r="E11258" s="18"/>
      <c r="F11258" s="4">
        <v>1</v>
      </c>
      <c r="G11258" s="4">
        <v>15</v>
      </c>
      <c r="H11258" s="4">
        <v>25.481999999999999</v>
      </c>
    </row>
    <row r="11259" spans="1:8" s="15" customFormat="1" ht="19.5" hidden="1" customHeight="1" outlineLevel="1" x14ac:dyDescent="0.25">
      <c r="A11259" s="46">
        <v>10324</v>
      </c>
      <c r="B11259" s="4" t="s">
        <v>250</v>
      </c>
      <c r="C11259" s="22" t="s">
        <v>2132</v>
      </c>
      <c r="D11259" s="18">
        <v>2021</v>
      </c>
      <c r="E11259" s="18"/>
      <c r="F11259" s="4">
        <v>1</v>
      </c>
      <c r="G11259" s="4">
        <v>15</v>
      </c>
      <c r="H11259" s="4">
        <v>24.51</v>
      </c>
    </row>
    <row r="11260" spans="1:8" s="15" customFormat="1" ht="19.5" hidden="1" customHeight="1" outlineLevel="1" x14ac:dyDescent="0.25">
      <c r="A11260" s="46">
        <v>10235</v>
      </c>
      <c r="B11260" s="4" t="s">
        <v>250</v>
      </c>
      <c r="C11260" s="22" t="s">
        <v>2589</v>
      </c>
      <c r="D11260" s="18">
        <v>2021</v>
      </c>
      <c r="E11260" s="18"/>
      <c r="F11260" s="4">
        <v>1</v>
      </c>
      <c r="G11260" s="4">
        <v>15</v>
      </c>
      <c r="H11260" s="4">
        <v>25.475999999999999</v>
      </c>
    </row>
    <row r="11261" spans="1:8" s="15" customFormat="1" ht="19.5" hidden="1" customHeight="1" outlineLevel="1" x14ac:dyDescent="0.25">
      <c r="A11261" s="46">
        <v>9158</v>
      </c>
      <c r="B11261" s="4" t="s">
        <v>250</v>
      </c>
      <c r="C11261" s="22" t="s">
        <v>2590</v>
      </c>
      <c r="D11261" s="18">
        <v>2021</v>
      </c>
      <c r="E11261" s="18"/>
      <c r="F11261" s="4">
        <v>1</v>
      </c>
      <c r="G11261" s="4">
        <v>36</v>
      </c>
      <c r="H11261" s="4">
        <v>30.341999999999999</v>
      </c>
    </row>
    <row r="11262" spans="1:8" s="15" customFormat="1" ht="19.5" hidden="1" customHeight="1" outlineLevel="1" x14ac:dyDescent="0.25">
      <c r="A11262" s="46">
        <v>10116</v>
      </c>
      <c r="B11262" s="4" t="s">
        <v>250</v>
      </c>
      <c r="C11262" s="22" t="s">
        <v>2591</v>
      </c>
      <c r="D11262" s="18">
        <v>2021</v>
      </c>
      <c r="E11262" s="18"/>
      <c r="F11262" s="4">
        <v>1</v>
      </c>
      <c r="G11262" s="4">
        <v>150</v>
      </c>
      <c r="H11262" s="4">
        <v>32.366</v>
      </c>
    </row>
    <row r="11263" spans="1:8" s="15" customFormat="1" ht="19.5" hidden="1" customHeight="1" outlineLevel="1" x14ac:dyDescent="0.25">
      <c r="A11263" s="46">
        <v>9558</v>
      </c>
      <c r="B11263" s="4" t="s">
        <v>250</v>
      </c>
      <c r="C11263" s="22" t="s">
        <v>2592</v>
      </c>
      <c r="D11263" s="18">
        <v>2021</v>
      </c>
      <c r="E11263" s="18"/>
      <c r="F11263" s="4">
        <v>1</v>
      </c>
      <c r="G11263" s="4">
        <v>15</v>
      </c>
      <c r="H11263" s="4">
        <v>28.378</v>
      </c>
    </row>
    <row r="11264" spans="1:8" s="15" customFormat="1" ht="19.5" hidden="1" customHeight="1" outlineLevel="1" x14ac:dyDescent="0.25">
      <c r="A11264" s="46">
        <v>9233</v>
      </c>
      <c r="B11264" s="4" t="s">
        <v>250</v>
      </c>
      <c r="C11264" s="22" t="s">
        <v>2593</v>
      </c>
      <c r="D11264" s="18">
        <v>2021</v>
      </c>
      <c r="E11264" s="18"/>
      <c r="F11264" s="4">
        <v>1</v>
      </c>
      <c r="G11264" s="4">
        <v>30</v>
      </c>
      <c r="H11264" s="4">
        <v>31.352</v>
      </c>
    </row>
    <row r="11265" spans="1:8" s="15" customFormat="1" ht="19.5" hidden="1" customHeight="1" outlineLevel="1" x14ac:dyDescent="0.25">
      <c r="A11265" s="46">
        <v>9232</v>
      </c>
      <c r="B11265" s="4" t="s">
        <v>250</v>
      </c>
      <c r="C11265" s="22" t="s">
        <v>2594</v>
      </c>
      <c r="D11265" s="18">
        <v>2021</v>
      </c>
      <c r="E11265" s="18"/>
      <c r="F11265" s="4">
        <v>1</v>
      </c>
      <c r="G11265" s="4">
        <v>30</v>
      </c>
      <c r="H11265" s="4">
        <v>29.271999999999998</v>
      </c>
    </row>
    <row r="11266" spans="1:8" s="15" customFormat="1" ht="19.5" hidden="1" customHeight="1" outlineLevel="1" x14ac:dyDescent="0.25">
      <c r="A11266" s="46">
        <v>9682</v>
      </c>
      <c r="B11266" s="4" t="s">
        <v>250</v>
      </c>
      <c r="C11266" s="22" t="s">
        <v>1175</v>
      </c>
      <c r="D11266" s="18">
        <v>2021</v>
      </c>
      <c r="E11266" s="18"/>
      <c r="F11266" s="4">
        <v>1</v>
      </c>
      <c r="G11266" s="4">
        <v>15</v>
      </c>
      <c r="H11266" s="4">
        <v>29.013999999999999</v>
      </c>
    </row>
    <row r="11267" spans="1:8" s="15" customFormat="1" ht="19.5" hidden="1" customHeight="1" outlineLevel="1" x14ac:dyDescent="0.25">
      <c r="A11267" s="46">
        <v>9434</v>
      </c>
      <c r="B11267" s="4" t="s">
        <v>250</v>
      </c>
      <c r="C11267" s="22" t="s">
        <v>1176</v>
      </c>
      <c r="D11267" s="18">
        <v>2021</v>
      </c>
      <c r="E11267" s="18"/>
      <c r="F11267" s="4">
        <v>1</v>
      </c>
      <c r="G11267" s="4">
        <v>15</v>
      </c>
      <c r="H11267" s="4">
        <v>27.908999999999999</v>
      </c>
    </row>
    <row r="11268" spans="1:8" s="15" customFormat="1" ht="19.5" hidden="1" customHeight="1" outlineLevel="1" x14ac:dyDescent="0.25">
      <c r="A11268" s="46">
        <v>10053</v>
      </c>
      <c r="B11268" s="4" t="s">
        <v>250</v>
      </c>
      <c r="C11268" s="22" t="s">
        <v>2595</v>
      </c>
      <c r="D11268" s="18">
        <v>2021</v>
      </c>
      <c r="E11268" s="18"/>
      <c r="F11268" s="4">
        <v>1</v>
      </c>
      <c r="G11268" s="4">
        <v>14</v>
      </c>
      <c r="H11268" s="4">
        <v>28.36</v>
      </c>
    </row>
    <row r="11269" spans="1:8" s="15" customFormat="1" ht="19.5" hidden="1" customHeight="1" outlineLevel="1" x14ac:dyDescent="0.25">
      <c r="A11269" s="46">
        <v>10099</v>
      </c>
      <c r="B11269" s="4" t="s">
        <v>250</v>
      </c>
      <c r="C11269" s="22" t="s">
        <v>2596</v>
      </c>
      <c r="D11269" s="18">
        <v>2021</v>
      </c>
      <c r="E11269" s="18"/>
      <c r="F11269" s="4">
        <v>1</v>
      </c>
      <c r="G11269" s="4">
        <v>14</v>
      </c>
      <c r="H11269" s="4">
        <v>24.640999999999998</v>
      </c>
    </row>
    <row r="11270" spans="1:8" s="15" customFormat="1" ht="19.5" hidden="1" customHeight="1" outlineLevel="1" x14ac:dyDescent="0.25">
      <c r="A11270" s="46">
        <v>10252</v>
      </c>
      <c r="B11270" s="4" t="s">
        <v>250</v>
      </c>
      <c r="C11270" s="22" t="s">
        <v>2597</v>
      </c>
      <c r="D11270" s="18">
        <v>2021</v>
      </c>
      <c r="E11270" s="18"/>
      <c r="F11270" s="4">
        <v>1</v>
      </c>
      <c r="G11270" s="4">
        <v>15</v>
      </c>
      <c r="H11270" s="4">
        <v>24.260999999999999</v>
      </c>
    </row>
    <row r="11271" spans="1:8" s="15" customFormat="1" ht="19.5" hidden="1" customHeight="1" outlineLevel="1" x14ac:dyDescent="0.25">
      <c r="A11271" s="46">
        <v>9435</v>
      </c>
      <c r="B11271" s="4" t="s">
        <v>250</v>
      </c>
      <c r="C11271" s="22" t="s">
        <v>1177</v>
      </c>
      <c r="D11271" s="18">
        <v>2021</v>
      </c>
      <c r="E11271" s="18"/>
      <c r="F11271" s="4">
        <v>1</v>
      </c>
      <c r="G11271" s="4">
        <v>15</v>
      </c>
      <c r="H11271" s="4">
        <v>23.748000000000001</v>
      </c>
    </row>
    <row r="11272" spans="1:8" s="15" customFormat="1" ht="19.5" hidden="1" customHeight="1" outlineLevel="1" x14ac:dyDescent="0.25">
      <c r="A11272" s="46">
        <v>10121</v>
      </c>
      <c r="B11272" s="4" t="s">
        <v>250</v>
      </c>
      <c r="C11272" s="22" t="s">
        <v>2598</v>
      </c>
      <c r="D11272" s="18">
        <v>2021</v>
      </c>
      <c r="E11272" s="18"/>
      <c r="F11272" s="4">
        <v>1</v>
      </c>
      <c r="G11272" s="4">
        <v>15</v>
      </c>
      <c r="H11272" s="4">
        <v>26.657</v>
      </c>
    </row>
    <row r="11273" spans="1:8" s="15" customFormat="1" ht="19.5" hidden="1" customHeight="1" outlineLevel="1" x14ac:dyDescent="0.25">
      <c r="A11273" s="46">
        <v>10139</v>
      </c>
      <c r="B11273" s="4" t="s">
        <v>250</v>
      </c>
      <c r="C11273" s="22" t="s">
        <v>2599</v>
      </c>
      <c r="D11273" s="18">
        <v>2021</v>
      </c>
      <c r="E11273" s="18"/>
      <c r="F11273" s="4">
        <v>1</v>
      </c>
      <c r="G11273" s="4">
        <v>15</v>
      </c>
      <c r="H11273" s="4">
        <v>25.574000000000002</v>
      </c>
    </row>
    <row r="11274" spans="1:8" s="15" customFormat="1" ht="19.5" hidden="1" customHeight="1" outlineLevel="1" x14ac:dyDescent="0.25">
      <c r="A11274" s="18">
        <v>245</v>
      </c>
      <c r="B11274" s="4" t="s">
        <v>250</v>
      </c>
      <c r="C11274" s="22" t="s">
        <v>2157</v>
      </c>
      <c r="D11274" s="18">
        <v>2021</v>
      </c>
      <c r="E11274" s="18"/>
      <c r="F11274" s="4">
        <v>1</v>
      </c>
      <c r="G11274" s="4">
        <v>25</v>
      </c>
      <c r="H11274" s="4">
        <v>25.68</v>
      </c>
    </row>
    <row r="11275" spans="1:8" s="15" customFormat="1" ht="19.5" hidden="1" customHeight="1" outlineLevel="1" x14ac:dyDescent="0.25">
      <c r="A11275" s="45">
        <v>836</v>
      </c>
      <c r="B11275" s="4" t="s">
        <v>250</v>
      </c>
      <c r="C11275" s="22" t="s">
        <v>1344</v>
      </c>
      <c r="D11275" s="18">
        <v>2021</v>
      </c>
      <c r="E11275" s="18"/>
      <c r="F11275" s="4">
        <v>4</v>
      </c>
      <c r="G11275" s="4">
        <v>150</v>
      </c>
      <c r="H11275" s="4">
        <v>151.77000000000001</v>
      </c>
    </row>
    <row r="11276" spans="1:8" s="15" customFormat="1" ht="19.5" hidden="1" customHeight="1" outlineLevel="1" x14ac:dyDescent="0.25">
      <c r="A11276" s="46">
        <v>9093</v>
      </c>
      <c r="B11276" s="4" t="s">
        <v>250</v>
      </c>
      <c r="C11276" s="22" t="s">
        <v>1467</v>
      </c>
      <c r="D11276" s="18">
        <v>2021</v>
      </c>
      <c r="E11276" s="18"/>
      <c r="F11276" s="4">
        <v>1</v>
      </c>
      <c r="G11276" s="4" t="s">
        <v>1452</v>
      </c>
      <c r="H11276" s="4">
        <v>64</v>
      </c>
    </row>
    <row r="11277" spans="1:8" s="15" customFormat="1" ht="19.5" hidden="1" customHeight="1" outlineLevel="1" x14ac:dyDescent="0.25">
      <c r="A11277" s="46">
        <v>9261</v>
      </c>
      <c r="B11277" s="4" t="s">
        <v>250</v>
      </c>
      <c r="C11277" s="22" t="s">
        <v>2600</v>
      </c>
      <c r="D11277" s="18">
        <v>2021</v>
      </c>
      <c r="E11277" s="18"/>
      <c r="F11277" s="4">
        <v>1</v>
      </c>
      <c r="G11277" s="4" t="s">
        <v>1447</v>
      </c>
      <c r="H11277" s="4">
        <v>100</v>
      </c>
    </row>
    <row r="11278" spans="1:8" s="15" customFormat="1" ht="19.5" hidden="1" customHeight="1" outlineLevel="1" x14ac:dyDescent="0.25">
      <c r="A11278" s="46">
        <v>9258</v>
      </c>
      <c r="B11278" s="4" t="s">
        <v>250</v>
      </c>
      <c r="C11278" s="22" t="s">
        <v>2601</v>
      </c>
      <c r="D11278" s="18">
        <v>2021</v>
      </c>
      <c r="E11278" s="18"/>
      <c r="F11278" s="4">
        <v>1</v>
      </c>
      <c r="G11278" s="4" t="s">
        <v>1447</v>
      </c>
      <c r="H11278" s="4">
        <v>98</v>
      </c>
    </row>
    <row r="11279" spans="1:8" s="15" customFormat="1" ht="19.5" hidden="1" customHeight="1" outlineLevel="1" x14ac:dyDescent="0.25">
      <c r="A11279" s="46">
        <v>9248</v>
      </c>
      <c r="B11279" s="4" t="s">
        <v>250</v>
      </c>
      <c r="C11279" s="22" t="s">
        <v>2602</v>
      </c>
      <c r="D11279" s="18">
        <v>2021</v>
      </c>
      <c r="E11279" s="18"/>
      <c r="F11279" s="4">
        <v>1</v>
      </c>
      <c r="G11279" s="4" t="s">
        <v>1447</v>
      </c>
      <c r="H11279" s="4">
        <v>94</v>
      </c>
    </row>
    <row r="11280" spans="1:8" s="15" customFormat="1" ht="19.5" hidden="1" customHeight="1" outlineLevel="1" x14ac:dyDescent="0.25">
      <c r="A11280" s="46">
        <v>9145</v>
      </c>
      <c r="B11280" s="4" t="s">
        <v>250</v>
      </c>
      <c r="C11280" s="22" t="s">
        <v>2603</v>
      </c>
      <c r="D11280" s="18">
        <v>2021</v>
      </c>
      <c r="E11280" s="18"/>
      <c r="F11280" s="4">
        <v>1</v>
      </c>
      <c r="G11280" s="4" t="s">
        <v>1447</v>
      </c>
      <c r="H11280" s="4">
        <v>85</v>
      </c>
    </row>
    <row r="11281" spans="1:8" s="15" customFormat="1" ht="19.5" hidden="1" customHeight="1" outlineLevel="1" x14ac:dyDescent="0.25">
      <c r="A11281" s="46">
        <v>9143</v>
      </c>
      <c r="B11281" s="4" t="s">
        <v>250</v>
      </c>
      <c r="C11281" s="22" t="s">
        <v>2604</v>
      </c>
      <c r="D11281" s="18">
        <v>2021</v>
      </c>
      <c r="E11281" s="18"/>
      <c r="F11281" s="4">
        <v>1</v>
      </c>
      <c r="G11281" s="4" t="s">
        <v>1447</v>
      </c>
      <c r="H11281" s="4">
        <v>102</v>
      </c>
    </row>
    <row r="11282" spans="1:8" s="15" customFormat="1" ht="19.5" hidden="1" customHeight="1" outlineLevel="1" x14ac:dyDescent="0.25">
      <c r="A11282" s="46">
        <v>9253</v>
      </c>
      <c r="B11282" s="4" t="s">
        <v>250</v>
      </c>
      <c r="C11282" s="22" t="s">
        <v>2605</v>
      </c>
      <c r="D11282" s="18">
        <v>2021</v>
      </c>
      <c r="E11282" s="18"/>
      <c r="F11282" s="4">
        <v>1</v>
      </c>
      <c r="G11282" s="4" t="s">
        <v>1447</v>
      </c>
      <c r="H11282" s="4">
        <v>97</v>
      </c>
    </row>
    <row r="11283" spans="1:8" s="15" customFormat="1" ht="19.5" hidden="1" customHeight="1" outlineLevel="1" x14ac:dyDescent="0.25">
      <c r="A11283" s="46">
        <v>9728</v>
      </c>
      <c r="B11283" s="4" t="s">
        <v>250</v>
      </c>
      <c r="C11283" s="22" t="s">
        <v>1182</v>
      </c>
      <c r="D11283" s="18">
        <v>2021</v>
      </c>
      <c r="E11283" s="18"/>
      <c r="F11283" s="4">
        <v>1</v>
      </c>
      <c r="G11283" s="4" t="s">
        <v>1452</v>
      </c>
      <c r="H11283" s="4">
        <v>15</v>
      </c>
    </row>
    <row r="11284" spans="1:8" s="15" customFormat="1" ht="19.5" hidden="1" customHeight="1" outlineLevel="1" x14ac:dyDescent="0.25">
      <c r="A11284" s="46">
        <v>9249</v>
      </c>
      <c r="B11284" s="4" t="s">
        <v>250</v>
      </c>
      <c r="C11284" s="22" t="s">
        <v>2606</v>
      </c>
      <c r="D11284" s="18">
        <v>2021</v>
      </c>
      <c r="E11284" s="18"/>
      <c r="F11284" s="4">
        <v>1</v>
      </c>
      <c r="G11284" s="4" t="s">
        <v>1447</v>
      </c>
      <c r="H11284" s="4">
        <v>99</v>
      </c>
    </row>
    <row r="11285" spans="1:8" s="15" customFormat="1" ht="19.5" hidden="1" customHeight="1" outlineLevel="1" x14ac:dyDescent="0.25">
      <c r="A11285" s="46">
        <v>9252</v>
      </c>
      <c r="B11285" s="4" t="s">
        <v>250</v>
      </c>
      <c r="C11285" s="22" t="s">
        <v>2607</v>
      </c>
      <c r="D11285" s="18">
        <v>2021</v>
      </c>
      <c r="E11285" s="18"/>
      <c r="F11285" s="4">
        <v>1</v>
      </c>
      <c r="G11285" s="4" t="s">
        <v>1447</v>
      </c>
      <c r="H11285" s="4">
        <v>98</v>
      </c>
    </row>
    <row r="11286" spans="1:8" s="15" customFormat="1" ht="19.5" hidden="1" customHeight="1" outlineLevel="1" x14ac:dyDescent="0.25">
      <c r="A11286" s="46">
        <v>10033</v>
      </c>
      <c r="B11286" s="4" t="s">
        <v>250</v>
      </c>
      <c r="C11286" s="22" t="s">
        <v>2608</v>
      </c>
      <c r="D11286" s="18">
        <v>2021</v>
      </c>
      <c r="E11286" s="18"/>
      <c r="F11286" s="4">
        <v>1</v>
      </c>
      <c r="G11286" s="4" t="s">
        <v>1447</v>
      </c>
      <c r="H11286" s="4">
        <v>97</v>
      </c>
    </row>
    <row r="11287" spans="1:8" s="15" customFormat="1" ht="19.5" hidden="1" customHeight="1" outlineLevel="1" x14ac:dyDescent="0.25">
      <c r="A11287" s="46">
        <v>10037</v>
      </c>
      <c r="B11287" s="4" t="s">
        <v>250</v>
      </c>
      <c r="C11287" s="22" t="s">
        <v>2609</v>
      </c>
      <c r="D11287" s="18">
        <v>2021</v>
      </c>
      <c r="E11287" s="18"/>
      <c r="F11287" s="4">
        <v>1</v>
      </c>
      <c r="G11287" s="4" t="s">
        <v>1447</v>
      </c>
      <c r="H11287" s="4">
        <v>96</v>
      </c>
    </row>
    <row r="11288" spans="1:8" s="15" customFormat="1" ht="19.5" hidden="1" customHeight="1" outlineLevel="1" x14ac:dyDescent="0.25">
      <c r="A11288" s="46">
        <v>10038</v>
      </c>
      <c r="B11288" s="4" t="s">
        <v>250</v>
      </c>
      <c r="C11288" s="22" t="s">
        <v>2610</v>
      </c>
      <c r="D11288" s="18">
        <v>2021</v>
      </c>
      <c r="E11288" s="18"/>
      <c r="F11288" s="4">
        <v>1</v>
      </c>
      <c r="G11288" s="4" t="s">
        <v>1447</v>
      </c>
      <c r="H11288" s="4">
        <v>97</v>
      </c>
    </row>
    <row r="11289" spans="1:8" s="15" customFormat="1" ht="19.5" hidden="1" customHeight="1" outlineLevel="1" x14ac:dyDescent="0.25">
      <c r="A11289" s="46">
        <v>10040</v>
      </c>
      <c r="B11289" s="4" t="s">
        <v>250</v>
      </c>
      <c r="C11289" s="22" t="s">
        <v>2611</v>
      </c>
      <c r="D11289" s="18">
        <v>2021</v>
      </c>
      <c r="E11289" s="18"/>
      <c r="F11289" s="4">
        <v>1</v>
      </c>
      <c r="G11289" s="4">
        <v>15</v>
      </c>
      <c r="H11289" s="4">
        <v>96</v>
      </c>
    </row>
    <row r="11290" spans="1:8" s="15" customFormat="1" ht="19.5" hidden="1" customHeight="1" outlineLevel="1" x14ac:dyDescent="0.25">
      <c r="A11290" s="46">
        <v>9144</v>
      </c>
      <c r="B11290" s="4" t="s">
        <v>250</v>
      </c>
      <c r="C11290" s="22" t="s">
        <v>2612</v>
      </c>
      <c r="D11290" s="18">
        <v>2021</v>
      </c>
      <c r="E11290" s="18"/>
      <c r="F11290" s="4">
        <v>1</v>
      </c>
      <c r="G11290" s="4" t="s">
        <v>1447</v>
      </c>
      <c r="H11290" s="4">
        <v>89</v>
      </c>
    </row>
    <row r="11291" spans="1:8" s="15" customFormat="1" ht="19.5" hidden="1" customHeight="1" outlineLevel="1" x14ac:dyDescent="0.25">
      <c r="A11291" s="46">
        <v>9247</v>
      </c>
      <c r="B11291" s="4" t="s">
        <v>250</v>
      </c>
      <c r="C11291" s="22" t="s">
        <v>2613</v>
      </c>
      <c r="D11291" s="18">
        <v>2021</v>
      </c>
      <c r="E11291" s="18"/>
      <c r="F11291" s="4">
        <v>1</v>
      </c>
      <c r="G11291" s="4" t="s">
        <v>1447</v>
      </c>
      <c r="H11291" s="4">
        <v>100</v>
      </c>
    </row>
    <row r="11292" spans="1:8" s="15" customFormat="1" ht="19.5" hidden="1" customHeight="1" outlineLevel="1" x14ac:dyDescent="0.25">
      <c r="A11292" s="46">
        <v>10027</v>
      </c>
      <c r="B11292" s="4" t="s">
        <v>250</v>
      </c>
      <c r="C11292" s="22" t="s">
        <v>2614</v>
      </c>
      <c r="D11292" s="18">
        <v>2021</v>
      </c>
      <c r="E11292" s="18"/>
      <c r="F11292" s="4">
        <v>1</v>
      </c>
      <c r="G11292" s="4" t="s">
        <v>1447</v>
      </c>
      <c r="H11292" s="4">
        <v>80</v>
      </c>
    </row>
    <row r="11293" spans="1:8" s="15" customFormat="1" ht="19.5" hidden="1" customHeight="1" outlineLevel="1" x14ac:dyDescent="0.25">
      <c r="A11293" s="46">
        <v>9255</v>
      </c>
      <c r="B11293" s="4" t="s">
        <v>250</v>
      </c>
      <c r="C11293" s="22" t="s">
        <v>2615</v>
      </c>
      <c r="D11293" s="18">
        <v>2021</v>
      </c>
      <c r="E11293" s="18"/>
      <c r="F11293" s="4">
        <v>1</v>
      </c>
      <c r="G11293" s="4" t="s">
        <v>1447</v>
      </c>
      <c r="H11293" s="4">
        <v>89</v>
      </c>
    </row>
    <row r="11294" spans="1:8" s="15" customFormat="1" ht="19.5" hidden="1" customHeight="1" outlineLevel="1" x14ac:dyDescent="0.25">
      <c r="A11294" s="46">
        <v>10031</v>
      </c>
      <c r="B11294" s="4" t="s">
        <v>250</v>
      </c>
      <c r="C11294" s="22" t="s">
        <v>2616</v>
      </c>
      <c r="D11294" s="18">
        <v>2021</v>
      </c>
      <c r="E11294" s="18"/>
      <c r="F11294" s="4">
        <v>1</v>
      </c>
      <c r="G11294" s="4" t="s">
        <v>1198</v>
      </c>
      <c r="H11294" s="4">
        <v>97</v>
      </c>
    </row>
    <row r="11295" spans="1:8" s="15" customFormat="1" ht="19.5" hidden="1" customHeight="1" outlineLevel="1" x14ac:dyDescent="0.25">
      <c r="A11295" s="46">
        <v>10046</v>
      </c>
      <c r="B11295" s="4" t="s">
        <v>250</v>
      </c>
      <c r="C11295" s="76" t="s">
        <v>2617</v>
      </c>
      <c r="D11295" s="18">
        <v>2021</v>
      </c>
      <c r="E11295" s="18"/>
      <c r="F11295" s="4">
        <v>1</v>
      </c>
      <c r="G11295" s="4" t="s">
        <v>1198</v>
      </c>
      <c r="H11295" s="4">
        <v>69</v>
      </c>
    </row>
    <row r="11296" spans="1:8" s="15" customFormat="1" ht="19.5" hidden="1" customHeight="1" outlineLevel="1" x14ac:dyDescent="0.25">
      <c r="A11296" s="46">
        <v>10030</v>
      </c>
      <c r="B11296" s="4" t="s">
        <v>250</v>
      </c>
      <c r="C11296" s="22" t="s">
        <v>2618</v>
      </c>
      <c r="D11296" s="18">
        <v>2021</v>
      </c>
      <c r="E11296" s="18"/>
      <c r="F11296" s="4">
        <v>1</v>
      </c>
      <c r="G11296" s="4" t="s">
        <v>1447</v>
      </c>
      <c r="H11296" s="4">
        <v>101</v>
      </c>
    </row>
    <row r="11297" spans="1:8" s="15" customFormat="1" ht="19.5" hidden="1" customHeight="1" outlineLevel="1" x14ac:dyDescent="0.25">
      <c r="A11297" s="46">
        <v>10032</v>
      </c>
      <c r="B11297" s="4" t="s">
        <v>250</v>
      </c>
      <c r="C11297" s="22" t="s">
        <v>2619</v>
      </c>
      <c r="D11297" s="18">
        <v>2021</v>
      </c>
      <c r="E11297" s="18"/>
      <c r="F11297" s="4">
        <v>1</v>
      </c>
      <c r="G11297" s="4" t="s">
        <v>1447</v>
      </c>
      <c r="H11297" s="4">
        <v>96</v>
      </c>
    </row>
    <row r="11298" spans="1:8" s="15" customFormat="1" ht="19.5" hidden="1" customHeight="1" outlineLevel="1" x14ac:dyDescent="0.25">
      <c r="A11298" s="45">
        <v>1197</v>
      </c>
      <c r="B11298" s="4" t="s">
        <v>250</v>
      </c>
      <c r="C11298" s="22" t="s">
        <v>1476</v>
      </c>
      <c r="D11298" s="18">
        <v>2021</v>
      </c>
      <c r="E11298" s="18"/>
      <c r="F11298" s="4">
        <v>1</v>
      </c>
      <c r="G11298" s="4" t="s">
        <v>1447</v>
      </c>
      <c r="H11298" s="4">
        <v>50</v>
      </c>
    </row>
    <row r="11299" spans="1:8" s="15" customFormat="1" ht="19.5" hidden="1" customHeight="1" outlineLevel="1" x14ac:dyDescent="0.25">
      <c r="A11299" s="45">
        <v>1262</v>
      </c>
      <c r="B11299" s="4" t="s">
        <v>250</v>
      </c>
      <c r="C11299" s="22" t="s">
        <v>1480</v>
      </c>
      <c r="D11299" s="18">
        <v>2021</v>
      </c>
      <c r="E11299" s="18"/>
      <c r="F11299" s="4">
        <v>1</v>
      </c>
      <c r="G11299" s="4">
        <v>30</v>
      </c>
      <c r="H11299" s="4">
        <v>25</v>
      </c>
    </row>
    <row r="11300" spans="1:8" s="15" customFormat="1" ht="19.5" hidden="1" customHeight="1" outlineLevel="1" x14ac:dyDescent="0.25">
      <c r="A11300" s="45">
        <v>1199</v>
      </c>
      <c r="B11300" s="4" t="s">
        <v>250</v>
      </c>
      <c r="C11300" s="22" t="s">
        <v>1903</v>
      </c>
      <c r="D11300" s="18">
        <v>2021</v>
      </c>
      <c r="E11300" s="18"/>
      <c r="F11300" s="4">
        <v>1</v>
      </c>
      <c r="G11300" s="4" t="s">
        <v>1896</v>
      </c>
      <c r="H11300" s="4">
        <v>47</v>
      </c>
    </row>
    <row r="11301" spans="1:8" s="15" customFormat="1" ht="19.5" hidden="1" customHeight="1" outlineLevel="1" x14ac:dyDescent="0.25">
      <c r="A11301" s="46">
        <v>10029</v>
      </c>
      <c r="B11301" s="4" t="s">
        <v>250</v>
      </c>
      <c r="C11301" s="22" t="s">
        <v>2620</v>
      </c>
      <c r="D11301" s="18">
        <v>2021</v>
      </c>
      <c r="E11301" s="18"/>
      <c r="F11301" s="4">
        <v>1</v>
      </c>
      <c r="G11301" s="4" t="s">
        <v>1447</v>
      </c>
      <c r="H11301" s="4">
        <v>93</v>
      </c>
    </row>
    <row r="11302" spans="1:8" s="15" customFormat="1" ht="19.5" hidden="1" customHeight="1" outlineLevel="1" x14ac:dyDescent="0.25">
      <c r="A11302" s="46">
        <v>9776</v>
      </c>
      <c r="B11302" s="4" t="s">
        <v>250</v>
      </c>
      <c r="C11302" s="22" t="s">
        <v>1493</v>
      </c>
      <c r="D11302" s="18">
        <v>2021</v>
      </c>
      <c r="E11302" s="18"/>
      <c r="F11302" s="4">
        <v>1</v>
      </c>
      <c r="G11302" s="4" t="s">
        <v>1447</v>
      </c>
      <c r="H11302" s="4">
        <v>59</v>
      </c>
    </row>
    <row r="11303" spans="1:8" s="15" customFormat="1" ht="19.5" hidden="1" customHeight="1" outlineLevel="1" x14ac:dyDescent="0.25">
      <c r="A11303" s="46">
        <v>9702</v>
      </c>
      <c r="B11303" s="4" t="s">
        <v>250</v>
      </c>
      <c r="C11303" s="22" t="s">
        <v>1494</v>
      </c>
      <c r="D11303" s="18">
        <v>2021</v>
      </c>
      <c r="E11303" s="18"/>
      <c r="F11303" s="4">
        <v>1</v>
      </c>
      <c r="G11303" s="4" t="s">
        <v>1447</v>
      </c>
      <c r="H11303" s="4">
        <v>60</v>
      </c>
    </row>
    <row r="11304" spans="1:8" s="15" customFormat="1" ht="19.5" hidden="1" customHeight="1" outlineLevel="1" x14ac:dyDescent="0.25">
      <c r="A11304" s="46">
        <v>9719</v>
      </c>
      <c r="B11304" s="4" t="s">
        <v>250</v>
      </c>
      <c r="C11304" s="22" t="s">
        <v>1495</v>
      </c>
      <c r="D11304" s="18">
        <v>2021</v>
      </c>
      <c r="E11304" s="18"/>
      <c r="F11304" s="4">
        <v>1</v>
      </c>
      <c r="G11304" s="4" t="s">
        <v>1447</v>
      </c>
      <c r="H11304" s="4">
        <v>66</v>
      </c>
    </row>
    <row r="11305" spans="1:8" s="15" customFormat="1" ht="19.5" hidden="1" customHeight="1" outlineLevel="1" x14ac:dyDescent="0.25">
      <c r="A11305" s="46">
        <v>10050</v>
      </c>
      <c r="B11305" s="4" t="s">
        <v>250</v>
      </c>
      <c r="C11305" s="22" t="s">
        <v>2623</v>
      </c>
      <c r="D11305" s="18">
        <v>2021</v>
      </c>
      <c r="E11305" s="18"/>
      <c r="F11305" s="4">
        <v>1</v>
      </c>
      <c r="G11305" s="4" t="s">
        <v>1482</v>
      </c>
      <c r="H11305" s="4">
        <v>98</v>
      </c>
    </row>
    <row r="11306" spans="1:8" s="15" customFormat="1" ht="19.5" hidden="1" customHeight="1" outlineLevel="1" x14ac:dyDescent="0.25">
      <c r="A11306" s="45">
        <v>1239</v>
      </c>
      <c r="B11306" s="4" t="s">
        <v>250</v>
      </c>
      <c r="C11306" s="22" t="s">
        <v>1496</v>
      </c>
      <c r="D11306" s="18">
        <v>2021</v>
      </c>
      <c r="E11306" s="18"/>
      <c r="F11306" s="4">
        <v>1</v>
      </c>
      <c r="G11306" s="4" t="s">
        <v>1447</v>
      </c>
      <c r="H11306" s="4">
        <v>29</v>
      </c>
    </row>
    <row r="11307" spans="1:8" s="15" customFormat="1" ht="19.5" hidden="1" customHeight="1" outlineLevel="1" x14ac:dyDescent="0.25">
      <c r="A11307" s="45">
        <v>1222</v>
      </c>
      <c r="B11307" s="4" t="s">
        <v>250</v>
      </c>
      <c r="C11307" s="22" t="s">
        <v>1907</v>
      </c>
      <c r="D11307" s="18">
        <v>2021</v>
      </c>
      <c r="E11307" s="18"/>
      <c r="F11307" s="4">
        <v>1</v>
      </c>
      <c r="G11307" s="4" t="s">
        <v>1447</v>
      </c>
      <c r="H11307" s="4">
        <v>33</v>
      </c>
    </row>
    <row r="11308" spans="1:8" s="15" customFormat="1" ht="19.5" hidden="1" customHeight="1" outlineLevel="1" x14ac:dyDescent="0.25">
      <c r="A11308" s="46">
        <v>9695</v>
      </c>
      <c r="B11308" s="4" t="s">
        <v>250</v>
      </c>
      <c r="C11308" s="22" t="s">
        <v>1908</v>
      </c>
      <c r="D11308" s="18">
        <v>2021</v>
      </c>
      <c r="E11308" s="18"/>
      <c r="F11308" s="4">
        <v>1</v>
      </c>
      <c r="G11308" s="4" t="s">
        <v>1447</v>
      </c>
      <c r="H11308" s="4">
        <v>32</v>
      </c>
    </row>
    <row r="11309" spans="1:8" s="15" customFormat="1" ht="19.5" hidden="1" customHeight="1" outlineLevel="1" x14ac:dyDescent="0.25">
      <c r="A11309" s="46">
        <v>9698</v>
      </c>
      <c r="B11309" s="4" t="s">
        <v>250</v>
      </c>
      <c r="C11309" s="22" t="s">
        <v>1909</v>
      </c>
      <c r="D11309" s="18">
        <v>2021</v>
      </c>
      <c r="E11309" s="18"/>
      <c r="F11309" s="4">
        <v>1</v>
      </c>
      <c r="G11309" s="4" t="s">
        <v>1447</v>
      </c>
      <c r="H11309" s="4">
        <v>38</v>
      </c>
    </row>
    <row r="11310" spans="1:8" s="15" customFormat="1" ht="19.5" hidden="1" customHeight="1" outlineLevel="1" x14ac:dyDescent="0.25">
      <c r="A11310" s="46">
        <v>9257</v>
      </c>
      <c r="B11310" s="4" t="s">
        <v>250</v>
      </c>
      <c r="C11310" s="22" t="s">
        <v>2624</v>
      </c>
      <c r="D11310" s="18">
        <v>2021</v>
      </c>
      <c r="E11310" s="18"/>
      <c r="F11310" s="4">
        <v>1</v>
      </c>
      <c r="G11310" s="4" t="s">
        <v>1447</v>
      </c>
      <c r="H11310" s="4">
        <v>49</v>
      </c>
    </row>
    <row r="11311" spans="1:8" s="15" customFormat="1" ht="19.5" hidden="1" customHeight="1" outlineLevel="1" x14ac:dyDescent="0.25">
      <c r="A11311" s="46">
        <v>9250</v>
      </c>
      <c r="B11311" s="4" t="s">
        <v>250</v>
      </c>
      <c r="C11311" s="22" t="s">
        <v>2625</v>
      </c>
      <c r="D11311" s="18">
        <v>2021</v>
      </c>
      <c r="E11311" s="18"/>
      <c r="F11311" s="4">
        <v>1</v>
      </c>
      <c r="G11311" s="4" t="s">
        <v>1447</v>
      </c>
      <c r="H11311" s="4">
        <v>47</v>
      </c>
    </row>
    <row r="11312" spans="1:8" s="15" customFormat="1" ht="19.5" hidden="1" customHeight="1" outlineLevel="1" x14ac:dyDescent="0.25">
      <c r="A11312" s="46">
        <v>9254</v>
      </c>
      <c r="B11312" s="4" t="s">
        <v>250</v>
      </c>
      <c r="C11312" s="22" t="s">
        <v>2626</v>
      </c>
      <c r="D11312" s="18">
        <v>2021</v>
      </c>
      <c r="E11312" s="18"/>
      <c r="F11312" s="4">
        <v>1</v>
      </c>
      <c r="G11312" s="4" t="s">
        <v>1447</v>
      </c>
      <c r="H11312" s="4">
        <v>48</v>
      </c>
    </row>
    <row r="11313" spans="1:8" s="15" customFormat="1" ht="19.5" hidden="1" customHeight="1" outlineLevel="1" x14ac:dyDescent="0.25">
      <c r="A11313" s="46">
        <v>9800</v>
      </c>
      <c r="B11313" s="4" t="s">
        <v>250</v>
      </c>
      <c r="C11313" s="22" t="s">
        <v>1498</v>
      </c>
      <c r="D11313" s="18">
        <v>2021</v>
      </c>
      <c r="E11313" s="18"/>
      <c r="F11313" s="4">
        <v>1</v>
      </c>
      <c r="G11313" s="4" t="s">
        <v>1447</v>
      </c>
      <c r="H11313" s="4">
        <v>72</v>
      </c>
    </row>
    <row r="11314" spans="1:8" s="15" customFormat="1" ht="19.5" hidden="1" customHeight="1" outlineLevel="1" x14ac:dyDescent="0.25">
      <c r="A11314" s="46">
        <v>9723</v>
      </c>
      <c r="B11314" s="4" t="s">
        <v>250</v>
      </c>
      <c r="C11314" s="22" t="s">
        <v>1192</v>
      </c>
      <c r="D11314" s="18">
        <v>2021</v>
      </c>
      <c r="E11314" s="18"/>
      <c r="F11314" s="4">
        <v>1</v>
      </c>
      <c r="G11314" s="4" t="s">
        <v>1896</v>
      </c>
      <c r="H11314" s="4">
        <v>78</v>
      </c>
    </row>
    <row r="11315" spans="1:8" s="15" customFormat="1" ht="19.5" hidden="1" customHeight="1" outlineLevel="1" x14ac:dyDescent="0.25">
      <c r="A11315" s="46">
        <v>9724</v>
      </c>
      <c r="B11315" s="4" t="s">
        <v>250</v>
      </c>
      <c r="C11315" s="22" t="s">
        <v>1193</v>
      </c>
      <c r="D11315" s="18">
        <v>2021</v>
      </c>
      <c r="E11315" s="18"/>
      <c r="F11315" s="4">
        <v>1</v>
      </c>
      <c r="G11315" s="4" t="s">
        <v>1896</v>
      </c>
      <c r="H11315" s="4">
        <v>79</v>
      </c>
    </row>
    <row r="11316" spans="1:8" s="15" customFormat="1" ht="19.5" hidden="1" customHeight="1" outlineLevel="1" x14ac:dyDescent="0.25">
      <c r="A11316" s="46">
        <v>10035</v>
      </c>
      <c r="B11316" s="4" t="s">
        <v>250</v>
      </c>
      <c r="C11316" s="22" t="s">
        <v>2627</v>
      </c>
      <c r="D11316" s="18">
        <v>2021</v>
      </c>
      <c r="E11316" s="18"/>
      <c r="F11316" s="4">
        <v>1</v>
      </c>
      <c r="G11316" s="4" t="s">
        <v>1447</v>
      </c>
      <c r="H11316" s="4">
        <v>52</v>
      </c>
    </row>
    <row r="11317" spans="1:8" s="15" customFormat="1" ht="19.5" hidden="1" customHeight="1" outlineLevel="1" x14ac:dyDescent="0.25">
      <c r="A11317" s="46">
        <v>9137</v>
      </c>
      <c r="B11317" s="4" t="s">
        <v>250</v>
      </c>
      <c r="C11317" s="22" t="s">
        <v>2628</v>
      </c>
      <c r="D11317" s="18">
        <v>2021</v>
      </c>
      <c r="E11317" s="18"/>
      <c r="F11317" s="4">
        <v>1</v>
      </c>
      <c r="G11317" s="4" t="s">
        <v>1198</v>
      </c>
      <c r="H11317" s="4">
        <v>53</v>
      </c>
    </row>
    <row r="11318" spans="1:8" s="15" customFormat="1" ht="19.5" hidden="1" customHeight="1" outlineLevel="1" x14ac:dyDescent="0.25">
      <c r="A11318" s="45">
        <v>9</v>
      </c>
      <c r="B11318" s="4" t="s">
        <v>250</v>
      </c>
      <c r="C11318" s="22" t="s">
        <v>2629</v>
      </c>
      <c r="D11318" s="18">
        <v>2021</v>
      </c>
      <c r="E11318" s="18"/>
      <c r="F11318" s="4">
        <v>1</v>
      </c>
      <c r="G11318" s="4" t="s">
        <v>1447</v>
      </c>
      <c r="H11318" s="4">
        <v>53</v>
      </c>
    </row>
    <row r="11319" spans="1:8" s="15" customFormat="1" ht="19.5" hidden="1" customHeight="1" outlineLevel="1" x14ac:dyDescent="0.25">
      <c r="A11319" s="45">
        <v>1227</v>
      </c>
      <c r="B11319" s="4" t="s">
        <v>250</v>
      </c>
      <c r="C11319" s="22" t="s">
        <v>1499</v>
      </c>
      <c r="D11319" s="18">
        <v>2021</v>
      </c>
      <c r="E11319" s="18"/>
      <c r="F11319" s="4">
        <v>1</v>
      </c>
      <c r="G11319" s="4" t="s">
        <v>1447</v>
      </c>
      <c r="H11319" s="4">
        <v>71</v>
      </c>
    </row>
    <row r="11320" spans="1:8" s="15" customFormat="1" ht="19.5" hidden="1" customHeight="1" outlineLevel="1" x14ac:dyDescent="0.25">
      <c r="A11320" s="46">
        <v>9697</v>
      </c>
      <c r="B11320" s="4" t="s">
        <v>250</v>
      </c>
      <c r="C11320" s="22" t="s">
        <v>1500</v>
      </c>
      <c r="D11320" s="18">
        <v>2021</v>
      </c>
      <c r="E11320" s="18"/>
      <c r="F11320" s="4">
        <v>1</v>
      </c>
      <c r="G11320" s="4" t="s">
        <v>1447</v>
      </c>
      <c r="H11320" s="4">
        <v>80</v>
      </c>
    </row>
    <row r="11321" spans="1:8" s="15" customFormat="1" ht="19.5" hidden="1" customHeight="1" outlineLevel="1" x14ac:dyDescent="0.25">
      <c r="A11321" s="46">
        <v>9700</v>
      </c>
      <c r="B11321" s="4" t="s">
        <v>250</v>
      </c>
      <c r="C11321" s="22" t="s">
        <v>1501</v>
      </c>
      <c r="D11321" s="18">
        <v>2021</v>
      </c>
      <c r="E11321" s="18"/>
      <c r="F11321" s="4">
        <v>1</v>
      </c>
      <c r="G11321" s="4" t="s">
        <v>1447</v>
      </c>
      <c r="H11321" s="4">
        <v>81</v>
      </c>
    </row>
    <row r="11322" spans="1:8" s="15" customFormat="1" ht="19.5" hidden="1" customHeight="1" outlineLevel="1" x14ac:dyDescent="0.25">
      <c r="A11322" s="46">
        <v>9709</v>
      </c>
      <c r="B11322" s="4" t="s">
        <v>250</v>
      </c>
      <c r="C11322" s="22" t="s">
        <v>1502</v>
      </c>
      <c r="D11322" s="18">
        <v>2021</v>
      </c>
      <c r="E11322" s="18"/>
      <c r="F11322" s="4">
        <v>1</v>
      </c>
      <c r="G11322" s="4" t="s">
        <v>1447</v>
      </c>
      <c r="H11322" s="4">
        <v>75</v>
      </c>
    </row>
    <row r="11323" spans="1:8" s="15" customFormat="1" ht="19.5" hidden="1" customHeight="1" outlineLevel="1" x14ac:dyDescent="0.25">
      <c r="A11323" s="46">
        <v>10036</v>
      </c>
      <c r="B11323" s="4" t="s">
        <v>250</v>
      </c>
      <c r="C11323" s="22" t="s">
        <v>2630</v>
      </c>
      <c r="D11323" s="18">
        <v>2021</v>
      </c>
      <c r="E11323" s="18"/>
      <c r="F11323" s="4">
        <v>1</v>
      </c>
      <c r="G11323" s="4" t="s">
        <v>1447</v>
      </c>
      <c r="H11323" s="4">
        <v>69</v>
      </c>
    </row>
    <row r="11324" spans="1:8" s="15" customFormat="1" ht="19.5" hidden="1" customHeight="1" outlineLevel="1" x14ac:dyDescent="0.25">
      <c r="A11324" s="46">
        <v>10048</v>
      </c>
      <c r="B11324" s="4" t="s">
        <v>250</v>
      </c>
      <c r="C11324" s="22" t="s">
        <v>2631</v>
      </c>
      <c r="D11324" s="18">
        <v>2021</v>
      </c>
      <c r="E11324" s="18"/>
      <c r="F11324" s="4">
        <v>1</v>
      </c>
      <c r="G11324" s="4" t="s">
        <v>1447</v>
      </c>
      <c r="H11324" s="4">
        <v>69</v>
      </c>
    </row>
    <row r="11325" spans="1:8" s="15" customFormat="1" ht="19.5" hidden="1" customHeight="1" outlineLevel="1" x14ac:dyDescent="0.25">
      <c r="A11325" s="46">
        <v>10045</v>
      </c>
      <c r="B11325" s="4" t="s">
        <v>250</v>
      </c>
      <c r="C11325" s="22" t="s">
        <v>2632</v>
      </c>
      <c r="D11325" s="18">
        <v>2021</v>
      </c>
      <c r="E11325" s="18"/>
      <c r="F11325" s="4">
        <v>1</v>
      </c>
      <c r="G11325" s="4" t="s">
        <v>1447</v>
      </c>
      <c r="H11325" s="4">
        <v>68</v>
      </c>
    </row>
    <row r="11326" spans="1:8" s="15" customFormat="1" ht="19.5" hidden="1" customHeight="1" outlineLevel="1" x14ac:dyDescent="0.25">
      <c r="A11326" s="46">
        <v>10041</v>
      </c>
      <c r="B11326" s="4" t="s">
        <v>250</v>
      </c>
      <c r="C11326" s="22" t="s">
        <v>2633</v>
      </c>
      <c r="D11326" s="18">
        <v>2021</v>
      </c>
      <c r="E11326" s="18"/>
      <c r="F11326" s="4">
        <v>1</v>
      </c>
      <c r="G11326" s="4" t="s">
        <v>1455</v>
      </c>
      <c r="H11326" s="4">
        <v>57</v>
      </c>
    </row>
    <row r="11327" spans="1:8" s="15" customFormat="1" ht="19.5" hidden="1" customHeight="1" outlineLevel="1" x14ac:dyDescent="0.25">
      <c r="A11327" s="46">
        <v>9713</v>
      </c>
      <c r="B11327" s="4" t="s">
        <v>250</v>
      </c>
      <c r="C11327" s="22" t="s">
        <v>1503</v>
      </c>
      <c r="D11327" s="18">
        <v>2021</v>
      </c>
      <c r="E11327" s="18"/>
      <c r="F11327" s="4">
        <v>1</v>
      </c>
      <c r="G11327" s="4" t="s">
        <v>1447</v>
      </c>
      <c r="H11327" s="4">
        <v>52</v>
      </c>
    </row>
    <row r="11328" spans="1:8" s="15" customFormat="1" ht="19.5" hidden="1" customHeight="1" outlineLevel="1" x14ac:dyDescent="0.25">
      <c r="A11328" s="46">
        <v>9149</v>
      </c>
      <c r="B11328" s="4" t="s">
        <v>250</v>
      </c>
      <c r="C11328" s="22" t="s">
        <v>2634</v>
      </c>
      <c r="D11328" s="18">
        <v>2021</v>
      </c>
      <c r="E11328" s="18"/>
      <c r="F11328" s="4">
        <v>1</v>
      </c>
      <c r="G11328" s="4" t="s">
        <v>1447</v>
      </c>
      <c r="H11328" s="4">
        <v>64</v>
      </c>
    </row>
    <row r="11329" spans="1:8" s="15" customFormat="1" ht="19.5" hidden="1" customHeight="1" outlineLevel="1" x14ac:dyDescent="0.25">
      <c r="A11329" s="46">
        <v>9139</v>
      </c>
      <c r="B11329" s="4" t="s">
        <v>250</v>
      </c>
      <c r="C11329" s="22" t="s">
        <v>2635</v>
      </c>
      <c r="D11329" s="18">
        <v>2021</v>
      </c>
      <c r="E11329" s="18"/>
      <c r="F11329" s="4">
        <v>1</v>
      </c>
      <c r="G11329" s="4" t="s">
        <v>1447</v>
      </c>
      <c r="H11329" s="4">
        <v>69</v>
      </c>
    </row>
    <row r="11330" spans="1:8" s="15" customFormat="1" ht="19.5" hidden="1" customHeight="1" outlineLevel="1" x14ac:dyDescent="0.25">
      <c r="A11330" s="46">
        <v>9142</v>
      </c>
      <c r="B11330" s="4" t="s">
        <v>250</v>
      </c>
      <c r="C11330" s="22" t="s">
        <v>2636</v>
      </c>
      <c r="D11330" s="18">
        <v>2021</v>
      </c>
      <c r="E11330" s="18"/>
      <c r="F11330" s="4">
        <v>1</v>
      </c>
      <c r="G11330" s="4" t="s">
        <v>1447</v>
      </c>
      <c r="H11330" s="4">
        <v>78</v>
      </c>
    </row>
    <row r="11331" spans="1:8" s="15" customFormat="1" ht="19.5" hidden="1" customHeight="1" outlineLevel="1" x14ac:dyDescent="0.25">
      <c r="A11331" s="46">
        <v>9140</v>
      </c>
      <c r="B11331" s="4" t="s">
        <v>250</v>
      </c>
      <c r="C11331" s="22" t="s">
        <v>2637</v>
      </c>
      <c r="D11331" s="18">
        <v>2021</v>
      </c>
      <c r="E11331" s="18"/>
      <c r="F11331" s="4">
        <v>1</v>
      </c>
      <c r="G11331" s="4" t="s">
        <v>1447</v>
      </c>
      <c r="H11331" s="4">
        <v>56</v>
      </c>
    </row>
    <row r="11332" spans="1:8" s="15" customFormat="1" ht="19.5" hidden="1" customHeight="1" outlineLevel="1" x14ac:dyDescent="0.25">
      <c r="A11332" s="46">
        <v>10051</v>
      </c>
      <c r="B11332" s="4" t="s">
        <v>250</v>
      </c>
      <c r="C11332" s="22" t="s">
        <v>2638</v>
      </c>
      <c r="D11332" s="18">
        <v>2021</v>
      </c>
      <c r="E11332" s="18"/>
      <c r="F11332" s="4">
        <v>1</v>
      </c>
      <c r="G11332" s="4" t="s">
        <v>1447</v>
      </c>
      <c r="H11332" s="4">
        <v>56</v>
      </c>
    </row>
    <row r="11333" spans="1:8" s="15" customFormat="1" ht="19.5" hidden="1" customHeight="1" outlineLevel="1" x14ac:dyDescent="0.25">
      <c r="A11333" s="46">
        <v>9701</v>
      </c>
      <c r="B11333" s="4" t="s">
        <v>250</v>
      </c>
      <c r="C11333" s="22" t="s">
        <v>1505</v>
      </c>
      <c r="D11333" s="18">
        <v>2021</v>
      </c>
      <c r="E11333" s="18"/>
      <c r="F11333" s="4">
        <v>1</v>
      </c>
      <c r="G11333" s="4" t="s">
        <v>1447</v>
      </c>
      <c r="H11333" s="4">
        <v>68</v>
      </c>
    </row>
    <row r="11334" spans="1:8" s="15" customFormat="1" ht="19.5" hidden="1" customHeight="1" outlineLevel="1" x14ac:dyDescent="0.25">
      <c r="A11334" s="46">
        <v>10028</v>
      </c>
      <c r="B11334" s="4" t="s">
        <v>250</v>
      </c>
      <c r="C11334" s="22" t="s">
        <v>2639</v>
      </c>
      <c r="D11334" s="18">
        <v>2021</v>
      </c>
      <c r="E11334" s="18"/>
      <c r="F11334" s="4">
        <v>1</v>
      </c>
      <c r="G11334" s="4" t="s">
        <v>1451</v>
      </c>
      <c r="H11334" s="4">
        <v>68</v>
      </c>
    </row>
    <row r="11335" spans="1:8" s="15" customFormat="1" ht="19.5" hidden="1" customHeight="1" outlineLevel="1" x14ac:dyDescent="0.25">
      <c r="A11335" s="46">
        <v>10043</v>
      </c>
      <c r="B11335" s="4" t="s">
        <v>250</v>
      </c>
      <c r="C11335" s="22" t="s">
        <v>2640</v>
      </c>
      <c r="D11335" s="18">
        <v>2021</v>
      </c>
      <c r="E11335" s="18"/>
      <c r="F11335" s="4">
        <v>1</v>
      </c>
      <c r="G11335" s="4" t="s">
        <v>1447</v>
      </c>
      <c r="H11335" s="4">
        <v>69</v>
      </c>
    </row>
    <row r="11336" spans="1:8" s="15" customFormat="1" ht="19.5" hidden="1" customHeight="1" outlineLevel="1" x14ac:dyDescent="0.25">
      <c r="A11336" s="46">
        <v>9726</v>
      </c>
      <c r="B11336" s="4" t="s">
        <v>250</v>
      </c>
      <c r="C11336" s="22" t="s">
        <v>1506</v>
      </c>
      <c r="D11336" s="18">
        <v>2021</v>
      </c>
      <c r="E11336" s="18"/>
      <c r="F11336" s="4">
        <v>1</v>
      </c>
      <c r="G11336" s="4" t="s">
        <v>1482</v>
      </c>
      <c r="H11336" s="4">
        <v>52</v>
      </c>
    </row>
    <row r="11337" spans="1:8" s="15" customFormat="1" ht="19.5" hidden="1" customHeight="1" outlineLevel="1" x14ac:dyDescent="0.25">
      <c r="A11337" s="45">
        <v>1205</v>
      </c>
      <c r="B11337" s="4" t="s">
        <v>250</v>
      </c>
      <c r="C11337" s="22" t="s">
        <v>1507</v>
      </c>
      <c r="D11337" s="18">
        <v>2021</v>
      </c>
      <c r="E11337" s="18"/>
      <c r="F11337" s="4">
        <v>1</v>
      </c>
      <c r="G11337" s="4" t="s">
        <v>1447</v>
      </c>
      <c r="H11337" s="4">
        <v>50</v>
      </c>
    </row>
    <row r="11338" spans="1:8" s="15" customFormat="1" ht="19.5" hidden="1" customHeight="1" outlineLevel="1" x14ac:dyDescent="0.25">
      <c r="A11338" s="45">
        <v>1225</v>
      </c>
      <c r="B11338" s="4" t="s">
        <v>250</v>
      </c>
      <c r="C11338" s="22" t="s">
        <v>1508</v>
      </c>
      <c r="D11338" s="18">
        <v>2021</v>
      </c>
      <c r="E11338" s="18"/>
      <c r="F11338" s="4">
        <v>1</v>
      </c>
      <c r="G11338" s="4" t="s">
        <v>1447</v>
      </c>
      <c r="H11338" s="4">
        <v>59</v>
      </c>
    </row>
    <row r="11339" spans="1:8" s="15" customFormat="1" ht="19.5" hidden="1" customHeight="1" outlineLevel="1" x14ac:dyDescent="0.25">
      <c r="A11339" s="46">
        <v>9465</v>
      </c>
      <c r="B11339" s="4" t="s">
        <v>250</v>
      </c>
      <c r="C11339" s="22" t="s">
        <v>1511</v>
      </c>
      <c r="D11339" s="18">
        <v>2021</v>
      </c>
      <c r="E11339" s="18"/>
      <c r="F11339" s="4">
        <v>1</v>
      </c>
      <c r="G11339" s="4">
        <v>15</v>
      </c>
      <c r="H11339" s="4">
        <v>61.137</v>
      </c>
    </row>
    <row r="11340" spans="1:8" s="15" customFormat="1" ht="19.5" hidden="1" customHeight="1" outlineLevel="1" x14ac:dyDescent="0.25">
      <c r="A11340" s="46">
        <v>9194</v>
      </c>
      <c r="B11340" s="4" t="s">
        <v>250</v>
      </c>
      <c r="C11340" s="22" t="s">
        <v>2641</v>
      </c>
      <c r="D11340" s="18">
        <v>2021</v>
      </c>
      <c r="E11340" s="18"/>
      <c r="F11340" s="4">
        <v>1</v>
      </c>
      <c r="G11340" s="4">
        <v>15</v>
      </c>
      <c r="H11340" s="4">
        <v>68.972999999999999</v>
      </c>
    </row>
    <row r="11341" spans="1:8" s="15" customFormat="1" ht="19.5" hidden="1" customHeight="1" outlineLevel="1" x14ac:dyDescent="0.25">
      <c r="A11341" s="46">
        <v>9457</v>
      </c>
      <c r="B11341" s="4" t="s">
        <v>250</v>
      </c>
      <c r="C11341" s="22" t="s">
        <v>1516</v>
      </c>
      <c r="D11341" s="18">
        <v>2021</v>
      </c>
      <c r="E11341" s="18"/>
      <c r="F11341" s="4">
        <v>1</v>
      </c>
      <c r="G11341" s="4">
        <v>15</v>
      </c>
      <c r="H11341" s="4">
        <v>54.597999999999999</v>
      </c>
    </row>
    <row r="11342" spans="1:8" s="15" customFormat="1" ht="19.5" hidden="1" customHeight="1" outlineLevel="1" x14ac:dyDescent="0.25">
      <c r="A11342" s="46">
        <v>9203</v>
      </c>
      <c r="B11342" s="4" t="s">
        <v>250</v>
      </c>
      <c r="C11342" s="22" t="s">
        <v>1132</v>
      </c>
      <c r="D11342" s="18">
        <v>2021</v>
      </c>
      <c r="E11342" s="18"/>
      <c r="F11342" s="4">
        <v>1</v>
      </c>
      <c r="G11342" s="4">
        <v>30</v>
      </c>
      <c r="H11342" s="4">
        <v>115.923</v>
      </c>
    </row>
    <row r="11343" spans="1:8" s="15" customFormat="1" ht="19.5" hidden="1" customHeight="1" outlineLevel="1" x14ac:dyDescent="0.25">
      <c r="A11343" s="46">
        <v>9200</v>
      </c>
      <c r="B11343" s="4" t="s">
        <v>250</v>
      </c>
      <c r="C11343" s="22" t="s">
        <v>2642</v>
      </c>
      <c r="D11343" s="18">
        <v>2021</v>
      </c>
      <c r="E11343" s="18"/>
      <c r="F11343" s="4">
        <v>1</v>
      </c>
      <c r="G11343" s="4">
        <v>15</v>
      </c>
      <c r="H11343" s="4">
        <v>99.54</v>
      </c>
    </row>
    <row r="11344" spans="1:8" s="15" customFormat="1" ht="19.5" hidden="1" customHeight="1" outlineLevel="1" x14ac:dyDescent="0.25">
      <c r="A11344" s="46">
        <v>9204</v>
      </c>
      <c r="B11344" s="4" t="s">
        <v>250</v>
      </c>
      <c r="C11344" s="22" t="s">
        <v>2643</v>
      </c>
      <c r="D11344" s="18">
        <v>2021</v>
      </c>
      <c r="E11344" s="18"/>
      <c r="F11344" s="4">
        <v>1</v>
      </c>
      <c r="G11344" s="4">
        <v>15</v>
      </c>
      <c r="H11344" s="4">
        <v>76.141000000000005</v>
      </c>
    </row>
    <row r="11345" spans="1:8" s="15" customFormat="1" ht="19.5" hidden="1" customHeight="1" outlineLevel="1" x14ac:dyDescent="0.25">
      <c r="A11345" s="46">
        <v>9205</v>
      </c>
      <c r="B11345" s="4" t="s">
        <v>250</v>
      </c>
      <c r="C11345" s="22" t="s">
        <v>2644</v>
      </c>
      <c r="D11345" s="18">
        <v>2021</v>
      </c>
      <c r="E11345" s="18"/>
      <c r="F11345" s="4">
        <v>1</v>
      </c>
      <c r="G11345" s="4">
        <v>15</v>
      </c>
      <c r="H11345" s="4">
        <v>106.145</v>
      </c>
    </row>
    <row r="11346" spans="1:8" s="15" customFormat="1" ht="19.5" hidden="1" customHeight="1" outlineLevel="1" x14ac:dyDescent="0.25">
      <c r="A11346" s="46">
        <v>9202</v>
      </c>
      <c r="B11346" s="4" t="s">
        <v>250</v>
      </c>
      <c r="C11346" s="22" t="s">
        <v>2645</v>
      </c>
      <c r="D11346" s="18">
        <v>2021</v>
      </c>
      <c r="E11346" s="18"/>
      <c r="F11346" s="4">
        <v>1</v>
      </c>
      <c r="G11346" s="4">
        <v>14</v>
      </c>
      <c r="H11346" s="4">
        <v>72.438000000000002</v>
      </c>
    </row>
    <row r="11347" spans="1:8" s="15" customFormat="1" ht="19.5" hidden="1" customHeight="1" outlineLevel="1" x14ac:dyDescent="0.25">
      <c r="A11347" s="46">
        <v>9206</v>
      </c>
      <c r="B11347" s="4" t="s">
        <v>250</v>
      </c>
      <c r="C11347" s="22" t="s">
        <v>2646</v>
      </c>
      <c r="D11347" s="18">
        <v>2021</v>
      </c>
      <c r="E11347" s="18"/>
      <c r="F11347" s="4">
        <v>1</v>
      </c>
      <c r="G11347" s="4">
        <v>15</v>
      </c>
      <c r="H11347" s="4">
        <v>102.092</v>
      </c>
    </row>
    <row r="11348" spans="1:8" s="15" customFormat="1" ht="19.5" hidden="1" customHeight="1" outlineLevel="1" x14ac:dyDescent="0.25">
      <c r="A11348" s="46">
        <v>9214</v>
      </c>
      <c r="B11348" s="4" t="s">
        <v>250</v>
      </c>
      <c r="C11348" s="22" t="s">
        <v>2647</v>
      </c>
      <c r="D11348" s="18">
        <v>2021</v>
      </c>
      <c r="E11348" s="18"/>
      <c r="F11348" s="4">
        <v>1</v>
      </c>
      <c r="G11348" s="4">
        <v>15</v>
      </c>
      <c r="H11348" s="4">
        <v>77.13</v>
      </c>
    </row>
    <row r="11349" spans="1:8" s="15" customFormat="1" ht="19.5" hidden="1" customHeight="1" outlineLevel="1" x14ac:dyDescent="0.25">
      <c r="A11349" s="46">
        <v>9201</v>
      </c>
      <c r="B11349" s="4" t="s">
        <v>250</v>
      </c>
      <c r="C11349" s="22" t="s">
        <v>2648</v>
      </c>
      <c r="D11349" s="18">
        <v>2021</v>
      </c>
      <c r="E11349" s="18"/>
      <c r="F11349" s="4">
        <v>1</v>
      </c>
      <c r="G11349" s="4">
        <v>10</v>
      </c>
      <c r="H11349" s="4">
        <v>37.921999999999997</v>
      </c>
    </row>
    <row r="11350" spans="1:8" s="15" customFormat="1" ht="19.5" hidden="1" customHeight="1" outlineLevel="1" x14ac:dyDescent="0.25">
      <c r="A11350" s="46">
        <v>9210</v>
      </c>
      <c r="B11350" s="4" t="s">
        <v>250</v>
      </c>
      <c r="C11350" s="22" t="s">
        <v>2649</v>
      </c>
      <c r="D11350" s="18">
        <v>2021</v>
      </c>
      <c r="E11350" s="18"/>
      <c r="F11350" s="4">
        <v>1</v>
      </c>
      <c r="G11350" s="4">
        <v>15</v>
      </c>
      <c r="H11350" s="4">
        <v>78.116</v>
      </c>
    </row>
    <row r="11351" spans="1:8" s="15" customFormat="1" ht="19.5" hidden="1" customHeight="1" outlineLevel="1" x14ac:dyDescent="0.25">
      <c r="A11351" s="46">
        <v>9216</v>
      </c>
      <c r="B11351" s="4" t="s">
        <v>250</v>
      </c>
      <c r="C11351" s="22" t="s">
        <v>2650</v>
      </c>
      <c r="D11351" s="18">
        <v>2021</v>
      </c>
      <c r="E11351" s="18"/>
      <c r="F11351" s="4">
        <v>1</v>
      </c>
      <c r="G11351" s="4">
        <v>15</v>
      </c>
      <c r="H11351" s="4">
        <v>88.655000000000001</v>
      </c>
    </row>
    <row r="11352" spans="1:8" s="15" customFormat="1" ht="19.5" hidden="1" customHeight="1" outlineLevel="1" x14ac:dyDescent="0.25">
      <c r="A11352" s="46">
        <v>9467</v>
      </c>
      <c r="B11352" s="4" t="s">
        <v>250</v>
      </c>
      <c r="C11352" s="22" t="s">
        <v>1518</v>
      </c>
      <c r="D11352" s="18">
        <v>2021</v>
      </c>
      <c r="E11352" s="18"/>
      <c r="F11352" s="4">
        <v>1</v>
      </c>
      <c r="G11352" s="4">
        <v>15</v>
      </c>
      <c r="H11352" s="4">
        <v>67.900999999999996</v>
      </c>
    </row>
    <row r="11353" spans="1:8" s="15" customFormat="1" ht="19.5" hidden="1" customHeight="1" outlineLevel="1" x14ac:dyDescent="0.25">
      <c r="A11353" s="46">
        <v>9470</v>
      </c>
      <c r="B11353" s="4" t="s">
        <v>250</v>
      </c>
      <c r="C11353" s="22" t="s">
        <v>1519</v>
      </c>
      <c r="D11353" s="18">
        <v>2021</v>
      </c>
      <c r="E11353" s="18"/>
      <c r="F11353" s="4">
        <v>1</v>
      </c>
      <c r="G11353" s="4">
        <v>15</v>
      </c>
      <c r="H11353" s="4">
        <v>78.055999999999997</v>
      </c>
    </row>
    <row r="11354" spans="1:8" s="15" customFormat="1" ht="19.5" hidden="1" customHeight="1" outlineLevel="1" x14ac:dyDescent="0.25">
      <c r="A11354" s="18">
        <v>3</v>
      </c>
      <c r="B11354" s="4" t="s">
        <v>250</v>
      </c>
      <c r="C11354" s="22" t="s">
        <v>1520</v>
      </c>
      <c r="D11354" s="18">
        <v>2021</v>
      </c>
      <c r="E11354" s="18"/>
      <c r="F11354" s="4">
        <v>1</v>
      </c>
      <c r="G11354" s="4">
        <v>15</v>
      </c>
      <c r="H11354" s="4">
        <v>62.595999999999997</v>
      </c>
    </row>
    <row r="11355" spans="1:8" s="15" customFormat="1" ht="19.5" hidden="1" customHeight="1" outlineLevel="1" x14ac:dyDescent="0.25">
      <c r="A11355" s="46">
        <v>9209</v>
      </c>
      <c r="B11355" s="4" t="s">
        <v>250</v>
      </c>
      <c r="C11355" s="22" t="s">
        <v>2651</v>
      </c>
      <c r="D11355" s="18">
        <v>2021</v>
      </c>
      <c r="E11355" s="18"/>
      <c r="F11355" s="4">
        <v>1</v>
      </c>
      <c r="G11355" s="4">
        <v>10</v>
      </c>
      <c r="H11355" s="4">
        <v>79.283000000000001</v>
      </c>
    </row>
    <row r="11356" spans="1:8" s="15" customFormat="1" ht="19.5" hidden="1" customHeight="1" outlineLevel="1" x14ac:dyDescent="0.25">
      <c r="A11356" s="45">
        <v>151</v>
      </c>
      <c r="B11356" s="4" t="s">
        <v>250</v>
      </c>
      <c r="C11356" s="22" t="s">
        <v>2652</v>
      </c>
      <c r="D11356" s="18">
        <v>2021</v>
      </c>
      <c r="E11356" s="18"/>
      <c r="F11356" s="4">
        <v>1</v>
      </c>
      <c r="G11356" s="4">
        <v>15</v>
      </c>
      <c r="H11356" s="4">
        <v>80.277000000000001</v>
      </c>
    </row>
    <row r="11357" spans="1:8" s="15" customFormat="1" ht="19.5" hidden="1" customHeight="1" outlineLevel="1" x14ac:dyDescent="0.25">
      <c r="A11357" s="46">
        <v>9218</v>
      </c>
      <c r="B11357" s="4" t="s">
        <v>250</v>
      </c>
      <c r="C11357" s="22" t="s">
        <v>2653</v>
      </c>
      <c r="D11357" s="18">
        <v>2021</v>
      </c>
      <c r="E11357" s="18"/>
      <c r="F11357" s="4">
        <v>1</v>
      </c>
      <c r="G11357" s="4">
        <v>5</v>
      </c>
      <c r="H11357" s="4">
        <v>71.331000000000003</v>
      </c>
    </row>
    <row r="11358" spans="1:8" s="15" customFormat="1" ht="19.5" hidden="1" customHeight="1" outlineLevel="1" x14ac:dyDescent="0.25">
      <c r="A11358" s="46">
        <v>9219</v>
      </c>
      <c r="B11358" s="4" t="s">
        <v>250</v>
      </c>
      <c r="C11358" s="22" t="s">
        <v>2654</v>
      </c>
      <c r="D11358" s="18">
        <v>2021</v>
      </c>
      <c r="E11358" s="18"/>
      <c r="F11358" s="4">
        <v>1</v>
      </c>
      <c r="G11358" s="4">
        <v>15</v>
      </c>
      <c r="H11358" s="4">
        <v>71.631</v>
      </c>
    </row>
    <row r="11359" spans="1:8" s="15" customFormat="1" ht="19.5" hidden="1" customHeight="1" outlineLevel="1" x14ac:dyDescent="0.25">
      <c r="A11359" s="46">
        <v>9211</v>
      </c>
      <c r="B11359" s="4" t="s">
        <v>250</v>
      </c>
      <c r="C11359" s="22" t="s">
        <v>2655</v>
      </c>
      <c r="D11359" s="18">
        <v>2021</v>
      </c>
      <c r="E11359" s="18"/>
      <c r="F11359" s="4">
        <v>1</v>
      </c>
      <c r="G11359" s="4">
        <v>15</v>
      </c>
      <c r="H11359" s="4">
        <v>79.328999999999994</v>
      </c>
    </row>
    <row r="11360" spans="1:8" s="15" customFormat="1" ht="19.5" hidden="1" customHeight="1" outlineLevel="1" x14ac:dyDescent="0.25">
      <c r="A11360" s="46">
        <v>9515</v>
      </c>
      <c r="B11360" s="4" t="s">
        <v>250</v>
      </c>
      <c r="C11360" s="22" t="s">
        <v>1521</v>
      </c>
      <c r="D11360" s="18">
        <v>2021</v>
      </c>
      <c r="E11360" s="18"/>
      <c r="F11360" s="4">
        <v>1</v>
      </c>
      <c r="G11360" s="4">
        <v>15</v>
      </c>
      <c r="H11360" s="4">
        <v>42.564</v>
      </c>
    </row>
    <row r="11361" spans="1:8" s="15" customFormat="1" ht="19.5" hidden="1" customHeight="1" outlineLevel="1" x14ac:dyDescent="0.25">
      <c r="A11361" s="46">
        <v>9463</v>
      </c>
      <c r="B11361" s="4" t="s">
        <v>250</v>
      </c>
      <c r="C11361" s="22" t="s">
        <v>1523</v>
      </c>
      <c r="D11361" s="18">
        <v>2021</v>
      </c>
      <c r="E11361" s="18"/>
      <c r="F11361" s="4">
        <v>1</v>
      </c>
      <c r="G11361" s="4">
        <v>15</v>
      </c>
      <c r="H11361" s="4">
        <v>55.823</v>
      </c>
    </row>
    <row r="11362" spans="1:8" s="15" customFormat="1" ht="19.5" hidden="1" customHeight="1" outlineLevel="1" x14ac:dyDescent="0.25">
      <c r="A11362" s="46">
        <v>9215</v>
      </c>
      <c r="B11362" s="4" t="s">
        <v>250</v>
      </c>
      <c r="C11362" s="22" t="s">
        <v>2656</v>
      </c>
      <c r="D11362" s="18">
        <v>2021</v>
      </c>
      <c r="E11362" s="18"/>
      <c r="F11362" s="4">
        <v>1</v>
      </c>
      <c r="G11362" s="4">
        <v>15</v>
      </c>
      <c r="H11362" s="4">
        <v>84.656999999999996</v>
      </c>
    </row>
    <row r="11363" spans="1:8" s="15" customFormat="1" ht="19.5" hidden="1" customHeight="1" outlineLevel="1" x14ac:dyDescent="0.25">
      <c r="A11363" s="46">
        <v>9220</v>
      </c>
      <c r="B11363" s="4" t="s">
        <v>250</v>
      </c>
      <c r="C11363" s="22" t="s">
        <v>2657</v>
      </c>
      <c r="D11363" s="18">
        <v>2021</v>
      </c>
      <c r="E11363" s="18"/>
      <c r="F11363" s="4">
        <v>1</v>
      </c>
      <c r="G11363" s="4">
        <v>15</v>
      </c>
      <c r="H11363" s="4">
        <v>101.453</v>
      </c>
    </row>
    <row r="11364" spans="1:8" s="15" customFormat="1" ht="19.5" hidden="1" customHeight="1" outlineLevel="1" x14ac:dyDescent="0.25">
      <c r="A11364" s="46">
        <v>9213</v>
      </c>
      <c r="B11364" s="4" t="s">
        <v>250</v>
      </c>
      <c r="C11364" s="22" t="s">
        <v>2658</v>
      </c>
      <c r="D11364" s="18">
        <v>2021</v>
      </c>
      <c r="E11364" s="18"/>
      <c r="F11364" s="4">
        <v>1</v>
      </c>
      <c r="G11364" s="4">
        <v>15</v>
      </c>
      <c r="H11364" s="4">
        <v>78.355000000000004</v>
      </c>
    </row>
    <row r="11365" spans="1:8" s="15" customFormat="1" ht="19.5" hidden="1" customHeight="1" outlineLevel="1" x14ac:dyDescent="0.25">
      <c r="A11365" s="46">
        <v>9197</v>
      </c>
      <c r="B11365" s="4" t="s">
        <v>250</v>
      </c>
      <c r="C11365" s="22" t="s">
        <v>2659</v>
      </c>
      <c r="D11365" s="18">
        <v>2021</v>
      </c>
      <c r="E11365" s="18"/>
      <c r="F11365" s="4">
        <v>1</v>
      </c>
      <c r="G11365" s="4">
        <v>15</v>
      </c>
      <c r="H11365" s="4">
        <v>84.855000000000004</v>
      </c>
    </row>
    <row r="11366" spans="1:8" s="15" customFormat="1" ht="19.5" hidden="1" customHeight="1" outlineLevel="1" x14ac:dyDescent="0.25">
      <c r="A11366" s="46">
        <v>9193</v>
      </c>
      <c r="B11366" s="4" t="s">
        <v>250</v>
      </c>
      <c r="C11366" s="22" t="s">
        <v>2660</v>
      </c>
      <c r="D11366" s="18">
        <v>2021</v>
      </c>
      <c r="E11366" s="18"/>
      <c r="F11366" s="4">
        <v>1</v>
      </c>
      <c r="G11366" s="4">
        <v>15</v>
      </c>
      <c r="H11366" s="4">
        <v>75.850999999999999</v>
      </c>
    </row>
    <row r="11367" spans="1:8" s="15" customFormat="1" ht="19.5" hidden="1" customHeight="1" outlineLevel="1" x14ac:dyDescent="0.25">
      <c r="A11367" s="46">
        <v>9013</v>
      </c>
      <c r="B11367" s="4" t="s">
        <v>250</v>
      </c>
      <c r="C11367" s="22" t="s">
        <v>2661</v>
      </c>
      <c r="D11367" s="18">
        <v>2021</v>
      </c>
      <c r="E11367" s="18"/>
      <c r="F11367" s="4">
        <v>1</v>
      </c>
      <c r="G11367" s="4">
        <v>15</v>
      </c>
      <c r="H11367" s="4">
        <v>94.695999999999998</v>
      </c>
    </row>
    <row r="11368" spans="1:8" s="15" customFormat="1" ht="19.5" hidden="1" customHeight="1" outlineLevel="1" x14ac:dyDescent="0.25">
      <c r="A11368" s="18">
        <v>133</v>
      </c>
      <c r="B11368" s="4" t="s">
        <v>250</v>
      </c>
      <c r="C11368" s="22" t="s">
        <v>2662</v>
      </c>
      <c r="D11368" s="18">
        <v>2021</v>
      </c>
      <c r="E11368" s="18"/>
      <c r="F11368" s="4">
        <v>1</v>
      </c>
      <c r="G11368" s="4">
        <v>15</v>
      </c>
      <c r="H11368" s="4">
        <v>85.254999999999995</v>
      </c>
    </row>
    <row r="11369" spans="1:8" s="15" customFormat="1" ht="19.5" hidden="1" customHeight="1" outlineLevel="1" x14ac:dyDescent="0.25">
      <c r="A11369" s="46">
        <v>9014</v>
      </c>
      <c r="B11369" s="4" t="s">
        <v>250</v>
      </c>
      <c r="C11369" s="22" t="s">
        <v>2663</v>
      </c>
      <c r="D11369" s="18">
        <v>2021</v>
      </c>
      <c r="E11369" s="18"/>
      <c r="F11369" s="4">
        <v>1</v>
      </c>
      <c r="G11369" s="4">
        <v>10</v>
      </c>
      <c r="H11369" s="4">
        <v>71.600999999999999</v>
      </c>
    </row>
    <row r="11370" spans="1:8" s="15" customFormat="1" ht="19.5" hidden="1" customHeight="1" outlineLevel="1" x14ac:dyDescent="0.25">
      <c r="A11370" s="46">
        <v>9195</v>
      </c>
      <c r="B11370" s="4" t="s">
        <v>250</v>
      </c>
      <c r="C11370" s="22" t="s">
        <v>2664</v>
      </c>
      <c r="D11370" s="18">
        <v>2021</v>
      </c>
      <c r="E11370" s="18"/>
      <c r="F11370" s="4">
        <v>1</v>
      </c>
      <c r="G11370" s="4">
        <v>10</v>
      </c>
      <c r="H11370" s="4">
        <v>76.628</v>
      </c>
    </row>
    <row r="11371" spans="1:8" s="15" customFormat="1" ht="19.5" hidden="1" customHeight="1" outlineLevel="1" x14ac:dyDescent="0.25">
      <c r="A11371" s="46">
        <v>9015</v>
      </c>
      <c r="B11371" s="4" t="s">
        <v>250</v>
      </c>
      <c r="C11371" s="22" t="s">
        <v>2665</v>
      </c>
      <c r="D11371" s="18">
        <v>2021</v>
      </c>
      <c r="E11371" s="18"/>
      <c r="F11371" s="4">
        <v>1</v>
      </c>
      <c r="G11371" s="4">
        <v>10</v>
      </c>
      <c r="H11371" s="4">
        <v>77.849999999999994</v>
      </c>
    </row>
    <row r="11372" spans="1:8" s="15" customFormat="1" ht="19.5" hidden="1" customHeight="1" outlineLevel="1" x14ac:dyDescent="0.25">
      <c r="A11372" s="46">
        <v>9461</v>
      </c>
      <c r="B11372" s="4" t="s">
        <v>250</v>
      </c>
      <c r="C11372" s="22" t="s">
        <v>1524</v>
      </c>
      <c r="D11372" s="18">
        <v>2021</v>
      </c>
      <c r="E11372" s="18"/>
      <c r="F11372" s="4">
        <v>1</v>
      </c>
      <c r="G11372" s="4">
        <v>15</v>
      </c>
      <c r="H11372" s="4">
        <v>53.133000000000003</v>
      </c>
    </row>
    <row r="11373" spans="1:8" s="15" customFormat="1" ht="19.5" hidden="1" customHeight="1" outlineLevel="1" x14ac:dyDescent="0.25">
      <c r="A11373" s="46">
        <v>9514</v>
      </c>
      <c r="B11373" s="4" t="s">
        <v>250</v>
      </c>
      <c r="C11373" s="22" t="s">
        <v>1913</v>
      </c>
      <c r="D11373" s="18">
        <v>2021</v>
      </c>
      <c r="E11373" s="18"/>
      <c r="F11373" s="4">
        <v>16</v>
      </c>
      <c r="G11373" s="4">
        <v>15</v>
      </c>
      <c r="H11373" s="4">
        <v>511.79399999999998</v>
      </c>
    </row>
    <row r="11374" spans="1:8" s="15" customFormat="1" ht="19.5" hidden="1" customHeight="1" outlineLevel="1" x14ac:dyDescent="0.25">
      <c r="A11374" s="46">
        <v>9496</v>
      </c>
      <c r="B11374" s="4" t="s">
        <v>250</v>
      </c>
      <c r="C11374" s="22" t="s">
        <v>1525</v>
      </c>
      <c r="D11374" s="18">
        <v>2021</v>
      </c>
      <c r="E11374" s="18"/>
      <c r="F11374" s="4">
        <v>1</v>
      </c>
      <c r="G11374" s="4">
        <v>15</v>
      </c>
      <c r="H11374" s="4">
        <v>36.274999999999999</v>
      </c>
    </row>
    <row r="11375" spans="1:8" s="15" customFormat="1" ht="19.5" hidden="1" customHeight="1" outlineLevel="1" x14ac:dyDescent="0.25">
      <c r="A11375" s="46">
        <v>9462</v>
      </c>
      <c r="B11375" s="4" t="s">
        <v>250</v>
      </c>
      <c r="C11375" s="22" t="s">
        <v>1526</v>
      </c>
      <c r="D11375" s="18">
        <v>2021</v>
      </c>
      <c r="E11375" s="18"/>
      <c r="F11375" s="4">
        <v>1</v>
      </c>
      <c r="G11375" s="4">
        <v>15</v>
      </c>
      <c r="H11375" s="4">
        <v>55.140999999999998</v>
      </c>
    </row>
    <row r="11376" spans="1:8" s="15" customFormat="1" ht="19.5" hidden="1" customHeight="1" outlineLevel="1" x14ac:dyDescent="0.25">
      <c r="A11376" s="46">
        <v>9473</v>
      </c>
      <c r="B11376" s="4" t="s">
        <v>250</v>
      </c>
      <c r="C11376" s="22" t="s">
        <v>1527</v>
      </c>
      <c r="D11376" s="18">
        <v>2021</v>
      </c>
      <c r="E11376" s="18"/>
      <c r="F11376" s="4">
        <v>1</v>
      </c>
      <c r="G11376" s="4">
        <v>15</v>
      </c>
      <c r="H11376" s="4">
        <v>39.457999999999998</v>
      </c>
    </row>
    <row r="11377" spans="1:8" s="15" customFormat="1" ht="19.5" hidden="1" customHeight="1" outlineLevel="1" x14ac:dyDescent="0.25">
      <c r="A11377" s="46">
        <v>9192</v>
      </c>
      <c r="B11377" s="4" t="s">
        <v>250</v>
      </c>
      <c r="C11377" s="22" t="s">
        <v>2666</v>
      </c>
      <c r="D11377" s="18">
        <v>2021</v>
      </c>
      <c r="E11377" s="18"/>
      <c r="F11377" s="4">
        <v>1</v>
      </c>
      <c r="G11377" s="4">
        <v>10</v>
      </c>
      <c r="H11377" s="4">
        <v>88.33</v>
      </c>
    </row>
    <row r="11378" spans="1:8" s="15" customFormat="1" ht="19.5" hidden="1" customHeight="1" outlineLevel="1" x14ac:dyDescent="0.25">
      <c r="A11378" s="46">
        <v>9009</v>
      </c>
      <c r="B11378" s="4" t="s">
        <v>250</v>
      </c>
      <c r="C11378" s="22" t="s">
        <v>2667</v>
      </c>
      <c r="D11378" s="18">
        <v>2021</v>
      </c>
      <c r="E11378" s="18"/>
      <c r="F11378" s="4">
        <v>1</v>
      </c>
      <c r="G11378" s="4">
        <v>10</v>
      </c>
      <c r="H11378" s="4">
        <v>79.381</v>
      </c>
    </row>
    <row r="11379" spans="1:8" s="15" customFormat="1" ht="19.5" hidden="1" customHeight="1" outlineLevel="1" x14ac:dyDescent="0.25">
      <c r="A11379" s="46">
        <v>9010</v>
      </c>
      <c r="B11379" s="4" t="s">
        <v>250</v>
      </c>
      <c r="C11379" s="22" t="s">
        <v>2668</v>
      </c>
      <c r="D11379" s="18">
        <v>2021</v>
      </c>
      <c r="E11379" s="18"/>
      <c r="F11379" s="4">
        <v>1</v>
      </c>
      <c r="G11379" s="4">
        <v>15</v>
      </c>
      <c r="H11379" s="4">
        <v>40.468000000000004</v>
      </c>
    </row>
    <row r="11380" spans="1:8" s="15" customFormat="1" ht="19.5" hidden="1" customHeight="1" outlineLevel="1" x14ac:dyDescent="0.25">
      <c r="A11380" s="46">
        <v>9011</v>
      </c>
      <c r="B11380" s="4" t="s">
        <v>250</v>
      </c>
      <c r="C11380" s="22" t="s">
        <v>2669</v>
      </c>
      <c r="D11380" s="18">
        <v>2021</v>
      </c>
      <c r="E11380" s="18"/>
      <c r="F11380" s="4">
        <v>1</v>
      </c>
      <c r="G11380" s="4">
        <v>10</v>
      </c>
      <c r="H11380" s="4">
        <v>37.433999999999997</v>
      </c>
    </row>
    <row r="11381" spans="1:8" s="15" customFormat="1" ht="19.5" hidden="1" customHeight="1" outlineLevel="1" x14ac:dyDescent="0.25">
      <c r="A11381" s="46">
        <v>9196</v>
      </c>
      <c r="B11381" s="4" t="s">
        <v>250</v>
      </c>
      <c r="C11381" s="22" t="s">
        <v>2670</v>
      </c>
      <c r="D11381" s="18">
        <v>2021</v>
      </c>
      <c r="E11381" s="18"/>
      <c r="F11381" s="4">
        <v>1</v>
      </c>
      <c r="G11381" s="4">
        <v>10</v>
      </c>
      <c r="H11381" s="4">
        <v>79.646000000000001</v>
      </c>
    </row>
    <row r="11382" spans="1:8" s="15" customFormat="1" ht="19.5" hidden="1" customHeight="1" outlineLevel="1" x14ac:dyDescent="0.25">
      <c r="A11382" s="46">
        <v>9217</v>
      </c>
      <c r="B11382" s="4" t="s">
        <v>250</v>
      </c>
      <c r="C11382" s="22" t="s">
        <v>2671</v>
      </c>
      <c r="D11382" s="18">
        <v>2021</v>
      </c>
      <c r="E11382" s="18"/>
      <c r="F11382" s="4">
        <v>1</v>
      </c>
      <c r="G11382" s="4">
        <v>15</v>
      </c>
      <c r="H11382" s="4">
        <v>73.805999999999997</v>
      </c>
    </row>
    <row r="11383" spans="1:8" s="15" customFormat="1" ht="19.5" hidden="1" customHeight="1" outlineLevel="1" x14ac:dyDescent="0.25">
      <c r="A11383" s="46">
        <v>9212</v>
      </c>
      <c r="B11383" s="4" t="s">
        <v>250</v>
      </c>
      <c r="C11383" s="22" t="s">
        <v>2672</v>
      </c>
      <c r="D11383" s="18">
        <v>2021</v>
      </c>
      <c r="E11383" s="18"/>
      <c r="F11383" s="4">
        <v>1</v>
      </c>
      <c r="G11383" s="4">
        <v>15</v>
      </c>
      <c r="H11383" s="4">
        <v>73.007999999999996</v>
      </c>
    </row>
    <row r="11384" spans="1:8" s="15" customFormat="1" ht="19.5" hidden="1" customHeight="1" outlineLevel="1" x14ac:dyDescent="0.25">
      <c r="A11384" s="46">
        <v>10287</v>
      </c>
      <c r="B11384" s="4" t="s">
        <v>250</v>
      </c>
      <c r="C11384" s="22" t="s">
        <v>2673</v>
      </c>
      <c r="D11384" s="18">
        <v>2021</v>
      </c>
      <c r="E11384" s="18"/>
      <c r="F11384" s="4">
        <v>1</v>
      </c>
      <c r="G11384" s="4">
        <v>15</v>
      </c>
      <c r="H11384" s="4">
        <v>78.983999999999995</v>
      </c>
    </row>
    <row r="11385" spans="1:8" s="15" customFormat="1" ht="19.5" hidden="1" customHeight="1" outlineLevel="1" x14ac:dyDescent="0.25">
      <c r="A11385" s="46">
        <v>9207</v>
      </c>
      <c r="B11385" s="4" t="s">
        <v>250</v>
      </c>
      <c r="C11385" s="22" t="s">
        <v>2674</v>
      </c>
      <c r="D11385" s="18">
        <v>2021</v>
      </c>
      <c r="E11385" s="18"/>
      <c r="F11385" s="4">
        <v>1</v>
      </c>
      <c r="G11385" s="4">
        <v>15</v>
      </c>
      <c r="H11385" s="4">
        <v>30.968</v>
      </c>
    </row>
    <row r="11386" spans="1:8" s="15" customFormat="1" ht="19.5" hidden="1" customHeight="1" outlineLevel="1" x14ac:dyDescent="0.25">
      <c r="A11386" s="46">
        <v>9199</v>
      </c>
      <c r="B11386" s="4" t="s">
        <v>250</v>
      </c>
      <c r="C11386" s="22" t="s">
        <v>2675</v>
      </c>
      <c r="D11386" s="18">
        <v>2021</v>
      </c>
      <c r="E11386" s="18"/>
      <c r="F11386" s="4">
        <v>1</v>
      </c>
      <c r="G11386" s="4">
        <v>15</v>
      </c>
      <c r="H11386" s="4">
        <v>27.556000000000001</v>
      </c>
    </row>
    <row r="11387" spans="1:8" s="15" customFormat="1" ht="19.5" hidden="1" customHeight="1" outlineLevel="1" x14ac:dyDescent="0.25">
      <c r="A11387" s="46">
        <v>9208</v>
      </c>
      <c r="B11387" s="4" t="s">
        <v>250</v>
      </c>
      <c r="C11387" s="22" t="s">
        <v>2676</v>
      </c>
      <c r="D11387" s="18">
        <v>2021</v>
      </c>
      <c r="E11387" s="18"/>
      <c r="F11387" s="4">
        <v>1</v>
      </c>
      <c r="G11387" s="4">
        <v>15</v>
      </c>
      <c r="H11387" s="4">
        <v>30.588000000000001</v>
      </c>
    </row>
    <row r="11388" spans="1:8" s="15" customFormat="1" ht="19.5" hidden="1" customHeight="1" outlineLevel="1" x14ac:dyDescent="0.25">
      <c r="A11388" s="46">
        <v>9482</v>
      </c>
      <c r="B11388" s="4" t="s">
        <v>250</v>
      </c>
      <c r="C11388" s="22" t="s">
        <v>2677</v>
      </c>
      <c r="D11388" s="18">
        <v>2021</v>
      </c>
      <c r="E11388" s="18"/>
      <c r="F11388" s="4">
        <v>1</v>
      </c>
      <c r="G11388" s="4">
        <v>15</v>
      </c>
      <c r="H11388" s="4">
        <v>52.149000000000001</v>
      </c>
    </row>
    <row r="11389" spans="1:8" s="15" customFormat="1" ht="19.5" hidden="1" customHeight="1" outlineLevel="1" x14ac:dyDescent="0.25">
      <c r="A11389" s="46">
        <v>9474</v>
      </c>
      <c r="B11389" s="4" t="s">
        <v>250</v>
      </c>
      <c r="C11389" s="22" t="s">
        <v>1529</v>
      </c>
      <c r="D11389" s="18">
        <v>2021</v>
      </c>
      <c r="E11389" s="18"/>
      <c r="F11389" s="4">
        <v>1</v>
      </c>
      <c r="G11389" s="4">
        <v>15</v>
      </c>
      <c r="H11389" s="4">
        <v>38.664000000000001</v>
      </c>
    </row>
    <row r="11390" spans="1:8" s="15" customFormat="1" ht="19.5" hidden="1" customHeight="1" outlineLevel="1" x14ac:dyDescent="0.25">
      <c r="A11390" s="46">
        <v>9505</v>
      </c>
      <c r="B11390" s="4" t="s">
        <v>250</v>
      </c>
      <c r="C11390" s="22" t="s">
        <v>1530</v>
      </c>
      <c r="D11390" s="18">
        <v>2021</v>
      </c>
      <c r="E11390" s="18"/>
      <c r="F11390" s="4">
        <v>1</v>
      </c>
      <c r="G11390" s="4">
        <v>15</v>
      </c>
      <c r="H11390" s="4">
        <v>32.808</v>
      </c>
    </row>
    <row r="11391" spans="1:8" s="15" customFormat="1" ht="19.5" hidden="1" customHeight="1" outlineLevel="1" x14ac:dyDescent="0.25">
      <c r="A11391" s="46">
        <v>9460</v>
      </c>
      <c r="B11391" s="4" t="s">
        <v>250</v>
      </c>
      <c r="C11391" s="22" t="s">
        <v>1531</v>
      </c>
      <c r="D11391" s="18">
        <v>2021</v>
      </c>
      <c r="E11391" s="18"/>
      <c r="F11391" s="4">
        <v>1</v>
      </c>
      <c r="G11391" s="4">
        <v>15</v>
      </c>
      <c r="H11391" s="4">
        <v>47.776000000000003</v>
      </c>
    </row>
    <row r="11392" spans="1:8" s="15" customFormat="1" ht="19.5" hidden="1" customHeight="1" outlineLevel="1" x14ac:dyDescent="0.25">
      <c r="A11392" s="18">
        <v>10901</v>
      </c>
      <c r="B11392" s="4" t="s">
        <v>250</v>
      </c>
      <c r="C11392" s="22" t="s">
        <v>1532</v>
      </c>
      <c r="D11392" s="18">
        <v>2021</v>
      </c>
      <c r="E11392" s="18"/>
      <c r="F11392" s="4">
        <v>1</v>
      </c>
      <c r="G11392" s="4">
        <v>15</v>
      </c>
      <c r="H11392" s="4">
        <v>58.378</v>
      </c>
    </row>
    <row r="11393" spans="1:8" s="15" customFormat="1" ht="19.5" hidden="1" customHeight="1" outlineLevel="1" x14ac:dyDescent="0.25">
      <c r="A11393" s="46">
        <v>9469</v>
      </c>
      <c r="B11393" s="4" t="s">
        <v>250</v>
      </c>
      <c r="C11393" s="22" t="s">
        <v>1533</v>
      </c>
      <c r="D11393" s="18">
        <v>2021</v>
      </c>
      <c r="E11393" s="18"/>
      <c r="F11393" s="4">
        <v>1</v>
      </c>
      <c r="G11393" s="4">
        <v>15</v>
      </c>
      <c r="H11393" s="4">
        <v>43.146000000000001</v>
      </c>
    </row>
    <row r="11394" spans="1:8" s="15" customFormat="1" ht="19.5" hidden="1" customHeight="1" outlineLevel="1" x14ac:dyDescent="0.25">
      <c r="A11394" s="46">
        <v>9459</v>
      </c>
      <c r="B11394" s="4" t="s">
        <v>250</v>
      </c>
      <c r="C11394" s="22" t="s">
        <v>1534</v>
      </c>
      <c r="D11394" s="18">
        <v>2021</v>
      </c>
      <c r="E11394" s="18"/>
      <c r="F11394" s="4">
        <v>1</v>
      </c>
      <c r="G11394" s="4">
        <v>15</v>
      </c>
      <c r="H11394" s="4">
        <v>51.817</v>
      </c>
    </row>
    <row r="11395" spans="1:8" s="15" customFormat="1" ht="19.5" hidden="1" customHeight="1" outlineLevel="1" x14ac:dyDescent="0.25">
      <c r="A11395" s="46">
        <v>10297</v>
      </c>
      <c r="B11395" s="4" t="s">
        <v>250</v>
      </c>
      <c r="C11395" s="22" t="s">
        <v>2678</v>
      </c>
      <c r="D11395" s="18">
        <v>2021</v>
      </c>
      <c r="E11395" s="18"/>
      <c r="F11395" s="4">
        <v>1</v>
      </c>
      <c r="G11395" s="4">
        <v>15</v>
      </c>
      <c r="H11395" s="4">
        <v>37.134999999999998</v>
      </c>
    </row>
    <row r="11396" spans="1:8" s="15" customFormat="1" ht="19.5" hidden="1" customHeight="1" outlineLevel="1" x14ac:dyDescent="0.25">
      <c r="A11396" s="46">
        <v>10295</v>
      </c>
      <c r="B11396" s="4" t="s">
        <v>250</v>
      </c>
      <c r="C11396" s="22" t="s">
        <v>2679</v>
      </c>
      <c r="D11396" s="18">
        <v>2021</v>
      </c>
      <c r="E11396" s="18"/>
      <c r="F11396" s="4">
        <v>1</v>
      </c>
      <c r="G11396" s="4">
        <v>15</v>
      </c>
      <c r="H11396" s="4">
        <v>39.101999999999997</v>
      </c>
    </row>
    <row r="11397" spans="1:8" s="15" customFormat="1" ht="19.5" hidden="1" customHeight="1" outlineLevel="1" x14ac:dyDescent="0.25">
      <c r="A11397" s="45">
        <v>2201</v>
      </c>
      <c r="B11397" s="4" t="s">
        <v>250</v>
      </c>
      <c r="C11397" s="22" t="s">
        <v>2680</v>
      </c>
      <c r="D11397" s="18">
        <v>2021</v>
      </c>
      <c r="E11397" s="18"/>
      <c r="F11397" s="4">
        <v>1</v>
      </c>
      <c r="G11397" s="4">
        <v>15</v>
      </c>
      <c r="H11397" s="4">
        <v>36.616</v>
      </c>
    </row>
    <row r="11398" spans="1:8" s="15" customFormat="1" ht="19.5" hidden="1" customHeight="1" outlineLevel="1" x14ac:dyDescent="0.25">
      <c r="A11398" s="46">
        <v>10302</v>
      </c>
      <c r="B11398" s="4" t="s">
        <v>250</v>
      </c>
      <c r="C11398" s="22" t="s">
        <v>2681</v>
      </c>
      <c r="D11398" s="18">
        <v>2021</v>
      </c>
      <c r="E11398" s="18"/>
      <c r="F11398" s="4">
        <v>1</v>
      </c>
      <c r="G11398" s="4">
        <v>15</v>
      </c>
      <c r="H11398" s="4">
        <v>87.177000000000007</v>
      </c>
    </row>
    <row r="11399" spans="1:8" s="15" customFormat="1" ht="19.5" hidden="1" customHeight="1" outlineLevel="1" x14ac:dyDescent="0.25">
      <c r="A11399" s="46">
        <v>10296</v>
      </c>
      <c r="B11399" s="4" t="s">
        <v>250</v>
      </c>
      <c r="C11399" s="22" t="s">
        <v>2682</v>
      </c>
      <c r="D11399" s="18">
        <v>2021</v>
      </c>
      <c r="E11399" s="18"/>
      <c r="F11399" s="4">
        <v>1</v>
      </c>
      <c r="G11399" s="4">
        <v>8</v>
      </c>
      <c r="H11399" s="4">
        <v>36.984000000000002</v>
      </c>
    </row>
    <row r="11400" spans="1:8" s="15" customFormat="1" ht="19.5" hidden="1" customHeight="1" outlineLevel="1" x14ac:dyDescent="0.25">
      <c r="A11400" s="46">
        <v>10279</v>
      </c>
      <c r="B11400" s="4" t="s">
        <v>250</v>
      </c>
      <c r="C11400" s="22" t="s">
        <v>2683</v>
      </c>
      <c r="D11400" s="18">
        <v>2021</v>
      </c>
      <c r="E11400" s="18"/>
      <c r="F11400" s="4">
        <v>1</v>
      </c>
      <c r="G11400" s="4">
        <v>15</v>
      </c>
      <c r="H11400" s="4">
        <v>34.131</v>
      </c>
    </row>
    <row r="11401" spans="1:8" s="15" customFormat="1" ht="19.5" hidden="1" customHeight="1" outlineLevel="1" x14ac:dyDescent="0.25">
      <c r="A11401" s="46">
        <v>10286</v>
      </c>
      <c r="B11401" s="4" t="s">
        <v>250</v>
      </c>
      <c r="C11401" s="22" t="s">
        <v>2684</v>
      </c>
      <c r="D11401" s="18">
        <v>2021</v>
      </c>
      <c r="E11401" s="18"/>
      <c r="F11401" s="4">
        <v>1</v>
      </c>
      <c r="G11401" s="4">
        <v>15</v>
      </c>
      <c r="H11401" s="4">
        <v>38.25</v>
      </c>
    </row>
    <row r="11402" spans="1:8" s="15" customFormat="1" ht="19.5" hidden="1" customHeight="1" outlineLevel="1" x14ac:dyDescent="0.25">
      <c r="A11402" s="46">
        <v>10293</v>
      </c>
      <c r="B11402" s="4" t="s">
        <v>250</v>
      </c>
      <c r="C11402" s="22" t="s">
        <v>2685</v>
      </c>
      <c r="D11402" s="18">
        <v>2021</v>
      </c>
      <c r="E11402" s="18"/>
      <c r="F11402" s="4">
        <v>1</v>
      </c>
      <c r="G11402" s="4">
        <v>15</v>
      </c>
      <c r="H11402" s="4">
        <v>38.798999999999999</v>
      </c>
    </row>
    <row r="11403" spans="1:8" s="15" customFormat="1" ht="19.5" hidden="1" customHeight="1" outlineLevel="1" x14ac:dyDescent="0.25">
      <c r="A11403" s="45">
        <v>2202</v>
      </c>
      <c r="B11403" s="4" t="s">
        <v>250</v>
      </c>
      <c r="C11403" s="22" t="s">
        <v>2686</v>
      </c>
      <c r="D11403" s="18">
        <v>2021</v>
      </c>
      <c r="E11403" s="18"/>
      <c r="F11403" s="4">
        <v>1</v>
      </c>
      <c r="G11403" s="4">
        <v>15</v>
      </c>
      <c r="H11403" s="4">
        <v>35.073</v>
      </c>
    </row>
    <row r="11404" spans="1:8" s="15" customFormat="1" ht="19.5" hidden="1" customHeight="1" outlineLevel="1" x14ac:dyDescent="0.25">
      <c r="A11404" s="46">
        <v>10294</v>
      </c>
      <c r="B11404" s="4" t="s">
        <v>250</v>
      </c>
      <c r="C11404" s="22" t="s">
        <v>2687</v>
      </c>
      <c r="D11404" s="18">
        <v>2021</v>
      </c>
      <c r="E11404" s="18"/>
      <c r="F11404" s="4">
        <v>1</v>
      </c>
      <c r="G11404" s="4">
        <v>15</v>
      </c>
      <c r="H11404" s="4">
        <v>39.423999999999999</v>
      </c>
    </row>
    <row r="11405" spans="1:8" s="15" customFormat="1" ht="19.5" hidden="1" customHeight="1" outlineLevel="1" x14ac:dyDescent="0.25">
      <c r="A11405" s="46">
        <v>10284</v>
      </c>
      <c r="B11405" s="4" t="s">
        <v>250</v>
      </c>
      <c r="C11405" s="22" t="s">
        <v>2688</v>
      </c>
      <c r="D11405" s="18">
        <v>2021</v>
      </c>
      <c r="E11405" s="18"/>
      <c r="F11405" s="4">
        <v>1</v>
      </c>
      <c r="G11405" s="4">
        <v>10</v>
      </c>
      <c r="H11405" s="4">
        <v>36.322000000000003</v>
      </c>
    </row>
    <row r="11406" spans="1:8" s="15" customFormat="1" ht="19.5" hidden="1" customHeight="1" outlineLevel="1" x14ac:dyDescent="0.25">
      <c r="A11406" s="46">
        <v>10281</v>
      </c>
      <c r="B11406" s="4" t="s">
        <v>250</v>
      </c>
      <c r="C11406" s="22" t="s">
        <v>2689</v>
      </c>
      <c r="D11406" s="18">
        <v>2021</v>
      </c>
      <c r="E11406" s="18"/>
      <c r="F11406" s="4">
        <v>1</v>
      </c>
      <c r="G11406" s="4">
        <v>15</v>
      </c>
      <c r="H11406" s="4">
        <v>44.668999999999997</v>
      </c>
    </row>
    <row r="11407" spans="1:8" s="15" customFormat="1" ht="19.5" hidden="1" customHeight="1" outlineLevel="1" x14ac:dyDescent="0.25">
      <c r="A11407" s="46">
        <v>10292</v>
      </c>
      <c r="B11407" s="4" t="s">
        <v>250</v>
      </c>
      <c r="C11407" s="22" t="s">
        <v>2690</v>
      </c>
      <c r="D11407" s="18">
        <v>2021</v>
      </c>
      <c r="E11407" s="18"/>
      <c r="F11407" s="4">
        <v>1</v>
      </c>
      <c r="G11407" s="4">
        <v>15</v>
      </c>
      <c r="H11407" s="4">
        <v>37.902999999999999</v>
      </c>
    </row>
    <row r="11408" spans="1:8" s="15" customFormat="1" ht="19.5" hidden="1" customHeight="1" outlineLevel="1" x14ac:dyDescent="0.25">
      <c r="A11408" s="46">
        <v>10304</v>
      </c>
      <c r="B11408" s="4" t="s">
        <v>250</v>
      </c>
      <c r="C11408" s="22" t="s">
        <v>2691</v>
      </c>
      <c r="D11408" s="18">
        <v>2021</v>
      </c>
      <c r="E11408" s="18"/>
      <c r="F11408" s="4">
        <v>1</v>
      </c>
      <c r="G11408" s="4">
        <v>15</v>
      </c>
      <c r="H11408" s="4">
        <v>28.288</v>
      </c>
    </row>
    <row r="11409" spans="1:8" s="15" customFormat="1" ht="19.5" hidden="1" customHeight="1" outlineLevel="1" x14ac:dyDescent="0.25">
      <c r="A11409" s="46">
        <v>9497</v>
      </c>
      <c r="B11409" s="4" t="s">
        <v>250</v>
      </c>
      <c r="C11409" s="22" t="s">
        <v>1535</v>
      </c>
      <c r="D11409" s="18">
        <v>2021</v>
      </c>
      <c r="E11409" s="18"/>
      <c r="F11409" s="4">
        <v>3</v>
      </c>
      <c r="G11409" s="4">
        <v>45</v>
      </c>
      <c r="H11409" s="4">
        <v>107.339</v>
      </c>
    </row>
    <row r="11410" spans="1:8" s="15" customFormat="1" ht="19.5" hidden="1" customHeight="1" outlineLevel="1" x14ac:dyDescent="0.25">
      <c r="A11410" s="46">
        <v>9510</v>
      </c>
      <c r="B11410" s="4" t="s">
        <v>250</v>
      </c>
      <c r="C11410" s="22" t="s">
        <v>2692</v>
      </c>
      <c r="D11410" s="18">
        <v>2021</v>
      </c>
      <c r="E11410" s="18"/>
      <c r="F11410" s="4">
        <v>1</v>
      </c>
      <c r="G11410" s="4">
        <v>100</v>
      </c>
      <c r="H11410" s="4">
        <v>66.305000000000007</v>
      </c>
    </row>
    <row r="11411" spans="1:8" s="15" customFormat="1" ht="19.5" hidden="1" customHeight="1" outlineLevel="1" x14ac:dyDescent="0.25">
      <c r="A11411" s="46">
        <v>10289</v>
      </c>
      <c r="B11411" s="4" t="s">
        <v>250</v>
      </c>
      <c r="C11411" s="22" t="s">
        <v>2693</v>
      </c>
      <c r="D11411" s="18">
        <v>2021</v>
      </c>
      <c r="E11411" s="18"/>
      <c r="F11411" s="4">
        <v>1</v>
      </c>
      <c r="G11411" s="4">
        <v>15</v>
      </c>
      <c r="H11411" s="4">
        <v>32.630000000000003</v>
      </c>
    </row>
    <row r="11412" spans="1:8" s="15" customFormat="1" ht="19.5" hidden="1" customHeight="1" outlineLevel="1" x14ac:dyDescent="0.25">
      <c r="A11412" s="46">
        <v>10291</v>
      </c>
      <c r="B11412" s="4" t="s">
        <v>250</v>
      </c>
      <c r="C11412" s="22" t="s">
        <v>2694</v>
      </c>
      <c r="D11412" s="18">
        <v>2021</v>
      </c>
      <c r="E11412" s="18"/>
      <c r="F11412" s="4">
        <v>1</v>
      </c>
      <c r="G11412" s="4">
        <v>10</v>
      </c>
      <c r="H11412" s="4">
        <v>30.379000000000001</v>
      </c>
    </row>
    <row r="11413" spans="1:8" s="15" customFormat="1" ht="19.5" hidden="1" customHeight="1" outlineLevel="1" x14ac:dyDescent="0.25">
      <c r="A11413" s="46">
        <v>10282</v>
      </c>
      <c r="B11413" s="4" t="s">
        <v>250</v>
      </c>
      <c r="C11413" s="22" t="s">
        <v>2695</v>
      </c>
      <c r="D11413" s="18">
        <v>2021</v>
      </c>
      <c r="E11413" s="18"/>
      <c r="F11413" s="4">
        <v>1</v>
      </c>
      <c r="G11413" s="4">
        <v>15</v>
      </c>
      <c r="H11413" s="4">
        <v>33.923000000000002</v>
      </c>
    </row>
    <row r="11414" spans="1:8" s="15" customFormat="1" ht="19.5" hidden="1" customHeight="1" outlineLevel="1" x14ac:dyDescent="0.25">
      <c r="A11414" s="46">
        <v>10290</v>
      </c>
      <c r="B11414" s="4" t="s">
        <v>250</v>
      </c>
      <c r="C11414" s="22" t="s">
        <v>2696</v>
      </c>
      <c r="D11414" s="18">
        <v>2021</v>
      </c>
      <c r="E11414" s="18"/>
      <c r="F11414" s="4">
        <v>1</v>
      </c>
      <c r="G11414" s="4">
        <v>15</v>
      </c>
      <c r="H11414" s="4">
        <v>33.847999999999999</v>
      </c>
    </row>
    <row r="11415" spans="1:8" s="15" customFormat="1" ht="19.5" hidden="1" customHeight="1" outlineLevel="1" x14ac:dyDescent="0.25">
      <c r="A11415" s="46">
        <v>10299</v>
      </c>
      <c r="B11415" s="4" t="s">
        <v>250</v>
      </c>
      <c r="C11415" s="22" t="s">
        <v>2697</v>
      </c>
      <c r="D11415" s="18">
        <v>2021</v>
      </c>
      <c r="E11415" s="18"/>
      <c r="F11415" s="4">
        <v>1</v>
      </c>
      <c r="G11415" s="4">
        <v>15</v>
      </c>
      <c r="H11415" s="4">
        <v>31.143000000000001</v>
      </c>
    </row>
    <row r="11416" spans="1:8" s="15" customFormat="1" ht="19.5" hidden="1" customHeight="1" outlineLevel="1" x14ac:dyDescent="0.25">
      <c r="A11416" s="46">
        <v>10298</v>
      </c>
      <c r="B11416" s="4" t="s">
        <v>250</v>
      </c>
      <c r="C11416" s="22" t="s">
        <v>2698</v>
      </c>
      <c r="D11416" s="18">
        <v>2021</v>
      </c>
      <c r="E11416" s="18"/>
      <c r="F11416" s="4">
        <v>1</v>
      </c>
      <c r="G11416" s="4">
        <v>15</v>
      </c>
      <c r="H11416" s="4">
        <v>29.890999999999998</v>
      </c>
    </row>
    <row r="11417" spans="1:8" s="15" customFormat="1" ht="19.5" hidden="1" customHeight="1" outlineLevel="1" x14ac:dyDescent="0.25">
      <c r="A11417" s="46">
        <v>10305</v>
      </c>
      <c r="B11417" s="4" t="s">
        <v>250</v>
      </c>
      <c r="C11417" s="22" t="s">
        <v>2699</v>
      </c>
      <c r="D11417" s="18">
        <v>2021</v>
      </c>
      <c r="E11417" s="18"/>
      <c r="F11417" s="4">
        <v>1</v>
      </c>
      <c r="G11417" s="4">
        <v>15</v>
      </c>
      <c r="H11417" s="4">
        <v>32.515999999999998</v>
      </c>
    </row>
    <row r="11418" spans="1:8" s="15" customFormat="1" ht="19.5" hidden="1" customHeight="1" outlineLevel="1" x14ac:dyDescent="0.25">
      <c r="A11418" s="46">
        <v>10303</v>
      </c>
      <c r="B11418" s="4" t="s">
        <v>250</v>
      </c>
      <c r="C11418" s="22" t="s">
        <v>2700</v>
      </c>
      <c r="D11418" s="18">
        <v>2021</v>
      </c>
      <c r="E11418" s="18"/>
      <c r="F11418" s="4">
        <v>1</v>
      </c>
      <c r="G11418" s="4">
        <v>15</v>
      </c>
      <c r="H11418" s="4">
        <v>32.505000000000003</v>
      </c>
    </row>
    <row r="11419" spans="1:8" s="15" customFormat="1" ht="19.5" hidden="1" customHeight="1" outlineLevel="1" x14ac:dyDescent="0.25">
      <c r="A11419" s="46">
        <v>10285</v>
      </c>
      <c r="B11419" s="4" t="s">
        <v>250</v>
      </c>
      <c r="C11419" s="22" t="s">
        <v>2701</v>
      </c>
      <c r="D11419" s="18">
        <v>2021</v>
      </c>
      <c r="E11419" s="18"/>
      <c r="F11419" s="4">
        <v>1</v>
      </c>
      <c r="G11419" s="4">
        <v>15</v>
      </c>
      <c r="H11419" s="4">
        <v>35.957000000000001</v>
      </c>
    </row>
    <row r="11420" spans="1:8" s="15" customFormat="1" ht="19.5" hidden="1" customHeight="1" outlineLevel="1" x14ac:dyDescent="0.25">
      <c r="A11420" s="46">
        <v>10307</v>
      </c>
      <c r="B11420" s="4" t="s">
        <v>250</v>
      </c>
      <c r="C11420" s="22" t="s">
        <v>2702</v>
      </c>
      <c r="D11420" s="18">
        <v>2021</v>
      </c>
      <c r="E11420" s="18"/>
      <c r="F11420" s="4">
        <v>1</v>
      </c>
      <c r="G11420" s="4">
        <v>3.12</v>
      </c>
      <c r="H11420" s="4">
        <v>24.797999999999998</v>
      </c>
    </row>
    <row r="11421" spans="1:8" s="15" customFormat="1" ht="19.5" hidden="1" customHeight="1" outlineLevel="1" x14ac:dyDescent="0.25">
      <c r="A11421" s="46">
        <v>9501</v>
      </c>
      <c r="B11421" s="4" t="s">
        <v>250</v>
      </c>
      <c r="C11421" s="22" t="s">
        <v>1991</v>
      </c>
      <c r="D11421" s="18">
        <v>2021</v>
      </c>
      <c r="E11421" s="18"/>
      <c r="F11421" s="4">
        <v>3</v>
      </c>
      <c r="G11421" s="4">
        <v>115</v>
      </c>
      <c r="H11421" s="4">
        <v>72.733000000000004</v>
      </c>
    </row>
    <row r="11422" spans="1:8" s="15" customFormat="1" ht="19.5" hidden="1" customHeight="1" outlineLevel="1" x14ac:dyDescent="0.25">
      <c r="A11422" s="46">
        <v>9481</v>
      </c>
      <c r="B11422" s="4" t="s">
        <v>250</v>
      </c>
      <c r="C11422" s="22" t="s">
        <v>2703</v>
      </c>
      <c r="D11422" s="18">
        <v>2021</v>
      </c>
      <c r="E11422" s="18"/>
      <c r="F11422" s="4">
        <v>1</v>
      </c>
      <c r="G11422" s="4">
        <v>7.5</v>
      </c>
      <c r="H11422" s="4">
        <v>54.896999999999998</v>
      </c>
    </row>
    <row r="11423" spans="1:8" s="15" customFormat="1" ht="19.5" hidden="1" customHeight="1" outlineLevel="1" x14ac:dyDescent="0.25">
      <c r="A11423" s="46">
        <v>10283</v>
      </c>
      <c r="B11423" s="4" t="s">
        <v>250</v>
      </c>
      <c r="C11423" s="22" t="s">
        <v>2704</v>
      </c>
      <c r="D11423" s="18">
        <v>2021</v>
      </c>
      <c r="E11423" s="18"/>
      <c r="F11423" s="4">
        <v>1</v>
      </c>
      <c r="G11423" s="4">
        <v>15</v>
      </c>
      <c r="H11423" s="4">
        <v>31.998000000000001</v>
      </c>
    </row>
    <row r="11424" spans="1:8" s="15" customFormat="1" ht="19.5" hidden="1" customHeight="1" outlineLevel="1" x14ac:dyDescent="0.25">
      <c r="A11424" s="46">
        <v>9466</v>
      </c>
      <c r="B11424" s="4" t="s">
        <v>250</v>
      </c>
      <c r="C11424" s="22" t="s">
        <v>2705</v>
      </c>
      <c r="D11424" s="18">
        <v>2021</v>
      </c>
      <c r="E11424" s="18"/>
      <c r="F11424" s="4">
        <v>1</v>
      </c>
      <c r="G11424" s="4">
        <v>15</v>
      </c>
      <c r="H11424" s="4">
        <v>53.488</v>
      </c>
    </row>
    <row r="11425" spans="1:8" s="15" customFormat="1" ht="19.5" hidden="1" customHeight="1" outlineLevel="1" x14ac:dyDescent="0.25">
      <c r="A11425" s="46">
        <v>9503</v>
      </c>
      <c r="B11425" s="4" t="s">
        <v>250</v>
      </c>
      <c r="C11425" s="22" t="s">
        <v>1539</v>
      </c>
      <c r="D11425" s="18">
        <v>2021</v>
      </c>
      <c r="E11425" s="18"/>
      <c r="F11425" s="4">
        <v>1</v>
      </c>
      <c r="G11425" s="4">
        <v>100</v>
      </c>
      <c r="H11425" s="4">
        <v>52.945</v>
      </c>
    </row>
    <row r="11426" spans="1:8" s="15" customFormat="1" ht="19.5" hidden="1" customHeight="1" outlineLevel="1" x14ac:dyDescent="0.25">
      <c r="A11426" s="46">
        <v>10280</v>
      </c>
      <c r="B11426" s="4" t="s">
        <v>250</v>
      </c>
      <c r="C11426" s="22" t="s">
        <v>2706</v>
      </c>
      <c r="D11426" s="18">
        <v>2021</v>
      </c>
      <c r="E11426" s="18"/>
      <c r="F11426" s="4">
        <v>1</v>
      </c>
      <c r="G11426" s="4">
        <v>15</v>
      </c>
      <c r="H11426" s="4">
        <v>32.570999999999998</v>
      </c>
    </row>
    <row r="11427" spans="1:8" s="15" customFormat="1" ht="19.5" hidden="1" customHeight="1" outlineLevel="1" x14ac:dyDescent="0.25">
      <c r="A11427" s="46">
        <v>10277</v>
      </c>
      <c r="B11427" s="4" t="s">
        <v>250</v>
      </c>
      <c r="C11427" s="22" t="s">
        <v>2707</v>
      </c>
      <c r="D11427" s="18">
        <v>2021</v>
      </c>
      <c r="E11427" s="18"/>
      <c r="F11427" s="4">
        <v>1</v>
      </c>
      <c r="G11427" s="4">
        <v>15</v>
      </c>
      <c r="H11427" s="4">
        <v>34.75</v>
      </c>
    </row>
    <row r="11428" spans="1:8" s="15" customFormat="1" ht="19.5" hidden="1" customHeight="1" outlineLevel="1" x14ac:dyDescent="0.25">
      <c r="A11428" s="46">
        <v>10301</v>
      </c>
      <c r="B11428" s="4" t="s">
        <v>250</v>
      </c>
      <c r="C11428" s="22" t="s">
        <v>2708</v>
      </c>
      <c r="D11428" s="18">
        <v>2021</v>
      </c>
      <c r="E11428" s="18"/>
      <c r="F11428" s="4">
        <v>1</v>
      </c>
      <c r="G11428" s="4">
        <v>15</v>
      </c>
      <c r="H11428" s="4">
        <v>35.503999999999998</v>
      </c>
    </row>
    <row r="11429" spans="1:8" s="15" customFormat="1" ht="19.5" hidden="1" customHeight="1" outlineLevel="1" x14ac:dyDescent="0.25">
      <c r="A11429" s="46">
        <v>9502</v>
      </c>
      <c r="B11429" s="4" t="s">
        <v>250</v>
      </c>
      <c r="C11429" s="22" t="s">
        <v>1541</v>
      </c>
      <c r="D11429" s="18">
        <v>2021</v>
      </c>
      <c r="E11429" s="18"/>
      <c r="F11429" s="4">
        <v>1</v>
      </c>
      <c r="G11429" s="4">
        <v>15</v>
      </c>
      <c r="H11429" s="4">
        <v>102.81</v>
      </c>
    </row>
    <row r="11430" spans="1:8" s="15" customFormat="1" ht="19.5" hidden="1" customHeight="1" outlineLevel="1" x14ac:dyDescent="0.25">
      <c r="A11430" s="46">
        <v>9495</v>
      </c>
      <c r="B11430" s="4" t="s">
        <v>250</v>
      </c>
      <c r="C11430" s="22" t="s">
        <v>1542</v>
      </c>
      <c r="D11430" s="18">
        <v>2021</v>
      </c>
      <c r="E11430" s="18"/>
      <c r="F11430" s="4">
        <v>1</v>
      </c>
      <c r="G11430" s="4">
        <v>15</v>
      </c>
      <c r="H11430" s="4">
        <v>165.33600000000001</v>
      </c>
    </row>
    <row r="11431" spans="1:8" s="15" customFormat="1" ht="19.5" hidden="1" customHeight="1" outlineLevel="1" x14ac:dyDescent="0.25">
      <c r="A11431" s="46">
        <v>9103</v>
      </c>
      <c r="B11431" s="4" t="s">
        <v>250</v>
      </c>
      <c r="C11431" s="22" t="s">
        <v>2709</v>
      </c>
      <c r="D11431" s="18">
        <v>2021</v>
      </c>
      <c r="E11431" s="18"/>
      <c r="F11431" s="4">
        <v>1</v>
      </c>
      <c r="G11431" s="4">
        <v>15</v>
      </c>
      <c r="H11431" s="4">
        <v>32.177</v>
      </c>
    </row>
    <row r="11432" spans="1:8" s="15" customFormat="1" ht="19.5" hidden="1" customHeight="1" outlineLevel="1" x14ac:dyDescent="0.25">
      <c r="A11432" s="46">
        <v>9499</v>
      </c>
      <c r="B11432" s="4" t="s">
        <v>250</v>
      </c>
      <c r="C11432" s="22" t="s">
        <v>1543</v>
      </c>
      <c r="D11432" s="18">
        <v>2021</v>
      </c>
      <c r="E11432" s="18"/>
      <c r="F11432" s="4">
        <v>1</v>
      </c>
      <c r="G11432" s="4">
        <v>15</v>
      </c>
      <c r="H11432" s="4">
        <v>59.594000000000001</v>
      </c>
    </row>
    <row r="11433" spans="1:8" s="15" customFormat="1" ht="19.5" hidden="1" customHeight="1" outlineLevel="1" x14ac:dyDescent="0.25">
      <c r="A11433" s="46">
        <v>9102</v>
      </c>
      <c r="B11433" s="4" t="s">
        <v>250</v>
      </c>
      <c r="C11433" s="22" t="s">
        <v>2710</v>
      </c>
      <c r="D11433" s="18">
        <v>2021</v>
      </c>
      <c r="E11433" s="18"/>
      <c r="F11433" s="4">
        <v>1</v>
      </c>
      <c r="G11433" s="4">
        <v>15</v>
      </c>
      <c r="H11433" s="4">
        <v>38.570999999999998</v>
      </c>
    </row>
    <row r="11434" spans="1:8" s="15" customFormat="1" ht="19.5" hidden="1" customHeight="1" outlineLevel="1" x14ac:dyDescent="0.25">
      <c r="A11434" s="46">
        <v>9500</v>
      </c>
      <c r="B11434" s="4" t="s">
        <v>250</v>
      </c>
      <c r="C11434" s="22" t="s">
        <v>1544</v>
      </c>
      <c r="D11434" s="18">
        <v>2021</v>
      </c>
      <c r="E11434" s="18"/>
      <c r="F11434" s="4">
        <v>1</v>
      </c>
      <c r="G11434" s="4">
        <v>15</v>
      </c>
      <c r="H11434" s="4">
        <v>49.920999999999999</v>
      </c>
    </row>
    <row r="11435" spans="1:8" s="15" customFormat="1" ht="19.5" hidden="1" customHeight="1" outlineLevel="1" x14ac:dyDescent="0.25">
      <c r="A11435" s="46">
        <v>9478</v>
      </c>
      <c r="B11435" s="4" t="s">
        <v>250</v>
      </c>
      <c r="C11435" s="22" t="s">
        <v>1545</v>
      </c>
      <c r="D11435" s="18">
        <v>2021</v>
      </c>
      <c r="E11435" s="18"/>
      <c r="F11435" s="4">
        <v>1</v>
      </c>
      <c r="G11435" s="4">
        <v>15</v>
      </c>
      <c r="H11435" s="4">
        <v>89.468999999999994</v>
      </c>
    </row>
    <row r="11436" spans="1:8" s="15" customFormat="1" ht="19.5" hidden="1" customHeight="1" outlineLevel="1" x14ac:dyDescent="0.25">
      <c r="A11436" s="46">
        <v>10288</v>
      </c>
      <c r="B11436" s="4" t="s">
        <v>250</v>
      </c>
      <c r="C11436" s="22" t="s">
        <v>2711</v>
      </c>
      <c r="D11436" s="18">
        <v>2021</v>
      </c>
      <c r="E11436" s="18"/>
      <c r="F11436" s="4">
        <v>1</v>
      </c>
      <c r="G11436" s="4">
        <v>15</v>
      </c>
      <c r="H11436" s="4">
        <v>27.81</v>
      </c>
    </row>
    <row r="11437" spans="1:8" s="15" customFormat="1" ht="19.5" hidden="1" customHeight="1" outlineLevel="1" x14ac:dyDescent="0.25">
      <c r="A11437" s="46">
        <v>10300</v>
      </c>
      <c r="B11437" s="4" t="s">
        <v>250</v>
      </c>
      <c r="C11437" s="22" t="s">
        <v>2712</v>
      </c>
      <c r="D11437" s="18">
        <v>2021</v>
      </c>
      <c r="E11437" s="18"/>
      <c r="F11437" s="4">
        <v>1</v>
      </c>
      <c r="G11437" s="4">
        <v>10</v>
      </c>
      <c r="H11437" s="4">
        <v>31.899000000000001</v>
      </c>
    </row>
    <row r="11438" spans="1:8" s="15" customFormat="1" ht="19.5" hidden="1" customHeight="1" outlineLevel="1" x14ac:dyDescent="0.25">
      <c r="A11438" s="45">
        <v>2204</v>
      </c>
      <c r="B11438" s="4" t="s">
        <v>250</v>
      </c>
      <c r="C11438" s="22" t="s">
        <v>2713</v>
      </c>
      <c r="D11438" s="18">
        <v>2021</v>
      </c>
      <c r="E11438" s="18"/>
      <c r="F11438" s="4">
        <v>1</v>
      </c>
      <c r="G11438" s="4">
        <v>15</v>
      </c>
      <c r="H11438" s="4">
        <v>30.672999999999998</v>
      </c>
    </row>
    <row r="11439" spans="1:8" s="15" customFormat="1" ht="19.5" hidden="1" customHeight="1" outlineLevel="1" x14ac:dyDescent="0.25">
      <c r="A11439" s="46">
        <v>10306</v>
      </c>
      <c r="B11439" s="4" t="s">
        <v>250</v>
      </c>
      <c r="C11439" s="22" t="s">
        <v>2714</v>
      </c>
      <c r="D11439" s="18">
        <v>2021</v>
      </c>
      <c r="E11439" s="18"/>
      <c r="F11439" s="4">
        <v>1</v>
      </c>
      <c r="G11439" s="4">
        <v>15</v>
      </c>
      <c r="H11439" s="4">
        <v>30.878</v>
      </c>
    </row>
    <row r="11440" spans="1:8" s="15" customFormat="1" ht="19.5" hidden="1" customHeight="1" outlineLevel="1" x14ac:dyDescent="0.25">
      <c r="A11440" s="46">
        <v>10278</v>
      </c>
      <c r="B11440" s="4" t="s">
        <v>250</v>
      </c>
      <c r="C11440" s="22" t="s">
        <v>2715</v>
      </c>
      <c r="D11440" s="18">
        <v>2021</v>
      </c>
      <c r="E11440" s="18"/>
      <c r="F11440" s="4">
        <v>1</v>
      </c>
      <c r="G11440" s="4">
        <v>15</v>
      </c>
      <c r="H11440" s="4">
        <v>34.567999999999998</v>
      </c>
    </row>
    <row r="11441" spans="1:8" s="15" customFormat="1" ht="19.5" hidden="1" customHeight="1" outlineLevel="1" x14ac:dyDescent="0.25">
      <c r="A11441" s="45">
        <v>362</v>
      </c>
      <c r="B11441" s="4" t="s">
        <v>250</v>
      </c>
      <c r="C11441" s="22" t="s">
        <v>1548</v>
      </c>
      <c r="D11441" s="18">
        <v>2021</v>
      </c>
      <c r="E11441" s="18"/>
      <c r="F11441" s="4">
        <v>1</v>
      </c>
      <c r="G11441" s="4">
        <v>15</v>
      </c>
      <c r="H11441" s="4">
        <v>38</v>
      </c>
    </row>
    <row r="11442" spans="1:8" s="15" customFormat="1" ht="19.5" hidden="1" customHeight="1" outlineLevel="1" x14ac:dyDescent="0.25">
      <c r="A11442" s="46">
        <v>9433</v>
      </c>
      <c r="B11442" s="4" t="s">
        <v>250</v>
      </c>
      <c r="C11442" s="22" t="s">
        <v>1549</v>
      </c>
      <c r="D11442" s="18">
        <v>2021</v>
      </c>
      <c r="E11442" s="18"/>
      <c r="F11442" s="4">
        <v>1</v>
      </c>
      <c r="G11442" s="4">
        <v>15</v>
      </c>
      <c r="H11442" s="4">
        <v>25</v>
      </c>
    </row>
    <row r="11443" spans="1:8" s="15" customFormat="1" ht="19.5" hidden="1" customHeight="1" outlineLevel="1" x14ac:dyDescent="0.25">
      <c r="A11443" s="46">
        <v>9321</v>
      </c>
      <c r="B11443" s="4" t="s">
        <v>250</v>
      </c>
      <c r="C11443" s="22" t="s">
        <v>1550</v>
      </c>
      <c r="D11443" s="18">
        <v>2021</v>
      </c>
      <c r="E11443" s="18"/>
      <c r="F11443" s="4">
        <v>1</v>
      </c>
      <c r="G11443" s="4">
        <v>15</v>
      </c>
      <c r="H11443" s="4">
        <v>30</v>
      </c>
    </row>
    <row r="11444" spans="1:8" s="15" customFormat="1" ht="19.5" hidden="1" customHeight="1" outlineLevel="1" x14ac:dyDescent="0.25">
      <c r="A11444" s="45">
        <v>1124</v>
      </c>
      <c r="B11444" s="4" t="s">
        <v>250</v>
      </c>
      <c r="C11444" s="22" t="s">
        <v>1551</v>
      </c>
      <c r="D11444" s="18">
        <v>2021</v>
      </c>
      <c r="E11444" s="18"/>
      <c r="F11444" s="4">
        <v>1</v>
      </c>
      <c r="G11444" s="4">
        <v>150</v>
      </c>
      <c r="H11444" s="4">
        <v>23</v>
      </c>
    </row>
    <row r="11445" spans="1:8" s="15" customFormat="1" ht="19.5" hidden="1" customHeight="1" outlineLevel="1" x14ac:dyDescent="0.25">
      <c r="A11445" s="46">
        <v>9451</v>
      </c>
      <c r="B11445" s="4" t="s">
        <v>250</v>
      </c>
      <c r="C11445" s="22" t="s">
        <v>1812</v>
      </c>
      <c r="D11445" s="18">
        <v>2021</v>
      </c>
      <c r="E11445" s="18"/>
      <c r="F11445" s="4">
        <v>1</v>
      </c>
      <c r="G11445" s="4">
        <v>150</v>
      </c>
      <c r="H11445" s="4">
        <v>25</v>
      </c>
    </row>
    <row r="11446" spans="1:8" s="15" customFormat="1" ht="19.5" hidden="1" customHeight="1" outlineLevel="1" x14ac:dyDescent="0.25">
      <c r="A11446" s="46">
        <v>9087</v>
      </c>
      <c r="B11446" s="4" t="s">
        <v>250</v>
      </c>
      <c r="C11446" s="22" t="s">
        <v>1554</v>
      </c>
      <c r="D11446" s="18">
        <v>2021</v>
      </c>
      <c r="E11446" s="18"/>
      <c r="F11446" s="4">
        <v>1</v>
      </c>
      <c r="G11446" s="4">
        <v>15</v>
      </c>
      <c r="H11446" s="4">
        <v>39</v>
      </c>
    </row>
    <row r="11447" spans="1:8" s="15" customFormat="1" ht="19.5" hidden="1" customHeight="1" outlineLevel="1" x14ac:dyDescent="0.25">
      <c r="A11447" s="46">
        <v>9300</v>
      </c>
      <c r="B11447" s="4" t="s">
        <v>250</v>
      </c>
      <c r="C11447" s="22" t="s">
        <v>1555</v>
      </c>
      <c r="D11447" s="18">
        <v>2021</v>
      </c>
      <c r="E11447" s="18"/>
      <c r="F11447" s="4">
        <v>1</v>
      </c>
      <c r="G11447" s="4">
        <v>15</v>
      </c>
      <c r="H11447" s="4">
        <v>38</v>
      </c>
    </row>
    <row r="11448" spans="1:8" s="15" customFormat="1" ht="19.5" hidden="1" customHeight="1" outlineLevel="1" x14ac:dyDescent="0.25">
      <c r="A11448" s="45">
        <v>543</v>
      </c>
      <c r="B11448" s="4" t="s">
        <v>250</v>
      </c>
      <c r="C11448" s="22" t="s">
        <v>1557</v>
      </c>
      <c r="D11448" s="18">
        <v>2021</v>
      </c>
      <c r="E11448" s="18"/>
      <c r="F11448" s="4">
        <v>1</v>
      </c>
      <c r="G11448" s="4">
        <v>40</v>
      </c>
      <c r="H11448" s="4">
        <v>39</v>
      </c>
    </row>
    <row r="11449" spans="1:8" s="15" customFormat="1" ht="19.5" hidden="1" customHeight="1" outlineLevel="1" x14ac:dyDescent="0.25">
      <c r="A11449" s="46">
        <v>10124</v>
      </c>
      <c r="B11449" s="4" t="s">
        <v>250</v>
      </c>
      <c r="C11449" s="22" t="s">
        <v>2716</v>
      </c>
      <c r="D11449" s="18">
        <v>2021</v>
      </c>
      <c r="E11449" s="18"/>
      <c r="F11449" s="4">
        <v>1</v>
      </c>
      <c r="G11449" s="4">
        <v>15</v>
      </c>
      <c r="H11449" s="4">
        <v>26</v>
      </c>
    </row>
    <row r="11450" spans="1:8" s="15" customFormat="1" ht="19.5" hidden="1" customHeight="1" outlineLevel="1" x14ac:dyDescent="0.25">
      <c r="A11450" s="46">
        <v>10125</v>
      </c>
      <c r="B11450" s="4" t="s">
        <v>250</v>
      </c>
      <c r="C11450" s="22" t="s">
        <v>2717</v>
      </c>
      <c r="D11450" s="18">
        <v>2021</v>
      </c>
      <c r="E11450" s="18"/>
      <c r="F11450" s="4">
        <v>1</v>
      </c>
      <c r="G11450" s="4">
        <v>15</v>
      </c>
      <c r="H11450" s="4">
        <v>26</v>
      </c>
    </row>
    <row r="11451" spans="1:8" s="15" customFormat="1" ht="19.5" hidden="1" customHeight="1" outlineLevel="1" x14ac:dyDescent="0.25">
      <c r="A11451" s="46">
        <v>10154</v>
      </c>
      <c r="B11451" s="4" t="s">
        <v>250</v>
      </c>
      <c r="C11451" s="22" t="s">
        <v>2718</v>
      </c>
      <c r="D11451" s="18">
        <v>2021</v>
      </c>
      <c r="E11451" s="18"/>
      <c r="F11451" s="4">
        <v>1</v>
      </c>
      <c r="G11451" s="4">
        <v>15</v>
      </c>
      <c r="H11451" s="4">
        <v>26</v>
      </c>
    </row>
    <row r="11452" spans="1:8" s="15" customFormat="1" ht="19.5" hidden="1" customHeight="1" outlineLevel="1" x14ac:dyDescent="0.25">
      <c r="A11452" s="46">
        <v>10159</v>
      </c>
      <c r="B11452" s="4" t="s">
        <v>250</v>
      </c>
      <c r="C11452" s="22" t="s">
        <v>2719</v>
      </c>
      <c r="D11452" s="18">
        <v>2021</v>
      </c>
      <c r="E11452" s="18"/>
      <c r="F11452" s="4">
        <v>1</v>
      </c>
      <c r="G11452" s="4">
        <v>15</v>
      </c>
      <c r="H11452" s="4">
        <v>26</v>
      </c>
    </row>
    <row r="11453" spans="1:8" s="15" customFormat="1" ht="19.5" hidden="1" customHeight="1" outlineLevel="1" x14ac:dyDescent="0.25">
      <c r="A11453" s="46">
        <v>10181</v>
      </c>
      <c r="B11453" s="4" t="s">
        <v>250</v>
      </c>
      <c r="C11453" s="22" t="s">
        <v>2720</v>
      </c>
      <c r="D11453" s="18">
        <v>2021</v>
      </c>
      <c r="E11453" s="18"/>
      <c r="F11453" s="4">
        <v>1</v>
      </c>
      <c r="G11453" s="4">
        <v>15</v>
      </c>
      <c r="H11453" s="4">
        <v>26</v>
      </c>
    </row>
    <row r="11454" spans="1:8" s="15" customFormat="1" ht="19.5" hidden="1" customHeight="1" outlineLevel="1" x14ac:dyDescent="0.25">
      <c r="A11454" s="46">
        <v>10127</v>
      </c>
      <c r="B11454" s="4" t="s">
        <v>250</v>
      </c>
      <c r="C11454" s="22" t="s">
        <v>2721</v>
      </c>
      <c r="D11454" s="18">
        <v>2021</v>
      </c>
      <c r="E11454" s="18"/>
      <c r="F11454" s="4">
        <v>1</v>
      </c>
      <c r="G11454" s="4">
        <v>15</v>
      </c>
      <c r="H11454" s="4">
        <v>26</v>
      </c>
    </row>
    <row r="11455" spans="1:8" s="15" customFormat="1" ht="19.5" hidden="1" customHeight="1" outlineLevel="1" x14ac:dyDescent="0.25">
      <c r="A11455" s="46">
        <v>10129</v>
      </c>
      <c r="B11455" s="4" t="s">
        <v>250</v>
      </c>
      <c r="C11455" s="22" t="s">
        <v>2722</v>
      </c>
      <c r="D11455" s="18">
        <v>2021</v>
      </c>
      <c r="E11455" s="18"/>
      <c r="F11455" s="4">
        <v>1</v>
      </c>
      <c r="G11455" s="4">
        <v>15</v>
      </c>
      <c r="H11455" s="4">
        <v>27</v>
      </c>
    </row>
    <row r="11456" spans="1:8" s="15" customFormat="1" ht="19.5" hidden="1" customHeight="1" outlineLevel="1" x14ac:dyDescent="0.25">
      <c r="A11456" s="46">
        <v>10133</v>
      </c>
      <c r="B11456" s="4" t="s">
        <v>250</v>
      </c>
      <c r="C11456" s="22" t="s">
        <v>2723</v>
      </c>
      <c r="D11456" s="18">
        <v>2021</v>
      </c>
      <c r="E11456" s="18"/>
      <c r="F11456" s="4">
        <v>1</v>
      </c>
      <c r="G11456" s="4">
        <v>15</v>
      </c>
      <c r="H11456" s="4">
        <v>26</v>
      </c>
    </row>
    <row r="11457" spans="1:8" s="15" customFormat="1" ht="19.5" hidden="1" customHeight="1" outlineLevel="1" x14ac:dyDescent="0.25">
      <c r="A11457" s="46">
        <v>10134</v>
      </c>
      <c r="B11457" s="4" t="s">
        <v>250</v>
      </c>
      <c r="C11457" s="22" t="s">
        <v>2724</v>
      </c>
      <c r="D11457" s="18">
        <v>2021</v>
      </c>
      <c r="E11457" s="18"/>
      <c r="F11457" s="4">
        <v>1</v>
      </c>
      <c r="G11457" s="4">
        <v>15</v>
      </c>
      <c r="H11457" s="4">
        <v>26</v>
      </c>
    </row>
    <row r="11458" spans="1:8" s="15" customFormat="1" ht="19.5" hidden="1" customHeight="1" outlineLevel="1" x14ac:dyDescent="0.25">
      <c r="A11458" s="46">
        <v>10155</v>
      </c>
      <c r="B11458" s="4" t="s">
        <v>250</v>
      </c>
      <c r="C11458" s="22" t="s">
        <v>2725</v>
      </c>
      <c r="D11458" s="18">
        <v>2021</v>
      </c>
      <c r="E11458" s="18"/>
      <c r="F11458" s="4">
        <v>1</v>
      </c>
      <c r="G11458" s="4">
        <v>7</v>
      </c>
      <c r="H11458" s="4">
        <v>26</v>
      </c>
    </row>
    <row r="11459" spans="1:8" s="15" customFormat="1" ht="19.5" hidden="1" customHeight="1" outlineLevel="1" x14ac:dyDescent="0.25">
      <c r="A11459" s="45">
        <v>2089</v>
      </c>
      <c r="B11459" s="4" t="s">
        <v>250</v>
      </c>
      <c r="C11459" s="22" t="s">
        <v>2726</v>
      </c>
      <c r="D11459" s="18">
        <v>2021</v>
      </c>
      <c r="E11459" s="18"/>
      <c r="F11459" s="4">
        <v>1</v>
      </c>
      <c r="G11459" s="4">
        <v>14</v>
      </c>
      <c r="H11459" s="4">
        <v>27</v>
      </c>
    </row>
    <row r="11460" spans="1:8" s="15" customFormat="1" ht="19.5" hidden="1" customHeight="1" outlineLevel="1" x14ac:dyDescent="0.25">
      <c r="A11460" s="46">
        <v>10158</v>
      </c>
      <c r="B11460" s="4" t="s">
        <v>250</v>
      </c>
      <c r="C11460" s="22" t="s">
        <v>2727</v>
      </c>
      <c r="D11460" s="18">
        <v>2021</v>
      </c>
      <c r="E11460" s="18"/>
      <c r="F11460" s="4">
        <v>1</v>
      </c>
      <c r="G11460" s="4">
        <v>15</v>
      </c>
      <c r="H11460" s="4">
        <v>26</v>
      </c>
    </row>
    <row r="11461" spans="1:8" s="15" customFormat="1" ht="19.5" hidden="1" customHeight="1" outlineLevel="1" x14ac:dyDescent="0.25">
      <c r="A11461" s="45">
        <v>2094</v>
      </c>
      <c r="B11461" s="4" t="s">
        <v>250</v>
      </c>
      <c r="C11461" s="22" t="s">
        <v>2728</v>
      </c>
      <c r="D11461" s="18">
        <v>2021</v>
      </c>
      <c r="E11461" s="18"/>
      <c r="F11461" s="4">
        <v>1</v>
      </c>
      <c r="G11461" s="4">
        <v>15</v>
      </c>
      <c r="H11461" s="4">
        <v>26</v>
      </c>
    </row>
    <row r="11462" spans="1:8" s="15" customFormat="1" ht="19.5" hidden="1" customHeight="1" outlineLevel="1" x14ac:dyDescent="0.25">
      <c r="A11462" s="46">
        <v>10172</v>
      </c>
      <c r="B11462" s="4" t="s">
        <v>250</v>
      </c>
      <c r="C11462" s="22" t="s">
        <v>2729</v>
      </c>
      <c r="D11462" s="18">
        <v>2021</v>
      </c>
      <c r="E11462" s="18"/>
      <c r="F11462" s="4">
        <v>1</v>
      </c>
      <c r="G11462" s="4">
        <v>15</v>
      </c>
      <c r="H11462" s="4">
        <v>26</v>
      </c>
    </row>
    <row r="11463" spans="1:8" s="15" customFormat="1" ht="19.5" hidden="1" customHeight="1" outlineLevel="1" x14ac:dyDescent="0.25">
      <c r="A11463" s="46">
        <v>10175</v>
      </c>
      <c r="B11463" s="4" t="s">
        <v>250</v>
      </c>
      <c r="C11463" s="22" t="s">
        <v>2730</v>
      </c>
      <c r="D11463" s="18">
        <v>2021</v>
      </c>
      <c r="E11463" s="18"/>
      <c r="F11463" s="4">
        <v>1</v>
      </c>
      <c r="G11463" s="4">
        <v>30</v>
      </c>
      <c r="H11463" s="4">
        <v>27</v>
      </c>
    </row>
    <row r="11464" spans="1:8" s="15" customFormat="1" ht="19.5" hidden="1" customHeight="1" outlineLevel="1" x14ac:dyDescent="0.25">
      <c r="A11464" s="46">
        <v>10179</v>
      </c>
      <c r="B11464" s="4" t="s">
        <v>250</v>
      </c>
      <c r="C11464" s="22" t="s">
        <v>2731</v>
      </c>
      <c r="D11464" s="18">
        <v>2021</v>
      </c>
      <c r="E11464" s="18"/>
      <c r="F11464" s="4">
        <v>1</v>
      </c>
      <c r="G11464" s="4">
        <v>15</v>
      </c>
      <c r="H11464" s="4">
        <v>26</v>
      </c>
    </row>
    <row r="11465" spans="1:8" s="15" customFormat="1" ht="19.5" hidden="1" customHeight="1" outlineLevel="1" x14ac:dyDescent="0.25">
      <c r="A11465" s="46">
        <v>10184</v>
      </c>
      <c r="B11465" s="4" t="s">
        <v>250</v>
      </c>
      <c r="C11465" s="22" t="s">
        <v>2732</v>
      </c>
      <c r="D11465" s="18">
        <v>2021</v>
      </c>
      <c r="E11465" s="18"/>
      <c r="F11465" s="4">
        <v>1</v>
      </c>
      <c r="G11465" s="4">
        <v>15</v>
      </c>
      <c r="H11465" s="4">
        <v>27</v>
      </c>
    </row>
    <row r="11466" spans="1:8" s="15" customFormat="1" ht="19.5" hidden="1" customHeight="1" outlineLevel="1" x14ac:dyDescent="0.25">
      <c r="A11466" s="46">
        <v>10191</v>
      </c>
      <c r="B11466" s="4" t="s">
        <v>250</v>
      </c>
      <c r="C11466" s="22" t="s">
        <v>2733</v>
      </c>
      <c r="D11466" s="18">
        <v>2021</v>
      </c>
      <c r="E11466" s="18"/>
      <c r="F11466" s="4">
        <v>1</v>
      </c>
      <c r="G11466" s="4">
        <v>15</v>
      </c>
      <c r="H11466" s="4">
        <v>26</v>
      </c>
    </row>
    <row r="11467" spans="1:8" s="15" customFormat="1" ht="19.5" hidden="1" customHeight="1" outlineLevel="1" x14ac:dyDescent="0.25">
      <c r="A11467" s="46">
        <v>10200</v>
      </c>
      <c r="B11467" s="4" t="s">
        <v>250</v>
      </c>
      <c r="C11467" s="22" t="s">
        <v>2734</v>
      </c>
      <c r="D11467" s="18">
        <v>2021</v>
      </c>
      <c r="E11467" s="18"/>
      <c r="F11467" s="4">
        <v>1</v>
      </c>
      <c r="G11467" s="4">
        <v>15</v>
      </c>
      <c r="H11467" s="4">
        <v>26</v>
      </c>
    </row>
    <row r="11468" spans="1:8" s="15" customFormat="1" ht="19.5" hidden="1" customHeight="1" outlineLevel="1" x14ac:dyDescent="0.25">
      <c r="A11468" s="46">
        <v>10066</v>
      </c>
      <c r="B11468" s="4" t="s">
        <v>250</v>
      </c>
      <c r="C11468" s="22" t="s">
        <v>2735</v>
      </c>
      <c r="D11468" s="18">
        <v>2021</v>
      </c>
      <c r="E11468" s="18"/>
      <c r="F11468" s="4">
        <v>1</v>
      </c>
      <c r="G11468" s="4">
        <v>15</v>
      </c>
      <c r="H11468" s="4">
        <v>38</v>
      </c>
    </row>
    <row r="11469" spans="1:8" s="15" customFormat="1" ht="19.5" hidden="1" customHeight="1" outlineLevel="1" x14ac:dyDescent="0.25">
      <c r="A11469" s="46">
        <v>10078</v>
      </c>
      <c r="B11469" s="4" t="s">
        <v>250</v>
      </c>
      <c r="C11469" s="22" t="s">
        <v>2736</v>
      </c>
      <c r="D11469" s="18">
        <v>2021</v>
      </c>
      <c r="E11469" s="18"/>
      <c r="F11469" s="4">
        <v>1</v>
      </c>
      <c r="G11469" s="4">
        <v>15</v>
      </c>
      <c r="H11469" s="4">
        <v>34</v>
      </c>
    </row>
    <row r="11470" spans="1:8" s="15" customFormat="1" ht="19.5" hidden="1" customHeight="1" outlineLevel="1" x14ac:dyDescent="0.25">
      <c r="A11470" s="45">
        <v>2069</v>
      </c>
      <c r="B11470" s="4" t="s">
        <v>250</v>
      </c>
      <c r="C11470" s="22" t="s">
        <v>2737</v>
      </c>
      <c r="D11470" s="18">
        <v>2021</v>
      </c>
      <c r="E11470" s="18"/>
      <c r="F11470" s="4">
        <v>1</v>
      </c>
      <c r="G11470" s="4">
        <v>15</v>
      </c>
      <c r="H11470" s="4">
        <v>27</v>
      </c>
    </row>
    <row r="11471" spans="1:8" s="15" customFormat="1" ht="19.5" hidden="1" customHeight="1" outlineLevel="1" x14ac:dyDescent="0.25">
      <c r="A11471" s="46">
        <v>10128</v>
      </c>
      <c r="B11471" s="4" t="s">
        <v>250</v>
      </c>
      <c r="C11471" s="22" t="s">
        <v>2738</v>
      </c>
      <c r="D11471" s="18">
        <v>2021</v>
      </c>
      <c r="E11471" s="18"/>
      <c r="F11471" s="4">
        <v>1</v>
      </c>
      <c r="G11471" s="4">
        <v>15</v>
      </c>
      <c r="H11471" s="4">
        <v>26</v>
      </c>
    </row>
    <row r="11472" spans="1:8" s="15" customFormat="1" ht="19.5" hidden="1" customHeight="1" outlineLevel="1" x14ac:dyDescent="0.25">
      <c r="A11472" s="46">
        <v>10131</v>
      </c>
      <c r="B11472" s="4" t="s">
        <v>250</v>
      </c>
      <c r="C11472" s="22" t="s">
        <v>2739</v>
      </c>
      <c r="D11472" s="18">
        <v>2021</v>
      </c>
      <c r="E11472" s="18"/>
      <c r="F11472" s="4">
        <v>1</v>
      </c>
      <c r="G11472" s="4">
        <v>15</v>
      </c>
      <c r="H11472" s="4">
        <v>27</v>
      </c>
    </row>
    <row r="11473" spans="1:8" s="15" customFormat="1" ht="19.5" hidden="1" customHeight="1" outlineLevel="1" x14ac:dyDescent="0.25">
      <c r="A11473" s="46">
        <v>10136</v>
      </c>
      <c r="B11473" s="4" t="s">
        <v>250</v>
      </c>
      <c r="C11473" s="22" t="s">
        <v>2740</v>
      </c>
      <c r="D11473" s="18">
        <v>2021</v>
      </c>
      <c r="E11473" s="18"/>
      <c r="F11473" s="4">
        <v>1</v>
      </c>
      <c r="G11473" s="4">
        <v>15</v>
      </c>
      <c r="H11473" s="4">
        <v>26</v>
      </c>
    </row>
    <row r="11474" spans="1:8" s="15" customFormat="1" ht="19.5" hidden="1" customHeight="1" outlineLevel="1" x14ac:dyDescent="0.25">
      <c r="A11474" s="46">
        <v>10137</v>
      </c>
      <c r="B11474" s="4" t="s">
        <v>250</v>
      </c>
      <c r="C11474" s="22" t="s">
        <v>2741</v>
      </c>
      <c r="D11474" s="18">
        <v>2021</v>
      </c>
      <c r="E11474" s="18"/>
      <c r="F11474" s="4">
        <v>1</v>
      </c>
      <c r="G11474" s="4">
        <v>15</v>
      </c>
      <c r="H11474" s="4">
        <v>26</v>
      </c>
    </row>
    <row r="11475" spans="1:8" s="15" customFormat="1" ht="19.5" hidden="1" customHeight="1" outlineLevel="1" x14ac:dyDescent="0.25">
      <c r="A11475" s="46">
        <v>10144</v>
      </c>
      <c r="B11475" s="4" t="s">
        <v>250</v>
      </c>
      <c r="C11475" s="22" t="s">
        <v>2742</v>
      </c>
      <c r="D11475" s="18">
        <v>2021</v>
      </c>
      <c r="E11475" s="18"/>
      <c r="F11475" s="4">
        <v>1</v>
      </c>
      <c r="G11475" s="4">
        <v>30</v>
      </c>
      <c r="H11475" s="4">
        <v>26</v>
      </c>
    </row>
    <row r="11476" spans="1:8" s="15" customFormat="1" ht="19.5" hidden="1" customHeight="1" outlineLevel="1" x14ac:dyDescent="0.25">
      <c r="A11476" s="46">
        <v>10150</v>
      </c>
      <c r="B11476" s="4" t="s">
        <v>250</v>
      </c>
      <c r="C11476" s="22" t="s">
        <v>2743</v>
      </c>
      <c r="D11476" s="18">
        <v>2021</v>
      </c>
      <c r="E11476" s="18"/>
      <c r="F11476" s="4">
        <v>1</v>
      </c>
      <c r="G11476" s="4">
        <v>15</v>
      </c>
      <c r="H11476" s="4">
        <v>26</v>
      </c>
    </row>
    <row r="11477" spans="1:8" s="15" customFormat="1" ht="19.5" hidden="1" customHeight="1" outlineLevel="1" x14ac:dyDescent="0.25">
      <c r="A11477" s="46">
        <v>10151</v>
      </c>
      <c r="B11477" s="4" t="s">
        <v>250</v>
      </c>
      <c r="C11477" s="22" t="s">
        <v>2744</v>
      </c>
      <c r="D11477" s="18">
        <v>2021</v>
      </c>
      <c r="E11477" s="18"/>
      <c r="F11477" s="4">
        <v>1</v>
      </c>
      <c r="G11477" s="4">
        <v>5</v>
      </c>
      <c r="H11477" s="4">
        <v>25</v>
      </c>
    </row>
    <row r="11478" spans="1:8" s="15" customFormat="1" ht="19.5" hidden="1" customHeight="1" outlineLevel="1" x14ac:dyDescent="0.25">
      <c r="A11478" s="46">
        <v>10162</v>
      </c>
      <c r="B11478" s="4" t="s">
        <v>250</v>
      </c>
      <c r="C11478" s="22" t="s">
        <v>2745</v>
      </c>
      <c r="D11478" s="18">
        <v>2021</v>
      </c>
      <c r="E11478" s="18"/>
      <c r="F11478" s="4">
        <v>1</v>
      </c>
      <c r="G11478" s="4">
        <v>15</v>
      </c>
      <c r="H11478" s="4">
        <v>27</v>
      </c>
    </row>
    <row r="11479" spans="1:8" s="15" customFormat="1" ht="19.5" hidden="1" customHeight="1" outlineLevel="1" x14ac:dyDescent="0.25">
      <c r="A11479" s="46">
        <v>10168</v>
      </c>
      <c r="B11479" s="4" t="s">
        <v>250</v>
      </c>
      <c r="C11479" s="22" t="s">
        <v>2746</v>
      </c>
      <c r="D11479" s="18">
        <v>2021</v>
      </c>
      <c r="E11479" s="18"/>
      <c r="F11479" s="4">
        <v>1</v>
      </c>
      <c r="G11479" s="4">
        <v>15</v>
      </c>
      <c r="H11479" s="4">
        <v>26</v>
      </c>
    </row>
    <row r="11480" spans="1:8" s="15" customFormat="1" ht="19.5" hidden="1" customHeight="1" outlineLevel="1" x14ac:dyDescent="0.25">
      <c r="A11480" s="46">
        <v>10169</v>
      </c>
      <c r="B11480" s="4" t="s">
        <v>250</v>
      </c>
      <c r="C11480" s="22" t="s">
        <v>2747</v>
      </c>
      <c r="D11480" s="18">
        <v>2021</v>
      </c>
      <c r="E11480" s="18"/>
      <c r="F11480" s="4">
        <v>1</v>
      </c>
      <c r="G11480" s="4">
        <v>15</v>
      </c>
      <c r="H11480" s="4">
        <v>26</v>
      </c>
    </row>
    <row r="11481" spans="1:8" s="15" customFormat="1" ht="19.5" hidden="1" customHeight="1" outlineLevel="1" x14ac:dyDescent="0.25">
      <c r="A11481" s="46">
        <v>10170</v>
      </c>
      <c r="B11481" s="4" t="s">
        <v>250</v>
      </c>
      <c r="C11481" s="22" t="s">
        <v>2748</v>
      </c>
      <c r="D11481" s="18">
        <v>2021</v>
      </c>
      <c r="E11481" s="18"/>
      <c r="F11481" s="4">
        <v>1</v>
      </c>
      <c r="G11481" s="4">
        <v>15</v>
      </c>
      <c r="H11481" s="4">
        <v>26</v>
      </c>
    </row>
    <row r="11482" spans="1:8" s="15" customFormat="1" ht="19.5" hidden="1" customHeight="1" outlineLevel="1" x14ac:dyDescent="0.25">
      <c r="A11482" s="46">
        <v>10171</v>
      </c>
      <c r="B11482" s="4" t="s">
        <v>250</v>
      </c>
      <c r="C11482" s="22" t="s">
        <v>2749</v>
      </c>
      <c r="D11482" s="18">
        <v>2021</v>
      </c>
      <c r="E11482" s="18"/>
      <c r="F11482" s="4">
        <v>1</v>
      </c>
      <c r="G11482" s="4">
        <v>15</v>
      </c>
      <c r="H11482" s="4">
        <v>27</v>
      </c>
    </row>
    <row r="11483" spans="1:8" s="15" customFormat="1" ht="19.5" hidden="1" customHeight="1" outlineLevel="1" x14ac:dyDescent="0.25">
      <c r="A11483" s="46">
        <v>10178</v>
      </c>
      <c r="B11483" s="4" t="s">
        <v>250</v>
      </c>
      <c r="C11483" s="22" t="s">
        <v>2750</v>
      </c>
      <c r="D11483" s="18">
        <v>2021</v>
      </c>
      <c r="E11483" s="18"/>
      <c r="F11483" s="4">
        <v>1</v>
      </c>
      <c r="G11483" s="4">
        <v>15</v>
      </c>
      <c r="H11483" s="4">
        <v>27</v>
      </c>
    </row>
    <row r="11484" spans="1:8" s="15" customFormat="1" ht="19.5" hidden="1" customHeight="1" outlineLevel="1" x14ac:dyDescent="0.25">
      <c r="A11484" s="46">
        <v>10188</v>
      </c>
      <c r="B11484" s="4" t="s">
        <v>250</v>
      </c>
      <c r="C11484" s="22" t="s">
        <v>2751</v>
      </c>
      <c r="D11484" s="18">
        <v>2021</v>
      </c>
      <c r="E11484" s="18"/>
      <c r="F11484" s="4">
        <v>1</v>
      </c>
      <c r="G11484" s="4">
        <v>15</v>
      </c>
      <c r="H11484" s="4">
        <v>26</v>
      </c>
    </row>
    <row r="11485" spans="1:8" s="15" customFormat="1" ht="19.5" hidden="1" customHeight="1" outlineLevel="1" x14ac:dyDescent="0.25">
      <c r="A11485" s="46">
        <v>10189</v>
      </c>
      <c r="B11485" s="4" t="s">
        <v>250</v>
      </c>
      <c r="C11485" s="22" t="s">
        <v>2752</v>
      </c>
      <c r="D11485" s="18">
        <v>2021</v>
      </c>
      <c r="E11485" s="18"/>
      <c r="F11485" s="4">
        <v>1</v>
      </c>
      <c r="G11485" s="4">
        <v>15</v>
      </c>
      <c r="H11485" s="4">
        <v>26</v>
      </c>
    </row>
    <row r="11486" spans="1:8" s="15" customFormat="1" ht="19.5" hidden="1" customHeight="1" outlineLevel="1" x14ac:dyDescent="0.25">
      <c r="A11486" s="46">
        <v>10190</v>
      </c>
      <c r="B11486" s="4" t="s">
        <v>250</v>
      </c>
      <c r="C11486" s="22" t="s">
        <v>2753</v>
      </c>
      <c r="D11486" s="18">
        <v>2021</v>
      </c>
      <c r="E11486" s="18"/>
      <c r="F11486" s="4">
        <v>1</v>
      </c>
      <c r="G11486" s="4">
        <v>15</v>
      </c>
      <c r="H11486" s="4">
        <v>26</v>
      </c>
    </row>
    <row r="11487" spans="1:8" s="15" customFormat="1" ht="19.5" hidden="1" customHeight="1" outlineLevel="1" x14ac:dyDescent="0.25">
      <c r="A11487" s="46">
        <v>10193</v>
      </c>
      <c r="B11487" s="4" t="s">
        <v>250</v>
      </c>
      <c r="C11487" s="22" t="s">
        <v>2754</v>
      </c>
      <c r="D11487" s="18">
        <v>2021</v>
      </c>
      <c r="E11487" s="18"/>
      <c r="F11487" s="4">
        <v>1</v>
      </c>
      <c r="G11487" s="4">
        <v>15</v>
      </c>
      <c r="H11487" s="4">
        <v>26</v>
      </c>
    </row>
    <row r="11488" spans="1:8" s="15" customFormat="1" ht="19.5" hidden="1" customHeight="1" outlineLevel="1" x14ac:dyDescent="0.25">
      <c r="A11488" s="46">
        <v>10325</v>
      </c>
      <c r="B11488" s="4" t="s">
        <v>250</v>
      </c>
      <c r="C11488" s="22" t="s">
        <v>2755</v>
      </c>
      <c r="D11488" s="18">
        <v>2021</v>
      </c>
      <c r="E11488" s="18"/>
      <c r="F11488" s="4">
        <v>2</v>
      </c>
      <c r="G11488" s="4">
        <v>30</v>
      </c>
      <c r="H11488" s="4">
        <v>48</v>
      </c>
    </row>
    <row r="11489" spans="1:8" s="15" customFormat="1" ht="19.5" hidden="1" customHeight="1" outlineLevel="1" x14ac:dyDescent="0.25">
      <c r="A11489" s="46">
        <v>10326</v>
      </c>
      <c r="B11489" s="4" t="s">
        <v>250</v>
      </c>
      <c r="C11489" s="22" t="s">
        <v>2756</v>
      </c>
      <c r="D11489" s="18">
        <v>2021</v>
      </c>
      <c r="E11489" s="18"/>
      <c r="F11489" s="4">
        <v>2</v>
      </c>
      <c r="G11489" s="4">
        <v>30</v>
      </c>
      <c r="H11489" s="4">
        <v>50</v>
      </c>
    </row>
    <row r="11490" spans="1:8" s="15" customFormat="1" ht="19.5" hidden="1" customHeight="1" outlineLevel="1" x14ac:dyDescent="0.25">
      <c r="A11490" s="46">
        <v>10203</v>
      </c>
      <c r="B11490" s="4" t="s">
        <v>250</v>
      </c>
      <c r="C11490" s="22" t="s">
        <v>2757</v>
      </c>
      <c r="D11490" s="18">
        <v>2021</v>
      </c>
      <c r="E11490" s="18"/>
      <c r="F11490" s="4">
        <v>3</v>
      </c>
      <c r="G11490" s="4">
        <v>45</v>
      </c>
      <c r="H11490" s="4">
        <v>75</v>
      </c>
    </row>
    <row r="11491" spans="1:8" s="15" customFormat="1" ht="19.5" hidden="1" customHeight="1" outlineLevel="1" x14ac:dyDescent="0.25">
      <c r="A11491" s="46">
        <v>10329</v>
      </c>
      <c r="B11491" s="4" t="s">
        <v>250</v>
      </c>
      <c r="C11491" s="22" t="s">
        <v>2758</v>
      </c>
      <c r="D11491" s="18">
        <v>2021</v>
      </c>
      <c r="E11491" s="18"/>
      <c r="F11491" s="4">
        <v>2</v>
      </c>
      <c r="G11491" s="4">
        <v>30</v>
      </c>
      <c r="H11491" s="4">
        <v>50</v>
      </c>
    </row>
    <row r="11492" spans="1:8" s="15" customFormat="1" ht="19.5" hidden="1" customHeight="1" outlineLevel="1" x14ac:dyDescent="0.25">
      <c r="A11492" s="46">
        <v>10330</v>
      </c>
      <c r="B11492" s="4" t="s">
        <v>250</v>
      </c>
      <c r="C11492" s="22" t="s">
        <v>2759</v>
      </c>
      <c r="D11492" s="18">
        <v>2021</v>
      </c>
      <c r="E11492" s="18"/>
      <c r="F11492" s="4">
        <v>6</v>
      </c>
      <c r="G11492" s="4">
        <v>90</v>
      </c>
      <c r="H11492" s="4">
        <v>138</v>
      </c>
    </row>
    <row r="11493" spans="1:8" s="15" customFormat="1" ht="19.5" hidden="1" customHeight="1" outlineLevel="1" x14ac:dyDescent="0.25">
      <c r="A11493" s="46">
        <v>10208</v>
      </c>
      <c r="B11493" s="4" t="s">
        <v>250</v>
      </c>
      <c r="C11493" s="22" t="s">
        <v>2760</v>
      </c>
      <c r="D11493" s="18">
        <v>2021</v>
      </c>
      <c r="E11493" s="18"/>
      <c r="F11493" s="4">
        <v>2</v>
      </c>
      <c r="G11493" s="4">
        <v>30</v>
      </c>
      <c r="H11493" s="4">
        <v>51</v>
      </c>
    </row>
    <row r="11494" spans="1:8" s="15" customFormat="1" ht="19.5" hidden="1" customHeight="1" outlineLevel="1" x14ac:dyDescent="0.25">
      <c r="A11494" s="46">
        <v>10333</v>
      </c>
      <c r="B11494" s="4" t="s">
        <v>250</v>
      </c>
      <c r="C11494" s="22" t="s">
        <v>2294</v>
      </c>
      <c r="D11494" s="18">
        <v>2021</v>
      </c>
      <c r="E11494" s="18"/>
      <c r="F11494" s="4">
        <v>1</v>
      </c>
      <c r="G11494" s="4">
        <v>30</v>
      </c>
      <c r="H11494" s="4">
        <v>25</v>
      </c>
    </row>
    <row r="11495" spans="1:8" s="15" customFormat="1" ht="19.5" hidden="1" customHeight="1" outlineLevel="1" x14ac:dyDescent="0.25">
      <c r="A11495" s="46">
        <v>10160</v>
      </c>
      <c r="B11495" s="4" t="s">
        <v>250</v>
      </c>
      <c r="C11495" s="22" t="s">
        <v>2761</v>
      </c>
      <c r="D11495" s="18">
        <v>2021</v>
      </c>
      <c r="E11495" s="18"/>
      <c r="F11495" s="4">
        <v>1</v>
      </c>
      <c r="G11495" s="4">
        <v>15</v>
      </c>
      <c r="H11495" s="4">
        <v>26</v>
      </c>
    </row>
    <row r="11496" spans="1:8" s="15" customFormat="1" ht="19.5" hidden="1" customHeight="1" outlineLevel="1" x14ac:dyDescent="0.25">
      <c r="A11496" s="46">
        <v>10331</v>
      </c>
      <c r="B11496" s="4" t="s">
        <v>250</v>
      </c>
      <c r="C11496" s="22" t="s">
        <v>2762</v>
      </c>
      <c r="D11496" s="18">
        <v>2021</v>
      </c>
      <c r="E11496" s="18"/>
      <c r="F11496" s="4">
        <v>4</v>
      </c>
      <c r="G11496" s="4">
        <v>60</v>
      </c>
      <c r="H11496" s="4">
        <v>101</v>
      </c>
    </row>
    <row r="11497" spans="1:8" s="15" customFormat="1" ht="19.5" hidden="1" customHeight="1" outlineLevel="1" x14ac:dyDescent="0.25">
      <c r="A11497" s="46">
        <v>10207</v>
      </c>
      <c r="B11497" s="4" t="s">
        <v>250</v>
      </c>
      <c r="C11497" s="22" t="s">
        <v>2763</v>
      </c>
      <c r="D11497" s="18">
        <v>2021</v>
      </c>
      <c r="E11497" s="18"/>
      <c r="F11497" s="4">
        <v>3</v>
      </c>
      <c r="G11497" s="4">
        <v>45</v>
      </c>
      <c r="H11497" s="4">
        <v>76</v>
      </c>
    </row>
    <row r="11498" spans="1:8" s="15" customFormat="1" ht="19.5" hidden="1" customHeight="1" outlineLevel="1" x14ac:dyDescent="0.25">
      <c r="A11498" s="46">
        <v>10204</v>
      </c>
      <c r="B11498" s="4" t="s">
        <v>250</v>
      </c>
      <c r="C11498" s="22" t="s">
        <v>2764</v>
      </c>
      <c r="D11498" s="18">
        <v>2021</v>
      </c>
      <c r="E11498" s="18"/>
      <c r="F11498" s="4">
        <v>2</v>
      </c>
      <c r="G11498" s="4">
        <v>30</v>
      </c>
      <c r="H11498" s="4">
        <v>50</v>
      </c>
    </row>
    <row r="11499" spans="1:8" s="15" customFormat="1" ht="19.5" hidden="1" customHeight="1" outlineLevel="1" x14ac:dyDescent="0.25">
      <c r="A11499" s="46">
        <v>10227</v>
      </c>
      <c r="B11499" s="4" t="s">
        <v>250</v>
      </c>
      <c r="C11499" s="22" t="s">
        <v>2765</v>
      </c>
      <c r="D11499" s="18">
        <v>2021</v>
      </c>
      <c r="E11499" s="18"/>
      <c r="F11499" s="4">
        <v>2</v>
      </c>
      <c r="G11499" s="4">
        <v>30</v>
      </c>
      <c r="H11499" s="4">
        <v>51</v>
      </c>
    </row>
    <row r="11500" spans="1:8" s="15" customFormat="1" ht="19.5" hidden="1" customHeight="1" outlineLevel="1" x14ac:dyDescent="0.25">
      <c r="A11500" s="46">
        <v>10205</v>
      </c>
      <c r="B11500" s="4" t="s">
        <v>250</v>
      </c>
      <c r="C11500" s="22" t="s">
        <v>2766</v>
      </c>
      <c r="D11500" s="18">
        <v>2021</v>
      </c>
      <c r="E11500" s="18"/>
      <c r="F11500" s="4">
        <v>3</v>
      </c>
      <c r="G11500" s="4">
        <v>30</v>
      </c>
      <c r="H11500" s="4">
        <v>71</v>
      </c>
    </row>
    <row r="11501" spans="1:8" s="15" customFormat="1" ht="19.5" hidden="1" customHeight="1" outlineLevel="1" x14ac:dyDescent="0.25">
      <c r="A11501" s="46">
        <v>10206</v>
      </c>
      <c r="B11501" s="4" t="s">
        <v>250</v>
      </c>
      <c r="C11501" s="22" t="s">
        <v>2767</v>
      </c>
      <c r="D11501" s="18">
        <v>2021</v>
      </c>
      <c r="E11501" s="18"/>
      <c r="F11501" s="4">
        <v>3</v>
      </c>
      <c r="G11501" s="4">
        <v>15</v>
      </c>
      <c r="H11501" s="4">
        <v>70</v>
      </c>
    </row>
    <row r="11502" spans="1:8" s="15" customFormat="1" ht="19.5" hidden="1" customHeight="1" outlineLevel="1" x14ac:dyDescent="0.25">
      <c r="A11502" s="46">
        <v>10336</v>
      </c>
      <c r="B11502" s="4" t="s">
        <v>250</v>
      </c>
      <c r="C11502" s="22" t="s">
        <v>2768</v>
      </c>
      <c r="D11502" s="18">
        <v>2021</v>
      </c>
      <c r="E11502" s="18"/>
      <c r="F11502" s="4">
        <v>3</v>
      </c>
      <c r="G11502" s="4">
        <v>45</v>
      </c>
      <c r="H11502" s="4">
        <v>76</v>
      </c>
    </row>
    <row r="11503" spans="1:8" s="15" customFormat="1" ht="19.5" hidden="1" customHeight="1" outlineLevel="1" x14ac:dyDescent="0.25">
      <c r="A11503" s="46">
        <v>10332</v>
      </c>
      <c r="B11503" s="4" t="s">
        <v>250</v>
      </c>
      <c r="C11503" s="22" t="s">
        <v>2769</v>
      </c>
      <c r="D11503" s="18">
        <v>2021</v>
      </c>
      <c r="E11503" s="18"/>
      <c r="F11503" s="4">
        <v>2</v>
      </c>
      <c r="G11503" s="4">
        <v>30</v>
      </c>
      <c r="H11503" s="4">
        <v>57</v>
      </c>
    </row>
    <row r="11504" spans="1:8" s="15" customFormat="1" ht="19.5" hidden="1" customHeight="1" outlineLevel="1" x14ac:dyDescent="0.25">
      <c r="A11504" s="46">
        <v>10335</v>
      </c>
      <c r="B11504" s="4" t="s">
        <v>250</v>
      </c>
      <c r="C11504" s="22" t="s">
        <v>2770</v>
      </c>
      <c r="D11504" s="18">
        <v>2021</v>
      </c>
      <c r="E11504" s="18"/>
      <c r="F11504" s="4">
        <v>2</v>
      </c>
      <c r="G11504" s="4">
        <v>20</v>
      </c>
      <c r="H11504" s="4">
        <v>51</v>
      </c>
    </row>
    <row r="11505" spans="1:8" s="15" customFormat="1" ht="19.5" hidden="1" customHeight="1" outlineLevel="1" x14ac:dyDescent="0.25">
      <c r="A11505" s="46">
        <v>9318</v>
      </c>
      <c r="B11505" s="4" t="s">
        <v>250</v>
      </c>
      <c r="C11505" s="22" t="s">
        <v>1559</v>
      </c>
      <c r="D11505" s="18">
        <v>2021</v>
      </c>
      <c r="E11505" s="18"/>
      <c r="F11505" s="4">
        <v>1</v>
      </c>
      <c r="G11505" s="4">
        <v>15</v>
      </c>
      <c r="H11505" s="4">
        <v>28</v>
      </c>
    </row>
    <row r="11506" spans="1:8" s="15" customFormat="1" ht="19.5" hidden="1" customHeight="1" outlineLevel="1" x14ac:dyDescent="0.25">
      <c r="A11506" s="46">
        <v>10059</v>
      </c>
      <c r="B11506" s="4" t="s">
        <v>250</v>
      </c>
      <c r="C11506" s="22" t="s">
        <v>2771</v>
      </c>
      <c r="D11506" s="18">
        <v>2021</v>
      </c>
      <c r="E11506" s="18"/>
      <c r="F11506" s="4">
        <v>1</v>
      </c>
      <c r="G11506" s="4">
        <v>15</v>
      </c>
      <c r="H11506" s="4">
        <v>38</v>
      </c>
    </row>
    <row r="11507" spans="1:8" s="15" customFormat="1" ht="19.5" hidden="1" customHeight="1" outlineLevel="1" x14ac:dyDescent="0.25">
      <c r="A11507" s="46">
        <v>10093</v>
      </c>
      <c r="B11507" s="4" t="s">
        <v>250</v>
      </c>
      <c r="C11507" s="22" t="s">
        <v>2772</v>
      </c>
      <c r="D11507" s="18">
        <v>2021</v>
      </c>
      <c r="E11507" s="18"/>
      <c r="F11507" s="4">
        <v>1</v>
      </c>
      <c r="G11507" s="4">
        <v>15</v>
      </c>
      <c r="H11507" s="4">
        <v>32</v>
      </c>
    </row>
    <row r="11508" spans="1:8" s="15" customFormat="1" ht="19.5" hidden="1" customHeight="1" outlineLevel="1" x14ac:dyDescent="0.25">
      <c r="A11508" s="46">
        <v>10092</v>
      </c>
      <c r="B11508" s="4" t="s">
        <v>250</v>
      </c>
      <c r="C11508" s="22" t="s">
        <v>2773</v>
      </c>
      <c r="D11508" s="18">
        <v>2021</v>
      </c>
      <c r="E11508" s="18"/>
      <c r="F11508" s="4">
        <v>1</v>
      </c>
      <c r="G11508" s="4">
        <v>15</v>
      </c>
      <c r="H11508" s="4">
        <v>34</v>
      </c>
    </row>
    <row r="11509" spans="1:8" s="15" customFormat="1" ht="19.5" hidden="1" customHeight="1" outlineLevel="1" x14ac:dyDescent="0.25">
      <c r="A11509" s="46">
        <v>10081</v>
      </c>
      <c r="B11509" s="4" t="s">
        <v>250</v>
      </c>
      <c r="C11509" s="22" t="s">
        <v>2774</v>
      </c>
      <c r="D11509" s="18">
        <v>2021</v>
      </c>
      <c r="E11509" s="18"/>
      <c r="F11509" s="4">
        <v>1</v>
      </c>
      <c r="G11509" s="4">
        <v>15</v>
      </c>
      <c r="H11509" s="4">
        <v>34</v>
      </c>
    </row>
    <row r="11510" spans="1:8" s="15" customFormat="1" ht="19.5" hidden="1" customHeight="1" outlineLevel="1" x14ac:dyDescent="0.25">
      <c r="A11510" s="46">
        <v>10088</v>
      </c>
      <c r="B11510" s="4" t="s">
        <v>250</v>
      </c>
      <c r="C11510" s="22" t="s">
        <v>2775</v>
      </c>
      <c r="D11510" s="18">
        <v>2021</v>
      </c>
      <c r="E11510" s="18"/>
      <c r="F11510" s="4">
        <v>1</v>
      </c>
      <c r="G11510" s="4">
        <v>15</v>
      </c>
      <c r="H11510" s="4">
        <v>32</v>
      </c>
    </row>
    <row r="11511" spans="1:8" s="15" customFormat="1" ht="19.5" hidden="1" customHeight="1" outlineLevel="1" x14ac:dyDescent="0.25">
      <c r="A11511" s="46">
        <v>10089</v>
      </c>
      <c r="B11511" s="4" t="s">
        <v>250</v>
      </c>
      <c r="C11511" s="22" t="s">
        <v>2776</v>
      </c>
      <c r="D11511" s="18">
        <v>2021</v>
      </c>
      <c r="E11511" s="18"/>
      <c r="F11511" s="4">
        <v>1</v>
      </c>
      <c r="G11511" s="4">
        <v>15</v>
      </c>
      <c r="H11511" s="4">
        <v>31</v>
      </c>
    </row>
    <row r="11512" spans="1:8" s="15" customFormat="1" ht="19.5" hidden="1" customHeight="1" outlineLevel="1" x14ac:dyDescent="0.25">
      <c r="A11512" s="46">
        <v>9378</v>
      </c>
      <c r="B11512" s="4" t="s">
        <v>250</v>
      </c>
      <c r="C11512" s="22" t="s">
        <v>1561</v>
      </c>
      <c r="D11512" s="18">
        <v>2021</v>
      </c>
      <c r="E11512" s="18"/>
      <c r="F11512" s="4">
        <v>1</v>
      </c>
      <c r="G11512" s="4">
        <v>8</v>
      </c>
      <c r="H11512" s="4">
        <v>42</v>
      </c>
    </row>
    <row r="11513" spans="1:8" s="15" customFormat="1" ht="19.5" hidden="1" customHeight="1" outlineLevel="1" x14ac:dyDescent="0.25">
      <c r="A11513" s="46">
        <v>9290</v>
      </c>
      <c r="B11513" s="4" t="s">
        <v>250</v>
      </c>
      <c r="C11513" s="22" t="s">
        <v>1563</v>
      </c>
      <c r="D11513" s="18">
        <v>2021</v>
      </c>
      <c r="E11513" s="18"/>
      <c r="F11513" s="4">
        <v>1</v>
      </c>
      <c r="G11513" s="4">
        <v>30</v>
      </c>
      <c r="H11513" s="4">
        <v>22</v>
      </c>
    </row>
    <row r="11514" spans="1:8" s="15" customFormat="1" ht="19.5" hidden="1" customHeight="1" outlineLevel="1" x14ac:dyDescent="0.25">
      <c r="A11514" s="18">
        <v>10900</v>
      </c>
      <c r="B11514" s="4" t="s">
        <v>250</v>
      </c>
      <c r="C11514" s="22" t="s">
        <v>1565</v>
      </c>
      <c r="D11514" s="18">
        <v>2021</v>
      </c>
      <c r="E11514" s="18"/>
      <c r="F11514" s="4">
        <v>1</v>
      </c>
      <c r="G11514" s="4">
        <v>15</v>
      </c>
      <c r="H11514" s="4">
        <v>26</v>
      </c>
    </row>
    <row r="11515" spans="1:8" s="15" customFormat="1" ht="19.5" hidden="1" customHeight="1" outlineLevel="1" x14ac:dyDescent="0.25">
      <c r="A11515" s="46">
        <v>9480</v>
      </c>
      <c r="B11515" s="4" t="s">
        <v>250</v>
      </c>
      <c r="C11515" s="22" t="s">
        <v>1569</v>
      </c>
      <c r="D11515" s="18">
        <v>2021</v>
      </c>
      <c r="E11515" s="18"/>
      <c r="F11515" s="4">
        <v>1</v>
      </c>
      <c r="G11515" s="4">
        <v>15</v>
      </c>
      <c r="H11515" s="4">
        <v>28</v>
      </c>
    </row>
    <row r="11516" spans="1:8" s="15" customFormat="1" ht="19.5" hidden="1" customHeight="1" outlineLevel="1" x14ac:dyDescent="0.25">
      <c r="A11516" s="46">
        <v>9409</v>
      </c>
      <c r="B11516" s="4" t="s">
        <v>250</v>
      </c>
      <c r="C11516" s="22" t="s">
        <v>1570</v>
      </c>
      <c r="D11516" s="18">
        <v>2021</v>
      </c>
      <c r="E11516" s="18"/>
      <c r="F11516" s="4">
        <v>1</v>
      </c>
      <c r="G11516" s="4">
        <v>15</v>
      </c>
      <c r="H11516" s="4">
        <v>34</v>
      </c>
    </row>
    <row r="11517" spans="1:8" s="15" customFormat="1" ht="19.5" hidden="1" customHeight="1" outlineLevel="1" x14ac:dyDescent="0.25">
      <c r="A11517" s="46">
        <v>10058</v>
      </c>
      <c r="B11517" s="4" t="s">
        <v>250</v>
      </c>
      <c r="C11517" s="22" t="s">
        <v>2777</v>
      </c>
      <c r="D11517" s="18">
        <v>2021</v>
      </c>
      <c r="E11517" s="18"/>
      <c r="F11517" s="4">
        <v>1</v>
      </c>
      <c r="G11517" s="4">
        <v>40</v>
      </c>
      <c r="H11517" s="4">
        <v>27</v>
      </c>
    </row>
    <row r="11518" spans="1:8" s="15" customFormat="1" ht="19.5" hidden="1" customHeight="1" outlineLevel="1" x14ac:dyDescent="0.25">
      <c r="A11518" s="46">
        <v>10060</v>
      </c>
      <c r="B11518" s="4" t="s">
        <v>250</v>
      </c>
      <c r="C11518" s="22" t="s">
        <v>2778</v>
      </c>
      <c r="D11518" s="18">
        <v>2021</v>
      </c>
      <c r="E11518" s="18"/>
      <c r="F11518" s="4">
        <v>1</v>
      </c>
      <c r="G11518" s="4">
        <v>15</v>
      </c>
      <c r="H11518" s="4">
        <v>27</v>
      </c>
    </row>
    <row r="11519" spans="1:8" s="15" customFormat="1" ht="19.5" hidden="1" customHeight="1" outlineLevel="1" x14ac:dyDescent="0.25">
      <c r="A11519" s="46">
        <v>10074</v>
      </c>
      <c r="B11519" s="4" t="s">
        <v>250</v>
      </c>
      <c r="C11519" s="22" t="s">
        <v>2779</v>
      </c>
      <c r="D11519" s="18">
        <v>2021</v>
      </c>
      <c r="E11519" s="18"/>
      <c r="F11519" s="4">
        <v>1</v>
      </c>
      <c r="G11519" s="4">
        <v>15</v>
      </c>
      <c r="H11519" s="4">
        <v>26</v>
      </c>
    </row>
    <row r="11520" spans="1:8" s="15" customFormat="1" ht="19.5" hidden="1" customHeight="1" outlineLevel="1" x14ac:dyDescent="0.25">
      <c r="A11520" s="46">
        <v>10079</v>
      </c>
      <c r="B11520" s="4" t="s">
        <v>250</v>
      </c>
      <c r="C11520" s="22" t="s">
        <v>2780</v>
      </c>
      <c r="D11520" s="18">
        <v>2021</v>
      </c>
      <c r="E11520" s="18"/>
      <c r="F11520" s="4">
        <v>1</v>
      </c>
      <c r="G11520" s="4">
        <v>15</v>
      </c>
      <c r="H11520" s="4">
        <v>23</v>
      </c>
    </row>
    <row r="11521" spans="1:8" s="15" customFormat="1" ht="19.5" hidden="1" customHeight="1" outlineLevel="1" x14ac:dyDescent="0.25">
      <c r="A11521" s="46">
        <v>9656</v>
      </c>
      <c r="B11521" s="4" t="s">
        <v>250</v>
      </c>
      <c r="C11521" s="22" t="s">
        <v>1574</v>
      </c>
      <c r="D11521" s="18">
        <v>2021</v>
      </c>
      <c r="E11521" s="18"/>
      <c r="F11521" s="4">
        <v>1</v>
      </c>
      <c r="G11521" s="4">
        <v>140</v>
      </c>
      <c r="H11521" s="4">
        <v>24</v>
      </c>
    </row>
    <row r="11522" spans="1:8" s="15" customFormat="1" ht="19.5" hidden="1" customHeight="1" outlineLevel="1" x14ac:dyDescent="0.25">
      <c r="A11522" s="45">
        <v>358</v>
      </c>
      <c r="B11522" s="4" t="s">
        <v>250</v>
      </c>
      <c r="C11522" s="22" t="s">
        <v>2781</v>
      </c>
      <c r="D11522" s="18">
        <v>2021</v>
      </c>
      <c r="E11522" s="18"/>
      <c r="F11522" s="4">
        <v>1</v>
      </c>
      <c r="G11522" s="4">
        <v>15</v>
      </c>
      <c r="H11522" s="4">
        <v>29</v>
      </c>
    </row>
    <row r="11523" spans="1:8" s="15" customFormat="1" ht="19.5" hidden="1" customHeight="1" outlineLevel="1" x14ac:dyDescent="0.25">
      <c r="A11523" s="46">
        <v>9438</v>
      </c>
      <c r="B11523" s="4" t="s">
        <v>250</v>
      </c>
      <c r="C11523" s="22" t="s">
        <v>1577</v>
      </c>
      <c r="D11523" s="18">
        <v>2021</v>
      </c>
      <c r="E11523" s="18"/>
      <c r="F11523" s="4">
        <v>1</v>
      </c>
      <c r="G11523" s="4">
        <v>15</v>
      </c>
      <c r="H11523" s="4">
        <v>25</v>
      </c>
    </row>
    <row r="11524" spans="1:8" s="15" customFormat="1" ht="19.5" hidden="1" customHeight="1" outlineLevel="1" x14ac:dyDescent="0.25">
      <c r="A11524" s="46">
        <v>10106</v>
      </c>
      <c r="B11524" s="4" t="s">
        <v>250</v>
      </c>
      <c r="C11524" s="22" t="s">
        <v>2782</v>
      </c>
      <c r="D11524" s="18">
        <v>2021</v>
      </c>
      <c r="E11524" s="18"/>
      <c r="F11524" s="4">
        <v>1</v>
      </c>
      <c r="G11524" s="4">
        <v>8</v>
      </c>
      <c r="H11524" s="4">
        <v>23</v>
      </c>
    </row>
    <row r="11525" spans="1:8" s="15" customFormat="1" ht="19.5" hidden="1" customHeight="1" outlineLevel="1" x14ac:dyDescent="0.25">
      <c r="A11525" s="46">
        <v>10105</v>
      </c>
      <c r="B11525" s="4" t="s">
        <v>250</v>
      </c>
      <c r="C11525" s="22" t="s">
        <v>2783</v>
      </c>
      <c r="D11525" s="18">
        <v>2021</v>
      </c>
      <c r="E11525" s="18"/>
      <c r="F11525" s="4">
        <v>1</v>
      </c>
      <c r="G11525" s="4">
        <v>5</v>
      </c>
      <c r="H11525" s="4">
        <v>21</v>
      </c>
    </row>
    <row r="11526" spans="1:8" s="15" customFormat="1" ht="19.5" hidden="1" customHeight="1" outlineLevel="1" x14ac:dyDescent="0.25">
      <c r="A11526" s="46">
        <v>10322</v>
      </c>
      <c r="B11526" s="4" t="s">
        <v>250</v>
      </c>
      <c r="C11526" s="22" t="s">
        <v>2784</v>
      </c>
      <c r="D11526" s="18">
        <v>2021</v>
      </c>
      <c r="E11526" s="18"/>
      <c r="F11526" s="4">
        <v>10</v>
      </c>
      <c r="G11526" s="4">
        <v>230</v>
      </c>
      <c r="H11526" s="4">
        <v>333</v>
      </c>
    </row>
    <row r="11527" spans="1:8" s="15" customFormat="1" ht="19.5" hidden="1" customHeight="1" outlineLevel="1" x14ac:dyDescent="0.25">
      <c r="A11527" s="18">
        <v>10906</v>
      </c>
      <c r="B11527" s="4" t="s">
        <v>250</v>
      </c>
      <c r="C11527" s="22" t="s">
        <v>2300</v>
      </c>
      <c r="D11527" s="18">
        <v>2021</v>
      </c>
      <c r="E11527" s="18"/>
      <c r="F11527" s="4">
        <v>75</v>
      </c>
      <c r="G11527" s="4">
        <v>1215</v>
      </c>
      <c r="H11527" s="4">
        <v>1844</v>
      </c>
    </row>
    <row r="11528" spans="1:8" s="15" customFormat="1" ht="19.5" hidden="1" customHeight="1" outlineLevel="1" x14ac:dyDescent="0.25">
      <c r="A11528" s="46">
        <v>9392</v>
      </c>
      <c r="B11528" s="4" t="s">
        <v>250</v>
      </c>
      <c r="C11528" s="22" t="s">
        <v>1584</v>
      </c>
      <c r="D11528" s="18">
        <v>2021</v>
      </c>
      <c r="E11528" s="18"/>
      <c r="F11528" s="4">
        <v>1</v>
      </c>
      <c r="G11528" s="4">
        <v>15</v>
      </c>
      <c r="H11528" s="4">
        <v>32</v>
      </c>
    </row>
    <row r="11529" spans="1:8" s="15" customFormat="1" ht="19.5" hidden="1" customHeight="1" outlineLevel="1" x14ac:dyDescent="0.25">
      <c r="A11529" s="46">
        <v>9332</v>
      </c>
      <c r="B11529" s="4" t="s">
        <v>250</v>
      </c>
      <c r="C11529" s="22" t="s">
        <v>1585</v>
      </c>
      <c r="D11529" s="18">
        <v>2021</v>
      </c>
      <c r="E11529" s="18"/>
      <c r="F11529" s="4">
        <v>1</v>
      </c>
      <c r="G11529" s="4">
        <v>14</v>
      </c>
      <c r="H11529" s="4">
        <v>27</v>
      </c>
    </row>
    <row r="11530" spans="1:8" s="15" customFormat="1" ht="19.5" hidden="1" customHeight="1" outlineLevel="1" x14ac:dyDescent="0.25">
      <c r="A11530" s="46">
        <v>9086</v>
      </c>
      <c r="B11530" s="4" t="s">
        <v>250</v>
      </c>
      <c r="C11530" s="22" t="s">
        <v>1586</v>
      </c>
      <c r="D11530" s="18">
        <v>2021</v>
      </c>
      <c r="E11530" s="18"/>
      <c r="F11530" s="4">
        <v>1</v>
      </c>
      <c r="G11530" s="4">
        <v>30</v>
      </c>
      <c r="H11530" s="4">
        <v>24</v>
      </c>
    </row>
    <row r="11531" spans="1:8" s="15" customFormat="1" ht="19.5" hidden="1" customHeight="1" outlineLevel="1" x14ac:dyDescent="0.25">
      <c r="A11531" s="46">
        <v>9323</v>
      </c>
      <c r="B11531" s="4" t="s">
        <v>250</v>
      </c>
      <c r="C11531" s="22" t="s">
        <v>1587</v>
      </c>
      <c r="D11531" s="18">
        <v>2021</v>
      </c>
      <c r="E11531" s="18"/>
      <c r="F11531" s="4">
        <v>1</v>
      </c>
      <c r="G11531" s="4">
        <v>15</v>
      </c>
      <c r="H11531" s="4">
        <v>27</v>
      </c>
    </row>
    <row r="11532" spans="1:8" s="15" customFormat="1" ht="19.5" hidden="1" customHeight="1" outlineLevel="1" x14ac:dyDescent="0.25">
      <c r="A11532" s="46">
        <v>9397</v>
      </c>
      <c r="B11532" s="4" t="s">
        <v>250</v>
      </c>
      <c r="C11532" s="22" t="s">
        <v>2785</v>
      </c>
      <c r="D11532" s="18">
        <v>2021</v>
      </c>
      <c r="E11532" s="18"/>
      <c r="F11532" s="4">
        <v>1</v>
      </c>
      <c r="G11532" s="4">
        <v>15</v>
      </c>
      <c r="H11532" s="4">
        <v>27</v>
      </c>
    </row>
    <row r="11533" spans="1:8" s="15" customFormat="1" ht="19.5" hidden="1" customHeight="1" outlineLevel="1" x14ac:dyDescent="0.25">
      <c r="A11533" s="46">
        <v>9674</v>
      </c>
      <c r="B11533" s="4" t="s">
        <v>250</v>
      </c>
      <c r="C11533" s="22" t="s">
        <v>1589</v>
      </c>
      <c r="D11533" s="18">
        <v>2021</v>
      </c>
      <c r="E11533" s="18"/>
      <c r="F11533" s="4">
        <v>1</v>
      </c>
      <c r="G11533" s="4">
        <v>50</v>
      </c>
      <c r="H11533" s="4">
        <v>27</v>
      </c>
    </row>
    <row r="11534" spans="1:8" s="15" customFormat="1" ht="19.5" hidden="1" customHeight="1" outlineLevel="1" x14ac:dyDescent="0.25">
      <c r="A11534" s="45">
        <v>351</v>
      </c>
      <c r="B11534" s="4" t="s">
        <v>250</v>
      </c>
      <c r="C11534" s="22" t="s">
        <v>1590</v>
      </c>
      <c r="D11534" s="18">
        <v>2021</v>
      </c>
      <c r="E11534" s="18"/>
      <c r="F11534" s="4">
        <v>1</v>
      </c>
      <c r="G11534" s="4">
        <v>15</v>
      </c>
      <c r="H11534" s="4">
        <v>27</v>
      </c>
    </row>
    <row r="11535" spans="1:8" s="15" customFormat="1" ht="19.5" hidden="1" customHeight="1" outlineLevel="1" x14ac:dyDescent="0.25">
      <c r="A11535" s="46">
        <v>9331</v>
      </c>
      <c r="B11535" s="4" t="s">
        <v>250</v>
      </c>
      <c r="C11535" s="22" t="s">
        <v>1591</v>
      </c>
      <c r="D11535" s="18">
        <v>2021</v>
      </c>
      <c r="E11535" s="18"/>
      <c r="F11535" s="4">
        <v>2</v>
      </c>
      <c r="G11535" s="4">
        <v>25</v>
      </c>
      <c r="H11535" s="4">
        <v>51</v>
      </c>
    </row>
    <row r="11536" spans="1:8" s="15" customFormat="1" ht="19.5" hidden="1" customHeight="1" outlineLevel="1" x14ac:dyDescent="0.25">
      <c r="A11536" s="46">
        <v>9270</v>
      </c>
      <c r="B11536" s="4" t="s">
        <v>250</v>
      </c>
      <c r="C11536" s="22" t="s">
        <v>1592</v>
      </c>
      <c r="D11536" s="18">
        <v>2021</v>
      </c>
      <c r="E11536" s="18"/>
      <c r="F11536" s="4">
        <v>2</v>
      </c>
      <c r="G11536" s="4">
        <v>30</v>
      </c>
      <c r="H11536" s="4">
        <v>45</v>
      </c>
    </row>
    <row r="11537" spans="1:8" s="15" customFormat="1" ht="19.5" hidden="1" customHeight="1" outlineLevel="1" x14ac:dyDescent="0.25">
      <c r="A11537" s="46">
        <v>9895</v>
      </c>
      <c r="B11537" s="4" t="s">
        <v>250</v>
      </c>
      <c r="C11537" s="22" t="s">
        <v>2786</v>
      </c>
      <c r="D11537" s="18">
        <v>2021</v>
      </c>
      <c r="E11537" s="18"/>
      <c r="F11537" s="4">
        <v>1</v>
      </c>
      <c r="G11537" s="4">
        <v>80</v>
      </c>
      <c r="H11537" s="4">
        <v>21</v>
      </c>
    </row>
    <row r="11538" spans="1:8" s="15" customFormat="1" ht="19.5" hidden="1" customHeight="1" outlineLevel="1" x14ac:dyDescent="0.25">
      <c r="A11538" s="46">
        <v>10087</v>
      </c>
      <c r="B11538" s="4" t="s">
        <v>250</v>
      </c>
      <c r="C11538" s="22" t="s">
        <v>2787</v>
      </c>
      <c r="D11538" s="18">
        <v>2021</v>
      </c>
      <c r="E11538" s="18"/>
      <c r="F11538" s="4">
        <v>1</v>
      </c>
      <c r="G11538" s="4">
        <v>15</v>
      </c>
      <c r="H11538" s="4">
        <v>23</v>
      </c>
    </row>
    <row r="11539" spans="1:8" s="15" customFormat="1" ht="19.5" hidden="1" customHeight="1" outlineLevel="1" x14ac:dyDescent="0.25">
      <c r="A11539" s="45">
        <v>526</v>
      </c>
      <c r="B11539" s="4" t="s">
        <v>250</v>
      </c>
      <c r="C11539" s="22" t="s">
        <v>1593</v>
      </c>
      <c r="D11539" s="18">
        <v>2021</v>
      </c>
      <c r="E11539" s="18"/>
      <c r="F11539" s="4">
        <v>1</v>
      </c>
      <c r="G11539" s="4">
        <v>15</v>
      </c>
      <c r="H11539" s="4">
        <v>26</v>
      </c>
    </row>
    <row r="11540" spans="1:8" s="15" customFormat="1" ht="19.5" hidden="1" customHeight="1" outlineLevel="1" x14ac:dyDescent="0.25">
      <c r="A11540" s="46">
        <v>10072</v>
      </c>
      <c r="B11540" s="4" t="s">
        <v>250</v>
      </c>
      <c r="C11540" s="22" t="s">
        <v>2788</v>
      </c>
      <c r="D11540" s="18">
        <v>2021</v>
      </c>
      <c r="E11540" s="18"/>
      <c r="F11540" s="4">
        <v>1</v>
      </c>
      <c r="G11540" s="4">
        <v>15</v>
      </c>
      <c r="H11540" s="4">
        <v>30</v>
      </c>
    </row>
    <row r="11541" spans="1:8" s="15" customFormat="1" ht="19.5" hidden="1" customHeight="1" outlineLevel="1" x14ac:dyDescent="0.25">
      <c r="A11541" s="46">
        <v>10094</v>
      </c>
      <c r="B11541" s="4" t="s">
        <v>250</v>
      </c>
      <c r="C11541" s="22" t="s">
        <v>2789</v>
      </c>
      <c r="D11541" s="18">
        <v>2021</v>
      </c>
      <c r="E11541" s="18"/>
      <c r="F11541" s="4">
        <v>1</v>
      </c>
      <c r="G11541" s="4">
        <v>2.4</v>
      </c>
      <c r="H11541" s="4">
        <v>27</v>
      </c>
    </row>
    <row r="11542" spans="1:8" s="15" customFormat="1" ht="19.5" hidden="1" customHeight="1" outlineLevel="1" x14ac:dyDescent="0.25">
      <c r="A11542" s="46">
        <v>10084</v>
      </c>
      <c r="B11542" s="4" t="s">
        <v>250</v>
      </c>
      <c r="C11542" s="22" t="s">
        <v>2790</v>
      </c>
      <c r="D11542" s="18">
        <v>2021</v>
      </c>
      <c r="E11542" s="18"/>
      <c r="F11542" s="4">
        <v>1</v>
      </c>
      <c r="G11542" s="4">
        <v>15</v>
      </c>
      <c r="H11542" s="4">
        <v>28</v>
      </c>
    </row>
    <row r="11543" spans="1:8" s="15" customFormat="1" ht="19.5" hidden="1" customHeight="1" outlineLevel="1" x14ac:dyDescent="0.25">
      <c r="A11543" s="46">
        <v>9653</v>
      </c>
      <c r="B11543" s="4" t="s">
        <v>250</v>
      </c>
      <c r="C11543" s="22" t="s">
        <v>1595</v>
      </c>
      <c r="D11543" s="18">
        <v>2021</v>
      </c>
      <c r="E11543" s="18"/>
      <c r="F11543" s="4">
        <v>1</v>
      </c>
      <c r="G11543" s="4">
        <v>150</v>
      </c>
      <c r="H11543" s="4">
        <v>27</v>
      </c>
    </row>
    <row r="11544" spans="1:8" s="15" customFormat="1" ht="19.5" hidden="1" customHeight="1" outlineLevel="1" x14ac:dyDescent="0.25">
      <c r="A11544" s="46">
        <v>9296</v>
      </c>
      <c r="B11544" s="4" t="s">
        <v>250</v>
      </c>
      <c r="C11544" s="22" t="s">
        <v>1596</v>
      </c>
      <c r="D11544" s="18">
        <v>2021</v>
      </c>
      <c r="E11544" s="18"/>
      <c r="F11544" s="4">
        <v>1</v>
      </c>
      <c r="G11544" s="4">
        <v>15</v>
      </c>
      <c r="H11544" s="4">
        <v>18</v>
      </c>
    </row>
    <row r="11545" spans="1:8" s="15" customFormat="1" ht="19.5" hidden="1" customHeight="1" outlineLevel="1" x14ac:dyDescent="0.25">
      <c r="A11545" s="46">
        <v>9413</v>
      </c>
      <c r="B11545" s="4" t="s">
        <v>250</v>
      </c>
      <c r="C11545" s="22" t="s">
        <v>1597</v>
      </c>
      <c r="D11545" s="18">
        <v>2021</v>
      </c>
      <c r="E11545" s="18"/>
      <c r="F11545" s="4">
        <v>1</v>
      </c>
      <c r="G11545" s="4">
        <v>150</v>
      </c>
      <c r="H11545" s="4">
        <v>31</v>
      </c>
    </row>
    <row r="11546" spans="1:8" s="15" customFormat="1" ht="19.5" hidden="1" customHeight="1" outlineLevel="1" x14ac:dyDescent="0.25">
      <c r="A11546" s="46">
        <v>9320</v>
      </c>
      <c r="B11546" s="4" t="s">
        <v>250</v>
      </c>
      <c r="C11546" s="22" t="s">
        <v>1598</v>
      </c>
      <c r="D11546" s="18">
        <v>2021</v>
      </c>
      <c r="E11546" s="18"/>
      <c r="F11546" s="4">
        <v>1</v>
      </c>
      <c r="G11546" s="4">
        <v>15</v>
      </c>
      <c r="H11546" s="4">
        <v>31</v>
      </c>
    </row>
    <row r="11547" spans="1:8" s="15" customFormat="1" ht="19.5" hidden="1" customHeight="1" outlineLevel="1" x14ac:dyDescent="0.25">
      <c r="A11547" s="46">
        <v>9411</v>
      </c>
      <c r="B11547" s="4" t="s">
        <v>250</v>
      </c>
      <c r="C11547" s="22" t="s">
        <v>1599</v>
      </c>
      <c r="D11547" s="18">
        <v>2021</v>
      </c>
      <c r="E11547" s="18"/>
      <c r="F11547" s="4">
        <v>1</v>
      </c>
      <c r="G11547" s="4">
        <v>15</v>
      </c>
      <c r="H11547" s="4">
        <v>29</v>
      </c>
    </row>
    <row r="11548" spans="1:8" s="15" customFormat="1" ht="19.5" hidden="1" customHeight="1" outlineLevel="1" x14ac:dyDescent="0.25">
      <c r="A11548" s="46">
        <v>9416</v>
      </c>
      <c r="B11548" s="4" t="s">
        <v>250</v>
      </c>
      <c r="C11548" s="22" t="s">
        <v>1600</v>
      </c>
      <c r="D11548" s="18">
        <v>2021</v>
      </c>
      <c r="E11548" s="18"/>
      <c r="F11548" s="4">
        <v>1</v>
      </c>
      <c r="G11548" s="4">
        <v>20</v>
      </c>
      <c r="H11548" s="4">
        <v>31</v>
      </c>
    </row>
    <row r="11549" spans="1:8" s="15" customFormat="1" ht="19.5" hidden="1" customHeight="1" outlineLevel="1" x14ac:dyDescent="0.25">
      <c r="A11549" s="45">
        <v>335</v>
      </c>
      <c r="B11549" s="4" t="s">
        <v>250</v>
      </c>
      <c r="C11549" s="22" t="s">
        <v>1926</v>
      </c>
      <c r="D11549" s="18">
        <v>2021</v>
      </c>
      <c r="E11549" s="18"/>
      <c r="F11549" s="4">
        <v>1</v>
      </c>
      <c r="G11549" s="4">
        <v>15</v>
      </c>
      <c r="H11549" s="4">
        <v>27</v>
      </c>
    </row>
    <row r="11550" spans="1:8" s="15" customFormat="1" ht="19.5" hidden="1" customHeight="1" outlineLevel="1" x14ac:dyDescent="0.25">
      <c r="A11550" s="46">
        <v>9400</v>
      </c>
      <c r="B11550" s="4" t="s">
        <v>250</v>
      </c>
      <c r="C11550" s="22" t="s">
        <v>1927</v>
      </c>
      <c r="D11550" s="18">
        <v>2021</v>
      </c>
      <c r="E11550" s="18"/>
      <c r="F11550" s="4">
        <v>1</v>
      </c>
      <c r="G11550" s="4">
        <v>45</v>
      </c>
      <c r="H11550" s="4">
        <v>28</v>
      </c>
    </row>
    <row r="11551" spans="1:8" s="15" customFormat="1" ht="19.5" hidden="1" customHeight="1" outlineLevel="1" x14ac:dyDescent="0.25">
      <c r="A11551" s="45">
        <v>334</v>
      </c>
      <c r="B11551" s="4" t="s">
        <v>250</v>
      </c>
      <c r="C11551" s="22" t="s">
        <v>1928</v>
      </c>
      <c r="D11551" s="18">
        <v>2021</v>
      </c>
      <c r="E11551" s="18"/>
      <c r="F11551" s="4">
        <v>1</v>
      </c>
      <c r="G11551" s="4">
        <v>15</v>
      </c>
      <c r="H11551" s="4">
        <v>27</v>
      </c>
    </row>
    <row r="11552" spans="1:8" s="15" customFormat="1" ht="19.5" hidden="1" customHeight="1" outlineLevel="1" x14ac:dyDescent="0.25">
      <c r="A11552" s="46">
        <v>9405</v>
      </c>
      <c r="B11552" s="4" t="s">
        <v>250</v>
      </c>
      <c r="C11552" s="22" t="s">
        <v>1601</v>
      </c>
      <c r="D11552" s="18">
        <v>2021</v>
      </c>
      <c r="E11552" s="18"/>
      <c r="F11552" s="4">
        <v>1</v>
      </c>
      <c r="G11552" s="4">
        <v>15</v>
      </c>
      <c r="H11552" s="4">
        <v>34</v>
      </c>
    </row>
    <row r="11553" spans="1:8" s="15" customFormat="1" ht="19.5" hidden="1" customHeight="1" outlineLevel="1" x14ac:dyDescent="0.25">
      <c r="A11553" s="46">
        <v>9327</v>
      </c>
      <c r="B11553" s="4" t="s">
        <v>250</v>
      </c>
      <c r="C11553" s="22" t="s">
        <v>1602</v>
      </c>
      <c r="D11553" s="18">
        <v>2021</v>
      </c>
      <c r="E11553" s="18"/>
      <c r="F11553" s="4">
        <v>1</v>
      </c>
      <c r="G11553" s="4">
        <v>15</v>
      </c>
      <c r="H11553" s="4">
        <v>34</v>
      </c>
    </row>
    <row r="11554" spans="1:8" s="15" customFormat="1" ht="19.5" hidden="1" customHeight="1" outlineLevel="1" x14ac:dyDescent="0.25">
      <c r="A11554" s="46">
        <v>9293</v>
      </c>
      <c r="B11554" s="4" t="s">
        <v>250</v>
      </c>
      <c r="C11554" s="22" t="s">
        <v>1603</v>
      </c>
      <c r="D11554" s="18">
        <v>2021</v>
      </c>
      <c r="E11554" s="18"/>
      <c r="F11554" s="4">
        <v>1</v>
      </c>
      <c r="G11554" s="4">
        <v>15</v>
      </c>
      <c r="H11554" s="4">
        <v>33</v>
      </c>
    </row>
    <row r="11555" spans="1:8" s="15" customFormat="1" ht="19.5" hidden="1" customHeight="1" outlineLevel="1" x14ac:dyDescent="0.25">
      <c r="A11555" s="46">
        <v>9353</v>
      </c>
      <c r="B11555" s="4" t="s">
        <v>250</v>
      </c>
      <c r="C11555" s="22" t="s">
        <v>1606</v>
      </c>
      <c r="D11555" s="18">
        <v>2021</v>
      </c>
      <c r="E11555" s="18"/>
      <c r="F11555" s="4">
        <v>3</v>
      </c>
      <c r="G11555" s="4">
        <v>30</v>
      </c>
      <c r="H11555" s="4">
        <v>63</v>
      </c>
    </row>
    <row r="11556" spans="1:8" s="15" customFormat="1" ht="19.5" hidden="1" customHeight="1" outlineLevel="1" x14ac:dyDescent="0.25">
      <c r="A11556" s="46">
        <v>9379</v>
      </c>
      <c r="B11556" s="4" t="s">
        <v>250</v>
      </c>
      <c r="C11556" s="22" t="s">
        <v>1607</v>
      </c>
      <c r="D11556" s="18">
        <v>2021</v>
      </c>
      <c r="E11556" s="18"/>
      <c r="F11556" s="4">
        <v>1</v>
      </c>
      <c r="G11556" s="4">
        <v>10</v>
      </c>
      <c r="H11556" s="4">
        <v>30</v>
      </c>
    </row>
    <row r="11557" spans="1:8" s="15" customFormat="1" ht="19.5" hidden="1" customHeight="1" outlineLevel="1" x14ac:dyDescent="0.25">
      <c r="A11557" s="46">
        <v>9649</v>
      </c>
      <c r="B11557" s="4" t="s">
        <v>250</v>
      </c>
      <c r="C11557" s="22" t="s">
        <v>1608</v>
      </c>
      <c r="D11557" s="18">
        <v>2021</v>
      </c>
      <c r="E11557" s="18"/>
      <c r="F11557" s="4">
        <v>1</v>
      </c>
      <c r="G11557" s="4">
        <v>15</v>
      </c>
      <c r="H11557" s="4">
        <v>27</v>
      </c>
    </row>
    <row r="11558" spans="1:8" s="15" customFormat="1" ht="19.5" hidden="1" customHeight="1" outlineLevel="1" x14ac:dyDescent="0.25">
      <c r="A11558" s="46">
        <v>10104</v>
      </c>
      <c r="B11558" s="4" t="s">
        <v>250</v>
      </c>
      <c r="C11558" s="22" t="s">
        <v>2791</v>
      </c>
      <c r="D11558" s="18">
        <v>2021</v>
      </c>
      <c r="E11558" s="18"/>
      <c r="F11558" s="4">
        <v>1</v>
      </c>
      <c r="G11558" s="4">
        <v>15</v>
      </c>
      <c r="H11558" s="4">
        <v>27</v>
      </c>
    </row>
    <row r="11559" spans="1:8" s="15" customFormat="1" ht="19.5" hidden="1" customHeight="1" outlineLevel="1" x14ac:dyDescent="0.25">
      <c r="A11559" s="46">
        <v>9380</v>
      </c>
      <c r="B11559" s="4" t="s">
        <v>250</v>
      </c>
      <c r="C11559" s="22" t="s">
        <v>1620</v>
      </c>
      <c r="D11559" s="18">
        <v>2021</v>
      </c>
      <c r="E11559" s="18"/>
      <c r="F11559" s="4">
        <v>1</v>
      </c>
      <c r="G11559" s="4">
        <v>15</v>
      </c>
      <c r="H11559" s="4">
        <v>32</v>
      </c>
    </row>
    <row r="11560" spans="1:8" s="15" customFormat="1" ht="19.5" hidden="1" customHeight="1" outlineLevel="1" x14ac:dyDescent="0.25">
      <c r="A11560" s="46">
        <v>9085</v>
      </c>
      <c r="B11560" s="4" t="s">
        <v>250</v>
      </c>
      <c r="C11560" s="22" t="s">
        <v>1621</v>
      </c>
      <c r="D11560" s="18">
        <v>2021</v>
      </c>
      <c r="E11560" s="18"/>
      <c r="F11560" s="4">
        <v>1</v>
      </c>
      <c r="G11560" s="4">
        <v>15</v>
      </c>
      <c r="H11560" s="4">
        <v>29</v>
      </c>
    </row>
    <row r="11561" spans="1:8" s="15" customFormat="1" ht="19.5" hidden="1" customHeight="1" outlineLevel="1" x14ac:dyDescent="0.25">
      <c r="A11561" s="45">
        <v>373</v>
      </c>
      <c r="B11561" s="4" t="s">
        <v>250</v>
      </c>
      <c r="C11561" s="22" t="s">
        <v>1624</v>
      </c>
      <c r="D11561" s="18">
        <v>2021</v>
      </c>
      <c r="E11561" s="18"/>
      <c r="F11561" s="4">
        <v>1</v>
      </c>
      <c r="G11561" s="4">
        <v>15</v>
      </c>
      <c r="H11561" s="4">
        <v>34</v>
      </c>
    </row>
    <row r="11562" spans="1:8" s="15" customFormat="1" ht="19.5" hidden="1" customHeight="1" outlineLevel="1" x14ac:dyDescent="0.25">
      <c r="A11562" s="46">
        <v>9576</v>
      </c>
      <c r="B11562" s="4" t="s">
        <v>250</v>
      </c>
      <c r="C11562" s="22" t="s">
        <v>1625</v>
      </c>
      <c r="D11562" s="18">
        <v>2021</v>
      </c>
      <c r="E11562" s="18"/>
      <c r="F11562" s="4">
        <v>38</v>
      </c>
      <c r="G11562" s="4">
        <v>390</v>
      </c>
      <c r="H11562" s="4">
        <v>1625</v>
      </c>
    </row>
    <row r="11563" spans="1:8" s="15" customFormat="1" ht="19.5" hidden="1" customHeight="1" outlineLevel="1" x14ac:dyDescent="0.25">
      <c r="A11563" s="45">
        <v>374</v>
      </c>
      <c r="B11563" s="4" t="s">
        <v>250</v>
      </c>
      <c r="C11563" s="22" t="s">
        <v>1626</v>
      </c>
      <c r="D11563" s="18">
        <v>2021</v>
      </c>
      <c r="E11563" s="18"/>
      <c r="F11563" s="4">
        <v>1</v>
      </c>
      <c r="G11563" s="4">
        <v>15</v>
      </c>
      <c r="H11563" s="4">
        <v>25</v>
      </c>
    </row>
    <row r="11564" spans="1:8" s="15" customFormat="1" ht="19.5" hidden="1" customHeight="1" outlineLevel="1" x14ac:dyDescent="0.25">
      <c r="A11564" s="46">
        <v>9278</v>
      </c>
      <c r="B11564" s="4" t="s">
        <v>250</v>
      </c>
      <c r="C11564" s="22" t="s">
        <v>1627</v>
      </c>
      <c r="D11564" s="18">
        <v>2021</v>
      </c>
      <c r="E11564" s="18"/>
      <c r="F11564" s="4">
        <v>1</v>
      </c>
      <c r="G11564" s="4">
        <v>15</v>
      </c>
      <c r="H11564" s="4">
        <v>34</v>
      </c>
    </row>
    <row r="11565" spans="1:8" s="15" customFormat="1" ht="19.5" hidden="1" customHeight="1" outlineLevel="1" x14ac:dyDescent="0.25">
      <c r="A11565" s="46">
        <v>10063</v>
      </c>
      <c r="B11565" s="4" t="s">
        <v>250</v>
      </c>
      <c r="C11565" s="22" t="s">
        <v>2792</v>
      </c>
      <c r="D11565" s="18">
        <v>2021</v>
      </c>
      <c r="E11565" s="18"/>
      <c r="F11565" s="4">
        <v>1</v>
      </c>
      <c r="G11565" s="4">
        <v>15</v>
      </c>
      <c r="H11565" s="4">
        <v>29</v>
      </c>
    </row>
    <row r="11566" spans="1:8" s="15" customFormat="1" ht="19.5" hidden="1" customHeight="1" outlineLevel="1" x14ac:dyDescent="0.25">
      <c r="A11566" s="45">
        <v>2036</v>
      </c>
      <c r="B11566" s="4" t="s">
        <v>250</v>
      </c>
      <c r="C11566" s="22" t="s">
        <v>2793</v>
      </c>
      <c r="D11566" s="18">
        <v>2021</v>
      </c>
      <c r="E11566" s="18"/>
      <c r="F11566" s="4">
        <v>1</v>
      </c>
      <c r="G11566" s="4">
        <v>15</v>
      </c>
      <c r="H11566" s="4">
        <v>29</v>
      </c>
    </row>
    <row r="11567" spans="1:8" s="15" customFormat="1" ht="19.5" hidden="1" customHeight="1" outlineLevel="1" x14ac:dyDescent="0.25">
      <c r="A11567" s="45">
        <v>2039</v>
      </c>
      <c r="B11567" s="4" t="s">
        <v>250</v>
      </c>
      <c r="C11567" s="22" t="s">
        <v>2794</v>
      </c>
      <c r="D11567" s="18">
        <v>2021</v>
      </c>
      <c r="E11567" s="18"/>
      <c r="F11567" s="4">
        <v>1</v>
      </c>
      <c r="G11567" s="4">
        <v>15</v>
      </c>
      <c r="H11567" s="4">
        <v>32</v>
      </c>
    </row>
    <row r="11568" spans="1:8" s="15" customFormat="1" ht="19.5" hidden="1" customHeight="1" outlineLevel="1" x14ac:dyDescent="0.25">
      <c r="A11568" s="45">
        <v>2041</v>
      </c>
      <c r="B11568" s="4" t="s">
        <v>250</v>
      </c>
      <c r="C11568" s="22" t="s">
        <v>2795</v>
      </c>
      <c r="D11568" s="18">
        <v>2021</v>
      </c>
      <c r="E11568" s="18"/>
      <c r="F11568" s="4">
        <v>1</v>
      </c>
      <c r="G11568" s="4">
        <v>15</v>
      </c>
      <c r="H11568" s="4">
        <v>32</v>
      </c>
    </row>
    <row r="11569" spans="1:8" s="15" customFormat="1" ht="19.5" hidden="1" customHeight="1" outlineLevel="1" x14ac:dyDescent="0.25">
      <c r="A11569" s="46">
        <v>10069</v>
      </c>
      <c r="B11569" s="4" t="s">
        <v>250</v>
      </c>
      <c r="C11569" s="22" t="s">
        <v>2796</v>
      </c>
      <c r="D11569" s="18">
        <v>2021</v>
      </c>
      <c r="E11569" s="18"/>
      <c r="F11569" s="4">
        <v>1</v>
      </c>
      <c r="G11569" s="4">
        <v>15</v>
      </c>
      <c r="H11569" s="4">
        <v>31</v>
      </c>
    </row>
    <row r="11570" spans="1:8" s="15" customFormat="1" ht="19.5" hidden="1" customHeight="1" outlineLevel="1" x14ac:dyDescent="0.25">
      <c r="A11570" s="46">
        <v>9381</v>
      </c>
      <c r="B11570" s="4" t="s">
        <v>250</v>
      </c>
      <c r="C11570" s="22" t="s">
        <v>1629</v>
      </c>
      <c r="D11570" s="18">
        <v>2021</v>
      </c>
      <c r="E11570" s="18"/>
      <c r="F11570" s="4">
        <v>1</v>
      </c>
      <c r="G11570" s="4">
        <v>8</v>
      </c>
      <c r="H11570" s="4">
        <v>35</v>
      </c>
    </row>
    <row r="11571" spans="1:8" s="15" customFormat="1" ht="19.5" hidden="1" customHeight="1" outlineLevel="1" x14ac:dyDescent="0.25">
      <c r="A11571" s="46">
        <v>9592</v>
      </c>
      <c r="B11571" s="4" t="s">
        <v>250</v>
      </c>
      <c r="C11571" s="22" t="s">
        <v>1631</v>
      </c>
      <c r="D11571" s="18">
        <v>2021</v>
      </c>
      <c r="E11571" s="18"/>
      <c r="F11571" s="4">
        <v>7</v>
      </c>
      <c r="G11571" s="4">
        <v>90</v>
      </c>
      <c r="H11571" s="4">
        <v>189</v>
      </c>
    </row>
    <row r="11572" spans="1:8" s="15" customFormat="1" ht="19.5" hidden="1" customHeight="1" outlineLevel="1" x14ac:dyDescent="0.25">
      <c r="A11572" s="46">
        <v>9303</v>
      </c>
      <c r="B11572" s="4" t="s">
        <v>250</v>
      </c>
      <c r="C11572" s="22" t="s">
        <v>1632</v>
      </c>
      <c r="D11572" s="18">
        <v>2021</v>
      </c>
      <c r="E11572" s="18"/>
      <c r="F11572" s="4">
        <v>1</v>
      </c>
      <c r="G11572" s="4">
        <v>15</v>
      </c>
      <c r="H11572" s="4">
        <v>23</v>
      </c>
    </row>
    <row r="11573" spans="1:8" s="15" customFormat="1" ht="19.5" hidden="1" customHeight="1" outlineLevel="1" x14ac:dyDescent="0.25">
      <c r="A11573" s="46">
        <v>9305</v>
      </c>
      <c r="B11573" s="4" t="s">
        <v>250</v>
      </c>
      <c r="C11573" s="22" t="s">
        <v>1634</v>
      </c>
      <c r="D11573" s="18">
        <v>2021</v>
      </c>
      <c r="E11573" s="18"/>
      <c r="F11573" s="4">
        <v>1</v>
      </c>
      <c r="G11573" s="4">
        <v>15</v>
      </c>
      <c r="H11573" s="4">
        <v>28</v>
      </c>
    </row>
    <row r="11574" spans="1:8" s="15" customFormat="1" ht="19.5" hidden="1" customHeight="1" outlineLevel="1" x14ac:dyDescent="0.25">
      <c r="A11574" s="46">
        <v>9329</v>
      </c>
      <c r="B11574" s="4" t="s">
        <v>250</v>
      </c>
      <c r="C11574" s="22" t="s">
        <v>1638</v>
      </c>
      <c r="D11574" s="18">
        <v>2021</v>
      </c>
      <c r="E11574" s="18"/>
      <c r="F11574" s="4">
        <v>1</v>
      </c>
      <c r="G11574" s="4">
        <v>15</v>
      </c>
      <c r="H11574" s="4">
        <v>26</v>
      </c>
    </row>
    <row r="11575" spans="1:8" s="15" customFormat="1" ht="19.5" hidden="1" customHeight="1" outlineLevel="1" x14ac:dyDescent="0.25">
      <c r="A11575" s="46">
        <v>9418</v>
      </c>
      <c r="B11575" s="4" t="s">
        <v>250</v>
      </c>
      <c r="C11575" s="22" t="s">
        <v>1944</v>
      </c>
      <c r="D11575" s="18">
        <v>2021</v>
      </c>
      <c r="E11575" s="18"/>
      <c r="F11575" s="4">
        <v>11</v>
      </c>
      <c r="G11575" s="4">
        <v>110</v>
      </c>
      <c r="H11575" s="4">
        <v>506</v>
      </c>
    </row>
    <row r="11576" spans="1:8" s="15" customFormat="1" ht="19.5" hidden="1" customHeight="1" outlineLevel="1" x14ac:dyDescent="0.25">
      <c r="A11576" s="46">
        <v>9593</v>
      </c>
      <c r="B11576" s="4" t="s">
        <v>250</v>
      </c>
      <c r="C11576" s="22" t="s">
        <v>1641</v>
      </c>
      <c r="D11576" s="18">
        <v>2021</v>
      </c>
      <c r="E11576" s="18"/>
      <c r="F11576" s="4">
        <v>1</v>
      </c>
      <c r="G11576" s="4">
        <v>15</v>
      </c>
      <c r="H11576" s="4">
        <v>22</v>
      </c>
    </row>
    <row r="11577" spans="1:8" s="15" customFormat="1" ht="19.5" hidden="1" customHeight="1" outlineLevel="1" x14ac:dyDescent="0.25">
      <c r="A11577" s="46">
        <v>9343</v>
      </c>
      <c r="B11577" s="4" t="s">
        <v>250</v>
      </c>
      <c r="C11577" s="22" t="s">
        <v>1946</v>
      </c>
      <c r="D11577" s="18">
        <v>2021</v>
      </c>
      <c r="E11577" s="18"/>
      <c r="F11577" s="4">
        <v>1</v>
      </c>
      <c r="G11577" s="4">
        <v>15</v>
      </c>
      <c r="H11577" s="4">
        <v>32</v>
      </c>
    </row>
    <row r="11578" spans="1:8" s="15" customFormat="1" ht="19.5" hidden="1" customHeight="1" outlineLevel="1" x14ac:dyDescent="0.25">
      <c r="A11578" s="46">
        <v>10123</v>
      </c>
      <c r="B11578" s="4" t="s">
        <v>250</v>
      </c>
      <c r="C11578" s="22" t="s">
        <v>2797</v>
      </c>
      <c r="D11578" s="18">
        <v>2021</v>
      </c>
      <c r="E11578" s="18"/>
      <c r="F11578" s="4">
        <v>1</v>
      </c>
      <c r="G11578" s="4">
        <v>15</v>
      </c>
      <c r="H11578" s="4">
        <v>32</v>
      </c>
    </row>
    <row r="11579" spans="1:8" s="15" customFormat="1" ht="19.5" hidden="1" customHeight="1" outlineLevel="1" x14ac:dyDescent="0.25">
      <c r="A11579" s="45">
        <v>2124</v>
      </c>
      <c r="B11579" s="4" t="s">
        <v>250</v>
      </c>
      <c r="C11579" s="22" t="s">
        <v>2798</v>
      </c>
      <c r="D11579" s="18">
        <v>2021</v>
      </c>
      <c r="E11579" s="18"/>
      <c r="F11579" s="4">
        <v>1</v>
      </c>
      <c r="G11579" s="4">
        <v>15</v>
      </c>
      <c r="H11579" s="4">
        <v>32</v>
      </c>
    </row>
    <row r="11580" spans="1:8" s="15" customFormat="1" ht="19.5" hidden="1" customHeight="1" outlineLevel="1" x14ac:dyDescent="0.25">
      <c r="A11580" s="46">
        <v>9375</v>
      </c>
      <c r="B11580" s="4" t="s">
        <v>250</v>
      </c>
      <c r="C11580" s="22" t="s">
        <v>1652</v>
      </c>
      <c r="D11580" s="18">
        <v>2021</v>
      </c>
      <c r="E11580" s="18"/>
      <c r="F11580" s="4">
        <v>1</v>
      </c>
      <c r="G11580" s="4">
        <v>5</v>
      </c>
      <c r="H11580" s="4">
        <v>28</v>
      </c>
    </row>
    <row r="11581" spans="1:8" s="15" customFormat="1" ht="19.5" hidden="1" customHeight="1" outlineLevel="1" x14ac:dyDescent="0.25">
      <c r="A11581" s="46">
        <v>9295</v>
      </c>
      <c r="B11581" s="4" t="s">
        <v>250</v>
      </c>
      <c r="C11581" s="22" t="s">
        <v>2799</v>
      </c>
      <c r="D11581" s="18">
        <v>2021</v>
      </c>
      <c r="E11581" s="18"/>
      <c r="F11581" s="4">
        <v>2</v>
      </c>
      <c r="G11581" s="4">
        <v>30</v>
      </c>
      <c r="H11581" s="4">
        <v>71</v>
      </c>
    </row>
    <row r="11582" spans="1:8" s="15" customFormat="1" ht="19.5" hidden="1" customHeight="1" outlineLevel="1" x14ac:dyDescent="0.25">
      <c r="A11582" s="46">
        <v>9440</v>
      </c>
      <c r="B11582" s="4" t="s">
        <v>250</v>
      </c>
      <c r="C11582" s="22" t="s">
        <v>2800</v>
      </c>
      <c r="D11582" s="18">
        <v>2021</v>
      </c>
      <c r="E11582" s="18"/>
      <c r="F11582" s="4">
        <v>3</v>
      </c>
      <c r="G11582" s="4">
        <v>45</v>
      </c>
      <c r="H11582" s="4">
        <v>110</v>
      </c>
    </row>
    <row r="11583" spans="1:8" s="15" customFormat="1" ht="19.5" hidden="1" customHeight="1" outlineLevel="1" x14ac:dyDescent="0.25">
      <c r="A11583" s="46">
        <v>9402</v>
      </c>
      <c r="B11583" s="4" t="s">
        <v>250</v>
      </c>
      <c r="C11583" s="22" t="s">
        <v>1947</v>
      </c>
      <c r="D11583" s="18">
        <v>2021</v>
      </c>
      <c r="E11583" s="18"/>
      <c r="F11583" s="4">
        <v>1</v>
      </c>
      <c r="G11583" s="4">
        <v>15</v>
      </c>
      <c r="H11583" s="4">
        <v>83</v>
      </c>
    </row>
    <row r="11584" spans="1:8" s="15" customFormat="1" ht="19.5" hidden="1" customHeight="1" outlineLevel="1" x14ac:dyDescent="0.25">
      <c r="A11584" s="46">
        <v>9406</v>
      </c>
      <c r="B11584" s="4" t="s">
        <v>250</v>
      </c>
      <c r="C11584" s="22" t="s">
        <v>2801</v>
      </c>
      <c r="D11584" s="18">
        <v>2021</v>
      </c>
      <c r="E11584" s="18"/>
      <c r="F11584" s="4">
        <v>1</v>
      </c>
      <c r="G11584" s="4">
        <v>14</v>
      </c>
      <c r="H11584" s="4">
        <v>24</v>
      </c>
    </row>
    <row r="11585" spans="1:8" s="15" customFormat="1" ht="19.5" hidden="1" customHeight="1" outlineLevel="1" x14ac:dyDescent="0.25">
      <c r="A11585" s="46">
        <v>9436</v>
      </c>
      <c r="B11585" s="4" t="s">
        <v>250</v>
      </c>
      <c r="C11585" s="22" t="s">
        <v>2802</v>
      </c>
      <c r="D11585" s="18">
        <v>2021</v>
      </c>
      <c r="E11585" s="18"/>
      <c r="F11585" s="4">
        <v>1</v>
      </c>
      <c r="G11585" s="4">
        <v>15</v>
      </c>
      <c r="H11585" s="4">
        <v>27</v>
      </c>
    </row>
    <row r="11586" spans="1:8" s="15" customFormat="1" ht="19.5" hidden="1" customHeight="1" outlineLevel="1" x14ac:dyDescent="0.25">
      <c r="A11586" s="46">
        <v>9286</v>
      </c>
      <c r="B11586" s="4" t="s">
        <v>250</v>
      </c>
      <c r="C11586" s="22" t="s">
        <v>2803</v>
      </c>
      <c r="D11586" s="18">
        <v>2021</v>
      </c>
      <c r="E11586" s="18"/>
      <c r="F11586" s="4">
        <v>1</v>
      </c>
      <c r="G11586" s="4">
        <v>15</v>
      </c>
      <c r="H11586" s="4">
        <v>29</v>
      </c>
    </row>
    <row r="11587" spans="1:8" s="15" customFormat="1" ht="19.5" hidden="1" customHeight="1" outlineLevel="1" x14ac:dyDescent="0.25">
      <c r="A11587" s="46">
        <v>9322</v>
      </c>
      <c r="B11587" s="4" t="s">
        <v>250</v>
      </c>
      <c r="C11587" s="22" t="s">
        <v>2804</v>
      </c>
      <c r="D11587" s="18">
        <v>2021</v>
      </c>
      <c r="E11587" s="18"/>
      <c r="F11587" s="4">
        <v>1</v>
      </c>
      <c r="G11587" s="4">
        <v>15</v>
      </c>
      <c r="H11587" s="4">
        <v>30</v>
      </c>
    </row>
    <row r="11588" spans="1:8" s="15" customFormat="1" ht="19.5" hidden="1" customHeight="1" outlineLevel="1" x14ac:dyDescent="0.25">
      <c r="A11588" s="46">
        <v>9319</v>
      </c>
      <c r="B11588" s="4" t="s">
        <v>250</v>
      </c>
      <c r="C11588" s="22" t="s">
        <v>2805</v>
      </c>
      <c r="D11588" s="18">
        <v>2021</v>
      </c>
      <c r="E11588" s="18"/>
      <c r="F11588" s="4">
        <v>1</v>
      </c>
      <c r="G11588" s="4">
        <v>15</v>
      </c>
      <c r="H11588" s="4">
        <v>28</v>
      </c>
    </row>
    <row r="11589" spans="1:8" s="15" customFormat="1" ht="19.5" hidden="1" customHeight="1" outlineLevel="1" x14ac:dyDescent="0.25">
      <c r="A11589" s="46">
        <v>9610</v>
      </c>
      <c r="B11589" s="4" t="s">
        <v>250</v>
      </c>
      <c r="C11589" s="22" t="s">
        <v>2007</v>
      </c>
      <c r="D11589" s="18">
        <v>2021</v>
      </c>
      <c r="E11589" s="18"/>
      <c r="F11589" s="4">
        <v>2</v>
      </c>
      <c r="G11589" s="4">
        <v>30</v>
      </c>
      <c r="H11589" s="4">
        <v>59</v>
      </c>
    </row>
    <row r="11590" spans="1:8" s="15" customFormat="1" ht="19.5" hidden="1" customHeight="1" outlineLevel="1" x14ac:dyDescent="0.25">
      <c r="A11590" s="46">
        <v>9292</v>
      </c>
      <c r="B11590" s="4" t="s">
        <v>250</v>
      </c>
      <c r="C11590" s="22" t="s">
        <v>2806</v>
      </c>
      <c r="D11590" s="18">
        <v>2021</v>
      </c>
      <c r="E11590" s="18"/>
      <c r="F11590" s="4">
        <v>5</v>
      </c>
      <c r="G11590" s="4">
        <v>70</v>
      </c>
      <c r="H11590" s="4">
        <v>114</v>
      </c>
    </row>
    <row r="11591" spans="1:8" s="15" customFormat="1" ht="19.5" hidden="1" customHeight="1" outlineLevel="1" x14ac:dyDescent="0.25">
      <c r="A11591" s="46">
        <v>9302</v>
      </c>
      <c r="B11591" s="4" t="s">
        <v>250</v>
      </c>
      <c r="C11591" s="22" t="s">
        <v>2807</v>
      </c>
      <c r="D11591" s="18">
        <v>2021</v>
      </c>
      <c r="E11591" s="18"/>
      <c r="F11591" s="4">
        <v>1</v>
      </c>
      <c r="G11591" s="4">
        <v>15</v>
      </c>
      <c r="H11591" s="4">
        <v>27</v>
      </c>
    </row>
    <row r="11592" spans="1:8" s="15" customFormat="1" ht="19.5" hidden="1" customHeight="1" outlineLevel="1" x14ac:dyDescent="0.25">
      <c r="A11592" s="46">
        <v>9073</v>
      </c>
      <c r="B11592" s="4" t="s">
        <v>250</v>
      </c>
      <c r="C11592" s="22" t="s">
        <v>2808</v>
      </c>
      <c r="D11592" s="18">
        <v>2021</v>
      </c>
      <c r="E11592" s="18"/>
      <c r="F11592" s="4">
        <v>1</v>
      </c>
      <c r="G11592" s="4">
        <v>15</v>
      </c>
      <c r="H11592" s="4">
        <v>24</v>
      </c>
    </row>
    <row r="11593" spans="1:8" s="15" customFormat="1" ht="19.5" hidden="1" customHeight="1" outlineLevel="1" x14ac:dyDescent="0.25">
      <c r="A11593" s="46">
        <v>9338</v>
      </c>
      <c r="B11593" s="4" t="s">
        <v>250</v>
      </c>
      <c r="C11593" s="22" t="s">
        <v>2809</v>
      </c>
      <c r="D11593" s="18">
        <v>2021</v>
      </c>
      <c r="E11593" s="18"/>
      <c r="F11593" s="4">
        <v>1</v>
      </c>
      <c r="G11593" s="4">
        <v>15</v>
      </c>
      <c r="H11593" s="4">
        <v>24</v>
      </c>
    </row>
    <row r="11594" spans="1:8" s="15" customFormat="1" ht="19.5" hidden="1" customHeight="1" outlineLevel="1" x14ac:dyDescent="0.25">
      <c r="A11594" s="45">
        <v>357</v>
      </c>
      <c r="B11594" s="4" t="s">
        <v>250</v>
      </c>
      <c r="C11594" s="22" t="s">
        <v>2810</v>
      </c>
      <c r="D11594" s="18">
        <v>2021</v>
      </c>
      <c r="E11594" s="18"/>
      <c r="F11594" s="4">
        <v>1</v>
      </c>
      <c r="G11594" s="4">
        <v>15</v>
      </c>
      <c r="H11594" s="4">
        <v>23</v>
      </c>
    </row>
    <row r="11595" spans="1:8" s="15" customFormat="1" ht="19.5" hidden="1" customHeight="1" outlineLevel="1" x14ac:dyDescent="0.25">
      <c r="A11595" s="46">
        <v>9298</v>
      </c>
      <c r="B11595" s="4" t="s">
        <v>250</v>
      </c>
      <c r="C11595" s="22" t="s">
        <v>2811</v>
      </c>
      <c r="D11595" s="18">
        <v>2021</v>
      </c>
      <c r="E11595" s="18"/>
      <c r="F11595" s="4">
        <v>1</v>
      </c>
      <c r="G11595" s="4">
        <v>15</v>
      </c>
      <c r="H11595" s="4">
        <v>30</v>
      </c>
    </row>
    <row r="11596" spans="1:8" s="15" customFormat="1" ht="19.5" hidden="1" customHeight="1" outlineLevel="1" x14ac:dyDescent="0.25">
      <c r="A11596" s="46">
        <v>9648</v>
      </c>
      <c r="B11596" s="4" t="s">
        <v>250</v>
      </c>
      <c r="C11596" s="22" t="s">
        <v>1949</v>
      </c>
      <c r="D11596" s="18">
        <v>2021</v>
      </c>
      <c r="E11596" s="18"/>
      <c r="F11596" s="4">
        <v>3</v>
      </c>
      <c r="G11596" s="4">
        <v>45</v>
      </c>
      <c r="H11596" s="4">
        <v>92</v>
      </c>
    </row>
    <row r="11597" spans="1:8" s="15" customFormat="1" ht="19.5" hidden="1" customHeight="1" outlineLevel="1" x14ac:dyDescent="0.25">
      <c r="A11597" s="46">
        <v>9304</v>
      </c>
      <c r="B11597" s="4" t="s">
        <v>250</v>
      </c>
      <c r="C11597" s="22" t="s">
        <v>2812</v>
      </c>
      <c r="D11597" s="18">
        <v>2021</v>
      </c>
      <c r="E11597" s="18"/>
      <c r="F11597" s="4">
        <v>1</v>
      </c>
      <c r="G11597" s="4">
        <v>15</v>
      </c>
      <c r="H11597" s="4">
        <v>28</v>
      </c>
    </row>
    <row r="11598" spans="1:8" s="15" customFormat="1" ht="19.5" hidden="1" customHeight="1" outlineLevel="1" x14ac:dyDescent="0.25">
      <c r="A11598" s="46">
        <v>9333</v>
      </c>
      <c r="B11598" s="4" t="s">
        <v>250</v>
      </c>
      <c r="C11598" s="22" t="s">
        <v>2813</v>
      </c>
      <c r="D11598" s="18">
        <v>2021</v>
      </c>
      <c r="E11598" s="18"/>
      <c r="F11598" s="4">
        <v>1</v>
      </c>
      <c r="G11598" s="4">
        <v>15</v>
      </c>
      <c r="H11598" s="4">
        <v>31</v>
      </c>
    </row>
    <row r="11599" spans="1:8" s="15" customFormat="1" ht="19.5" hidden="1" customHeight="1" outlineLevel="1" x14ac:dyDescent="0.25">
      <c r="A11599" s="46">
        <v>9398</v>
      </c>
      <c r="B11599" s="4" t="s">
        <v>250</v>
      </c>
      <c r="C11599" s="22" t="s">
        <v>2814</v>
      </c>
      <c r="D11599" s="18">
        <v>2021</v>
      </c>
      <c r="E11599" s="18"/>
      <c r="F11599" s="4">
        <v>1</v>
      </c>
      <c r="G11599" s="4">
        <v>14</v>
      </c>
      <c r="H11599" s="4">
        <v>26</v>
      </c>
    </row>
    <row r="11600" spans="1:8" s="15" customFormat="1" ht="19.5" hidden="1" customHeight="1" outlineLevel="1" x14ac:dyDescent="0.25">
      <c r="A11600" s="46">
        <v>10337</v>
      </c>
      <c r="B11600" s="4" t="s">
        <v>250</v>
      </c>
      <c r="C11600" s="22" t="s">
        <v>2815</v>
      </c>
      <c r="D11600" s="18">
        <v>2021</v>
      </c>
      <c r="E11600" s="18"/>
      <c r="F11600" s="4">
        <v>31</v>
      </c>
      <c r="G11600" s="4">
        <v>317.7</v>
      </c>
      <c r="H11600" s="4">
        <v>692</v>
      </c>
    </row>
    <row r="11601" spans="1:8" s="15" customFormat="1" ht="19.5" hidden="1" customHeight="1" outlineLevel="1" x14ac:dyDescent="0.25">
      <c r="A11601" s="46">
        <v>9399</v>
      </c>
      <c r="B11601" s="4" t="s">
        <v>250</v>
      </c>
      <c r="C11601" s="22" t="s">
        <v>2816</v>
      </c>
      <c r="D11601" s="18">
        <v>2021</v>
      </c>
      <c r="E11601" s="18"/>
      <c r="F11601" s="4">
        <v>1</v>
      </c>
      <c r="G11601" s="4">
        <v>14</v>
      </c>
      <c r="H11601" s="4">
        <v>23</v>
      </c>
    </row>
    <row r="11602" spans="1:8" s="15" customFormat="1" ht="19.5" hidden="1" customHeight="1" outlineLevel="1" x14ac:dyDescent="0.25">
      <c r="A11602" s="46">
        <v>9311</v>
      </c>
      <c r="B11602" s="4" t="s">
        <v>250</v>
      </c>
      <c r="C11602" s="22" t="s">
        <v>2817</v>
      </c>
      <c r="D11602" s="18">
        <v>2021</v>
      </c>
      <c r="E11602" s="18"/>
      <c r="F11602" s="4">
        <v>1</v>
      </c>
      <c r="G11602" s="4">
        <v>15</v>
      </c>
      <c r="H11602" s="4">
        <v>30</v>
      </c>
    </row>
    <row r="11603" spans="1:8" s="15" customFormat="1" ht="19.5" hidden="1" customHeight="1" outlineLevel="1" x14ac:dyDescent="0.25">
      <c r="A11603" s="45">
        <v>377</v>
      </c>
      <c r="B11603" s="4" t="s">
        <v>250</v>
      </c>
      <c r="C11603" s="22" t="s">
        <v>2818</v>
      </c>
      <c r="D11603" s="18">
        <v>2021</v>
      </c>
      <c r="E11603" s="18"/>
      <c r="F11603" s="4">
        <v>1</v>
      </c>
      <c r="G11603" s="4">
        <v>15</v>
      </c>
      <c r="H11603" s="4">
        <v>27</v>
      </c>
    </row>
    <row r="11604" spans="1:8" s="15" customFormat="1" ht="19.5" hidden="1" customHeight="1" outlineLevel="1" x14ac:dyDescent="0.25">
      <c r="A11604" s="46">
        <v>9272</v>
      </c>
      <c r="B11604" s="4" t="s">
        <v>250</v>
      </c>
      <c r="C11604" s="22" t="s">
        <v>2819</v>
      </c>
      <c r="D11604" s="18">
        <v>2021</v>
      </c>
      <c r="E11604" s="18"/>
      <c r="F11604" s="4">
        <v>1</v>
      </c>
      <c r="G11604" s="4">
        <v>15</v>
      </c>
      <c r="H11604" s="4">
        <v>23</v>
      </c>
    </row>
    <row r="11605" spans="1:8" s="15" customFormat="1" ht="19.5" hidden="1" customHeight="1" outlineLevel="1" x14ac:dyDescent="0.25">
      <c r="A11605" s="46">
        <v>9273</v>
      </c>
      <c r="B11605" s="4" t="s">
        <v>250</v>
      </c>
      <c r="C11605" s="22" t="s">
        <v>2820</v>
      </c>
      <c r="D11605" s="18">
        <v>2021</v>
      </c>
      <c r="E11605" s="18"/>
      <c r="F11605" s="4">
        <v>1</v>
      </c>
      <c r="G11605" s="4">
        <v>15</v>
      </c>
      <c r="H11605" s="4">
        <v>23</v>
      </c>
    </row>
    <row r="11606" spans="1:8" s="15" customFormat="1" ht="19.5" hidden="1" customHeight="1" outlineLevel="1" x14ac:dyDescent="0.25">
      <c r="A11606" s="46">
        <v>9315</v>
      </c>
      <c r="B11606" s="4" t="s">
        <v>250</v>
      </c>
      <c r="C11606" s="22" t="s">
        <v>2821</v>
      </c>
      <c r="D11606" s="18">
        <v>2021</v>
      </c>
      <c r="E11606" s="18"/>
      <c r="F11606" s="4">
        <v>1</v>
      </c>
      <c r="G11606" s="4">
        <v>15</v>
      </c>
      <c r="H11606" s="4">
        <v>22</v>
      </c>
    </row>
    <row r="11607" spans="1:8" s="15" customFormat="1" ht="19.5" hidden="1" customHeight="1" outlineLevel="1" x14ac:dyDescent="0.25">
      <c r="A11607" s="46">
        <v>9654</v>
      </c>
      <c r="B11607" s="4" t="s">
        <v>250</v>
      </c>
      <c r="C11607" s="22" t="s">
        <v>1993</v>
      </c>
      <c r="D11607" s="18">
        <v>2021</v>
      </c>
      <c r="E11607" s="18"/>
      <c r="F11607" s="4">
        <v>1</v>
      </c>
      <c r="G11607" s="4">
        <v>15</v>
      </c>
      <c r="H11607" s="4">
        <v>21</v>
      </c>
    </row>
    <row r="11608" spans="1:8" s="15" customFormat="1" ht="19.5" hidden="1" customHeight="1" outlineLevel="1" x14ac:dyDescent="0.25">
      <c r="A11608" s="46">
        <v>10254</v>
      </c>
      <c r="B11608" s="4" t="s">
        <v>250</v>
      </c>
      <c r="C11608" s="22" t="s">
        <v>2822</v>
      </c>
      <c r="D11608" s="18">
        <v>2021</v>
      </c>
      <c r="E11608" s="18"/>
      <c r="F11608" s="4">
        <v>1</v>
      </c>
      <c r="G11608" s="4">
        <v>15</v>
      </c>
      <c r="H11608" s="4">
        <v>25</v>
      </c>
    </row>
    <row r="11609" spans="1:8" s="15" customFormat="1" ht="19.5" hidden="1" customHeight="1" outlineLevel="1" x14ac:dyDescent="0.25">
      <c r="A11609" s="46">
        <v>10064</v>
      </c>
      <c r="B11609" s="4" t="s">
        <v>250</v>
      </c>
      <c r="C11609" s="22" t="s">
        <v>2823</v>
      </c>
      <c r="D11609" s="18">
        <v>2021</v>
      </c>
      <c r="E11609" s="18"/>
      <c r="F11609" s="4">
        <v>1</v>
      </c>
      <c r="G11609" s="4">
        <v>15</v>
      </c>
      <c r="H11609" s="4">
        <v>26</v>
      </c>
    </row>
    <row r="11610" spans="1:8" s="15" customFormat="1" ht="19.5" hidden="1" customHeight="1" outlineLevel="1" x14ac:dyDescent="0.25">
      <c r="A11610" s="46">
        <v>10090</v>
      </c>
      <c r="B11610" s="4" t="s">
        <v>250</v>
      </c>
      <c r="C11610" s="22" t="s">
        <v>2824</v>
      </c>
      <c r="D11610" s="18">
        <v>2021</v>
      </c>
      <c r="E11610" s="18"/>
      <c r="F11610" s="4">
        <v>1</v>
      </c>
      <c r="G11610" s="4">
        <v>15</v>
      </c>
      <c r="H11610" s="4">
        <v>26</v>
      </c>
    </row>
    <row r="11611" spans="1:8" s="15" customFormat="1" ht="19.5" hidden="1" customHeight="1" outlineLevel="1" x14ac:dyDescent="0.25">
      <c r="A11611" s="46">
        <v>10065</v>
      </c>
      <c r="B11611" s="4" t="s">
        <v>250</v>
      </c>
      <c r="C11611" s="22" t="s">
        <v>2825</v>
      </c>
      <c r="D11611" s="18">
        <v>2021</v>
      </c>
      <c r="E11611" s="18"/>
      <c r="F11611" s="4">
        <v>1</v>
      </c>
      <c r="G11611" s="4">
        <v>15</v>
      </c>
      <c r="H11611" s="4">
        <v>26</v>
      </c>
    </row>
    <row r="11612" spans="1:8" s="15" customFormat="1" ht="19.5" hidden="1" customHeight="1" outlineLevel="1" x14ac:dyDescent="0.25">
      <c r="A11612" s="46">
        <v>10067</v>
      </c>
      <c r="B11612" s="4" t="s">
        <v>250</v>
      </c>
      <c r="C11612" s="22" t="s">
        <v>2826</v>
      </c>
      <c r="D11612" s="18">
        <v>2021</v>
      </c>
      <c r="E11612" s="18"/>
      <c r="F11612" s="4">
        <v>1</v>
      </c>
      <c r="G11612" s="4">
        <v>15</v>
      </c>
      <c r="H11612" s="4">
        <v>25</v>
      </c>
    </row>
    <row r="11613" spans="1:8" s="15" customFormat="1" ht="19.5" hidden="1" customHeight="1" outlineLevel="1" x14ac:dyDescent="0.25">
      <c r="A11613" s="46">
        <v>10147</v>
      </c>
      <c r="B11613" s="4" t="s">
        <v>250</v>
      </c>
      <c r="C11613" s="22" t="s">
        <v>2827</v>
      </c>
      <c r="D11613" s="18">
        <v>2021</v>
      </c>
      <c r="E11613" s="18"/>
      <c r="F11613" s="4">
        <v>1</v>
      </c>
      <c r="G11613" s="4">
        <v>15</v>
      </c>
      <c r="H11613" s="4">
        <v>25</v>
      </c>
    </row>
    <row r="11614" spans="1:8" s="15" customFormat="1" ht="19.5" hidden="1" customHeight="1" outlineLevel="1" x14ac:dyDescent="0.25">
      <c r="A11614" s="46">
        <v>10070</v>
      </c>
      <c r="B11614" s="4" t="s">
        <v>250</v>
      </c>
      <c r="C11614" s="22" t="s">
        <v>2828</v>
      </c>
      <c r="D11614" s="18">
        <v>2021</v>
      </c>
      <c r="E11614" s="18"/>
      <c r="F11614" s="4">
        <v>1</v>
      </c>
      <c r="G11614" s="4">
        <v>15</v>
      </c>
      <c r="H11614" s="4">
        <v>25</v>
      </c>
    </row>
    <row r="11615" spans="1:8" s="15" customFormat="1" ht="19.5" hidden="1" customHeight="1" outlineLevel="1" x14ac:dyDescent="0.25">
      <c r="A11615" s="46">
        <v>10071</v>
      </c>
      <c r="B11615" s="4" t="s">
        <v>250</v>
      </c>
      <c r="C11615" s="22" t="s">
        <v>2829</v>
      </c>
      <c r="D11615" s="18">
        <v>2021</v>
      </c>
      <c r="E11615" s="18"/>
      <c r="F11615" s="4">
        <v>1</v>
      </c>
      <c r="G11615" s="4">
        <v>15</v>
      </c>
      <c r="H11615" s="4">
        <v>25</v>
      </c>
    </row>
    <row r="11616" spans="1:8" s="15" customFormat="1" ht="19.5" hidden="1" customHeight="1" outlineLevel="1" x14ac:dyDescent="0.25">
      <c r="A11616" s="46">
        <v>10075</v>
      </c>
      <c r="B11616" s="4" t="s">
        <v>250</v>
      </c>
      <c r="C11616" s="22" t="s">
        <v>2830</v>
      </c>
      <c r="D11616" s="18">
        <v>2021</v>
      </c>
      <c r="E11616" s="18"/>
      <c r="F11616" s="4">
        <v>1</v>
      </c>
      <c r="G11616" s="4">
        <v>15</v>
      </c>
      <c r="H11616" s="4">
        <v>25</v>
      </c>
    </row>
    <row r="11617" spans="1:8" s="15" customFormat="1" ht="19.5" hidden="1" customHeight="1" outlineLevel="1" x14ac:dyDescent="0.25">
      <c r="A11617" s="46">
        <v>10076</v>
      </c>
      <c r="B11617" s="4" t="s">
        <v>250</v>
      </c>
      <c r="C11617" s="22" t="s">
        <v>2831</v>
      </c>
      <c r="D11617" s="18">
        <v>2021</v>
      </c>
      <c r="E11617" s="18"/>
      <c r="F11617" s="4">
        <v>1</v>
      </c>
      <c r="G11617" s="4">
        <v>15</v>
      </c>
      <c r="H11617" s="4">
        <v>25</v>
      </c>
    </row>
    <row r="11618" spans="1:8" s="15" customFormat="1" ht="19.5" hidden="1" customHeight="1" outlineLevel="1" x14ac:dyDescent="0.25">
      <c r="A11618" s="46">
        <v>10082</v>
      </c>
      <c r="B11618" s="4" t="s">
        <v>250</v>
      </c>
      <c r="C11618" s="22" t="s">
        <v>2832</v>
      </c>
      <c r="D11618" s="18">
        <v>2021</v>
      </c>
      <c r="E11618" s="18"/>
      <c r="F11618" s="4">
        <v>1</v>
      </c>
      <c r="G11618" s="4">
        <v>15</v>
      </c>
      <c r="H11618" s="4">
        <v>25</v>
      </c>
    </row>
    <row r="11619" spans="1:8" s="15" customFormat="1" ht="19.5" hidden="1" customHeight="1" outlineLevel="1" x14ac:dyDescent="0.25">
      <c r="A11619" s="46">
        <v>10083</v>
      </c>
      <c r="B11619" s="4" t="s">
        <v>250</v>
      </c>
      <c r="C11619" s="22" t="s">
        <v>2833</v>
      </c>
      <c r="D11619" s="18">
        <v>2021</v>
      </c>
      <c r="E11619" s="18"/>
      <c r="F11619" s="4">
        <v>1</v>
      </c>
      <c r="G11619" s="4">
        <v>15</v>
      </c>
      <c r="H11619" s="4">
        <v>25</v>
      </c>
    </row>
    <row r="11620" spans="1:8" s="15" customFormat="1" ht="19.5" hidden="1" customHeight="1" outlineLevel="1" x14ac:dyDescent="0.25">
      <c r="A11620" s="46">
        <v>10086</v>
      </c>
      <c r="B11620" s="4" t="s">
        <v>250</v>
      </c>
      <c r="C11620" s="22" t="s">
        <v>2834</v>
      </c>
      <c r="D11620" s="18">
        <v>2021</v>
      </c>
      <c r="E11620" s="18"/>
      <c r="F11620" s="4">
        <v>1</v>
      </c>
      <c r="G11620" s="4">
        <v>15</v>
      </c>
      <c r="H11620" s="4">
        <v>25</v>
      </c>
    </row>
    <row r="11621" spans="1:8" s="15" customFormat="1" ht="19.5" hidden="1" customHeight="1" outlineLevel="1" x14ac:dyDescent="0.25">
      <c r="A11621" s="46">
        <v>10062</v>
      </c>
      <c r="B11621" s="4" t="s">
        <v>250</v>
      </c>
      <c r="C11621" s="22" t="s">
        <v>2835</v>
      </c>
      <c r="D11621" s="18">
        <v>2021</v>
      </c>
      <c r="E11621" s="18"/>
      <c r="F11621" s="4">
        <v>1</v>
      </c>
      <c r="G11621" s="4">
        <v>15</v>
      </c>
      <c r="H11621" s="4">
        <v>25</v>
      </c>
    </row>
    <row r="11622" spans="1:8" s="15" customFormat="1" ht="19.5" hidden="1" customHeight="1" outlineLevel="1" x14ac:dyDescent="0.25">
      <c r="A11622" s="46">
        <v>10101</v>
      </c>
      <c r="B11622" s="4" t="s">
        <v>250</v>
      </c>
      <c r="C11622" s="22" t="s">
        <v>2836</v>
      </c>
      <c r="D11622" s="18">
        <v>2021</v>
      </c>
      <c r="E11622" s="18"/>
      <c r="F11622" s="4">
        <v>1</v>
      </c>
      <c r="G11622" s="4">
        <v>10</v>
      </c>
      <c r="H11622" s="4">
        <v>25</v>
      </c>
    </row>
    <row r="11623" spans="1:8" s="15" customFormat="1" ht="19.5" hidden="1" customHeight="1" outlineLevel="1" x14ac:dyDescent="0.25">
      <c r="A11623" s="46">
        <v>10102</v>
      </c>
      <c r="B11623" s="4" t="s">
        <v>250</v>
      </c>
      <c r="C11623" s="22" t="s">
        <v>2837</v>
      </c>
      <c r="D11623" s="18">
        <v>2021</v>
      </c>
      <c r="E11623" s="18"/>
      <c r="F11623" s="4">
        <v>1</v>
      </c>
      <c r="G11623" s="4">
        <v>35</v>
      </c>
      <c r="H11623" s="4">
        <v>27</v>
      </c>
    </row>
    <row r="11624" spans="1:8" s="15" customFormat="1" ht="19.5" hidden="1" customHeight="1" outlineLevel="1" x14ac:dyDescent="0.25">
      <c r="A11624" s="45">
        <v>2057</v>
      </c>
      <c r="B11624" s="4" t="s">
        <v>250</v>
      </c>
      <c r="C11624" s="22" t="s">
        <v>2838</v>
      </c>
      <c r="D11624" s="18">
        <v>2021</v>
      </c>
      <c r="E11624" s="18"/>
      <c r="F11624" s="4">
        <v>1</v>
      </c>
      <c r="G11624" s="4">
        <v>7</v>
      </c>
      <c r="H11624" s="4">
        <v>26</v>
      </c>
    </row>
    <row r="11625" spans="1:8" s="15" customFormat="1" ht="19.5" hidden="1" customHeight="1" outlineLevel="1" x14ac:dyDescent="0.25">
      <c r="A11625" s="46">
        <v>9407</v>
      </c>
      <c r="B11625" s="4" t="s">
        <v>250</v>
      </c>
      <c r="C11625" s="22" t="s">
        <v>2839</v>
      </c>
      <c r="D11625" s="18">
        <v>2021</v>
      </c>
      <c r="E11625" s="18"/>
      <c r="F11625" s="4">
        <v>1</v>
      </c>
      <c r="G11625" s="4">
        <v>15</v>
      </c>
      <c r="H11625" s="4">
        <v>26</v>
      </c>
    </row>
    <row r="11626" spans="1:8" s="15" customFormat="1" ht="19.5" hidden="1" customHeight="1" outlineLevel="1" x14ac:dyDescent="0.25">
      <c r="A11626" s="46">
        <v>9330</v>
      </c>
      <c r="B11626" s="4" t="s">
        <v>250</v>
      </c>
      <c r="C11626" s="22" t="s">
        <v>2840</v>
      </c>
      <c r="D11626" s="18">
        <v>2021</v>
      </c>
      <c r="E11626" s="18"/>
      <c r="F11626" s="4">
        <v>1</v>
      </c>
      <c r="G11626" s="4">
        <v>15</v>
      </c>
      <c r="H11626" s="4">
        <v>28</v>
      </c>
    </row>
    <row r="11627" spans="1:8" s="15" customFormat="1" ht="19.5" hidden="1" customHeight="1" outlineLevel="1" x14ac:dyDescent="0.25">
      <c r="A11627" s="46">
        <v>9281</v>
      </c>
      <c r="B11627" s="4" t="s">
        <v>250</v>
      </c>
      <c r="C11627" s="22" t="s">
        <v>2841</v>
      </c>
      <c r="D11627" s="18">
        <v>2021</v>
      </c>
      <c r="E11627" s="18"/>
      <c r="F11627" s="4">
        <v>3</v>
      </c>
      <c r="G11627" s="4">
        <v>45</v>
      </c>
      <c r="H11627" s="4">
        <v>71</v>
      </c>
    </row>
    <row r="11628" spans="1:8" s="15" customFormat="1" ht="19.5" hidden="1" customHeight="1" outlineLevel="1" x14ac:dyDescent="0.25">
      <c r="A11628" s="45">
        <v>352</v>
      </c>
      <c r="B11628" s="4" t="s">
        <v>250</v>
      </c>
      <c r="C11628" s="22" t="s">
        <v>2842</v>
      </c>
      <c r="D11628" s="18">
        <v>2021</v>
      </c>
      <c r="E11628" s="18"/>
      <c r="F11628" s="4">
        <v>1</v>
      </c>
      <c r="G11628" s="4">
        <v>15</v>
      </c>
      <c r="H11628" s="4">
        <v>27</v>
      </c>
    </row>
    <row r="11629" spans="1:8" s="15" customFormat="1" ht="19.5" hidden="1" customHeight="1" outlineLevel="1" x14ac:dyDescent="0.25">
      <c r="A11629" s="46">
        <v>9075</v>
      </c>
      <c r="B11629" s="4" t="s">
        <v>250</v>
      </c>
      <c r="C11629" s="22" t="s">
        <v>2843</v>
      </c>
      <c r="D11629" s="18">
        <v>2021</v>
      </c>
      <c r="E11629" s="18"/>
      <c r="F11629" s="4">
        <v>1</v>
      </c>
      <c r="G11629" s="4">
        <v>15</v>
      </c>
      <c r="H11629" s="4">
        <v>27</v>
      </c>
    </row>
    <row r="11630" spans="1:8" s="15" customFormat="1" ht="19.5" hidden="1" customHeight="1" outlineLevel="1" x14ac:dyDescent="0.25">
      <c r="A11630" s="46">
        <v>9340</v>
      </c>
      <c r="B11630" s="4" t="s">
        <v>250</v>
      </c>
      <c r="C11630" s="22" t="s">
        <v>2844</v>
      </c>
      <c r="D11630" s="18">
        <v>2021</v>
      </c>
      <c r="E11630" s="18"/>
      <c r="F11630" s="4">
        <v>1</v>
      </c>
      <c r="G11630" s="4">
        <v>15</v>
      </c>
      <c r="H11630" s="4">
        <v>28</v>
      </c>
    </row>
    <row r="11631" spans="1:8" s="15" customFormat="1" ht="19.5" hidden="1" customHeight="1" outlineLevel="1" x14ac:dyDescent="0.25">
      <c r="A11631" s="46">
        <v>9611</v>
      </c>
      <c r="B11631" s="4" t="s">
        <v>250</v>
      </c>
      <c r="C11631" s="22" t="s">
        <v>1840</v>
      </c>
      <c r="D11631" s="18">
        <v>2021</v>
      </c>
      <c r="E11631" s="18"/>
      <c r="F11631" s="4">
        <v>1</v>
      </c>
      <c r="G11631" s="4">
        <v>15</v>
      </c>
      <c r="H11631" s="4">
        <v>28</v>
      </c>
    </row>
    <row r="11632" spans="1:8" s="15" customFormat="1" ht="19.5" hidden="1" customHeight="1" outlineLevel="1" x14ac:dyDescent="0.25">
      <c r="A11632" s="46">
        <v>9301</v>
      </c>
      <c r="B11632" s="4" t="s">
        <v>250</v>
      </c>
      <c r="C11632" s="22" t="s">
        <v>2845</v>
      </c>
      <c r="D11632" s="18">
        <v>2021</v>
      </c>
      <c r="E11632" s="18"/>
      <c r="F11632" s="4">
        <v>1</v>
      </c>
      <c r="G11632" s="4">
        <v>15</v>
      </c>
      <c r="H11632" s="4">
        <v>25</v>
      </c>
    </row>
    <row r="11633" spans="1:8" s="15" customFormat="1" ht="19.5" hidden="1" customHeight="1" outlineLevel="1" x14ac:dyDescent="0.25">
      <c r="A11633" s="46">
        <v>9325</v>
      </c>
      <c r="B11633" s="4" t="s">
        <v>250</v>
      </c>
      <c r="C11633" s="22" t="s">
        <v>2846</v>
      </c>
      <c r="D11633" s="18">
        <v>2021</v>
      </c>
      <c r="E11633" s="18"/>
      <c r="F11633" s="4">
        <v>1</v>
      </c>
      <c r="G11633" s="4">
        <v>15</v>
      </c>
      <c r="H11633" s="4">
        <v>24</v>
      </c>
    </row>
    <row r="11634" spans="1:8" s="15" customFormat="1" ht="19.5" hidden="1" customHeight="1" outlineLevel="1" x14ac:dyDescent="0.25">
      <c r="A11634" s="46">
        <v>9299</v>
      </c>
      <c r="B11634" s="4" t="s">
        <v>250</v>
      </c>
      <c r="C11634" s="22" t="s">
        <v>2847</v>
      </c>
      <c r="D11634" s="18">
        <v>2021</v>
      </c>
      <c r="E11634" s="18"/>
      <c r="F11634" s="4">
        <v>1</v>
      </c>
      <c r="G11634" s="4">
        <v>15</v>
      </c>
      <c r="H11634" s="4">
        <v>22</v>
      </c>
    </row>
    <row r="11635" spans="1:8" s="15" customFormat="1" ht="19.5" hidden="1" customHeight="1" outlineLevel="1" x14ac:dyDescent="0.25">
      <c r="A11635" s="45">
        <v>379</v>
      </c>
      <c r="B11635" s="4" t="s">
        <v>250</v>
      </c>
      <c r="C11635" s="22" t="s">
        <v>2848</v>
      </c>
      <c r="D11635" s="18">
        <v>2021</v>
      </c>
      <c r="E11635" s="18"/>
      <c r="F11635" s="4">
        <v>1</v>
      </c>
      <c r="G11635" s="4">
        <v>15</v>
      </c>
      <c r="H11635" s="4">
        <v>24</v>
      </c>
    </row>
    <row r="11636" spans="1:8" s="15" customFormat="1" ht="19.5" hidden="1" customHeight="1" outlineLevel="1" x14ac:dyDescent="0.25">
      <c r="A11636" s="46">
        <v>9420</v>
      </c>
      <c r="B11636" s="4" t="s">
        <v>250</v>
      </c>
      <c r="C11636" s="22" t="s">
        <v>2849</v>
      </c>
      <c r="D11636" s="18">
        <v>2021</v>
      </c>
      <c r="E11636" s="18"/>
      <c r="F11636" s="4">
        <v>1</v>
      </c>
      <c r="G11636" s="4">
        <v>150</v>
      </c>
      <c r="H11636" s="4">
        <v>27</v>
      </c>
    </row>
    <row r="11637" spans="1:8" s="15" customFormat="1" ht="19.5" hidden="1" customHeight="1" outlineLevel="1" x14ac:dyDescent="0.25">
      <c r="A11637" s="46">
        <v>9439</v>
      </c>
      <c r="B11637" s="4" t="s">
        <v>250</v>
      </c>
      <c r="C11637" s="22" t="s">
        <v>2850</v>
      </c>
      <c r="D11637" s="18">
        <v>2021</v>
      </c>
      <c r="E11637" s="18"/>
      <c r="F11637" s="4">
        <v>1</v>
      </c>
      <c r="G11637" s="4">
        <v>15</v>
      </c>
      <c r="H11637" s="4">
        <v>29</v>
      </c>
    </row>
    <row r="11638" spans="1:8" s="15" customFormat="1" ht="19.5" hidden="1" customHeight="1" outlineLevel="1" x14ac:dyDescent="0.25">
      <c r="A11638" s="46">
        <v>10214</v>
      </c>
      <c r="B11638" s="4" t="s">
        <v>250</v>
      </c>
      <c r="C11638" s="22" t="s">
        <v>2851</v>
      </c>
      <c r="D11638" s="18">
        <v>2021</v>
      </c>
      <c r="E11638" s="18"/>
      <c r="F11638" s="4">
        <v>1</v>
      </c>
      <c r="G11638" s="4">
        <v>15</v>
      </c>
      <c r="H11638" s="4">
        <v>24</v>
      </c>
    </row>
    <row r="11639" spans="1:8" s="15" customFormat="1" ht="19.5" hidden="1" customHeight="1" outlineLevel="1" x14ac:dyDescent="0.25">
      <c r="A11639" s="46">
        <v>10068</v>
      </c>
      <c r="B11639" s="4" t="s">
        <v>250</v>
      </c>
      <c r="C11639" s="22" t="s">
        <v>2852</v>
      </c>
      <c r="D11639" s="18">
        <v>2021</v>
      </c>
      <c r="E11639" s="18"/>
      <c r="F11639" s="4">
        <v>1</v>
      </c>
      <c r="G11639" s="4">
        <v>15</v>
      </c>
      <c r="H11639" s="4">
        <v>25</v>
      </c>
    </row>
    <row r="11640" spans="1:8" s="15" customFormat="1" ht="19.5" hidden="1" customHeight="1" outlineLevel="1" x14ac:dyDescent="0.25">
      <c r="A11640" s="46">
        <v>10073</v>
      </c>
      <c r="B11640" s="4" t="s">
        <v>250</v>
      </c>
      <c r="C11640" s="22" t="s">
        <v>2853</v>
      </c>
      <c r="D11640" s="18">
        <v>2021</v>
      </c>
      <c r="E11640" s="18"/>
      <c r="F11640" s="4">
        <v>1</v>
      </c>
      <c r="G11640" s="4">
        <v>15</v>
      </c>
      <c r="H11640" s="4">
        <v>24</v>
      </c>
    </row>
    <row r="11641" spans="1:8" s="15" customFormat="1" ht="19.5" hidden="1" customHeight="1" outlineLevel="1" x14ac:dyDescent="0.25">
      <c r="A11641" s="46">
        <v>10080</v>
      </c>
      <c r="B11641" s="4" t="s">
        <v>250</v>
      </c>
      <c r="C11641" s="22" t="s">
        <v>2854</v>
      </c>
      <c r="D11641" s="18">
        <v>2021</v>
      </c>
      <c r="E11641" s="18"/>
      <c r="F11641" s="4">
        <v>1</v>
      </c>
      <c r="G11641" s="4">
        <v>15</v>
      </c>
      <c r="H11641" s="4">
        <v>24</v>
      </c>
    </row>
    <row r="11642" spans="1:8" s="15" customFormat="1" ht="19.5" hidden="1" customHeight="1" outlineLevel="1" x14ac:dyDescent="0.25">
      <c r="A11642" s="46">
        <v>10215</v>
      </c>
      <c r="B11642" s="4" t="s">
        <v>250</v>
      </c>
      <c r="C11642" s="22" t="s">
        <v>2855</v>
      </c>
      <c r="D11642" s="18">
        <v>2021</v>
      </c>
      <c r="E11642" s="18"/>
      <c r="F11642" s="4">
        <v>1</v>
      </c>
      <c r="G11642" s="4">
        <v>15</v>
      </c>
      <c r="H11642" s="4">
        <v>24</v>
      </c>
    </row>
    <row r="11643" spans="1:8" s="15" customFormat="1" ht="19.5" hidden="1" customHeight="1" outlineLevel="1" x14ac:dyDescent="0.25">
      <c r="A11643" s="46">
        <v>10085</v>
      </c>
      <c r="B11643" s="4" t="s">
        <v>250</v>
      </c>
      <c r="C11643" s="22" t="s">
        <v>2856</v>
      </c>
      <c r="D11643" s="18">
        <v>2021</v>
      </c>
      <c r="E11643" s="18"/>
      <c r="F11643" s="4">
        <v>1</v>
      </c>
      <c r="G11643" s="4">
        <v>15</v>
      </c>
      <c r="H11643" s="4">
        <v>25</v>
      </c>
    </row>
    <row r="11644" spans="1:8" s="15" customFormat="1" ht="19.5" hidden="1" customHeight="1" outlineLevel="1" x14ac:dyDescent="0.25">
      <c r="A11644" s="46">
        <v>10183</v>
      </c>
      <c r="B11644" s="4" t="s">
        <v>250</v>
      </c>
      <c r="C11644" s="22" t="s">
        <v>2857</v>
      </c>
      <c r="D11644" s="18">
        <v>2021</v>
      </c>
      <c r="E11644" s="18"/>
      <c r="F11644" s="4">
        <v>1</v>
      </c>
      <c r="G11644" s="4">
        <v>15</v>
      </c>
      <c r="H11644" s="4">
        <v>25</v>
      </c>
    </row>
    <row r="11645" spans="1:8" s="15" customFormat="1" ht="19.5" hidden="1" customHeight="1" outlineLevel="1" x14ac:dyDescent="0.25">
      <c r="A11645" s="46">
        <v>10209</v>
      </c>
      <c r="B11645" s="4" t="s">
        <v>250</v>
      </c>
      <c r="C11645" s="22" t="s">
        <v>2858</v>
      </c>
      <c r="D11645" s="18">
        <v>2021</v>
      </c>
      <c r="E11645" s="18"/>
      <c r="F11645" s="4">
        <v>1</v>
      </c>
      <c r="G11645" s="4">
        <v>15</v>
      </c>
      <c r="H11645" s="4">
        <v>25</v>
      </c>
    </row>
    <row r="11646" spans="1:8" s="15" customFormat="1" ht="19.5" hidden="1" customHeight="1" outlineLevel="1" x14ac:dyDescent="0.25">
      <c r="A11646" s="46">
        <v>10197</v>
      </c>
      <c r="B11646" s="4" t="s">
        <v>250</v>
      </c>
      <c r="C11646" s="22" t="s">
        <v>2859</v>
      </c>
      <c r="D11646" s="18">
        <v>2021</v>
      </c>
      <c r="E11646" s="18"/>
      <c r="F11646" s="4">
        <v>1</v>
      </c>
      <c r="G11646" s="4">
        <v>15</v>
      </c>
      <c r="H11646" s="4">
        <v>25</v>
      </c>
    </row>
    <row r="11647" spans="1:8" s="15" customFormat="1" ht="19.5" hidden="1" customHeight="1" outlineLevel="1" x14ac:dyDescent="0.25">
      <c r="A11647" s="46">
        <v>10091</v>
      </c>
      <c r="B11647" s="4" t="s">
        <v>250</v>
      </c>
      <c r="C11647" s="22" t="s">
        <v>2860</v>
      </c>
      <c r="D11647" s="18">
        <v>2021</v>
      </c>
      <c r="E11647" s="18"/>
      <c r="F11647" s="4">
        <v>1</v>
      </c>
      <c r="G11647" s="4">
        <v>15</v>
      </c>
      <c r="H11647" s="4">
        <v>31</v>
      </c>
    </row>
    <row r="11648" spans="1:8" s="15" customFormat="1" ht="19.5" hidden="1" customHeight="1" outlineLevel="1" x14ac:dyDescent="0.25">
      <c r="A11648" s="46">
        <v>9408</v>
      </c>
      <c r="B11648" s="4" t="s">
        <v>250</v>
      </c>
      <c r="C11648" s="22" t="s">
        <v>2861</v>
      </c>
      <c r="D11648" s="18">
        <v>2021</v>
      </c>
      <c r="E11648" s="18"/>
      <c r="F11648" s="4">
        <v>1</v>
      </c>
      <c r="G11648" s="4">
        <v>8</v>
      </c>
      <c r="H11648" s="4">
        <v>23</v>
      </c>
    </row>
    <row r="11649" spans="1:8" s="15" customFormat="1" ht="19.5" hidden="1" customHeight="1" outlineLevel="1" x14ac:dyDescent="0.25">
      <c r="A11649" s="46">
        <v>9076</v>
      </c>
      <c r="B11649" s="4" t="s">
        <v>250</v>
      </c>
      <c r="C11649" s="22" t="s">
        <v>1552</v>
      </c>
      <c r="D11649" s="18">
        <v>2021</v>
      </c>
      <c r="E11649" s="18"/>
      <c r="F11649" s="4">
        <v>1</v>
      </c>
      <c r="G11649" s="4">
        <v>15</v>
      </c>
      <c r="H11649" s="4">
        <v>51</v>
      </c>
    </row>
    <row r="11650" spans="1:8" s="15" customFormat="1" ht="19.5" hidden="1" customHeight="1" outlineLevel="1" x14ac:dyDescent="0.25">
      <c r="A11650" s="46">
        <v>10351</v>
      </c>
      <c r="B11650" s="4" t="s">
        <v>250</v>
      </c>
      <c r="C11650" s="22" t="s">
        <v>2862</v>
      </c>
      <c r="D11650" s="18">
        <v>2021</v>
      </c>
      <c r="E11650" s="18"/>
      <c r="F11650" s="4">
        <v>1</v>
      </c>
      <c r="G11650" s="4">
        <v>15</v>
      </c>
      <c r="H11650" s="4">
        <v>73.894689999999997</v>
      </c>
    </row>
    <row r="11651" spans="1:8" s="15" customFormat="1" ht="19.5" hidden="1" customHeight="1" outlineLevel="1" x14ac:dyDescent="0.25">
      <c r="A11651" s="45">
        <v>472</v>
      </c>
      <c r="B11651" s="4" t="s">
        <v>250</v>
      </c>
      <c r="C11651" s="22" t="s">
        <v>2863</v>
      </c>
      <c r="D11651" s="18">
        <v>2021</v>
      </c>
      <c r="E11651" s="18"/>
      <c r="F11651" s="4">
        <v>1</v>
      </c>
      <c r="G11651" s="4">
        <v>10</v>
      </c>
      <c r="H11651" s="4">
        <v>84.661550000000005</v>
      </c>
    </row>
    <row r="11652" spans="1:8" s="15" customFormat="1" ht="19.5" hidden="1" customHeight="1" outlineLevel="1" x14ac:dyDescent="0.25">
      <c r="A11652" s="45">
        <v>461</v>
      </c>
      <c r="B11652" s="4" t="s">
        <v>250</v>
      </c>
      <c r="C11652" s="22" t="s">
        <v>2864</v>
      </c>
      <c r="D11652" s="18">
        <v>2021</v>
      </c>
      <c r="E11652" s="18"/>
      <c r="F11652" s="4">
        <v>1</v>
      </c>
      <c r="G11652" s="4">
        <v>15</v>
      </c>
      <c r="H11652" s="4">
        <v>83.717740000000006</v>
      </c>
    </row>
    <row r="11653" spans="1:8" s="15" customFormat="1" ht="19.5" hidden="1" customHeight="1" outlineLevel="1" x14ac:dyDescent="0.25">
      <c r="A11653" s="45">
        <v>3803</v>
      </c>
      <c r="B11653" s="4" t="s">
        <v>250</v>
      </c>
      <c r="C11653" s="22" t="s">
        <v>2865</v>
      </c>
      <c r="D11653" s="18">
        <v>2021</v>
      </c>
      <c r="E11653" s="18"/>
      <c r="F11653" s="4">
        <v>1</v>
      </c>
      <c r="G11653" s="4">
        <v>15</v>
      </c>
      <c r="H11653" s="4">
        <v>87.223129999999998</v>
      </c>
    </row>
    <row r="11654" spans="1:8" s="15" customFormat="1" ht="19.5" hidden="1" customHeight="1" outlineLevel="1" x14ac:dyDescent="0.25">
      <c r="A11654" s="46">
        <v>9001</v>
      </c>
      <c r="B11654" s="4" t="s">
        <v>250</v>
      </c>
      <c r="C11654" s="22" t="s">
        <v>2866</v>
      </c>
      <c r="D11654" s="18">
        <v>2021</v>
      </c>
      <c r="E11654" s="18"/>
      <c r="F11654" s="4">
        <v>1</v>
      </c>
      <c r="G11654" s="4">
        <v>90</v>
      </c>
      <c r="H11654" s="4">
        <v>78</v>
      </c>
    </row>
    <row r="11655" spans="1:8" s="15" customFormat="1" ht="19.5" hidden="1" customHeight="1" outlineLevel="1" x14ac:dyDescent="0.25">
      <c r="A11655" s="46">
        <v>10353</v>
      </c>
      <c r="B11655" s="4" t="s">
        <v>250</v>
      </c>
      <c r="C11655" s="22" t="s">
        <v>2867</v>
      </c>
      <c r="D11655" s="18">
        <v>2021</v>
      </c>
      <c r="E11655" s="18"/>
      <c r="F11655" s="4">
        <v>1</v>
      </c>
      <c r="G11655" s="4">
        <v>14.5</v>
      </c>
      <c r="H11655" s="4">
        <v>90.318539999999999</v>
      </c>
    </row>
    <row r="11656" spans="1:8" s="15" customFormat="1" ht="19.5" hidden="1" customHeight="1" outlineLevel="1" x14ac:dyDescent="0.25">
      <c r="A11656" s="46">
        <v>9000</v>
      </c>
      <c r="B11656" s="4" t="s">
        <v>250</v>
      </c>
      <c r="C11656" s="22" t="s">
        <v>2868</v>
      </c>
      <c r="D11656" s="18">
        <v>2021</v>
      </c>
      <c r="E11656" s="18"/>
      <c r="F11656" s="4">
        <v>1</v>
      </c>
      <c r="G11656" s="4">
        <v>10</v>
      </c>
      <c r="H11656" s="4">
        <v>36.792430000000003</v>
      </c>
    </row>
    <row r="11657" spans="1:8" s="15" customFormat="1" ht="19.5" hidden="1" customHeight="1" outlineLevel="1" x14ac:dyDescent="0.25">
      <c r="A11657" s="46">
        <v>10366</v>
      </c>
      <c r="B11657" s="4" t="s">
        <v>250</v>
      </c>
      <c r="C11657" s="22" t="s">
        <v>2869</v>
      </c>
      <c r="D11657" s="18">
        <v>2021</v>
      </c>
      <c r="E11657" s="18"/>
      <c r="F11657" s="4">
        <v>1</v>
      </c>
      <c r="G11657" s="4">
        <v>17.100000000000001</v>
      </c>
      <c r="H11657" s="4">
        <v>54.092550000000003</v>
      </c>
    </row>
    <row r="11658" spans="1:8" s="15" customFormat="1" ht="19.5" hidden="1" customHeight="1" outlineLevel="1" x14ac:dyDescent="0.25">
      <c r="A11658" s="46">
        <v>9081</v>
      </c>
      <c r="B11658" s="4" t="s">
        <v>250</v>
      </c>
      <c r="C11658" s="22" t="s">
        <v>2870</v>
      </c>
      <c r="D11658" s="18">
        <v>2021</v>
      </c>
      <c r="E11658" s="18"/>
      <c r="F11658" s="4">
        <v>1</v>
      </c>
      <c r="G11658" s="4">
        <v>15</v>
      </c>
      <c r="H11658" s="4">
        <v>37.832569999999997</v>
      </c>
    </row>
    <row r="11659" spans="1:8" s="15" customFormat="1" ht="19.5" hidden="1" customHeight="1" outlineLevel="1" x14ac:dyDescent="0.25">
      <c r="A11659" s="46">
        <v>9133</v>
      </c>
      <c r="B11659" s="4" t="s">
        <v>250</v>
      </c>
      <c r="C11659" s="22" t="s">
        <v>2871</v>
      </c>
      <c r="D11659" s="18">
        <v>2021</v>
      </c>
      <c r="E11659" s="18"/>
      <c r="F11659" s="4">
        <v>1</v>
      </c>
      <c r="G11659" s="4">
        <v>5</v>
      </c>
      <c r="H11659" s="4">
        <v>29.97043</v>
      </c>
    </row>
    <row r="11660" spans="1:8" s="15" customFormat="1" ht="19.5" hidden="1" customHeight="1" outlineLevel="1" x14ac:dyDescent="0.25">
      <c r="A11660" s="46">
        <v>10371</v>
      </c>
      <c r="B11660" s="4" t="s">
        <v>250</v>
      </c>
      <c r="C11660" s="22" t="s">
        <v>2872</v>
      </c>
      <c r="D11660" s="18">
        <v>2021</v>
      </c>
      <c r="E11660" s="18"/>
      <c r="F11660" s="4">
        <v>1</v>
      </c>
      <c r="G11660" s="4">
        <v>10</v>
      </c>
      <c r="H11660" s="4">
        <v>38.346489999999996</v>
      </c>
    </row>
    <row r="11661" spans="1:8" s="15" customFormat="1" ht="19.5" hidden="1" customHeight="1" outlineLevel="1" x14ac:dyDescent="0.25">
      <c r="A11661" s="46">
        <v>9687</v>
      </c>
      <c r="B11661" s="4" t="s">
        <v>250</v>
      </c>
      <c r="C11661" s="22" t="s">
        <v>2873</v>
      </c>
      <c r="D11661" s="18">
        <v>2021</v>
      </c>
      <c r="E11661" s="18"/>
      <c r="F11661" s="4">
        <v>1</v>
      </c>
      <c r="G11661" s="4">
        <v>15</v>
      </c>
      <c r="H11661" s="4">
        <v>34.906779999999998</v>
      </c>
    </row>
    <row r="11662" spans="1:8" s="15" customFormat="1" ht="19.5" hidden="1" customHeight="1" outlineLevel="1" x14ac:dyDescent="0.25">
      <c r="A11662" s="45">
        <v>2526</v>
      </c>
      <c r="B11662" s="4" t="s">
        <v>250</v>
      </c>
      <c r="C11662" s="22" t="s">
        <v>2874</v>
      </c>
      <c r="D11662" s="18">
        <v>2021</v>
      </c>
      <c r="E11662" s="18"/>
      <c r="F11662" s="4">
        <v>1</v>
      </c>
      <c r="G11662" s="4">
        <v>15</v>
      </c>
      <c r="H11662" s="4">
        <v>27.020409999999998</v>
      </c>
    </row>
    <row r="11663" spans="1:8" s="15" customFormat="1" ht="19.5" hidden="1" customHeight="1" outlineLevel="1" x14ac:dyDescent="0.25">
      <c r="A11663" s="46">
        <v>10363</v>
      </c>
      <c r="B11663" s="4" t="s">
        <v>250</v>
      </c>
      <c r="C11663" s="22" t="s">
        <v>2875</v>
      </c>
      <c r="D11663" s="18">
        <v>2021</v>
      </c>
      <c r="E11663" s="18"/>
      <c r="F11663" s="4">
        <v>1</v>
      </c>
      <c r="G11663" s="4">
        <v>10</v>
      </c>
      <c r="H11663" s="4">
        <v>24.484249999999999</v>
      </c>
    </row>
    <row r="11664" spans="1:8" s="15" customFormat="1" ht="19.5" hidden="1" customHeight="1" outlineLevel="1" x14ac:dyDescent="0.25">
      <c r="A11664" s="46">
        <v>10348</v>
      </c>
      <c r="B11664" s="4" t="s">
        <v>250</v>
      </c>
      <c r="C11664" s="22" t="s">
        <v>2876</v>
      </c>
      <c r="D11664" s="18">
        <v>2021</v>
      </c>
      <c r="E11664" s="18"/>
      <c r="F11664" s="4">
        <v>1</v>
      </c>
      <c r="G11664" s="4">
        <v>12</v>
      </c>
      <c r="H11664" s="4">
        <v>30.703900000000001</v>
      </c>
    </row>
    <row r="11665" spans="1:8" s="15" customFormat="1" ht="19.5" hidden="1" customHeight="1" outlineLevel="1" x14ac:dyDescent="0.25">
      <c r="A11665" s="46">
        <v>10349</v>
      </c>
      <c r="B11665" s="4" t="s">
        <v>250</v>
      </c>
      <c r="C11665" s="22" t="s">
        <v>2877</v>
      </c>
      <c r="D11665" s="18">
        <v>2021</v>
      </c>
      <c r="E11665" s="18"/>
      <c r="F11665" s="4">
        <v>1</v>
      </c>
      <c r="G11665" s="4">
        <v>13</v>
      </c>
      <c r="H11665" s="4">
        <v>29.726830000000003</v>
      </c>
    </row>
    <row r="11666" spans="1:8" s="15" customFormat="1" ht="19.5" hidden="1" customHeight="1" outlineLevel="1" x14ac:dyDescent="0.25">
      <c r="A11666" s="46">
        <v>10345</v>
      </c>
      <c r="B11666" s="4" t="s">
        <v>250</v>
      </c>
      <c r="C11666" s="22" t="s">
        <v>2878</v>
      </c>
      <c r="D11666" s="18">
        <v>2021</v>
      </c>
      <c r="E11666" s="18"/>
      <c r="F11666" s="4">
        <v>1</v>
      </c>
      <c r="G11666" s="4">
        <v>7.5</v>
      </c>
      <c r="H11666" s="4">
        <v>27.87444</v>
      </c>
    </row>
    <row r="11667" spans="1:8" s="15" customFormat="1" ht="19.5" hidden="1" customHeight="1" outlineLevel="1" x14ac:dyDescent="0.25">
      <c r="A11667" s="46">
        <v>10368</v>
      </c>
      <c r="B11667" s="4" t="s">
        <v>250</v>
      </c>
      <c r="C11667" s="22" t="s">
        <v>2879</v>
      </c>
      <c r="D11667" s="18">
        <v>2021</v>
      </c>
      <c r="E11667" s="18"/>
      <c r="F11667" s="4">
        <v>1</v>
      </c>
      <c r="G11667" s="4">
        <v>14</v>
      </c>
      <c r="H11667" s="4">
        <v>26.509360000000001</v>
      </c>
    </row>
    <row r="11668" spans="1:8" s="15" customFormat="1" ht="19.5" hidden="1" customHeight="1" outlineLevel="1" x14ac:dyDescent="0.25">
      <c r="A11668" s="46">
        <v>10355</v>
      </c>
      <c r="B11668" s="4" t="s">
        <v>250</v>
      </c>
      <c r="C11668" s="22" t="s">
        <v>2880</v>
      </c>
      <c r="D11668" s="18">
        <v>2021</v>
      </c>
      <c r="E11668" s="18"/>
      <c r="F11668" s="4">
        <v>1</v>
      </c>
      <c r="G11668" s="4">
        <v>10</v>
      </c>
      <c r="H11668" s="4">
        <v>28.789159999999999</v>
      </c>
    </row>
    <row r="11669" spans="1:8" s="15" customFormat="1" ht="19.5" hidden="1" customHeight="1" outlineLevel="1" x14ac:dyDescent="0.25">
      <c r="A11669" s="46">
        <v>9386</v>
      </c>
      <c r="B11669" s="4" t="s">
        <v>250</v>
      </c>
      <c r="C11669" s="22" t="s">
        <v>2881</v>
      </c>
      <c r="D11669" s="18">
        <v>2021</v>
      </c>
      <c r="E11669" s="18"/>
      <c r="F11669" s="4">
        <v>1</v>
      </c>
      <c r="G11669" s="4">
        <v>15</v>
      </c>
      <c r="H11669" s="4">
        <v>32.733200000000004</v>
      </c>
    </row>
    <row r="11670" spans="1:8" s="15" customFormat="1" ht="19.5" hidden="1" customHeight="1" outlineLevel="1" x14ac:dyDescent="0.25">
      <c r="A11670" s="46">
        <v>9120</v>
      </c>
      <c r="B11670" s="4" t="s">
        <v>250</v>
      </c>
      <c r="C11670" s="22" t="s">
        <v>2882</v>
      </c>
      <c r="D11670" s="18">
        <v>2021</v>
      </c>
      <c r="E11670" s="18"/>
      <c r="F11670" s="4">
        <v>1</v>
      </c>
      <c r="G11670" s="4">
        <v>15</v>
      </c>
      <c r="H11670" s="4">
        <v>29.053169999999998</v>
      </c>
    </row>
    <row r="11671" spans="1:8" s="15" customFormat="1" ht="19.5" hidden="1" customHeight="1" outlineLevel="1" x14ac:dyDescent="0.25">
      <c r="A11671" s="46">
        <v>10359</v>
      </c>
      <c r="B11671" s="4" t="s">
        <v>250</v>
      </c>
      <c r="C11671" s="22" t="s">
        <v>2883</v>
      </c>
      <c r="D11671" s="18">
        <v>2021</v>
      </c>
      <c r="E11671" s="18"/>
      <c r="F11671" s="4">
        <v>1</v>
      </c>
      <c r="G11671" s="4">
        <v>8</v>
      </c>
      <c r="H11671" s="4">
        <v>27.30303</v>
      </c>
    </row>
    <row r="11672" spans="1:8" s="15" customFormat="1" ht="19.5" hidden="1" customHeight="1" outlineLevel="1" x14ac:dyDescent="0.25">
      <c r="A11672" s="46">
        <v>9124</v>
      </c>
      <c r="B11672" s="4" t="s">
        <v>250</v>
      </c>
      <c r="C11672" s="22" t="s">
        <v>2884</v>
      </c>
      <c r="D11672" s="18">
        <v>2021</v>
      </c>
      <c r="E11672" s="18"/>
      <c r="F11672" s="4">
        <v>1</v>
      </c>
      <c r="G11672" s="4">
        <v>15</v>
      </c>
      <c r="H11672" s="4">
        <v>29.961299999999998</v>
      </c>
    </row>
    <row r="11673" spans="1:8" s="15" customFormat="1" ht="19.5" hidden="1" customHeight="1" outlineLevel="1" x14ac:dyDescent="0.25">
      <c r="A11673" s="46">
        <v>10374</v>
      </c>
      <c r="B11673" s="4" t="s">
        <v>250</v>
      </c>
      <c r="C11673" s="22" t="s">
        <v>2885</v>
      </c>
      <c r="D11673" s="18">
        <v>2021</v>
      </c>
      <c r="E11673" s="18"/>
      <c r="F11673" s="4">
        <v>1</v>
      </c>
      <c r="G11673" s="4">
        <v>15</v>
      </c>
      <c r="H11673" s="4">
        <v>29.961299999999998</v>
      </c>
    </row>
    <row r="11674" spans="1:8" s="15" customFormat="1" ht="19.5" hidden="1" customHeight="1" outlineLevel="1" x14ac:dyDescent="0.25">
      <c r="A11674" s="45">
        <v>2553</v>
      </c>
      <c r="B11674" s="4" t="s">
        <v>250</v>
      </c>
      <c r="C11674" s="22" t="s">
        <v>2886</v>
      </c>
      <c r="D11674" s="18">
        <v>2021</v>
      </c>
      <c r="E11674" s="18"/>
      <c r="F11674" s="4">
        <v>1</v>
      </c>
      <c r="G11674" s="4">
        <v>13</v>
      </c>
      <c r="H11674" s="4">
        <v>30.265049999999999</v>
      </c>
    </row>
    <row r="11675" spans="1:8" s="15" customFormat="1" ht="19.5" hidden="1" customHeight="1" outlineLevel="1" x14ac:dyDescent="0.25">
      <c r="A11675" s="46">
        <v>9111</v>
      </c>
      <c r="B11675" s="4" t="s">
        <v>250</v>
      </c>
      <c r="C11675" s="22" t="s">
        <v>2887</v>
      </c>
      <c r="D11675" s="18">
        <v>2021</v>
      </c>
      <c r="E11675" s="18"/>
      <c r="F11675" s="4">
        <v>1</v>
      </c>
      <c r="G11675" s="4">
        <v>15</v>
      </c>
      <c r="H11675" s="4">
        <v>27.162290000000002</v>
      </c>
    </row>
    <row r="11676" spans="1:8" s="15" customFormat="1" ht="19.5" hidden="1" customHeight="1" outlineLevel="1" x14ac:dyDescent="0.25">
      <c r="A11676" s="45">
        <v>2559</v>
      </c>
      <c r="B11676" s="4" t="s">
        <v>250</v>
      </c>
      <c r="C11676" s="22" t="s">
        <v>2888</v>
      </c>
      <c r="D11676" s="18">
        <v>2021</v>
      </c>
      <c r="E11676" s="18"/>
      <c r="F11676" s="4">
        <v>1</v>
      </c>
      <c r="G11676" s="4">
        <v>9.9</v>
      </c>
      <c r="H11676" s="4">
        <v>26.507249999999999</v>
      </c>
    </row>
    <row r="11677" spans="1:8" s="15" customFormat="1" ht="19.5" hidden="1" customHeight="1" outlineLevel="1" x14ac:dyDescent="0.25">
      <c r="A11677" s="46">
        <v>10361</v>
      </c>
      <c r="B11677" s="4" t="s">
        <v>250</v>
      </c>
      <c r="C11677" s="22" t="s">
        <v>2889</v>
      </c>
      <c r="D11677" s="18">
        <v>2021</v>
      </c>
      <c r="E11677" s="18"/>
      <c r="F11677" s="4">
        <v>1</v>
      </c>
      <c r="G11677" s="4">
        <v>14.6</v>
      </c>
      <c r="H11677" s="4">
        <v>28.813749999999999</v>
      </c>
    </row>
    <row r="11678" spans="1:8" s="15" customFormat="1" ht="19.5" hidden="1" customHeight="1" outlineLevel="1" x14ac:dyDescent="0.25">
      <c r="A11678" s="46">
        <v>9041</v>
      </c>
      <c r="B11678" s="4" t="s">
        <v>250</v>
      </c>
      <c r="C11678" s="22" t="s">
        <v>2890</v>
      </c>
      <c r="D11678" s="18">
        <v>2021</v>
      </c>
      <c r="E11678" s="18"/>
      <c r="F11678" s="4">
        <v>1</v>
      </c>
      <c r="G11678" s="4">
        <v>11.1</v>
      </c>
      <c r="H11678" s="4">
        <v>25.710909999999998</v>
      </c>
    </row>
    <row r="11679" spans="1:8" s="15" customFormat="1" ht="19.5" hidden="1" customHeight="1" outlineLevel="1" x14ac:dyDescent="0.25">
      <c r="A11679" s="46">
        <v>9071</v>
      </c>
      <c r="B11679" s="4" t="s">
        <v>250</v>
      </c>
      <c r="C11679" s="22" t="s">
        <v>2891</v>
      </c>
      <c r="D11679" s="18">
        <v>2021</v>
      </c>
      <c r="E11679" s="18"/>
      <c r="F11679" s="4">
        <v>1</v>
      </c>
      <c r="G11679" s="4">
        <v>15</v>
      </c>
      <c r="H11679" s="4">
        <v>26.633880000000001</v>
      </c>
    </row>
    <row r="11680" spans="1:8" s="15" customFormat="1" ht="19.5" hidden="1" customHeight="1" outlineLevel="1" x14ac:dyDescent="0.25">
      <c r="A11680" s="46">
        <v>9022</v>
      </c>
      <c r="B11680" s="4" t="s">
        <v>250</v>
      </c>
      <c r="C11680" s="22" t="s">
        <v>2892</v>
      </c>
      <c r="D11680" s="18">
        <v>2021</v>
      </c>
      <c r="E11680" s="18"/>
      <c r="F11680" s="4">
        <v>1</v>
      </c>
      <c r="G11680" s="4">
        <v>15</v>
      </c>
      <c r="H11680" s="4">
        <v>83.935559999999995</v>
      </c>
    </row>
    <row r="11681" spans="1:8" s="15" customFormat="1" ht="19.5" hidden="1" customHeight="1" outlineLevel="1" x14ac:dyDescent="0.25">
      <c r="A11681" s="46">
        <v>9107</v>
      </c>
      <c r="B11681" s="4" t="s">
        <v>250</v>
      </c>
      <c r="C11681" s="22" t="s">
        <v>2893</v>
      </c>
      <c r="D11681" s="18">
        <v>2021</v>
      </c>
      <c r="E11681" s="18"/>
      <c r="F11681" s="4">
        <v>1</v>
      </c>
      <c r="G11681" s="4">
        <v>15</v>
      </c>
      <c r="H11681" s="4">
        <v>25.08202</v>
      </c>
    </row>
    <row r="11682" spans="1:8" s="15" customFormat="1" ht="19.5" hidden="1" customHeight="1" outlineLevel="1" x14ac:dyDescent="0.25">
      <c r="A11682" s="46">
        <v>9105</v>
      </c>
      <c r="B11682" s="4" t="s">
        <v>250</v>
      </c>
      <c r="C11682" s="22" t="s">
        <v>2894</v>
      </c>
      <c r="D11682" s="18">
        <v>2021</v>
      </c>
      <c r="E11682" s="18"/>
      <c r="F11682" s="4">
        <v>1</v>
      </c>
      <c r="G11682" s="4">
        <v>7.5</v>
      </c>
      <c r="H11682" s="4">
        <v>33.98545</v>
      </c>
    </row>
    <row r="11683" spans="1:8" s="15" customFormat="1" ht="19.5" hidden="1" customHeight="1" outlineLevel="1" x14ac:dyDescent="0.25">
      <c r="A11683" s="46">
        <v>9104</v>
      </c>
      <c r="B11683" s="4" t="s">
        <v>250</v>
      </c>
      <c r="C11683" s="22" t="s">
        <v>2895</v>
      </c>
      <c r="D11683" s="18">
        <v>2021</v>
      </c>
      <c r="E11683" s="18"/>
      <c r="F11683" s="4">
        <v>1</v>
      </c>
      <c r="G11683" s="4">
        <v>7.5</v>
      </c>
      <c r="H11683" s="4">
        <v>25.146180000000001</v>
      </c>
    </row>
    <row r="11684" spans="1:8" s="15" customFormat="1" ht="19.5" hidden="1" customHeight="1" outlineLevel="1" x14ac:dyDescent="0.25">
      <c r="A11684" s="46">
        <v>9048</v>
      </c>
      <c r="B11684" s="4" t="s">
        <v>250</v>
      </c>
      <c r="C11684" s="22" t="s">
        <v>2896</v>
      </c>
      <c r="D11684" s="18">
        <v>2021</v>
      </c>
      <c r="E11684" s="18"/>
      <c r="F11684" s="4">
        <v>1</v>
      </c>
      <c r="G11684" s="4">
        <v>14</v>
      </c>
      <c r="H11684" s="4">
        <v>26.445730000000001</v>
      </c>
    </row>
    <row r="11685" spans="1:8" s="15" customFormat="1" ht="19.5" hidden="1" customHeight="1" outlineLevel="1" x14ac:dyDescent="0.25">
      <c r="A11685" s="46">
        <v>9106</v>
      </c>
      <c r="B11685" s="4" t="s">
        <v>250</v>
      </c>
      <c r="C11685" s="22" t="s">
        <v>2897</v>
      </c>
      <c r="D11685" s="18">
        <v>2021</v>
      </c>
      <c r="E11685" s="18"/>
      <c r="F11685" s="4">
        <v>1</v>
      </c>
      <c r="G11685" s="4">
        <v>7</v>
      </c>
      <c r="H11685" s="4">
        <v>17.65352</v>
      </c>
    </row>
    <row r="11686" spans="1:8" s="15" customFormat="1" ht="19.5" hidden="1" customHeight="1" outlineLevel="1" x14ac:dyDescent="0.25">
      <c r="A11686" s="46">
        <v>9122</v>
      </c>
      <c r="B11686" s="4" t="s">
        <v>250</v>
      </c>
      <c r="C11686" s="22" t="s">
        <v>2898</v>
      </c>
      <c r="D11686" s="18">
        <v>2021</v>
      </c>
      <c r="E11686" s="18"/>
      <c r="F11686" s="4">
        <v>1</v>
      </c>
      <c r="G11686" s="4">
        <v>15</v>
      </c>
      <c r="H11686" s="4">
        <v>25.347330000000003</v>
      </c>
    </row>
    <row r="11687" spans="1:8" s="15" customFormat="1" ht="19.5" hidden="1" customHeight="1" outlineLevel="1" x14ac:dyDescent="0.25">
      <c r="A11687" s="46">
        <v>10373</v>
      </c>
      <c r="B11687" s="4" t="s">
        <v>250</v>
      </c>
      <c r="C11687" s="22" t="s">
        <v>2899</v>
      </c>
      <c r="D11687" s="18">
        <v>2021</v>
      </c>
      <c r="E11687" s="18"/>
      <c r="F11687" s="4">
        <v>1</v>
      </c>
      <c r="G11687" s="4">
        <v>15</v>
      </c>
      <c r="H11687" s="4">
        <v>25.52778</v>
      </c>
    </row>
    <row r="11688" spans="1:8" s="15" customFormat="1" ht="19.5" hidden="1" customHeight="1" outlineLevel="1" x14ac:dyDescent="0.25">
      <c r="A11688" s="46">
        <v>9117</v>
      </c>
      <c r="B11688" s="4" t="s">
        <v>250</v>
      </c>
      <c r="C11688" s="22" t="s">
        <v>2900</v>
      </c>
      <c r="D11688" s="18">
        <v>2021</v>
      </c>
      <c r="E11688" s="18"/>
      <c r="F11688" s="4">
        <v>1</v>
      </c>
      <c r="G11688" s="4">
        <v>14.5</v>
      </c>
      <c r="H11688" s="4">
        <v>28.47504</v>
      </c>
    </row>
    <row r="11689" spans="1:8" s="15" customFormat="1" ht="19.5" hidden="1" customHeight="1" outlineLevel="1" x14ac:dyDescent="0.25">
      <c r="A11689" s="46">
        <v>9045</v>
      </c>
      <c r="B11689" s="4" t="s">
        <v>250</v>
      </c>
      <c r="C11689" s="22" t="s">
        <v>2901</v>
      </c>
      <c r="D11689" s="18">
        <v>2021</v>
      </c>
      <c r="E11689" s="18"/>
      <c r="F11689" s="4">
        <v>1</v>
      </c>
      <c r="G11689" s="4">
        <v>9.1999999999999993</v>
      </c>
      <c r="H11689" s="4">
        <v>29.710259999999998</v>
      </c>
    </row>
    <row r="11690" spans="1:8" s="15" customFormat="1" ht="19.5" hidden="1" customHeight="1" outlineLevel="1" x14ac:dyDescent="0.25">
      <c r="A11690" s="46">
        <v>9049</v>
      </c>
      <c r="B11690" s="4" t="s">
        <v>250</v>
      </c>
      <c r="C11690" s="22" t="s">
        <v>2902</v>
      </c>
      <c r="D11690" s="18">
        <v>2021</v>
      </c>
      <c r="E11690" s="18"/>
      <c r="F11690" s="4">
        <v>1</v>
      </c>
      <c r="G11690" s="4">
        <v>12</v>
      </c>
      <c r="H11690" s="4">
        <v>26.361810000000002</v>
      </c>
    </row>
    <row r="11691" spans="1:8" s="15" customFormat="1" ht="19.5" hidden="1" customHeight="1" outlineLevel="1" x14ac:dyDescent="0.25">
      <c r="A11691" s="46">
        <v>9021</v>
      </c>
      <c r="B11691" s="4" t="s">
        <v>250</v>
      </c>
      <c r="C11691" s="22" t="s">
        <v>2903</v>
      </c>
      <c r="D11691" s="18">
        <v>2021</v>
      </c>
      <c r="E11691" s="18"/>
      <c r="F11691" s="4">
        <v>1</v>
      </c>
      <c r="G11691" s="4">
        <v>15</v>
      </c>
      <c r="H11691" s="4">
        <v>34.906779999999998</v>
      </c>
    </row>
    <row r="11692" spans="1:8" s="15" customFormat="1" ht="19.5" hidden="1" customHeight="1" outlineLevel="1" x14ac:dyDescent="0.25">
      <c r="A11692" s="46">
        <v>9047</v>
      </c>
      <c r="B11692" s="4" t="s">
        <v>250</v>
      </c>
      <c r="C11692" s="22" t="s">
        <v>2904</v>
      </c>
      <c r="D11692" s="18">
        <v>2021</v>
      </c>
      <c r="E11692" s="18"/>
      <c r="F11692" s="4">
        <v>1</v>
      </c>
      <c r="G11692" s="4">
        <v>10</v>
      </c>
      <c r="H11692" s="4">
        <v>26.234540000000003</v>
      </c>
    </row>
    <row r="11693" spans="1:8" s="15" customFormat="1" ht="19.5" hidden="1" customHeight="1" outlineLevel="1" x14ac:dyDescent="0.25">
      <c r="A11693" s="46">
        <v>10367</v>
      </c>
      <c r="B11693" s="4" t="s">
        <v>250</v>
      </c>
      <c r="C11693" s="22" t="s">
        <v>2905</v>
      </c>
      <c r="D11693" s="18">
        <v>2021</v>
      </c>
      <c r="E11693" s="18"/>
      <c r="F11693" s="4">
        <v>1</v>
      </c>
      <c r="G11693" s="4">
        <v>15</v>
      </c>
      <c r="H11693" s="4">
        <v>26.122310000000002</v>
      </c>
    </row>
    <row r="11694" spans="1:8" s="15" customFormat="1" ht="19.5" hidden="1" customHeight="1" outlineLevel="1" x14ac:dyDescent="0.25">
      <c r="A11694" s="46">
        <v>9027</v>
      </c>
      <c r="B11694" s="4" t="s">
        <v>250</v>
      </c>
      <c r="C11694" s="22" t="s">
        <v>2906</v>
      </c>
      <c r="D11694" s="18">
        <v>2021</v>
      </c>
      <c r="E11694" s="18"/>
      <c r="F11694" s="4">
        <v>1</v>
      </c>
      <c r="G11694" s="4">
        <v>12</v>
      </c>
      <c r="H11694" s="4">
        <v>26.290140000000001</v>
      </c>
    </row>
    <row r="11695" spans="1:8" s="15" customFormat="1" ht="19.5" hidden="1" customHeight="1" outlineLevel="1" x14ac:dyDescent="0.25">
      <c r="A11695" s="46">
        <v>9026</v>
      </c>
      <c r="B11695" s="4" t="s">
        <v>250</v>
      </c>
      <c r="C11695" s="22" t="s">
        <v>2907</v>
      </c>
      <c r="D11695" s="18">
        <v>2021</v>
      </c>
      <c r="E11695" s="18"/>
      <c r="F11695" s="4">
        <v>1</v>
      </c>
      <c r="G11695" s="4">
        <v>15</v>
      </c>
      <c r="H11695" s="4">
        <v>25.955970000000001</v>
      </c>
    </row>
    <row r="11696" spans="1:8" s="15" customFormat="1" ht="19.5" hidden="1" customHeight="1" outlineLevel="1" x14ac:dyDescent="0.25">
      <c r="A11696" s="46">
        <v>9064</v>
      </c>
      <c r="B11696" s="4" t="s">
        <v>250</v>
      </c>
      <c r="C11696" s="22" t="s">
        <v>2908</v>
      </c>
      <c r="D11696" s="18">
        <v>2021</v>
      </c>
      <c r="E11696" s="18"/>
      <c r="F11696" s="4">
        <v>1</v>
      </c>
      <c r="G11696" s="4">
        <v>15</v>
      </c>
      <c r="H11696" s="4">
        <v>28.719810000000003</v>
      </c>
    </row>
    <row r="11697" spans="1:8" s="15" customFormat="1" ht="19.5" hidden="1" customHeight="1" outlineLevel="1" x14ac:dyDescent="0.25">
      <c r="A11697" s="46">
        <v>9058</v>
      </c>
      <c r="B11697" s="4" t="s">
        <v>250</v>
      </c>
      <c r="C11697" s="22" t="s">
        <v>2909</v>
      </c>
      <c r="D11697" s="18">
        <v>2021</v>
      </c>
      <c r="E11697" s="18"/>
      <c r="F11697" s="4">
        <v>1</v>
      </c>
      <c r="G11697" s="4">
        <v>15</v>
      </c>
      <c r="H11697" s="4">
        <v>39.283910000000006</v>
      </c>
    </row>
    <row r="11698" spans="1:8" s="15" customFormat="1" ht="19.5" hidden="1" customHeight="1" outlineLevel="1" x14ac:dyDescent="0.25">
      <c r="A11698" s="46">
        <v>9060</v>
      </c>
      <c r="B11698" s="4" t="s">
        <v>250</v>
      </c>
      <c r="C11698" s="22" t="s">
        <v>2910</v>
      </c>
      <c r="D11698" s="18">
        <v>2021</v>
      </c>
      <c r="E11698" s="18"/>
      <c r="F11698" s="4">
        <v>1</v>
      </c>
      <c r="G11698" s="4">
        <v>15</v>
      </c>
      <c r="H11698" s="4">
        <v>26.802340000000001</v>
      </c>
    </row>
    <row r="11699" spans="1:8" s="15" customFormat="1" ht="19.5" hidden="1" customHeight="1" outlineLevel="1" x14ac:dyDescent="0.25">
      <c r="A11699" s="46">
        <v>9059</v>
      </c>
      <c r="B11699" s="4" t="s">
        <v>250</v>
      </c>
      <c r="C11699" s="22" t="s">
        <v>2911</v>
      </c>
      <c r="D11699" s="18">
        <v>2021</v>
      </c>
      <c r="E11699" s="18"/>
      <c r="F11699" s="4">
        <v>1</v>
      </c>
      <c r="G11699" s="4">
        <v>15</v>
      </c>
      <c r="H11699" s="4">
        <v>28.57403</v>
      </c>
    </row>
    <row r="11700" spans="1:8" s="15" customFormat="1" ht="19.5" hidden="1" customHeight="1" outlineLevel="1" x14ac:dyDescent="0.25">
      <c r="A11700" s="46">
        <v>9132</v>
      </c>
      <c r="B11700" s="4" t="s">
        <v>250</v>
      </c>
      <c r="C11700" s="22" t="s">
        <v>2912</v>
      </c>
      <c r="D11700" s="18">
        <v>2021</v>
      </c>
      <c r="E11700" s="18"/>
      <c r="F11700" s="4">
        <v>1</v>
      </c>
      <c r="G11700" s="4">
        <v>15</v>
      </c>
      <c r="H11700" s="4">
        <v>36.689730000000004</v>
      </c>
    </row>
    <row r="11701" spans="1:8" s="15" customFormat="1" ht="19.5" hidden="1" customHeight="1" outlineLevel="1" x14ac:dyDescent="0.25">
      <c r="A11701" s="46">
        <v>9061</v>
      </c>
      <c r="B11701" s="4" t="s">
        <v>250</v>
      </c>
      <c r="C11701" s="22" t="s">
        <v>2913</v>
      </c>
      <c r="D11701" s="18">
        <v>2021</v>
      </c>
      <c r="E11701" s="18"/>
      <c r="F11701" s="4">
        <v>1</v>
      </c>
      <c r="G11701" s="4">
        <v>15</v>
      </c>
      <c r="H11701" s="4">
        <v>29.11149</v>
      </c>
    </row>
    <row r="11702" spans="1:8" s="15" customFormat="1" ht="19.5" hidden="1" customHeight="1" outlineLevel="1" x14ac:dyDescent="0.25">
      <c r="A11702" s="46">
        <v>9062</v>
      </c>
      <c r="B11702" s="4" t="s">
        <v>250</v>
      </c>
      <c r="C11702" s="22" t="s">
        <v>2914</v>
      </c>
      <c r="D11702" s="18">
        <v>2021</v>
      </c>
      <c r="E11702" s="18"/>
      <c r="F11702" s="4">
        <v>1</v>
      </c>
      <c r="G11702" s="4">
        <v>15</v>
      </c>
      <c r="H11702" s="4">
        <v>36.79063</v>
      </c>
    </row>
    <row r="11703" spans="1:8" s="15" customFormat="1" ht="19.5" hidden="1" customHeight="1" outlineLevel="1" x14ac:dyDescent="0.25">
      <c r="A11703" s="46">
        <v>9121</v>
      </c>
      <c r="B11703" s="4" t="s">
        <v>250</v>
      </c>
      <c r="C11703" s="22" t="s">
        <v>2915</v>
      </c>
      <c r="D11703" s="18">
        <v>2021</v>
      </c>
      <c r="E11703" s="18"/>
      <c r="F11703" s="4">
        <v>1</v>
      </c>
      <c r="G11703" s="4">
        <v>15</v>
      </c>
      <c r="H11703" s="4">
        <v>28.121689999999997</v>
      </c>
    </row>
    <row r="11704" spans="1:8" s="15" customFormat="1" ht="19.5" hidden="1" customHeight="1" outlineLevel="1" x14ac:dyDescent="0.25">
      <c r="A11704" s="46">
        <v>9063</v>
      </c>
      <c r="B11704" s="4" t="s">
        <v>250</v>
      </c>
      <c r="C11704" s="22" t="s">
        <v>2916</v>
      </c>
      <c r="D11704" s="18">
        <v>2021</v>
      </c>
      <c r="E11704" s="18"/>
      <c r="F11704" s="4">
        <v>1</v>
      </c>
      <c r="G11704" s="4">
        <v>15</v>
      </c>
      <c r="H11704" s="4">
        <v>31.09328</v>
      </c>
    </row>
    <row r="11705" spans="1:8" s="15" customFormat="1" ht="19.5" hidden="1" customHeight="1" outlineLevel="1" x14ac:dyDescent="0.25">
      <c r="A11705" s="46">
        <v>9050</v>
      </c>
      <c r="B11705" s="4" t="s">
        <v>250</v>
      </c>
      <c r="C11705" s="22" t="s">
        <v>2917</v>
      </c>
      <c r="D11705" s="18">
        <v>2021</v>
      </c>
      <c r="E11705" s="18"/>
      <c r="F11705" s="4">
        <v>1</v>
      </c>
      <c r="G11705" s="4">
        <v>14.5</v>
      </c>
      <c r="H11705" s="4">
        <v>44.557650000000002</v>
      </c>
    </row>
    <row r="11706" spans="1:8" s="15" customFormat="1" ht="19.5" hidden="1" customHeight="1" outlineLevel="1" x14ac:dyDescent="0.25">
      <c r="A11706" s="45">
        <v>2532</v>
      </c>
      <c r="B11706" s="4" t="s">
        <v>250</v>
      </c>
      <c r="C11706" s="22" t="s">
        <v>2918</v>
      </c>
      <c r="D11706" s="18">
        <v>2021</v>
      </c>
      <c r="E11706" s="18"/>
      <c r="F11706" s="4">
        <v>1</v>
      </c>
      <c r="G11706" s="4">
        <v>8</v>
      </c>
      <c r="H11706" s="4">
        <v>24.872990000000001</v>
      </c>
    </row>
    <row r="11707" spans="1:8" s="15" customFormat="1" ht="19.5" hidden="1" customHeight="1" outlineLevel="1" x14ac:dyDescent="0.25">
      <c r="A11707" s="46">
        <v>9031</v>
      </c>
      <c r="B11707" s="4" t="s">
        <v>250</v>
      </c>
      <c r="C11707" s="22" t="s">
        <v>2919</v>
      </c>
      <c r="D11707" s="18">
        <v>2021</v>
      </c>
      <c r="E11707" s="18"/>
      <c r="F11707" s="4">
        <v>1</v>
      </c>
      <c r="G11707" s="4">
        <v>15</v>
      </c>
      <c r="H11707" s="4">
        <v>26.812000000000001</v>
      </c>
    </row>
    <row r="11708" spans="1:8" s="15" customFormat="1" ht="19.5" hidden="1" customHeight="1" outlineLevel="1" x14ac:dyDescent="0.25">
      <c r="A11708" s="46">
        <v>9131</v>
      </c>
      <c r="B11708" s="4" t="s">
        <v>250</v>
      </c>
      <c r="C11708" s="22" t="s">
        <v>2920</v>
      </c>
      <c r="D11708" s="18">
        <v>2021</v>
      </c>
      <c r="E11708" s="18"/>
      <c r="F11708" s="4">
        <v>1</v>
      </c>
      <c r="G11708" s="4">
        <v>15</v>
      </c>
      <c r="H11708" s="4">
        <v>34.339700000000001</v>
      </c>
    </row>
    <row r="11709" spans="1:8" s="15" customFormat="1" ht="19.5" hidden="1" customHeight="1" outlineLevel="1" x14ac:dyDescent="0.25">
      <c r="A11709" s="46">
        <v>9068</v>
      </c>
      <c r="B11709" s="4" t="s">
        <v>250</v>
      </c>
      <c r="C11709" s="22" t="s">
        <v>2921</v>
      </c>
      <c r="D11709" s="18">
        <v>2021</v>
      </c>
      <c r="E11709" s="18"/>
      <c r="F11709" s="4">
        <v>1</v>
      </c>
      <c r="G11709" s="4">
        <v>15</v>
      </c>
      <c r="H11709" s="4">
        <v>24.76004</v>
      </c>
    </row>
    <row r="11710" spans="1:8" s="15" customFormat="1" ht="19.5" hidden="1" customHeight="1" outlineLevel="1" x14ac:dyDescent="0.25">
      <c r="A11710" s="46">
        <v>9116</v>
      </c>
      <c r="B11710" s="4" t="s">
        <v>250</v>
      </c>
      <c r="C11710" s="22" t="s">
        <v>2922</v>
      </c>
      <c r="D11710" s="18">
        <v>2021</v>
      </c>
      <c r="E11710" s="18"/>
      <c r="F11710" s="4">
        <v>1</v>
      </c>
      <c r="G11710" s="4">
        <v>8</v>
      </c>
      <c r="H11710" s="4">
        <v>26.832270000000001</v>
      </c>
    </row>
    <row r="11711" spans="1:8" s="15" customFormat="1" ht="19.5" hidden="1" customHeight="1" outlineLevel="1" x14ac:dyDescent="0.25">
      <c r="A11711" s="46">
        <v>9070</v>
      </c>
      <c r="B11711" s="4" t="s">
        <v>250</v>
      </c>
      <c r="C11711" s="22" t="s">
        <v>2923</v>
      </c>
      <c r="D11711" s="18">
        <v>2021</v>
      </c>
      <c r="E11711" s="18"/>
      <c r="F11711" s="4">
        <v>1</v>
      </c>
      <c r="G11711" s="4">
        <v>15</v>
      </c>
      <c r="H11711" s="4">
        <v>48.438279999999999</v>
      </c>
    </row>
    <row r="11712" spans="1:8" s="15" customFormat="1" ht="19.5" hidden="1" customHeight="1" outlineLevel="1" x14ac:dyDescent="0.25">
      <c r="A11712" s="46">
        <v>9112</v>
      </c>
      <c r="B11712" s="4" t="s">
        <v>250</v>
      </c>
      <c r="C11712" s="22" t="s">
        <v>2924</v>
      </c>
      <c r="D11712" s="18">
        <v>2021</v>
      </c>
      <c r="E11712" s="18"/>
      <c r="F11712" s="4">
        <v>1</v>
      </c>
      <c r="G11712" s="4">
        <v>8.9</v>
      </c>
      <c r="H11712" s="4">
        <v>25.647580000000001</v>
      </c>
    </row>
    <row r="11713" spans="1:8" s="15" customFormat="1" ht="19.5" hidden="1" customHeight="1" outlineLevel="1" x14ac:dyDescent="0.25">
      <c r="A11713" s="46">
        <v>9032</v>
      </c>
      <c r="B11713" s="4" t="s">
        <v>250</v>
      </c>
      <c r="C11713" s="22" t="s">
        <v>2925</v>
      </c>
      <c r="D11713" s="18">
        <v>2021</v>
      </c>
      <c r="E11713" s="18"/>
      <c r="F11713" s="4">
        <v>1</v>
      </c>
      <c r="G11713" s="4">
        <v>15</v>
      </c>
      <c r="H11713" s="4">
        <v>26.523330000000001</v>
      </c>
    </row>
    <row r="11714" spans="1:8" s="15" customFormat="1" ht="19.5" hidden="1" customHeight="1" outlineLevel="1" x14ac:dyDescent="0.25">
      <c r="A11714" s="46">
        <v>9113</v>
      </c>
      <c r="B11714" s="4" t="s">
        <v>250</v>
      </c>
      <c r="C11714" s="22" t="s">
        <v>2926</v>
      </c>
      <c r="D11714" s="18">
        <v>2021</v>
      </c>
      <c r="E11714" s="18"/>
      <c r="F11714" s="4">
        <v>1</v>
      </c>
      <c r="G11714" s="4">
        <v>11</v>
      </c>
      <c r="H11714" s="4">
        <v>25.64716</v>
      </c>
    </row>
    <row r="11715" spans="1:8" s="15" customFormat="1" ht="19.5" hidden="1" customHeight="1" outlineLevel="1" x14ac:dyDescent="0.25">
      <c r="A11715" s="46">
        <v>9057</v>
      </c>
      <c r="B11715" s="4" t="s">
        <v>250</v>
      </c>
      <c r="C11715" s="22" t="s">
        <v>2927</v>
      </c>
      <c r="D11715" s="18">
        <v>2021</v>
      </c>
      <c r="E11715" s="18"/>
      <c r="F11715" s="4">
        <v>1</v>
      </c>
      <c r="G11715" s="4">
        <v>15</v>
      </c>
      <c r="H11715" s="4">
        <v>25.617240000000002</v>
      </c>
    </row>
    <row r="11716" spans="1:8" s="15" customFormat="1" ht="19.5" hidden="1" customHeight="1" outlineLevel="1" x14ac:dyDescent="0.25">
      <c r="A11716" s="46">
        <v>9126</v>
      </c>
      <c r="B11716" s="4" t="s">
        <v>250</v>
      </c>
      <c r="C11716" s="22" t="s">
        <v>2928</v>
      </c>
      <c r="D11716" s="18">
        <v>2021</v>
      </c>
      <c r="E11716" s="18"/>
      <c r="F11716" s="4">
        <v>1</v>
      </c>
      <c r="G11716" s="4">
        <v>15</v>
      </c>
      <c r="H11716" s="4">
        <v>30.078859999999999</v>
      </c>
    </row>
    <row r="11717" spans="1:8" s="15" customFormat="1" ht="19.5" hidden="1" customHeight="1" outlineLevel="1" x14ac:dyDescent="0.25">
      <c r="A11717" s="46">
        <v>9034</v>
      </c>
      <c r="B11717" s="4" t="s">
        <v>250</v>
      </c>
      <c r="C11717" s="22" t="s">
        <v>2929</v>
      </c>
      <c r="D11717" s="18">
        <v>2021</v>
      </c>
      <c r="E11717" s="18"/>
      <c r="F11717" s="4">
        <v>1</v>
      </c>
      <c r="G11717" s="4">
        <v>15</v>
      </c>
      <c r="H11717" s="4">
        <v>24.87275</v>
      </c>
    </row>
    <row r="11718" spans="1:8" s="15" customFormat="1" ht="19.5" hidden="1" customHeight="1" outlineLevel="1" x14ac:dyDescent="0.25">
      <c r="A11718" s="46">
        <v>9039</v>
      </c>
      <c r="B11718" s="4" t="s">
        <v>250</v>
      </c>
      <c r="C11718" s="22" t="s">
        <v>2930</v>
      </c>
      <c r="D11718" s="18">
        <v>2021</v>
      </c>
      <c r="E11718" s="18"/>
      <c r="F11718" s="4">
        <v>1</v>
      </c>
      <c r="G11718" s="4">
        <v>15</v>
      </c>
      <c r="H11718" s="4">
        <v>24.435110000000002</v>
      </c>
    </row>
    <row r="11719" spans="1:8" s="15" customFormat="1" ht="19.5" hidden="1" customHeight="1" outlineLevel="1" x14ac:dyDescent="0.25">
      <c r="A11719" s="46">
        <v>9065</v>
      </c>
      <c r="B11719" s="4" t="s">
        <v>250</v>
      </c>
      <c r="C11719" s="22" t="s">
        <v>2931</v>
      </c>
      <c r="D11719" s="18">
        <v>2021</v>
      </c>
      <c r="E11719" s="18"/>
      <c r="F11719" s="4">
        <v>1</v>
      </c>
      <c r="G11719" s="4">
        <v>15</v>
      </c>
      <c r="H11719" s="4">
        <v>29.03078</v>
      </c>
    </row>
    <row r="11720" spans="1:8" s="15" customFormat="1" ht="19.5" hidden="1" customHeight="1" outlineLevel="1" x14ac:dyDescent="0.25">
      <c r="A11720" s="46">
        <v>9066</v>
      </c>
      <c r="B11720" s="4" t="s">
        <v>250</v>
      </c>
      <c r="C11720" s="22" t="s">
        <v>2932</v>
      </c>
      <c r="D11720" s="18">
        <v>2021</v>
      </c>
      <c r="E11720" s="18"/>
      <c r="F11720" s="4">
        <v>1</v>
      </c>
      <c r="G11720" s="4">
        <v>15</v>
      </c>
      <c r="H11720" s="4">
        <v>25.303009999999997</v>
      </c>
    </row>
    <row r="11721" spans="1:8" s="15" customFormat="1" ht="19.5" hidden="1" customHeight="1" outlineLevel="1" x14ac:dyDescent="0.25">
      <c r="A11721" s="46">
        <v>9035</v>
      </c>
      <c r="B11721" s="4" t="s">
        <v>250</v>
      </c>
      <c r="C11721" s="22" t="s">
        <v>2933</v>
      </c>
      <c r="D11721" s="18">
        <v>2021</v>
      </c>
      <c r="E11721" s="18"/>
      <c r="F11721" s="4">
        <v>1</v>
      </c>
      <c r="G11721" s="4">
        <v>9</v>
      </c>
      <c r="H11721" s="4">
        <v>24.852689999999999</v>
      </c>
    </row>
    <row r="11722" spans="1:8" s="15" customFormat="1" ht="19.5" hidden="1" customHeight="1" outlineLevel="1" x14ac:dyDescent="0.25">
      <c r="A11722" s="46">
        <v>9129</v>
      </c>
      <c r="B11722" s="4" t="s">
        <v>250</v>
      </c>
      <c r="C11722" s="22" t="s">
        <v>2934</v>
      </c>
      <c r="D11722" s="18">
        <v>2021</v>
      </c>
      <c r="E11722" s="18"/>
      <c r="F11722" s="4">
        <v>1</v>
      </c>
      <c r="G11722" s="4">
        <v>15</v>
      </c>
      <c r="H11722" s="4">
        <v>32.175080000000001</v>
      </c>
    </row>
    <row r="11723" spans="1:8" s="15" customFormat="1" ht="19.5" hidden="1" customHeight="1" outlineLevel="1" x14ac:dyDescent="0.25">
      <c r="A11723" s="46">
        <v>9051</v>
      </c>
      <c r="B11723" s="4" t="s">
        <v>250</v>
      </c>
      <c r="C11723" s="22" t="s">
        <v>2935</v>
      </c>
      <c r="D11723" s="18">
        <v>2021</v>
      </c>
      <c r="E11723" s="18"/>
      <c r="F11723" s="4">
        <v>1</v>
      </c>
      <c r="G11723" s="4">
        <v>10</v>
      </c>
      <c r="H11723" s="4">
        <v>26.52328</v>
      </c>
    </row>
    <row r="11724" spans="1:8" s="15" customFormat="1" ht="19.5" hidden="1" customHeight="1" outlineLevel="1" x14ac:dyDescent="0.25">
      <c r="A11724" s="46">
        <v>9003</v>
      </c>
      <c r="B11724" s="4" t="s">
        <v>250</v>
      </c>
      <c r="C11724" s="22" t="s">
        <v>2936</v>
      </c>
      <c r="D11724" s="18">
        <v>2021</v>
      </c>
      <c r="E11724" s="18"/>
      <c r="F11724" s="4">
        <v>1</v>
      </c>
      <c r="G11724" s="4">
        <v>15</v>
      </c>
      <c r="H11724" s="4">
        <v>28.914210000000001</v>
      </c>
    </row>
    <row r="11725" spans="1:8" s="15" customFormat="1" ht="19.5" hidden="1" customHeight="1" outlineLevel="1" x14ac:dyDescent="0.25">
      <c r="A11725" s="46">
        <v>9033</v>
      </c>
      <c r="B11725" s="4" t="s">
        <v>250</v>
      </c>
      <c r="C11725" s="22" t="s">
        <v>2937</v>
      </c>
      <c r="D11725" s="18">
        <v>2021</v>
      </c>
      <c r="E11725" s="18"/>
      <c r="F11725" s="4">
        <v>1</v>
      </c>
      <c r="G11725" s="4">
        <v>15</v>
      </c>
      <c r="H11725" s="4">
        <v>24.852689999999999</v>
      </c>
    </row>
    <row r="11726" spans="1:8" s="15" customFormat="1" ht="19.5" hidden="1" customHeight="1" outlineLevel="1" x14ac:dyDescent="0.25">
      <c r="A11726" s="46">
        <v>9036</v>
      </c>
      <c r="B11726" s="4" t="s">
        <v>250</v>
      </c>
      <c r="C11726" s="22" t="s">
        <v>2938</v>
      </c>
      <c r="D11726" s="18">
        <v>2021</v>
      </c>
      <c r="E11726" s="18"/>
      <c r="F11726" s="4">
        <v>1</v>
      </c>
      <c r="G11726" s="4">
        <v>15</v>
      </c>
      <c r="H11726" s="4">
        <v>31.540650000000003</v>
      </c>
    </row>
    <row r="11727" spans="1:8" s="15" customFormat="1" ht="19.5" hidden="1" customHeight="1" outlineLevel="1" x14ac:dyDescent="0.25">
      <c r="A11727" s="46">
        <v>9044</v>
      </c>
      <c r="B11727" s="4" t="s">
        <v>250</v>
      </c>
      <c r="C11727" s="22" t="s">
        <v>2939</v>
      </c>
      <c r="D11727" s="18">
        <v>2021</v>
      </c>
      <c r="E11727" s="18"/>
      <c r="F11727" s="4">
        <v>1</v>
      </c>
      <c r="G11727" s="4">
        <v>11.5</v>
      </c>
      <c r="H11727" s="4">
        <v>26.515979999999999</v>
      </c>
    </row>
    <row r="11728" spans="1:8" s="15" customFormat="1" ht="19.5" hidden="1" customHeight="1" outlineLevel="1" x14ac:dyDescent="0.25">
      <c r="A11728" s="45">
        <v>1325</v>
      </c>
      <c r="B11728" s="4" t="s">
        <v>250</v>
      </c>
      <c r="C11728" s="22" t="s">
        <v>1221</v>
      </c>
      <c r="D11728" s="18">
        <v>2021</v>
      </c>
      <c r="E11728" s="18"/>
      <c r="F11728" s="4">
        <v>1</v>
      </c>
      <c r="G11728" s="4">
        <v>8.5</v>
      </c>
      <c r="H11728" s="4">
        <v>36</v>
      </c>
    </row>
    <row r="11729" spans="1:8" s="15" customFormat="1" ht="19.5" hidden="1" customHeight="1" outlineLevel="1" x14ac:dyDescent="0.25">
      <c r="A11729" s="46">
        <v>9067</v>
      </c>
      <c r="B11729" s="4" t="s">
        <v>250</v>
      </c>
      <c r="C11729" s="22" t="s">
        <v>2940</v>
      </c>
      <c r="D11729" s="18">
        <v>2021</v>
      </c>
      <c r="E11729" s="18"/>
      <c r="F11729" s="4">
        <v>1</v>
      </c>
      <c r="G11729" s="4">
        <v>15</v>
      </c>
      <c r="H11729" s="4">
        <v>24.682130000000001</v>
      </c>
    </row>
    <row r="11730" spans="1:8" s="15" customFormat="1" ht="19.5" hidden="1" customHeight="1" outlineLevel="1" x14ac:dyDescent="0.25">
      <c r="A11730" s="46">
        <v>9125</v>
      </c>
      <c r="B11730" s="4" t="s">
        <v>250</v>
      </c>
      <c r="C11730" s="22" t="s">
        <v>2941</v>
      </c>
      <c r="D11730" s="18">
        <v>2021</v>
      </c>
      <c r="E11730" s="18"/>
      <c r="F11730" s="4">
        <v>1</v>
      </c>
      <c r="G11730" s="4">
        <v>15</v>
      </c>
      <c r="H11730" s="4">
        <v>32.718139999999998</v>
      </c>
    </row>
    <row r="11731" spans="1:8" s="15" customFormat="1" ht="19.5" hidden="1" customHeight="1" outlineLevel="1" x14ac:dyDescent="0.25">
      <c r="A11731" s="46">
        <v>9069</v>
      </c>
      <c r="B11731" s="4" t="s">
        <v>250</v>
      </c>
      <c r="C11731" s="22" t="s">
        <v>2942</v>
      </c>
      <c r="D11731" s="18">
        <v>2021</v>
      </c>
      <c r="E11731" s="18"/>
      <c r="F11731" s="4">
        <v>1</v>
      </c>
      <c r="G11731" s="4">
        <v>15</v>
      </c>
      <c r="H11731" s="4">
        <v>24.91553</v>
      </c>
    </row>
    <row r="11732" spans="1:8" s="15" customFormat="1" ht="19.5" hidden="1" customHeight="1" outlineLevel="1" x14ac:dyDescent="0.25">
      <c r="A11732" s="46">
        <v>9072</v>
      </c>
      <c r="B11732" s="4" t="s">
        <v>250</v>
      </c>
      <c r="C11732" s="22" t="s">
        <v>2943</v>
      </c>
      <c r="D11732" s="18">
        <v>2021</v>
      </c>
      <c r="E11732" s="18"/>
      <c r="F11732" s="4">
        <v>1</v>
      </c>
      <c r="G11732" s="4">
        <v>15</v>
      </c>
      <c r="H11732" s="4">
        <v>24.915759999999999</v>
      </c>
    </row>
    <row r="11733" spans="1:8" s="15" customFormat="1" ht="19.5" hidden="1" customHeight="1" outlineLevel="1" x14ac:dyDescent="0.25">
      <c r="A11733" s="46">
        <v>9109</v>
      </c>
      <c r="B11733" s="4" t="s">
        <v>250</v>
      </c>
      <c r="C11733" s="22" t="s">
        <v>2944</v>
      </c>
      <c r="D11733" s="18">
        <v>2021</v>
      </c>
      <c r="E11733" s="18"/>
      <c r="F11733" s="4">
        <v>1</v>
      </c>
      <c r="G11733" s="4">
        <v>15</v>
      </c>
      <c r="H11733" s="4">
        <v>25.508890000000001</v>
      </c>
    </row>
    <row r="11734" spans="1:8" s="15" customFormat="1" ht="19.5" hidden="1" customHeight="1" outlineLevel="1" x14ac:dyDescent="0.25">
      <c r="A11734" s="45">
        <v>2552</v>
      </c>
      <c r="B11734" s="4" t="s">
        <v>250</v>
      </c>
      <c r="C11734" s="22" t="s">
        <v>2945</v>
      </c>
      <c r="D11734" s="18">
        <v>2021</v>
      </c>
      <c r="E11734" s="18"/>
      <c r="F11734" s="4">
        <v>1</v>
      </c>
      <c r="G11734" s="4">
        <v>15</v>
      </c>
      <c r="H11734" s="4">
        <v>25.597060000000003</v>
      </c>
    </row>
    <row r="11735" spans="1:8" s="15" customFormat="1" ht="19.5" hidden="1" customHeight="1" outlineLevel="1" x14ac:dyDescent="0.25">
      <c r="A11735" s="46">
        <v>9127</v>
      </c>
      <c r="B11735" s="4" t="s">
        <v>250</v>
      </c>
      <c r="C11735" s="22" t="s">
        <v>2946</v>
      </c>
      <c r="D11735" s="18">
        <v>2021</v>
      </c>
      <c r="E11735" s="18"/>
      <c r="F11735" s="4">
        <v>1</v>
      </c>
      <c r="G11735" s="4">
        <v>15</v>
      </c>
      <c r="H11735" s="4">
        <v>29</v>
      </c>
    </row>
    <row r="11736" spans="1:8" s="15" customFormat="1" ht="19.5" hidden="1" customHeight="1" outlineLevel="1" x14ac:dyDescent="0.25">
      <c r="A11736" s="46">
        <v>9130</v>
      </c>
      <c r="B11736" s="4" t="s">
        <v>250</v>
      </c>
      <c r="C11736" s="22" t="s">
        <v>2947</v>
      </c>
      <c r="D11736" s="18">
        <v>2021</v>
      </c>
      <c r="E11736" s="18"/>
      <c r="F11736" s="4">
        <v>1</v>
      </c>
      <c r="G11736" s="4">
        <v>15</v>
      </c>
      <c r="H11736" s="4">
        <v>30.078869999999998</v>
      </c>
    </row>
    <row r="11737" spans="1:8" s="15" customFormat="1" ht="19.5" hidden="1" customHeight="1" outlineLevel="1" x14ac:dyDescent="0.25">
      <c r="A11737" s="46">
        <v>9128</v>
      </c>
      <c r="B11737" s="4" t="s">
        <v>250</v>
      </c>
      <c r="C11737" s="22" t="s">
        <v>2948</v>
      </c>
      <c r="D11737" s="18">
        <v>2021</v>
      </c>
      <c r="E11737" s="18"/>
      <c r="F11737" s="4">
        <v>1</v>
      </c>
      <c r="G11737" s="4">
        <v>15</v>
      </c>
      <c r="H11737" s="4">
        <v>28.836369999999999</v>
      </c>
    </row>
    <row r="11738" spans="1:8" s="15" customFormat="1" ht="19.5" hidden="1" customHeight="1" outlineLevel="1" x14ac:dyDescent="0.25">
      <c r="A11738" s="46">
        <v>9020</v>
      </c>
      <c r="B11738" s="4" t="s">
        <v>250</v>
      </c>
      <c r="C11738" s="22" t="s">
        <v>2949</v>
      </c>
      <c r="D11738" s="18">
        <v>2021</v>
      </c>
      <c r="E11738" s="18"/>
      <c r="F11738" s="4">
        <v>1</v>
      </c>
      <c r="G11738" s="4">
        <v>15</v>
      </c>
      <c r="H11738" s="4">
        <v>24.82696</v>
      </c>
    </row>
    <row r="11739" spans="1:8" s="15" customFormat="1" ht="19.5" hidden="1" customHeight="1" outlineLevel="1" x14ac:dyDescent="0.25">
      <c r="A11739" s="46">
        <v>9019</v>
      </c>
      <c r="B11739" s="4" t="s">
        <v>250</v>
      </c>
      <c r="C11739" s="22" t="s">
        <v>2950</v>
      </c>
      <c r="D11739" s="18">
        <v>2021</v>
      </c>
      <c r="E11739" s="18"/>
      <c r="F11739" s="4">
        <v>1</v>
      </c>
      <c r="G11739" s="4">
        <v>15</v>
      </c>
      <c r="H11739" s="4">
        <v>24.596490000000003</v>
      </c>
    </row>
    <row r="11740" spans="1:8" s="15" customFormat="1" ht="19.5" hidden="1" customHeight="1" outlineLevel="1" x14ac:dyDescent="0.25">
      <c r="A11740" s="46">
        <v>9023</v>
      </c>
      <c r="B11740" s="4" t="s">
        <v>250</v>
      </c>
      <c r="C11740" s="22" t="s">
        <v>2951</v>
      </c>
      <c r="D11740" s="18">
        <v>2021</v>
      </c>
      <c r="E11740" s="18"/>
      <c r="F11740" s="4">
        <v>1</v>
      </c>
      <c r="G11740" s="4">
        <v>13</v>
      </c>
      <c r="H11740" s="4">
        <v>24.82714</v>
      </c>
    </row>
    <row r="11741" spans="1:8" s="15" customFormat="1" ht="19.5" hidden="1" customHeight="1" outlineLevel="1" x14ac:dyDescent="0.25">
      <c r="A11741" s="46">
        <v>9110</v>
      </c>
      <c r="B11741" s="4" t="s">
        <v>250</v>
      </c>
      <c r="C11741" s="22" t="s">
        <v>2952</v>
      </c>
      <c r="D11741" s="18">
        <v>2021</v>
      </c>
      <c r="E11741" s="18"/>
      <c r="F11741" s="4">
        <v>1</v>
      </c>
      <c r="G11741" s="4">
        <v>12</v>
      </c>
      <c r="H11741" s="4">
        <v>24.80846</v>
      </c>
    </row>
    <row r="11742" spans="1:8" s="15" customFormat="1" ht="19.5" hidden="1" customHeight="1" outlineLevel="1" x14ac:dyDescent="0.25">
      <c r="A11742" s="46">
        <v>9118</v>
      </c>
      <c r="B11742" s="4" t="s">
        <v>250</v>
      </c>
      <c r="C11742" s="22" t="s">
        <v>2953</v>
      </c>
      <c r="D11742" s="18">
        <v>2021</v>
      </c>
      <c r="E11742" s="18"/>
      <c r="F11742" s="4">
        <v>1</v>
      </c>
      <c r="G11742" s="4">
        <v>10</v>
      </c>
      <c r="H11742" s="4">
        <v>24.753400000000003</v>
      </c>
    </row>
    <row r="11743" spans="1:8" s="15" customFormat="1" ht="19.5" hidden="1" customHeight="1" outlineLevel="1" x14ac:dyDescent="0.25">
      <c r="A11743" s="46">
        <v>9016</v>
      </c>
      <c r="B11743" s="4" t="s">
        <v>250</v>
      </c>
      <c r="C11743" s="22" t="s">
        <v>2954</v>
      </c>
      <c r="D11743" s="18">
        <v>2021</v>
      </c>
      <c r="E11743" s="18"/>
      <c r="F11743" s="4">
        <v>1</v>
      </c>
      <c r="G11743" s="4">
        <v>8</v>
      </c>
      <c r="H11743" s="4">
        <v>36.446809999999999</v>
      </c>
    </row>
    <row r="11744" spans="1:8" s="15" customFormat="1" ht="19.5" hidden="1" customHeight="1" outlineLevel="1" x14ac:dyDescent="0.25">
      <c r="A11744" s="46">
        <v>9028</v>
      </c>
      <c r="B11744" s="4" t="s">
        <v>250</v>
      </c>
      <c r="C11744" s="22" t="s">
        <v>2955</v>
      </c>
      <c r="D11744" s="18">
        <v>2021</v>
      </c>
      <c r="E11744" s="18"/>
      <c r="F11744" s="4">
        <v>1</v>
      </c>
      <c r="G11744" s="4">
        <v>15</v>
      </c>
      <c r="H11744" s="4">
        <v>24.800789999999999</v>
      </c>
    </row>
    <row r="11745" spans="1:8" s="15" customFormat="1" ht="19.5" hidden="1" customHeight="1" outlineLevel="1" x14ac:dyDescent="0.25">
      <c r="A11745" s="46">
        <v>9025</v>
      </c>
      <c r="B11745" s="4" t="s">
        <v>250</v>
      </c>
      <c r="C11745" s="22" t="s">
        <v>2956</v>
      </c>
      <c r="D11745" s="18">
        <v>2021</v>
      </c>
      <c r="E11745" s="18"/>
      <c r="F11745" s="4">
        <v>1</v>
      </c>
      <c r="G11745" s="4">
        <v>15</v>
      </c>
      <c r="H11745" s="4">
        <v>24.768740000000001</v>
      </c>
    </row>
    <row r="11746" spans="1:8" s="15" customFormat="1" ht="19.5" hidden="1" customHeight="1" outlineLevel="1" x14ac:dyDescent="0.25">
      <c r="A11746" s="46">
        <v>9046</v>
      </c>
      <c r="B11746" s="4" t="s">
        <v>250</v>
      </c>
      <c r="C11746" s="22" t="s">
        <v>2957</v>
      </c>
      <c r="D11746" s="18">
        <v>2021</v>
      </c>
      <c r="E11746" s="18"/>
      <c r="F11746" s="4">
        <v>1</v>
      </c>
      <c r="G11746" s="4">
        <v>80</v>
      </c>
      <c r="H11746" s="4">
        <v>57.527769999999997</v>
      </c>
    </row>
    <row r="11747" spans="1:8" s="15" customFormat="1" ht="19.5" hidden="1" customHeight="1" outlineLevel="1" x14ac:dyDescent="0.25">
      <c r="A11747" s="46">
        <v>9052</v>
      </c>
      <c r="B11747" s="4" t="s">
        <v>250</v>
      </c>
      <c r="C11747" s="22" t="s">
        <v>2958</v>
      </c>
      <c r="D11747" s="18">
        <v>2021</v>
      </c>
      <c r="E11747" s="18"/>
      <c r="F11747" s="4">
        <v>1</v>
      </c>
      <c r="G11747" s="4">
        <v>12</v>
      </c>
      <c r="H11747" s="4">
        <v>24.82723</v>
      </c>
    </row>
    <row r="11748" spans="1:8" s="15" customFormat="1" ht="19.5" hidden="1" customHeight="1" outlineLevel="1" x14ac:dyDescent="0.25">
      <c r="A11748" s="46">
        <v>9018</v>
      </c>
      <c r="B11748" s="4" t="s">
        <v>250</v>
      </c>
      <c r="C11748" s="22" t="s">
        <v>2959</v>
      </c>
      <c r="D11748" s="18">
        <v>2021</v>
      </c>
      <c r="E11748" s="18"/>
      <c r="F11748" s="4">
        <v>1</v>
      </c>
      <c r="G11748" s="4">
        <v>15</v>
      </c>
      <c r="H11748" s="4">
        <v>24.827240000000003</v>
      </c>
    </row>
    <row r="11749" spans="1:8" s="15" customFormat="1" ht="19.5" hidden="1" customHeight="1" outlineLevel="1" x14ac:dyDescent="0.25">
      <c r="A11749" s="46">
        <v>9029</v>
      </c>
      <c r="B11749" s="4" t="s">
        <v>250</v>
      </c>
      <c r="C11749" s="22" t="s">
        <v>2960</v>
      </c>
      <c r="D11749" s="18">
        <v>2021</v>
      </c>
      <c r="E11749" s="18"/>
      <c r="F11749" s="4">
        <v>1</v>
      </c>
      <c r="G11749" s="4">
        <v>15</v>
      </c>
      <c r="H11749" s="4">
        <v>24.799509999999998</v>
      </c>
    </row>
    <row r="11750" spans="1:8" s="15" customFormat="1" ht="19.5" hidden="1" customHeight="1" outlineLevel="1" x14ac:dyDescent="0.25">
      <c r="A11750" s="46">
        <v>9108</v>
      </c>
      <c r="B11750" s="4" t="s">
        <v>250</v>
      </c>
      <c r="C11750" s="22" t="s">
        <v>2961</v>
      </c>
      <c r="D11750" s="18">
        <v>2021</v>
      </c>
      <c r="E11750" s="18"/>
      <c r="F11750" s="4">
        <v>1</v>
      </c>
      <c r="G11750" s="4">
        <v>15</v>
      </c>
      <c r="H11750" s="4">
        <v>24.768619999999999</v>
      </c>
    </row>
    <row r="11751" spans="1:8" s="15" customFormat="1" ht="19.5" hidden="1" customHeight="1" outlineLevel="1" x14ac:dyDescent="0.25">
      <c r="A11751" s="46">
        <v>9024</v>
      </c>
      <c r="B11751" s="4" t="s">
        <v>250</v>
      </c>
      <c r="C11751" s="22" t="s">
        <v>2962</v>
      </c>
      <c r="D11751" s="18">
        <v>2021</v>
      </c>
      <c r="E11751" s="18"/>
      <c r="F11751" s="4">
        <v>1</v>
      </c>
      <c r="G11751" s="4">
        <v>15</v>
      </c>
      <c r="H11751" s="4">
        <v>24.827120000000001</v>
      </c>
    </row>
    <row r="11752" spans="1:8" s="15" customFormat="1" ht="19.5" hidden="1" customHeight="1" outlineLevel="1" x14ac:dyDescent="0.25">
      <c r="A11752" s="46">
        <v>9030</v>
      </c>
      <c r="B11752" s="4" t="s">
        <v>250</v>
      </c>
      <c r="C11752" s="22" t="s">
        <v>2963</v>
      </c>
      <c r="D11752" s="18">
        <v>2021</v>
      </c>
      <c r="E11752" s="18"/>
      <c r="F11752" s="4">
        <v>1</v>
      </c>
      <c r="G11752" s="4">
        <v>12</v>
      </c>
      <c r="H11752" s="4">
        <v>24.806750000000001</v>
      </c>
    </row>
    <row r="11753" spans="1:8" s="15" customFormat="1" ht="19.5" hidden="1" customHeight="1" outlineLevel="1" x14ac:dyDescent="0.25">
      <c r="A11753" s="45">
        <v>1193</v>
      </c>
      <c r="B11753" s="4" t="s">
        <v>250</v>
      </c>
      <c r="C11753" s="22" t="s">
        <v>2964</v>
      </c>
      <c r="D11753" s="18">
        <v>2021</v>
      </c>
      <c r="E11753" s="18"/>
      <c r="F11753" s="4">
        <v>1</v>
      </c>
      <c r="G11753" s="4">
        <v>15</v>
      </c>
      <c r="H11753" s="4">
        <v>47.769660000000002</v>
      </c>
    </row>
    <row r="11754" spans="1:8" s="15" customFormat="1" ht="19.5" hidden="1" customHeight="1" outlineLevel="1" x14ac:dyDescent="0.25">
      <c r="A11754" s="46">
        <v>10370</v>
      </c>
      <c r="B11754" s="4" t="s">
        <v>250</v>
      </c>
      <c r="C11754" s="22" t="s">
        <v>2965</v>
      </c>
      <c r="D11754" s="18">
        <v>2021</v>
      </c>
      <c r="E11754" s="18"/>
      <c r="F11754" s="4">
        <v>1</v>
      </c>
      <c r="G11754" s="4">
        <v>15</v>
      </c>
      <c r="H11754" s="4">
        <v>29.211480000000002</v>
      </c>
    </row>
    <row r="11755" spans="1:8" s="15" customFormat="1" ht="19.5" hidden="1" customHeight="1" outlineLevel="1" x14ac:dyDescent="0.25">
      <c r="A11755" s="46">
        <v>9432</v>
      </c>
      <c r="B11755" s="4" t="s">
        <v>250</v>
      </c>
      <c r="C11755" s="22" t="s">
        <v>2966</v>
      </c>
      <c r="D11755" s="18">
        <v>2021</v>
      </c>
      <c r="E11755" s="18"/>
      <c r="F11755" s="4">
        <v>1</v>
      </c>
      <c r="G11755" s="4">
        <v>15</v>
      </c>
      <c r="H11755" s="4">
        <v>53.493000000000002</v>
      </c>
    </row>
    <row r="11756" spans="1:8" s="15" customFormat="1" ht="19.5" hidden="1" customHeight="1" outlineLevel="1" x14ac:dyDescent="0.25">
      <c r="A11756" s="45">
        <v>494</v>
      </c>
      <c r="B11756" s="4" t="s">
        <v>250</v>
      </c>
      <c r="C11756" s="22" t="s">
        <v>1246</v>
      </c>
      <c r="D11756" s="18">
        <v>2021</v>
      </c>
      <c r="E11756" s="18"/>
      <c r="F11756" s="4">
        <v>1</v>
      </c>
      <c r="G11756" s="4">
        <v>15</v>
      </c>
      <c r="H11756" s="4">
        <v>50.180999999999997</v>
      </c>
    </row>
    <row r="11757" spans="1:8" s="15" customFormat="1" ht="19.5" hidden="1" customHeight="1" outlineLevel="1" x14ac:dyDescent="0.25">
      <c r="A11757" s="45">
        <v>477</v>
      </c>
      <c r="B11757" s="4" t="s">
        <v>250</v>
      </c>
      <c r="C11757" s="22" t="s">
        <v>1245</v>
      </c>
      <c r="D11757" s="18">
        <v>2021</v>
      </c>
      <c r="E11757" s="18"/>
      <c r="F11757" s="4">
        <v>1</v>
      </c>
      <c r="G11757" s="4">
        <v>15</v>
      </c>
      <c r="H11757" s="4">
        <v>52.234000000000002</v>
      </c>
    </row>
    <row r="11758" spans="1:8" s="15" customFormat="1" ht="19.5" hidden="1" customHeight="1" outlineLevel="1" x14ac:dyDescent="0.25">
      <c r="A11758" s="45">
        <v>482</v>
      </c>
      <c r="B11758" s="4" t="s">
        <v>250</v>
      </c>
      <c r="C11758" s="22" t="s">
        <v>1247</v>
      </c>
      <c r="D11758" s="18">
        <v>2021</v>
      </c>
      <c r="E11758" s="18"/>
      <c r="F11758" s="4">
        <v>1</v>
      </c>
      <c r="G11758" s="4">
        <v>15</v>
      </c>
      <c r="H11758" s="4">
        <v>52.612000000000002</v>
      </c>
    </row>
    <row r="11759" spans="1:8" s="15" customFormat="1" ht="19.5" hidden="1" customHeight="1" outlineLevel="1" x14ac:dyDescent="0.25">
      <c r="A11759" s="45">
        <v>492</v>
      </c>
      <c r="B11759" s="4" t="s">
        <v>250</v>
      </c>
      <c r="C11759" s="22" t="s">
        <v>1248</v>
      </c>
      <c r="D11759" s="18">
        <v>2021</v>
      </c>
      <c r="E11759" s="18"/>
      <c r="F11759" s="4">
        <v>1</v>
      </c>
      <c r="G11759" s="4">
        <v>15</v>
      </c>
      <c r="H11759" s="4">
        <v>57.673000000000002</v>
      </c>
    </row>
    <row r="11760" spans="1:8" s="15" customFormat="1" ht="19.5" hidden="1" customHeight="1" outlineLevel="1" x14ac:dyDescent="0.25">
      <c r="A11760" s="45">
        <v>347</v>
      </c>
      <c r="B11760" s="4" t="s">
        <v>250</v>
      </c>
      <c r="C11760" s="22" t="s">
        <v>1249</v>
      </c>
      <c r="D11760" s="18">
        <v>2021</v>
      </c>
      <c r="E11760" s="18"/>
      <c r="F11760" s="4">
        <v>1</v>
      </c>
      <c r="G11760" s="4">
        <v>15</v>
      </c>
      <c r="H11760" s="4">
        <v>42.777000000000001</v>
      </c>
    </row>
    <row r="11761" spans="1:8" s="15" customFormat="1" ht="19.5" hidden="1" customHeight="1" outlineLevel="1" x14ac:dyDescent="0.25">
      <c r="A11761" s="46">
        <v>9350</v>
      </c>
      <c r="B11761" s="4" t="s">
        <v>250</v>
      </c>
      <c r="C11761" s="22" t="s">
        <v>1250</v>
      </c>
      <c r="D11761" s="18">
        <v>2021</v>
      </c>
      <c r="E11761" s="18"/>
      <c r="F11761" s="4">
        <v>1</v>
      </c>
      <c r="G11761" s="4">
        <v>15</v>
      </c>
      <c r="H11761" s="4">
        <v>34.451000000000001</v>
      </c>
    </row>
    <row r="11762" spans="1:8" s="15" customFormat="1" ht="19.5" hidden="1" customHeight="1" outlineLevel="1" x14ac:dyDescent="0.25">
      <c r="A11762" s="45">
        <v>3712</v>
      </c>
      <c r="B11762" s="4" t="s">
        <v>250</v>
      </c>
      <c r="C11762" s="22" t="s">
        <v>1290</v>
      </c>
      <c r="D11762" s="18">
        <v>2021</v>
      </c>
      <c r="E11762" s="18"/>
      <c r="F11762" s="4">
        <v>1</v>
      </c>
      <c r="G11762" s="4">
        <v>80</v>
      </c>
      <c r="H11762" s="4">
        <v>13.074999999999999</v>
      </c>
    </row>
    <row r="11763" spans="1:8" s="15" customFormat="1" ht="19.5" hidden="1" customHeight="1" outlineLevel="1" x14ac:dyDescent="0.25">
      <c r="A11763" s="46">
        <v>9276</v>
      </c>
      <c r="B11763" s="4" t="s">
        <v>250</v>
      </c>
      <c r="C11763" s="22" t="s">
        <v>1253</v>
      </c>
      <c r="D11763" s="18">
        <v>2021</v>
      </c>
      <c r="E11763" s="18"/>
      <c r="F11763" s="4">
        <v>1</v>
      </c>
      <c r="G11763" s="4">
        <v>15</v>
      </c>
      <c r="H11763" s="4">
        <v>28.015000000000001</v>
      </c>
    </row>
    <row r="11764" spans="1:8" s="15" customFormat="1" ht="19.5" hidden="1" customHeight="1" outlineLevel="1" x14ac:dyDescent="0.25">
      <c r="A11764" s="46">
        <v>9355</v>
      </c>
      <c r="B11764" s="4" t="s">
        <v>250</v>
      </c>
      <c r="C11764" s="22" t="s">
        <v>1262</v>
      </c>
      <c r="D11764" s="18">
        <v>2021</v>
      </c>
      <c r="E11764" s="18"/>
      <c r="F11764" s="4">
        <v>1</v>
      </c>
      <c r="G11764" s="4">
        <v>50</v>
      </c>
      <c r="H11764" s="4">
        <v>83.225999999999999</v>
      </c>
    </row>
    <row r="11765" spans="1:8" s="15" customFormat="1" ht="19.5" hidden="1" customHeight="1" outlineLevel="1" x14ac:dyDescent="0.25">
      <c r="A11765" s="45">
        <v>428</v>
      </c>
      <c r="B11765" s="4" t="s">
        <v>250</v>
      </c>
      <c r="C11765" s="22" t="s">
        <v>1263</v>
      </c>
      <c r="D11765" s="18">
        <v>2021</v>
      </c>
      <c r="E11765" s="18"/>
      <c r="F11765" s="4">
        <v>1</v>
      </c>
      <c r="G11765" s="4">
        <v>200</v>
      </c>
      <c r="H11765" s="4">
        <v>121.24299999999999</v>
      </c>
    </row>
    <row r="11766" spans="1:8" s="15" customFormat="1" ht="19.5" hidden="1" customHeight="1" outlineLevel="1" x14ac:dyDescent="0.25">
      <c r="A11766" s="45">
        <v>478</v>
      </c>
      <c r="B11766" s="4" t="s">
        <v>250</v>
      </c>
      <c r="C11766" s="22" t="s">
        <v>1264</v>
      </c>
      <c r="D11766" s="18">
        <v>2021</v>
      </c>
      <c r="E11766" s="18"/>
      <c r="F11766" s="4">
        <v>2</v>
      </c>
      <c r="G11766" s="4">
        <v>30</v>
      </c>
      <c r="H11766" s="4">
        <v>90.936000000000007</v>
      </c>
    </row>
    <row r="11767" spans="1:8" s="15" customFormat="1" ht="19.5" hidden="1" customHeight="1" outlineLevel="1" x14ac:dyDescent="0.25">
      <c r="A11767" s="45">
        <v>565</v>
      </c>
      <c r="B11767" s="4" t="s">
        <v>250</v>
      </c>
      <c r="C11767" s="22" t="s">
        <v>1265</v>
      </c>
      <c r="D11767" s="18">
        <v>2021</v>
      </c>
      <c r="E11767" s="18"/>
      <c r="F11767" s="4">
        <v>1</v>
      </c>
      <c r="G11767" s="4">
        <v>135</v>
      </c>
      <c r="H11767" s="4">
        <v>62.566000000000003</v>
      </c>
    </row>
    <row r="11768" spans="1:8" s="15" customFormat="1" ht="19.5" hidden="1" customHeight="1" outlineLevel="1" x14ac:dyDescent="0.25">
      <c r="A11768" s="46">
        <v>9372</v>
      </c>
      <c r="B11768" s="4" t="s">
        <v>250</v>
      </c>
      <c r="C11768" s="22" t="s">
        <v>1294</v>
      </c>
      <c r="D11768" s="18">
        <v>2021</v>
      </c>
      <c r="E11768" s="18"/>
      <c r="F11768" s="4">
        <v>1</v>
      </c>
      <c r="G11768" s="4">
        <v>210</v>
      </c>
      <c r="H11768" s="4">
        <v>70.040999999999997</v>
      </c>
    </row>
    <row r="11769" spans="1:8" s="15" customFormat="1" ht="19.5" hidden="1" customHeight="1" outlineLevel="1" x14ac:dyDescent="0.25">
      <c r="A11769" s="46">
        <v>9370</v>
      </c>
      <c r="B11769" s="4" t="s">
        <v>250</v>
      </c>
      <c r="C11769" s="22" t="s">
        <v>1364</v>
      </c>
      <c r="D11769" s="18">
        <v>2021</v>
      </c>
      <c r="E11769" s="18"/>
      <c r="F11769" s="4">
        <v>1</v>
      </c>
      <c r="G11769" s="4">
        <v>15</v>
      </c>
      <c r="H11769" s="4">
        <v>87.334999999999994</v>
      </c>
    </row>
    <row r="11770" spans="1:8" s="15" customFormat="1" ht="19.5" hidden="1" customHeight="1" outlineLevel="1" x14ac:dyDescent="0.25">
      <c r="A11770" s="46">
        <v>9279</v>
      </c>
      <c r="B11770" s="4" t="s">
        <v>250</v>
      </c>
      <c r="C11770" s="22" t="s">
        <v>1273</v>
      </c>
      <c r="D11770" s="18">
        <v>2021</v>
      </c>
      <c r="E11770" s="18"/>
      <c r="F11770" s="4">
        <v>1</v>
      </c>
      <c r="G11770" s="4">
        <v>15</v>
      </c>
      <c r="H11770" s="4">
        <v>60.66</v>
      </c>
    </row>
    <row r="11771" spans="1:8" s="15" customFormat="1" ht="19.5" hidden="1" customHeight="1" outlineLevel="1" x14ac:dyDescent="0.25">
      <c r="A11771" s="46">
        <v>9280</v>
      </c>
      <c r="B11771" s="4" t="s">
        <v>250</v>
      </c>
      <c r="C11771" s="22" t="s">
        <v>1275</v>
      </c>
      <c r="D11771" s="18">
        <v>2021</v>
      </c>
      <c r="E11771" s="18"/>
      <c r="F11771" s="4">
        <v>2</v>
      </c>
      <c r="G11771" s="4">
        <v>30</v>
      </c>
      <c r="H11771" s="4">
        <v>101.48399999999999</v>
      </c>
    </row>
    <row r="11772" spans="1:8" s="15" customFormat="1" ht="19.5" hidden="1" customHeight="1" outlineLevel="1" x14ac:dyDescent="0.25">
      <c r="A11772" s="45">
        <v>563</v>
      </c>
      <c r="B11772" s="4" t="s">
        <v>250</v>
      </c>
      <c r="C11772" s="22" t="s">
        <v>1365</v>
      </c>
      <c r="D11772" s="18">
        <v>2021</v>
      </c>
      <c r="E11772" s="18"/>
      <c r="F11772" s="4">
        <v>1</v>
      </c>
      <c r="G11772" s="4">
        <v>150</v>
      </c>
      <c r="H11772" s="4">
        <v>59.003</v>
      </c>
    </row>
    <row r="11773" spans="1:8" s="15" customFormat="1" ht="19.5" hidden="1" customHeight="1" outlineLevel="1" x14ac:dyDescent="0.25">
      <c r="A11773" s="46">
        <v>9422</v>
      </c>
      <c r="B11773" s="4" t="s">
        <v>250</v>
      </c>
      <c r="C11773" s="22" t="s">
        <v>1276</v>
      </c>
      <c r="D11773" s="18">
        <v>2021</v>
      </c>
      <c r="E11773" s="18"/>
      <c r="F11773" s="4">
        <v>1</v>
      </c>
      <c r="G11773" s="4">
        <v>75</v>
      </c>
      <c r="H11773" s="4">
        <v>94.334999999999994</v>
      </c>
    </row>
    <row r="11774" spans="1:8" s="15" customFormat="1" ht="19.5" hidden="1" customHeight="1" outlineLevel="1" x14ac:dyDescent="0.25">
      <c r="A11774" s="46">
        <v>10380</v>
      </c>
      <c r="B11774" s="4" t="s">
        <v>250</v>
      </c>
      <c r="C11774" s="22" t="s">
        <v>2967</v>
      </c>
      <c r="D11774" s="18">
        <v>2021</v>
      </c>
      <c r="E11774" s="18"/>
      <c r="F11774" s="4">
        <v>1</v>
      </c>
      <c r="G11774" s="4">
        <v>2</v>
      </c>
      <c r="H11774" s="4">
        <v>39.500999999999998</v>
      </c>
    </row>
    <row r="11775" spans="1:8" s="15" customFormat="1" ht="19.5" hidden="1" customHeight="1" outlineLevel="1" x14ac:dyDescent="0.25">
      <c r="A11775" s="46">
        <v>10377</v>
      </c>
      <c r="B11775" s="4" t="s">
        <v>250</v>
      </c>
      <c r="C11775" s="22" t="s">
        <v>2968</v>
      </c>
      <c r="D11775" s="18">
        <v>2021</v>
      </c>
      <c r="E11775" s="18"/>
      <c r="F11775" s="4">
        <v>1</v>
      </c>
      <c r="G11775" s="4">
        <v>2</v>
      </c>
      <c r="H11775" s="4">
        <v>39.548999999999999</v>
      </c>
    </row>
    <row r="11776" spans="1:8" s="15" customFormat="1" ht="19.5" hidden="1" customHeight="1" outlineLevel="1" x14ac:dyDescent="0.25">
      <c r="A11776" s="46">
        <v>10378</v>
      </c>
      <c r="B11776" s="4" t="s">
        <v>250</v>
      </c>
      <c r="C11776" s="22" t="s">
        <v>2969</v>
      </c>
      <c r="D11776" s="18">
        <v>2021</v>
      </c>
      <c r="E11776" s="18"/>
      <c r="F11776" s="4">
        <v>1</v>
      </c>
      <c r="G11776" s="4">
        <v>2</v>
      </c>
      <c r="H11776" s="4">
        <v>39.485999999999997</v>
      </c>
    </row>
    <row r="11777" spans="1:8" s="15" customFormat="1" ht="19.5" hidden="1" customHeight="1" outlineLevel="1" x14ac:dyDescent="0.25">
      <c r="A11777" s="46">
        <v>10379</v>
      </c>
      <c r="B11777" s="4" t="s">
        <v>250</v>
      </c>
      <c r="C11777" s="22" t="s">
        <v>2970</v>
      </c>
      <c r="D11777" s="18">
        <v>2021</v>
      </c>
      <c r="E11777" s="18"/>
      <c r="F11777" s="4">
        <v>1</v>
      </c>
      <c r="G11777" s="4">
        <v>2</v>
      </c>
      <c r="H11777" s="4">
        <v>40.134</v>
      </c>
    </row>
    <row r="11778" spans="1:8" s="15" customFormat="1" ht="19.5" hidden="1" customHeight="1" outlineLevel="1" x14ac:dyDescent="0.25">
      <c r="A11778" s="46">
        <v>10382</v>
      </c>
      <c r="B11778" s="4" t="s">
        <v>250</v>
      </c>
      <c r="C11778" s="22" t="s">
        <v>2971</v>
      </c>
      <c r="D11778" s="18">
        <v>2021</v>
      </c>
      <c r="E11778" s="18"/>
      <c r="F11778" s="4">
        <v>1</v>
      </c>
      <c r="G11778" s="4">
        <v>2</v>
      </c>
      <c r="H11778" s="4">
        <v>38.796999999999997</v>
      </c>
    </row>
    <row r="11779" spans="1:8" s="15" customFormat="1" ht="19.5" hidden="1" customHeight="1" outlineLevel="1" x14ac:dyDescent="0.25">
      <c r="A11779" s="46">
        <v>10381</v>
      </c>
      <c r="B11779" s="4" t="s">
        <v>250</v>
      </c>
      <c r="C11779" s="22" t="s">
        <v>2972</v>
      </c>
      <c r="D11779" s="18">
        <v>2021</v>
      </c>
      <c r="E11779" s="18"/>
      <c r="F11779" s="4">
        <v>1</v>
      </c>
      <c r="G11779" s="4">
        <v>2</v>
      </c>
      <c r="H11779" s="4">
        <v>39.523000000000003</v>
      </c>
    </row>
    <row r="11780" spans="1:8" s="15" customFormat="1" ht="19.5" hidden="1" customHeight="1" outlineLevel="1" x14ac:dyDescent="0.25">
      <c r="A11780" s="46">
        <v>10383</v>
      </c>
      <c r="B11780" s="4" t="s">
        <v>250</v>
      </c>
      <c r="C11780" s="22" t="s">
        <v>2973</v>
      </c>
      <c r="D11780" s="18">
        <v>2021</v>
      </c>
      <c r="E11780" s="18"/>
      <c r="F11780" s="4">
        <v>1</v>
      </c>
      <c r="G11780" s="4">
        <v>3</v>
      </c>
      <c r="H11780" s="4">
        <v>38.811</v>
      </c>
    </row>
    <row r="11781" spans="1:8" s="15" customFormat="1" ht="19.5" hidden="1" customHeight="1" outlineLevel="1" x14ac:dyDescent="0.25">
      <c r="A11781" s="46">
        <v>9925</v>
      </c>
      <c r="B11781" s="4" t="s">
        <v>250</v>
      </c>
      <c r="C11781" s="22" t="s">
        <v>2974</v>
      </c>
      <c r="D11781" s="18">
        <v>2021</v>
      </c>
      <c r="E11781" s="18"/>
      <c r="F11781" s="4">
        <v>1</v>
      </c>
      <c r="G11781" s="4">
        <v>15</v>
      </c>
      <c r="H11781" s="4">
        <v>46.993470000000002</v>
      </c>
    </row>
    <row r="11782" spans="1:8" s="15" customFormat="1" ht="19.5" hidden="1" customHeight="1" outlineLevel="1" x14ac:dyDescent="0.25">
      <c r="A11782" s="46">
        <v>9929</v>
      </c>
      <c r="B11782" s="4" t="s">
        <v>250</v>
      </c>
      <c r="C11782" s="22" t="s">
        <v>2975</v>
      </c>
      <c r="D11782" s="18">
        <v>2021</v>
      </c>
      <c r="E11782" s="18"/>
      <c r="F11782" s="4">
        <v>1</v>
      </c>
      <c r="G11782" s="4">
        <v>10</v>
      </c>
      <c r="H11782" s="4">
        <v>40.82376</v>
      </c>
    </row>
    <row r="11783" spans="1:8" s="15" customFormat="1" ht="19.5" hidden="1" customHeight="1" outlineLevel="1" x14ac:dyDescent="0.25">
      <c r="A11783" s="45">
        <v>1465</v>
      </c>
      <c r="B11783" s="4" t="s">
        <v>250</v>
      </c>
      <c r="C11783" s="22" t="s">
        <v>1684</v>
      </c>
      <c r="D11783" s="18">
        <v>2021</v>
      </c>
      <c r="E11783" s="18"/>
      <c r="F11783" s="4">
        <v>1</v>
      </c>
      <c r="G11783" s="4">
        <v>15</v>
      </c>
      <c r="H11783" s="4">
        <v>51.183399999999999</v>
      </c>
    </row>
    <row r="11784" spans="1:8" s="15" customFormat="1" ht="19.5" hidden="1" customHeight="1" outlineLevel="1" x14ac:dyDescent="0.25">
      <c r="A11784" s="46">
        <v>9920</v>
      </c>
      <c r="B11784" s="4" t="s">
        <v>250</v>
      </c>
      <c r="C11784" s="22" t="s">
        <v>2976</v>
      </c>
      <c r="D11784" s="18">
        <v>2021</v>
      </c>
      <c r="E11784" s="18"/>
      <c r="F11784" s="4">
        <v>1</v>
      </c>
      <c r="G11784" s="4">
        <v>15</v>
      </c>
      <c r="H11784" s="4">
        <v>54.440910000000002</v>
      </c>
    </row>
    <row r="11785" spans="1:8" s="15" customFormat="1" ht="19.5" hidden="1" customHeight="1" outlineLevel="1" x14ac:dyDescent="0.25">
      <c r="A11785" s="46">
        <v>9924</v>
      </c>
      <c r="B11785" s="4" t="s">
        <v>250</v>
      </c>
      <c r="C11785" s="22" t="s">
        <v>2977</v>
      </c>
      <c r="D11785" s="18">
        <v>2021</v>
      </c>
      <c r="E11785" s="18"/>
      <c r="F11785" s="4">
        <v>1</v>
      </c>
      <c r="G11785" s="4">
        <v>15</v>
      </c>
      <c r="H11785" s="4">
        <v>88.800049999999999</v>
      </c>
    </row>
    <row r="11786" spans="1:8" s="15" customFormat="1" ht="19.5" hidden="1" customHeight="1" outlineLevel="1" x14ac:dyDescent="0.25">
      <c r="A11786" s="46">
        <v>9915</v>
      </c>
      <c r="B11786" s="4" t="s">
        <v>250</v>
      </c>
      <c r="C11786" s="22" t="s">
        <v>2978</v>
      </c>
      <c r="D11786" s="18">
        <v>2021</v>
      </c>
      <c r="E11786" s="18"/>
      <c r="F11786" s="4">
        <v>1</v>
      </c>
      <c r="G11786" s="4">
        <v>15</v>
      </c>
      <c r="H11786" s="4">
        <v>96.552080000000004</v>
      </c>
    </row>
    <row r="11787" spans="1:8" s="15" customFormat="1" ht="19.5" hidden="1" customHeight="1" outlineLevel="1" x14ac:dyDescent="0.25">
      <c r="A11787" s="45">
        <v>1619</v>
      </c>
      <c r="B11787" s="4" t="s">
        <v>250</v>
      </c>
      <c r="C11787" s="22" t="s">
        <v>2979</v>
      </c>
      <c r="D11787" s="18">
        <v>2021</v>
      </c>
      <c r="E11787" s="18"/>
      <c r="F11787" s="4">
        <v>1</v>
      </c>
      <c r="G11787" s="4">
        <v>15</v>
      </c>
      <c r="H11787" s="4">
        <v>69.982320000000001</v>
      </c>
    </row>
    <row r="11788" spans="1:8" s="15" customFormat="1" ht="19.5" hidden="1" customHeight="1" outlineLevel="1" x14ac:dyDescent="0.25">
      <c r="A11788" s="46">
        <v>9940</v>
      </c>
      <c r="B11788" s="4" t="s">
        <v>250</v>
      </c>
      <c r="C11788" s="22" t="s">
        <v>2980</v>
      </c>
      <c r="D11788" s="18">
        <v>2021</v>
      </c>
      <c r="E11788" s="18"/>
      <c r="F11788" s="4">
        <v>1</v>
      </c>
      <c r="G11788" s="4">
        <v>15</v>
      </c>
      <c r="H11788" s="4">
        <v>74.526219999999995</v>
      </c>
    </row>
    <row r="11789" spans="1:8" s="15" customFormat="1" ht="19.5" hidden="1" customHeight="1" outlineLevel="1" x14ac:dyDescent="0.25">
      <c r="A11789" s="46">
        <v>9946</v>
      </c>
      <c r="B11789" s="4" t="s">
        <v>250</v>
      </c>
      <c r="C11789" s="22" t="s">
        <v>2981</v>
      </c>
      <c r="D11789" s="18">
        <v>2021</v>
      </c>
      <c r="E11789" s="18"/>
      <c r="F11789" s="4">
        <v>1</v>
      </c>
      <c r="G11789" s="4">
        <v>10</v>
      </c>
      <c r="H11789" s="4">
        <v>65.922579999999996</v>
      </c>
    </row>
    <row r="11790" spans="1:8" s="15" customFormat="1" ht="19.5" hidden="1" customHeight="1" outlineLevel="1" x14ac:dyDescent="0.25">
      <c r="A11790" s="46">
        <v>9947</v>
      </c>
      <c r="B11790" s="4" t="s">
        <v>250</v>
      </c>
      <c r="C11790" s="22" t="s">
        <v>2982</v>
      </c>
      <c r="D11790" s="18">
        <v>2021</v>
      </c>
      <c r="E11790" s="18"/>
      <c r="F11790" s="4">
        <v>1</v>
      </c>
      <c r="G11790" s="4">
        <v>10</v>
      </c>
      <c r="H11790" s="4">
        <v>65.955600000000004</v>
      </c>
    </row>
    <row r="11791" spans="1:8" s="15" customFormat="1" ht="19.5" hidden="1" customHeight="1" outlineLevel="1" x14ac:dyDescent="0.25">
      <c r="A11791" s="46">
        <v>9933</v>
      </c>
      <c r="B11791" s="4" t="s">
        <v>250</v>
      </c>
      <c r="C11791" s="22" t="s">
        <v>2983</v>
      </c>
      <c r="D11791" s="18">
        <v>2021</v>
      </c>
      <c r="E11791" s="18"/>
      <c r="F11791" s="4">
        <v>1</v>
      </c>
      <c r="G11791" s="4">
        <v>15</v>
      </c>
      <c r="H11791" s="4">
        <v>66.737170000000006</v>
      </c>
    </row>
    <row r="11792" spans="1:8" s="15" customFormat="1" ht="19.5" hidden="1" customHeight="1" outlineLevel="1" x14ac:dyDescent="0.25">
      <c r="A11792" s="45">
        <v>1490</v>
      </c>
      <c r="B11792" s="4" t="s">
        <v>250</v>
      </c>
      <c r="C11792" s="22" t="s">
        <v>1694</v>
      </c>
      <c r="D11792" s="18">
        <v>2021</v>
      </c>
      <c r="E11792" s="18"/>
      <c r="F11792" s="4">
        <v>1</v>
      </c>
      <c r="G11792" s="4">
        <v>15</v>
      </c>
      <c r="H11792" s="4">
        <v>45.742730000000002</v>
      </c>
    </row>
    <row r="11793" spans="1:8" s="15" customFormat="1" ht="19.5" hidden="1" customHeight="1" outlineLevel="1" x14ac:dyDescent="0.25">
      <c r="A11793" s="46">
        <v>9958</v>
      </c>
      <c r="B11793" s="4" t="s">
        <v>250</v>
      </c>
      <c r="C11793" s="22" t="s">
        <v>2984</v>
      </c>
      <c r="D11793" s="18">
        <v>2021</v>
      </c>
      <c r="E11793" s="18"/>
      <c r="F11793" s="4">
        <v>2</v>
      </c>
      <c r="G11793" s="4">
        <v>20</v>
      </c>
      <c r="H11793" s="4">
        <v>94.839860000000002</v>
      </c>
    </row>
    <row r="11794" spans="1:8" s="15" customFormat="1" ht="19.5" hidden="1" customHeight="1" outlineLevel="1" x14ac:dyDescent="0.25">
      <c r="A11794" s="46">
        <v>9978</v>
      </c>
      <c r="B11794" s="4" t="s">
        <v>250</v>
      </c>
      <c r="C11794" s="22" t="s">
        <v>2985</v>
      </c>
      <c r="D11794" s="18">
        <v>2021</v>
      </c>
      <c r="E11794" s="18"/>
      <c r="F11794" s="4">
        <v>1</v>
      </c>
      <c r="G11794" s="4">
        <v>15</v>
      </c>
      <c r="H11794" s="4">
        <v>76.757890000000003</v>
      </c>
    </row>
    <row r="11795" spans="1:8" s="15" customFormat="1" ht="19.5" hidden="1" customHeight="1" outlineLevel="1" x14ac:dyDescent="0.25">
      <c r="A11795" s="45">
        <v>1794</v>
      </c>
      <c r="B11795" s="4" t="s">
        <v>250</v>
      </c>
      <c r="C11795" s="22" t="s">
        <v>2986</v>
      </c>
      <c r="D11795" s="18">
        <v>2021</v>
      </c>
      <c r="E11795" s="18"/>
      <c r="F11795" s="4">
        <v>1</v>
      </c>
      <c r="G11795" s="4">
        <v>15</v>
      </c>
      <c r="H11795" s="4">
        <v>76.548199999999994</v>
      </c>
    </row>
    <row r="11796" spans="1:8" s="15" customFormat="1" ht="19.5" hidden="1" customHeight="1" outlineLevel="1" x14ac:dyDescent="0.25">
      <c r="A11796" s="46">
        <v>9972</v>
      </c>
      <c r="B11796" s="4" t="s">
        <v>250</v>
      </c>
      <c r="C11796" s="22" t="s">
        <v>2987</v>
      </c>
      <c r="D11796" s="18">
        <v>2021</v>
      </c>
      <c r="E11796" s="18"/>
      <c r="F11796" s="4">
        <v>1</v>
      </c>
      <c r="G11796" s="4">
        <v>15</v>
      </c>
      <c r="H11796" s="4">
        <v>90.330550000000002</v>
      </c>
    </row>
    <row r="11797" spans="1:8" s="15" customFormat="1" ht="19.5" hidden="1" customHeight="1" outlineLevel="1" x14ac:dyDescent="0.25">
      <c r="A11797" s="46">
        <v>9981</v>
      </c>
      <c r="B11797" s="4" t="s">
        <v>250</v>
      </c>
      <c r="C11797" s="22" t="s">
        <v>2988</v>
      </c>
      <c r="D11797" s="18">
        <v>2021</v>
      </c>
      <c r="E11797" s="18"/>
      <c r="F11797" s="4">
        <v>1</v>
      </c>
      <c r="G11797" s="4">
        <v>15</v>
      </c>
      <c r="H11797" s="4">
        <v>95.076689999999999</v>
      </c>
    </row>
    <row r="11798" spans="1:8" s="15" customFormat="1" ht="19.5" hidden="1" customHeight="1" outlineLevel="1" x14ac:dyDescent="0.25">
      <c r="A11798" s="46">
        <v>9980</v>
      </c>
      <c r="B11798" s="4" t="s">
        <v>250</v>
      </c>
      <c r="C11798" s="22" t="s">
        <v>2989</v>
      </c>
      <c r="D11798" s="18">
        <v>2021</v>
      </c>
      <c r="E11798" s="18"/>
      <c r="F11798" s="4">
        <v>1</v>
      </c>
      <c r="G11798" s="4">
        <v>15</v>
      </c>
      <c r="H11798" s="4">
        <v>87.467939999999999</v>
      </c>
    </row>
    <row r="11799" spans="1:8" s="15" customFormat="1" ht="19.5" hidden="1" customHeight="1" outlineLevel="1" x14ac:dyDescent="0.25">
      <c r="A11799" s="46">
        <v>9833</v>
      </c>
      <c r="B11799" s="4" t="s">
        <v>250</v>
      </c>
      <c r="C11799" s="22" t="s">
        <v>2990</v>
      </c>
      <c r="D11799" s="18">
        <v>2021</v>
      </c>
      <c r="E11799" s="18"/>
      <c r="F11799" s="4">
        <v>1</v>
      </c>
      <c r="G11799" s="4">
        <v>15</v>
      </c>
      <c r="H11799" s="4">
        <v>30.558050000000001</v>
      </c>
    </row>
    <row r="11800" spans="1:8" s="15" customFormat="1" ht="19.5" hidden="1" customHeight="1" outlineLevel="1" x14ac:dyDescent="0.25">
      <c r="A11800" s="45">
        <v>2286</v>
      </c>
      <c r="B11800" s="4" t="s">
        <v>250</v>
      </c>
      <c r="C11800" s="22" t="s">
        <v>2991</v>
      </c>
      <c r="D11800" s="18">
        <v>2021</v>
      </c>
      <c r="E11800" s="18"/>
      <c r="F11800" s="4">
        <v>4</v>
      </c>
      <c r="G11800" s="4">
        <v>15</v>
      </c>
      <c r="H11800" s="4">
        <v>104.96984999999999</v>
      </c>
    </row>
    <row r="11801" spans="1:8" s="15" customFormat="1" ht="19.5" hidden="1" customHeight="1" outlineLevel="1" x14ac:dyDescent="0.25">
      <c r="A11801" s="46">
        <v>9636</v>
      </c>
      <c r="B11801" s="4" t="s">
        <v>250</v>
      </c>
      <c r="C11801" s="22" t="s">
        <v>2992</v>
      </c>
      <c r="D11801" s="18">
        <v>2021</v>
      </c>
      <c r="E11801" s="18"/>
      <c r="F11801" s="4">
        <v>1</v>
      </c>
      <c r="G11801" s="4">
        <v>10</v>
      </c>
      <c r="H11801" s="4">
        <v>38.539340000000003</v>
      </c>
    </row>
    <row r="11802" spans="1:8" s="15" customFormat="1" ht="19.5" hidden="1" customHeight="1" outlineLevel="1" x14ac:dyDescent="0.25">
      <c r="A11802" s="18">
        <v>2240</v>
      </c>
      <c r="B11802" s="4" t="s">
        <v>250</v>
      </c>
      <c r="C11802" s="22" t="s">
        <v>2357</v>
      </c>
      <c r="D11802" s="18">
        <v>2021</v>
      </c>
      <c r="E11802" s="18"/>
      <c r="F11802" s="4">
        <v>2</v>
      </c>
      <c r="G11802" s="4">
        <v>30</v>
      </c>
      <c r="H11802" s="4">
        <v>67.112202999999994</v>
      </c>
    </row>
    <row r="11803" spans="1:8" s="15" customFormat="1" ht="19.5" hidden="1" customHeight="1" outlineLevel="1" x14ac:dyDescent="0.25">
      <c r="A11803" s="46">
        <v>9907</v>
      </c>
      <c r="B11803" s="4" t="s">
        <v>250</v>
      </c>
      <c r="C11803" s="22" t="s">
        <v>2993</v>
      </c>
      <c r="D11803" s="18">
        <v>2021</v>
      </c>
      <c r="E11803" s="18"/>
      <c r="F11803" s="4">
        <v>1</v>
      </c>
      <c r="G11803" s="4">
        <v>15</v>
      </c>
      <c r="H11803" s="4">
        <v>43.750689999999999</v>
      </c>
    </row>
    <row r="11804" spans="1:8" s="15" customFormat="1" ht="19.5" hidden="1" customHeight="1" outlineLevel="1" x14ac:dyDescent="0.25">
      <c r="A11804" s="46">
        <v>9894</v>
      </c>
      <c r="B11804" s="4" t="s">
        <v>250</v>
      </c>
      <c r="C11804" s="22" t="s">
        <v>2994</v>
      </c>
      <c r="D11804" s="18">
        <v>2021</v>
      </c>
      <c r="E11804" s="18"/>
      <c r="F11804" s="4">
        <v>3</v>
      </c>
      <c r="G11804" s="4">
        <v>15</v>
      </c>
      <c r="H11804" s="4">
        <v>105.65118</v>
      </c>
    </row>
    <row r="11805" spans="1:8" s="15" customFormat="1" ht="19.5" hidden="1" customHeight="1" outlineLevel="1" x14ac:dyDescent="0.25">
      <c r="A11805" s="46">
        <v>9892</v>
      </c>
      <c r="B11805" s="4" t="s">
        <v>250</v>
      </c>
      <c r="C11805" s="22" t="s">
        <v>2995</v>
      </c>
      <c r="D11805" s="18">
        <v>2021</v>
      </c>
      <c r="E11805" s="18"/>
      <c r="F11805" s="4">
        <v>3</v>
      </c>
      <c r="G11805" s="4">
        <v>10</v>
      </c>
      <c r="H11805" s="4">
        <v>93.894760000000005</v>
      </c>
    </row>
    <row r="11806" spans="1:8" s="15" customFormat="1" ht="19.5" hidden="1" customHeight="1" outlineLevel="1" x14ac:dyDescent="0.25">
      <c r="A11806" s="45">
        <v>9814</v>
      </c>
      <c r="B11806" s="4" t="s">
        <v>250</v>
      </c>
      <c r="C11806" s="22" t="s">
        <v>2996</v>
      </c>
      <c r="D11806" s="18">
        <v>2021</v>
      </c>
      <c r="E11806" s="18"/>
      <c r="F11806" s="4">
        <v>1</v>
      </c>
      <c r="G11806" s="4">
        <v>15</v>
      </c>
      <c r="H11806" s="4">
        <v>49.23254</v>
      </c>
    </row>
    <row r="11807" spans="1:8" s="15" customFormat="1" ht="19.5" hidden="1" customHeight="1" outlineLevel="1" x14ac:dyDescent="0.25">
      <c r="A11807" s="45">
        <v>9813</v>
      </c>
      <c r="B11807" s="4" t="s">
        <v>250</v>
      </c>
      <c r="C11807" s="22" t="s">
        <v>2997</v>
      </c>
      <c r="D11807" s="18">
        <v>2021</v>
      </c>
      <c r="E11807" s="18"/>
      <c r="F11807" s="4">
        <v>1</v>
      </c>
      <c r="G11807" s="4">
        <v>15</v>
      </c>
      <c r="H11807" s="4">
        <v>70.113612000000003</v>
      </c>
    </row>
    <row r="11808" spans="1:8" s="15" customFormat="1" ht="19.5" hidden="1" customHeight="1" outlineLevel="1" x14ac:dyDescent="0.25">
      <c r="A11808" s="46">
        <v>9820</v>
      </c>
      <c r="B11808" s="4" t="s">
        <v>250</v>
      </c>
      <c r="C11808" s="22" t="s">
        <v>2998</v>
      </c>
      <c r="D11808" s="18">
        <v>2021</v>
      </c>
      <c r="E11808" s="18"/>
      <c r="F11808" s="4">
        <v>1</v>
      </c>
      <c r="G11808" s="4">
        <v>15</v>
      </c>
      <c r="H11808" s="4">
        <v>48.20082</v>
      </c>
    </row>
    <row r="11809" spans="1:8" s="15" customFormat="1" ht="19.5" hidden="1" customHeight="1" outlineLevel="1" x14ac:dyDescent="0.25">
      <c r="A11809" s="46">
        <v>9837</v>
      </c>
      <c r="B11809" s="4" t="s">
        <v>250</v>
      </c>
      <c r="C11809" s="22" t="s">
        <v>2999</v>
      </c>
      <c r="D11809" s="18">
        <v>2021</v>
      </c>
      <c r="E11809" s="18"/>
      <c r="F11809" s="4">
        <v>1</v>
      </c>
      <c r="G11809" s="4">
        <v>15</v>
      </c>
      <c r="H11809" s="4">
        <v>48.160780000000003</v>
      </c>
    </row>
    <row r="11810" spans="1:8" s="15" customFormat="1" ht="19.5" hidden="1" customHeight="1" outlineLevel="1" x14ac:dyDescent="0.25">
      <c r="A11810" s="18">
        <v>2380</v>
      </c>
      <c r="B11810" s="4" t="s">
        <v>250</v>
      </c>
      <c r="C11810" s="22" t="s">
        <v>2360</v>
      </c>
      <c r="D11810" s="18">
        <v>2021</v>
      </c>
      <c r="E11810" s="18"/>
      <c r="F11810" s="4">
        <v>4</v>
      </c>
      <c r="G11810" s="4">
        <v>60</v>
      </c>
      <c r="H11810" s="4">
        <v>103.90075</v>
      </c>
    </row>
    <row r="11811" spans="1:8" s="15" customFormat="1" ht="19.5" hidden="1" customHeight="1" outlineLevel="1" x14ac:dyDescent="0.25">
      <c r="A11811" s="46">
        <v>9904</v>
      </c>
      <c r="B11811" s="4" t="s">
        <v>250</v>
      </c>
      <c r="C11811" s="22" t="s">
        <v>3000</v>
      </c>
      <c r="D11811" s="18">
        <v>2021</v>
      </c>
      <c r="E11811" s="18"/>
      <c r="F11811" s="4">
        <v>2</v>
      </c>
      <c r="G11811" s="4">
        <v>15</v>
      </c>
      <c r="H11811" s="4">
        <v>53.57217</v>
      </c>
    </row>
    <row r="11812" spans="1:8" s="15" customFormat="1" ht="19.5" hidden="1" customHeight="1" outlineLevel="1" x14ac:dyDescent="0.25">
      <c r="A11812" s="46">
        <v>9098</v>
      </c>
      <c r="B11812" s="4" t="s">
        <v>250</v>
      </c>
      <c r="C11812" s="22" t="s">
        <v>1704</v>
      </c>
      <c r="D11812" s="18">
        <v>2021</v>
      </c>
      <c r="E11812" s="18"/>
      <c r="F11812" s="4">
        <v>1</v>
      </c>
      <c r="G11812" s="4">
        <v>15</v>
      </c>
      <c r="H11812" s="4">
        <v>48.316654</v>
      </c>
    </row>
    <row r="11813" spans="1:8" s="15" customFormat="1" ht="19.5" hidden="1" customHeight="1" outlineLevel="1" x14ac:dyDescent="0.25">
      <c r="A11813" s="46">
        <v>9809</v>
      </c>
      <c r="B11813" s="4" t="s">
        <v>250</v>
      </c>
      <c r="C11813" s="22" t="s">
        <v>3001</v>
      </c>
      <c r="D11813" s="18">
        <v>2021</v>
      </c>
      <c r="E11813" s="18"/>
      <c r="F11813" s="4">
        <v>1</v>
      </c>
      <c r="G11813" s="4">
        <v>10</v>
      </c>
      <c r="H11813" s="4">
        <v>45.372160000000001</v>
      </c>
    </row>
    <row r="11814" spans="1:8" s="15" customFormat="1" ht="19.5" hidden="1" customHeight="1" outlineLevel="1" x14ac:dyDescent="0.25">
      <c r="A11814" s="46">
        <v>9867</v>
      </c>
      <c r="B11814" s="4" t="s">
        <v>250</v>
      </c>
      <c r="C11814" s="22" t="s">
        <v>3002</v>
      </c>
      <c r="D11814" s="18">
        <v>2021</v>
      </c>
      <c r="E11814" s="18"/>
      <c r="F11814" s="4">
        <v>1</v>
      </c>
      <c r="G11814" s="4">
        <v>33</v>
      </c>
      <c r="H11814" s="4">
        <v>67.881749999999997</v>
      </c>
    </row>
    <row r="11815" spans="1:8" s="15" customFormat="1" ht="19.5" hidden="1" customHeight="1" outlineLevel="1" x14ac:dyDescent="0.25">
      <c r="A11815" s="46">
        <v>9834</v>
      </c>
      <c r="B11815" s="4" t="s">
        <v>250</v>
      </c>
      <c r="C11815" s="22" t="s">
        <v>1707</v>
      </c>
      <c r="D11815" s="18">
        <v>2021</v>
      </c>
      <c r="E11815" s="18"/>
      <c r="F11815" s="4">
        <v>1</v>
      </c>
      <c r="G11815" s="4">
        <v>15</v>
      </c>
      <c r="H11815" s="4">
        <v>75.251459999999994</v>
      </c>
    </row>
    <row r="11816" spans="1:8" s="15" customFormat="1" ht="19.5" hidden="1" customHeight="1" outlineLevel="1" x14ac:dyDescent="0.25">
      <c r="A11816" s="46">
        <v>9852</v>
      </c>
      <c r="B11816" s="4" t="s">
        <v>250</v>
      </c>
      <c r="C11816" s="22" t="s">
        <v>3003</v>
      </c>
      <c r="D11816" s="18">
        <v>2021</v>
      </c>
      <c r="E11816" s="18"/>
      <c r="F11816" s="4">
        <v>1</v>
      </c>
      <c r="G11816" s="4">
        <v>15</v>
      </c>
      <c r="H11816" s="4">
        <v>76.793549999999996</v>
      </c>
    </row>
    <row r="11817" spans="1:8" s="15" customFormat="1" ht="19.5" hidden="1" customHeight="1" outlineLevel="1" x14ac:dyDescent="0.25">
      <c r="A11817" s="45">
        <v>9802</v>
      </c>
      <c r="B11817" s="4" t="s">
        <v>250</v>
      </c>
      <c r="C11817" s="22" t="s">
        <v>3004</v>
      </c>
      <c r="D11817" s="18">
        <v>2021</v>
      </c>
      <c r="E11817" s="18"/>
      <c r="F11817" s="4">
        <v>1</v>
      </c>
      <c r="G11817" s="4">
        <v>15</v>
      </c>
      <c r="H11817" s="4">
        <v>91.573369999999997</v>
      </c>
    </row>
    <row r="11818" spans="1:8" s="15" customFormat="1" ht="19.5" hidden="1" customHeight="1" outlineLevel="1" x14ac:dyDescent="0.25">
      <c r="A11818" s="45">
        <v>9808</v>
      </c>
      <c r="B11818" s="4" t="s">
        <v>250</v>
      </c>
      <c r="C11818" s="22" t="s">
        <v>3005</v>
      </c>
      <c r="D11818" s="18">
        <v>2021</v>
      </c>
      <c r="E11818" s="18"/>
      <c r="F11818" s="4">
        <v>1</v>
      </c>
      <c r="G11818" s="4">
        <v>15</v>
      </c>
      <c r="H11818" s="4">
        <v>48.729889999999997</v>
      </c>
    </row>
    <row r="11819" spans="1:8" s="15" customFormat="1" ht="19.5" hidden="1" customHeight="1" outlineLevel="1" x14ac:dyDescent="0.25">
      <c r="A11819" s="45">
        <v>1468</v>
      </c>
      <c r="B11819" s="4" t="s">
        <v>250</v>
      </c>
      <c r="C11819" s="22" t="s">
        <v>1962</v>
      </c>
      <c r="D11819" s="18">
        <v>2021</v>
      </c>
      <c r="E11819" s="18"/>
      <c r="F11819" s="4">
        <v>1</v>
      </c>
      <c r="G11819" s="4">
        <v>15</v>
      </c>
      <c r="H11819" s="4">
        <v>78.288906999999995</v>
      </c>
    </row>
    <row r="11820" spans="1:8" s="15" customFormat="1" ht="19.5" hidden="1" customHeight="1" outlineLevel="1" x14ac:dyDescent="0.25">
      <c r="A11820" s="45">
        <v>1517</v>
      </c>
      <c r="B11820" s="4" t="s">
        <v>250</v>
      </c>
      <c r="C11820" s="22" t="s">
        <v>3006</v>
      </c>
      <c r="D11820" s="18">
        <v>2021</v>
      </c>
      <c r="E11820" s="18"/>
      <c r="F11820" s="4">
        <v>1</v>
      </c>
      <c r="G11820" s="4">
        <v>10</v>
      </c>
      <c r="H11820" s="4">
        <v>33.942830000000001</v>
      </c>
    </row>
    <row r="11821" spans="1:8" s="15" customFormat="1" ht="19.5" hidden="1" customHeight="1" outlineLevel="1" x14ac:dyDescent="0.25">
      <c r="A11821" s="46">
        <v>9623</v>
      </c>
      <c r="B11821" s="4" t="s">
        <v>250</v>
      </c>
      <c r="C11821" s="22" t="s">
        <v>1863</v>
      </c>
      <c r="D11821" s="18">
        <v>2021</v>
      </c>
      <c r="E11821" s="18"/>
      <c r="F11821" s="4">
        <v>1</v>
      </c>
      <c r="G11821" s="4">
        <v>9.5</v>
      </c>
      <c r="H11821" s="4">
        <v>87.846699999999998</v>
      </c>
    </row>
    <row r="11822" spans="1:8" s="15" customFormat="1" ht="19.5" hidden="1" customHeight="1" outlineLevel="1" x14ac:dyDescent="0.25">
      <c r="A11822" s="46">
        <v>9976</v>
      </c>
      <c r="B11822" s="4" t="s">
        <v>250</v>
      </c>
      <c r="C11822" s="22" t="s">
        <v>3007</v>
      </c>
      <c r="D11822" s="18">
        <v>2021</v>
      </c>
      <c r="E11822" s="18"/>
      <c r="F11822" s="4">
        <v>1</v>
      </c>
      <c r="G11822" s="4">
        <v>15</v>
      </c>
      <c r="H11822" s="4">
        <v>85.012990000000002</v>
      </c>
    </row>
    <row r="11823" spans="1:8" s="15" customFormat="1" ht="19.5" hidden="1" customHeight="1" outlineLevel="1" x14ac:dyDescent="0.25">
      <c r="A11823" s="46">
        <v>9975</v>
      </c>
      <c r="B11823" s="4" t="s">
        <v>250</v>
      </c>
      <c r="C11823" s="22" t="s">
        <v>3008</v>
      </c>
      <c r="D11823" s="18">
        <v>2021</v>
      </c>
      <c r="E11823" s="18"/>
      <c r="F11823" s="4">
        <v>1</v>
      </c>
      <c r="G11823" s="4">
        <v>15</v>
      </c>
      <c r="H11823" s="4">
        <v>63.682560000000002</v>
      </c>
    </row>
    <row r="11824" spans="1:8" s="15" customFormat="1" ht="19.5" hidden="1" customHeight="1" outlineLevel="1" x14ac:dyDescent="0.25">
      <c r="A11824" s="45">
        <v>726</v>
      </c>
      <c r="B11824" s="4" t="s">
        <v>250</v>
      </c>
      <c r="C11824" s="22" t="s">
        <v>1864</v>
      </c>
      <c r="D11824" s="18">
        <v>2021</v>
      </c>
      <c r="E11824" s="18"/>
      <c r="F11824" s="4">
        <v>1</v>
      </c>
      <c r="G11824" s="4">
        <v>15</v>
      </c>
      <c r="H11824" s="4">
        <v>28.294630000000002</v>
      </c>
    </row>
    <row r="11825" spans="1:8" s="15" customFormat="1" ht="19.5" hidden="1" customHeight="1" outlineLevel="1" x14ac:dyDescent="0.25">
      <c r="A11825" s="46">
        <v>9844</v>
      </c>
      <c r="B11825" s="4" t="s">
        <v>250</v>
      </c>
      <c r="C11825" s="22" t="s">
        <v>3009</v>
      </c>
      <c r="D11825" s="18">
        <v>2021</v>
      </c>
      <c r="E11825" s="18"/>
      <c r="F11825" s="4">
        <v>1</v>
      </c>
      <c r="G11825" s="4">
        <v>15</v>
      </c>
      <c r="H11825" s="4">
        <v>38.927509999999998</v>
      </c>
    </row>
    <row r="11826" spans="1:8" s="15" customFormat="1" ht="19.5" hidden="1" customHeight="1" outlineLevel="1" x14ac:dyDescent="0.25">
      <c r="A11826" s="45">
        <v>9843</v>
      </c>
      <c r="B11826" s="4" t="s">
        <v>250</v>
      </c>
      <c r="C11826" s="22" t="s">
        <v>3010</v>
      </c>
      <c r="D11826" s="18">
        <v>2021</v>
      </c>
      <c r="E11826" s="18"/>
      <c r="F11826" s="4">
        <v>1</v>
      </c>
      <c r="G11826" s="4">
        <v>15</v>
      </c>
      <c r="H11826" s="4">
        <v>54.852919999999997</v>
      </c>
    </row>
    <row r="11827" spans="1:8" s="15" customFormat="1" ht="19.5" hidden="1" customHeight="1" outlineLevel="1" x14ac:dyDescent="0.25">
      <c r="A11827" s="46">
        <v>9492</v>
      </c>
      <c r="B11827" s="4" t="s">
        <v>250</v>
      </c>
      <c r="C11827" s="22" t="s">
        <v>1865</v>
      </c>
      <c r="D11827" s="18">
        <v>2021</v>
      </c>
      <c r="E11827" s="18"/>
      <c r="F11827" s="4">
        <v>1</v>
      </c>
      <c r="G11827" s="4">
        <v>60</v>
      </c>
      <c r="H11827" s="4">
        <v>36.065719999999999</v>
      </c>
    </row>
    <row r="11828" spans="1:8" s="15" customFormat="1" ht="19.5" hidden="1" customHeight="1" outlineLevel="1" x14ac:dyDescent="0.25">
      <c r="A11828" s="45">
        <v>1606</v>
      </c>
      <c r="B11828" s="4" t="s">
        <v>250</v>
      </c>
      <c r="C11828" s="22" t="s">
        <v>3011</v>
      </c>
      <c r="D11828" s="18">
        <v>2021</v>
      </c>
      <c r="E11828" s="18"/>
      <c r="F11828" s="4">
        <v>1</v>
      </c>
      <c r="G11828" s="4">
        <v>15</v>
      </c>
      <c r="H11828" s="4">
        <v>76.042519999999996</v>
      </c>
    </row>
    <row r="11829" spans="1:8" s="15" customFormat="1" ht="19.5" hidden="1" customHeight="1" outlineLevel="1" x14ac:dyDescent="0.25">
      <c r="A11829" s="46">
        <v>9923</v>
      </c>
      <c r="B11829" s="4" t="s">
        <v>250</v>
      </c>
      <c r="C11829" s="22" t="s">
        <v>3012</v>
      </c>
      <c r="D11829" s="18">
        <v>2021</v>
      </c>
      <c r="E11829" s="18"/>
      <c r="F11829" s="4">
        <v>1</v>
      </c>
      <c r="G11829" s="4">
        <v>15</v>
      </c>
      <c r="H11829" s="4">
        <v>75.574799999999996</v>
      </c>
    </row>
    <row r="11830" spans="1:8" s="15" customFormat="1" ht="19.5" hidden="1" customHeight="1" outlineLevel="1" x14ac:dyDescent="0.25">
      <c r="A11830" s="46">
        <v>9939</v>
      </c>
      <c r="B11830" s="4" t="s">
        <v>250</v>
      </c>
      <c r="C11830" s="22" t="s">
        <v>3013</v>
      </c>
      <c r="D11830" s="18">
        <v>2021</v>
      </c>
      <c r="E11830" s="18"/>
      <c r="F11830" s="4">
        <v>1</v>
      </c>
      <c r="G11830" s="4">
        <v>15</v>
      </c>
      <c r="H11830" s="4">
        <v>75.574510000000004</v>
      </c>
    </row>
    <row r="11831" spans="1:8" s="15" customFormat="1" ht="19.5" hidden="1" customHeight="1" outlineLevel="1" x14ac:dyDescent="0.25">
      <c r="A11831" s="45">
        <v>1593</v>
      </c>
      <c r="B11831" s="4" t="s">
        <v>250</v>
      </c>
      <c r="C11831" s="22" t="s">
        <v>3014</v>
      </c>
      <c r="D11831" s="18">
        <v>2021</v>
      </c>
      <c r="E11831" s="18"/>
      <c r="F11831" s="4">
        <v>1</v>
      </c>
      <c r="G11831" s="4">
        <v>15</v>
      </c>
      <c r="H11831" s="4">
        <v>90.863500000000002</v>
      </c>
    </row>
    <row r="11832" spans="1:8" s="15" customFormat="1" ht="19.5" hidden="1" customHeight="1" outlineLevel="1" x14ac:dyDescent="0.25">
      <c r="A11832" s="46">
        <v>9949</v>
      </c>
      <c r="B11832" s="4" t="s">
        <v>250</v>
      </c>
      <c r="C11832" s="22" t="s">
        <v>3015</v>
      </c>
      <c r="D11832" s="18">
        <v>2021</v>
      </c>
      <c r="E11832" s="18"/>
      <c r="F11832" s="4">
        <v>1</v>
      </c>
      <c r="G11832" s="4">
        <v>15</v>
      </c>
      <c r="H11832" s="4">
        <v>85.718289999999996</v>
      </c>
    </row>
    <row r="11833" spans="1:8" s="15" customFormat="1" ht="19.5" hidden="1" customHeight="1" outlineLevel="1" x14ac:dyDescent="0.25">
      <c r="A11833" s="45">
        <v>9807</v>
      </c>
      <c r="B11833" s="4" t="s">
        <v>250</v>
      </c>
      <c r="C11833" s="22" t="s">
        <v>3016</v>
      </c>
      <c r="D11833" s="18">
        <v>2021</v>
      </c>
      <c r="E11833" s="18"/>
      <c r="F11833" s="4">
        <v>1</v>
      </c>
      <c r="G11833" s="4">
        <v>30</v>
      </c>
      <c r="H11833" s="4">
        <v>28.526620000000001</v>
      </c>
    </row>
    <row r="11834" spans="1:8" s="15" customFormat="1" ht="19.5" hidden="1" customHeight="1" outlineLevel="1" x14ac:dyDescent="0.25">
      <c r="A11834" s="46">
        <v>9828</v>
      </c>
      <c r="B11834" s="4" t="s">
        <v>250</v>
      </c>
      <c r="C11834" s="22" t="s">
        <v>1725</v>
      </c>
      <c r="D11834" s="18">
        <v>2021</v>
      </c>
      <c r="E11834" s="18"/>
      <c r="F11834" s="4">
        <v>1</v>
      </c>
      <c r="G11834" s="4">
        <v>15</v>
      </c>
      <c r="H11834" s="4">
        <v>30.827929999999999</v>
      </c>
    </row>
    <row r="11835" spans="1:8" s="15" customFormat="1" ht="19.5" hidden="1" customHeight="1" outlineLevel="1" x14ac:dyDescent="0.25">
      <c r="A11835" s="45">
        <v>1613</v>
      </c>
      <c r="B11835" s="4" t="s">
        <v>250</v>
      </c>
      <c r="C11835" s="22" t="s">
        <v>3017</v>
      </c>
      <c r="D11835" s="18">
        <v>2021</v>
      </c>
      <c r="E11835" s="18"/>
      <c r="F11835" s="4">
        <v>1</v>
      </c>
      <c r="G11835" s="4">
        <v>10</v>
      </c>
      <c r="H11835" s="4">
        <v>70.297849999999997</v>
      </c>
    </row>
    <row r="11836" spans="1:8" s="15" customFormat="1" ht="19.5" hidden="1" customHeight="1" outlineLevel="1" x14ac:dyDescent="0.25">
      <c r="A11836" s="46">
        <v>9948</v>
      </c>
      <c r="B11836" s="4" t="s">
        <v>250</v>
      </c>
      <c r="C11836" s="22" t="s">
        <v>3018</v>
      </c>
      <c r="D11836" s="18">
        <v>2021</v>
      </c>
      <c r="E11836" s="18"/>
      <c r="F11836" s="4">
        <v>1</v>
      </c>
      <c r="G11836" s="4">
        <v>15</v>
      </c>
      <c r="H11836" s="4">
        <v>72.595780000000005</v>
      </c>
    </row>
    <row r="11837" spans="1:8" s="15" customFormat="1" ht="19.5" hidden="1" customHeight="1" outlineLevel="1" x14ac:dyDescent="0.25">
      <c r="A11837" s="45">
        <v>1600</v>
      </c>
      <c r="B11837" s="4" t="s">
        <v>250</v>
      </c>
      <c r="C11837" s="22" t="s">
        <v>3019</v>
      </c>
      <c r="D11837" s="18">
        <v>2021</v>
      </c>
      <c r="E11837" s="18"/>
      <c r="F11837" s="4">
        <v>1</v>
      </c>
      <c r="G11837" s="4">
        <v>15</v>
      </c>
      <c r="H11837" s="4">
        <v>75.996279999999999</v>
      </c>
    </row>
    <row r="11838" spans="1:8" s="15" customFormat="1" ht="19.5" hidden="1" customHeight="1" outlineLevel="1" x14ac:dyDescent="0.25">
      <c r="A11838" s="46">
        <v>9945</v>
      </c>
      <c r="B11838" s="4" t="s">
        <v>250</v>
      </c>
      <c r="C11838" s="22" t="s">
        <v>3020</v>
      </c>
      <c r="D11838" s="18">
        <v>2021</v>
      </c>
      <c r="E11838" s="18"/>
      <c r="F11838" s="4">
        <v>1</v>
      </c>
      <c r="G11838" s="4">
        <v>15</v>
      </c>
      <c r="H11838" s="4">
        <v>85.929360000000003</v>
      </c>
    </row>
    <row r="11839" spans="1:8" s="15" customFormat="1" ht="19.5" hidden="1" customHeight="1" outlineLevel="1" x14ac:dyDescent="0.25">
      <c r="A11839" s="46">
        <v>9909</v>
      </c>
      <c r="B11839" s="4" t="s">
        <v>250</v>
      </c>
      <c r="C11839" s="22" t="s">
        <v>3021</v>
      </c>
      <c r="D11839" s="18">
        <v>2021</v>
      </c>
      <c r="E11839" s="18"/>
      <c r="F11839" s="4">
        <v>1</v>
      </c>
      <c r="G11839" s="4">
        <v>15</v>
      </c>
      <c r="H11839" s="4">
        <v>85.247</v>
      </c>
    </row>
    <row r="11840" spans="1:8" s="15" customFormat="1" ht="19.5" hidden="1" customHeight="1" outlineLevel="1" x14ac:dyDescent="0.25">
      <c r="A11840" s="46">
        <v>9747</v>
      </c>
      <c r="B11840" s="4" t="s">
        <v>250</v>
      </c>
      <c r="C11840" s="22" t="s">
        <v>3022</v>
      </c>
      <c r="D11840" s="18">
        <v>2021</v>
      </c>
      <c r="E11840" s="18"/>
      <c r="F11840" s="4">
        <v>1</v>
      </c>
      <c r="G11840" s="4">
        <v>15</v>
      </c>
      <c r="H11840" s="4">
        <v>56.04363</v>
      </c>
    </row>
    <row r="11841" spans="1:8" s="15" customFormat="1" ht="19.5" hidden="1" customHeight="1" outlineLevel="1" x14ac:dyDescent="0.25">
      <c r="A11841" s="46">
        <v>10318</v>
      </c>
      <c r="B11841" s="4" t="s">
        <v>250</v>
      </c>
      <c r="C11841" s="22" t="s">
        <v>3023</v>
      </c>
      <c r="D11841" s="18">
        <v>2021</v>
      </c>
      <c r="E11841" s="18"/>
      <c r="F11841" s="4">
        <v>2</v>
      </c>
      <c r="G11841" s="4">
        <v>15</v>
      </c>
      <c r="H11841" s="4">
        <v>64.24521</v>
      </c>
    </row>
    <row r="11842" spans="1:8" s="15" customFormat="1" ht="19.5" hidden="1" customHeight="1" outlineLevel="1" x14ac:dyDescent="0.25">
      <c r="A11842" s="46">
        <v>9799</v>
      </c>
      <c r="B11842" s="4" t="s">
        <v>250</v>
      </c>
      <c r="C11842" s="22" t="s">
        <v>3024</v>
      </c>
      <c r="D11842" s="18">
        <v>2021</v>
      </c>
      <c r="E11842" s="18"/>
      <c r="F11842" s="4">
        <v>1</v>
      </c>
      <c r="G11842" s="4">
        <v>15</v>
      </c>
      <c r="H11842" s="4">
        <v>40.010350000000003</v>
      </c>
    </row>
    <row r="11843" spans="1:8" s="15" customFormat="1" ht="19.5" hidden="1" customHeight="1" outlineLevel="1" x14ac:dyDescent="0.25">
      <c r="A11843" s="46">
        <v>9818</v>
      </c>
      <c r="B11843" s="4" t="s">
        <v>250</v>
      </c>
      <c r="C11843" s="22" t="s">
        <v>3025</v>
      </c>
      <c r="D11843" s="18">
        <v>2021</v>
      </c>
      <c r="E11843" s="18"/>
      <c r="F11843" s="4">
        <v>1</v>
      </c>
      <c r="G11843" s="4">
        <v>15</v>
      </c>
      <c r="H11843" s="4">
        <v>30.14865</v>
      </c>
    </row>
    <row r="11844" spans="1:8" s="15" customFormat="1" ht="19.5" hidden="1" customHeight="1" outlineLevel="1" x14ac:dyDescent="0.25">
      <c r="A11844" s="46">
        <v>9865</v>
      </c>
      <c r="B11844" s="4" t="s">
        <v>250</v>
      </c>
      <c r="C11844" s="22" t="s">
        <v>1728</v>
      </c>
      <c r="D11844" s="18">
        <v>2021</v>
      </c>
      <c r="E11844" s="18"/>
      <c r="F11844" s="4">
        <v>1</v>
      </c>
      <c r="G11844" s="4">
        <v>15</v>
      </c>
      <c r="H11844" s="4">
        <v>27.987410000000001</v>
      </c>
    </row>
    <row r="11845" spans="1:8" s="15" customFormat="1" ht="19.5" hidden="1" customHeight="1" outlineLevel="1" x14ac:dyDescent="0.25">
      <c r="A11845" s="46">
        <v>9957</v>
      </c>
      <c r="B11845" s="4" t="s">
        <v>250</v>
      </c>
      <c r="C11845" s="22" t="s">
        <v>3026</v>
      </c>
      <c r="D11845" s="18">
        <v>2021</v>
      </c>
      <c r="E11845" s="18"/>
      <c r="F11845" s="4">
        <v>1</v>
      </c>
      <c r="G11845" s="4">
        <v>40</v>
      </c>
      <c r="H11845" s="4">
        <v>83.175070000000005</v>
      </c>
    </row>
    <row r="11846" spans="1:8" s="15" customFormat="1" ht="19.5" hidden="1" customHeight="1" outlineLevel="1" x14ac:dyDescent="0.25">
      <c r="A11846" s="45">
        <v>2279</v>
      </c>
      <c r="B11846" s="4" t="s">
        <v>250</v>
      </c>
      <c r="C11846" s="22" t="s">
        <v>2382</v>
      </c>
      <c r="D11846" s="18">
        <v>2021</v>
      </c>
      <c r="E11846" s="18"/>
      <c r="F11846" s="4">
        <v>1</v>
      </c>
      <c r="G11846" s="4">
        <v>15</v>
      </c>
      <c r="H11846" s="4">
        <v>34.671329999999998</v>
      </c>
    </row>
    <row r="11847" spans="1:8" s="15" customFormat="1" ht="19.5" hidden="1" customHeight="1" outlineLevel="1" x14ac:dyDescent="0.25">
      <c r="A11847" s="46">
        <v>9988</v>
      </c>
      <c r="B11847" s="4" t="s">
        <v>250</v>
      </c>
      <c r="C11847" s="22" t="s">
        <v>3027</v>
      </c>
      <c r="D11847" s="18">
        <v>2021</v>
      </c>
      <c r="E11847" s="18"/>
      <c r="F11847" s="4">
        <v>1</v>
      </c>
      <c r="G11847" s="4">
        <v>15</v>
      </c>
      <c r="H11847" s="4">
        <v>37.668329999999997</v>
      </c>
    </row>
    <row r="11848" spans="1:8" s="15" customFormat="1" ht="19.5" hidden="1" customHeight="1" outlineLevel="1" x14ac:dyDescent="0.25">
      <c r="A11848" s="45">
        <v>1801</v>
      </c>
      <c r="B11848" s="4" t="s">
        <v>250</v>
      </c>
      <c r="C11848" s="22" t="s">
        <v>3028</v>
      </c>
      <c r="D11848" s="18">
        <v>2021</v>
      </c>
      <c r="E11848" s="18"/>
      <c r="F11848" s="4">
        <v>1</v>
      </c>
      <c r="G11848" s="4">
        <v>15</v>
      </c>
      <c r="H11848" s="4">
        <v>29.418369999999999</v>
      </c>
    </row>
    <row r="11849" spans="1:8" s="15" customFormat="1" ht="19.5" hidden="1" customHeight="1" outlineLevel="1" x14ac:dyDescent="0.25">
      <c r="A11849" s="46">
        <v>10311</v>
      </c>
      <c r="B11849" s="4" t="s">
        <v>250</v>
      </c>
      <c r="C11849" s="22" t="s">
        <v>3029</v>
      </c>
      <c r="D11849" s="18">
        <v>2021</v>
      </c>
      <c r="E11849" s="18"/>
      <c r="F11849" s="4">
        <v>3</v>
      </c>
      <c r="G11849" s="4">
        <v>45</v>
      </c>
      <c r="H11849" s="4">
        <v>86.675550000000001</v>
      </c>
    </row>
    <row r="11850" spans="1:8" s="15" customFormat="1" ht="19.5" hidden="1" customHeight="1" outlineLevel="1" x14ac:dyDescent="0.25">
      <c r="A11850" s="45">
        <v>1863</v>
      </c>
      <c r="B11850" s="4" t="s">
        <v>250</v>
      </c>
      <c r="C11850" s="22" t="s">
        <v>3030</v>
      </c>
      <c r="D11850" s="18">
        <v>2021</v>
      </c>
      <c r="E11850" s="18"/>
      <c r="F11850" s="4">
        <v>1</v>
      </c>
      <c r="G11850" s="4">
        <v>15</v>
      </c>
      <c r="H11850" s="4">
        <v>39.308619999999998</v>
      </c>
    </row>
    <row r="11851" spans="1:8" s="15" customFormat="1" ht="19.5" hidden="1" customHeight="1" outlineLevel="1" x14ac:dyDescent="0.25">
      <c r="A11851" s="46">
        <v>10018</v>
      </c>
      <c r="B11851" s="4" t="s">
        <v>250</v>
      </c>
      <c r="C11851" s="22" t="s">
        <v>3031</v>
      </c>
      <c r="D11851" s="18">
        <v>2021</v>
      </c>
      <c r="E11851" s="18"/>
      <c r="F11851" s="4">
        <v>1</v>
      </c>
      <c r="G11851" s="4">
        <v>15</v>
      </c>
      <c r="H11851" s="4">
        <v>33.671619999999997</v>
      </c>
    </row>
    <row r="11852" spans="1:8" s="15" customFormat="1" ht="19.5" hidden="1" customHeight="1" outlineLevel="1" x14ac:dyDescent="0.25">
      <c r="A11852" s="46">
        <v>10012</v>
      </c>
      <c r="B11852" s="4" t="s">
        <v>250</v>
      </c>
      <c r="C11852" s="22" t="s">
        <v>3032</v>
      </c>
      <c r="D11852" s="18">
        <v>2021</v>
      </c>
      <c r="E11852" s="18"/>
      <c r="F11852" s="4">
        <v>1</v>
      </c>
      <c r="G11852" s="4">
        <v>15</v>
      </c>
      <c r="H11852" s="4">
        <v>34.150759999999998</v>
      </c>
    </row>
    <row r="11853" spans="1:8" s="15" customFormat="1" ht="19.5" hidden="1" customHeight="1" outlineLevel="1" x14ac:dyDescent="0.25">
      <c r="A11853" s="46">
        <v>9841</v>
      </c>
      <c r="B11853" s="4" t="s">
        <v>250</v>
      </c>
      <c r="C11853" s="22" t="s">
        <v>3033</v>
      </c>
      <c r="D11853" s="18">
        <v>2021</v>
      </c>
      <c r="E11853" s="18"/>
      <c r="F11853" s="4">
        <v>1</v>
      </c>
      <c r="G11853" s="4">
        <v>15</v>
      </c>
      <c r="H11853" s="4">
        <v>65.104960000000005</v>
      </c>
    </row>
    <row r="11854" spans="1:8" s="15" customFormat="1" ht="19.5" hidden="1" customHeight="1" outlineLevel="1" x14ac:dyDescent="0.25">
      <c r="A11854" s="46">
        <v>9934</v>
      </c>
      <c r="B11854" s="4" t="s">
        <v>250</v>
      </c>
      <c r="C11854" s="22" t="s">
        <v>3034</v>
      </c>
      <c r="D11854" s="18">
        <v>2021</v>
      </c>
      <c r="E11854" s="18"/>
      <c r="F11854" s="4">
        <v>1</v>
      </c>
      <c r="G11854" s="4">
        <v>15</v>
      </c>
      <c r="H11854" s="4">
        <v>76.024900000000002</v>
      </c>
    </row>
    <row r="11855" spans="1:8" s="15" customFormat="1" ht="19.5" hidden="1" customHeight="1" outlineLevel="1" x14ac:dyDescent="0.25">
      <c r="A11855" s="46">
        <v>9944</v>
      </c>
      <c r="B11855" s="4" t="s">
        <v>250</v>
      </c>
      <c r="C11855" s="22" t="s">
        <v>3035</v>
      </c>
      <c r="D11855" s="18">
        <v>2021</v>
      </c>
      <c r="E11855" s="18"/>
      <c r="F11855" s="4">
        <v>1</v>
      </c>
      <c r="G11855" s="4">
        <v>15</v>
      </c>
      <c r="H11855" s="4">
        <v>78.925910000000002</v>
      </c>
    </row>
    <row r="11856" spans="1:8" s="15" customFormat="1" ht="19.5" hidden="1" customHeight="1" outlineLevel="1" x14ac:dyDescent="0.25">
      <c r="A11856" s="46">
        <v>9931</v>
      </c>
      <c r="B11856" s="4" t="s">
        <v>250</v>
      </c>
      <c r="C11856" s="22" t="s">
        <v>3036</v>
      </c>
      <c r="D11856" s="18">
        <v>2021</v>
      </c>
      <c r="E11856" s="18"/>
      <c r="F11856" s="4">
        <v>1</v>
      </c>
      <c r="G11856" s="4">
        <v>15</v>
      </c>
      <c r="H11856" s="4">
        <v>71.906859999999995</v>
      </c>
    </row>
    <row r="11857" spans="1:8" s="15" customFormat="1" ht="19.5" hidden="1" customHeight="1" outlineLevel="1" x14ac:dyDescent="0.25">
      <c r="A11857" s="46">
        <v>9850</v>
      </c>
      <c r="B11857" s="4" t="s">
        <v>250</v>
      </c>
      <c r="C11857" s="22" t="s">
        <v>3037</v>
      </c>
      <c r="D11857" s="18">
        <v>2021</v>
      </c>
      <c r="E11857" s="18"/>
      <c r="F11857" s="4">
        <v>1</v>
      </c>
      <c r="G11857" s="4">
        <v>45</v>
      </c>
      <c r="H11857" s="4">
        <v>32.372680000000003</v>
      </c>
    </row>
    <row r="11858" spans="1:8" s="15" customFormat="1" ht="19.5" hidden="1" customHeight="1" outlineLevel="1" x14ac:dyDescent="0.25">
      <c r="A11858" s="46">
        <v>9856</v>
      </c>
      <c r="B11858" s="4" t="s">
        <v>250</v>
      </c>
      <c r="C11858" s="22" t="s">
        <v>3038</v>
      </c>
      <c r="D11858" s="18">
        <v>2021</v>
      </c>
      <c r="E11858" s="18"/>
      <c r="F11858" s="4">
        <v>2</v>
      </c>
      <c r="G11858" s="4">
        <v>30</v>
      </c>
      <c r="H11858" s="4">
        <v>49.564700000000002</v>
      </c>
    </row>
    <row r="11859" spans="1:8" s="15" customFormat="1" ht="19.5" hidden="1" customHeight="1" outlineLevel="1" x14ac:dyDescent="0.25">
      <c r="A11859" s="46">
        <v>9868</v>
      </c>
      <c r="B11859" s="4" t="s">
        <v>250</v>
      </c>
      <c r="C11859" s="22" t="s">
        <v>1732</v>
      </c>
      <c r="D11859" s="18">
        <v>2021</v>
      </c>
      <c r="E11859" s="18"/>
      <c r="F11859" s="4">
        <v>2</v>
      </c>
      <c r="G11859" s="4">
        <v>30</v>
      </c>
      <c r="H11859" s="4">
        <v>44.275869999999998</v>
      </c>
    </row>
    <row r="11860" spans="1:8" s="15" customFormat="1" ht="19.5" hidden="1" customHeight="1" outlineLevel="1" x14ac:dyDescent="0.25">
      <c r="A11860" s="46">
        <v>9757</v>
      </c>
      <c r="B11860" s="4" t="s">
        <v>250</v>
      </c>
      <c r="C11860" s="22" t="s">
        <v>3039</v>
      </c>
      <c r="D11860" s="18">
        <v>2021</v>
      </c>
      <c r="E11860" s="18"/>
      <c r="F11860" s="4">
        <v>1</v>
      </c>
      <c r="G11860" s="4">
        <v>15</v>
      </c>
      <c r="H11860" s="4">
        <v>26.988150000000001</v>
      </c>
    </row>
    <row r="11861" spans="1:8" s="15" customFormat="1" ht="19.5" hidden="1" customHeight="1" outlineLevel="1" x14ac:dyDescent="0.25">
      <c r="A11861" s="45">
        <v>2451</v>
      </c>
      <c r="B11861" s="4" t="s">
        <v>250</v>
      </c>
      <c r="C11861" s="22" t="s">
        <v>2391</v>
      </c>
      <c r="D11861" s="18">
        <v>2021</v>
      </c>
      <c r="E11861" s="18"/>
      <c r="F11861" s="4">
        <v>2</v>
      </c>
      <c r="G11861" s="4">
        <v>15</v>
      </c>
      <c r="H11861" s="4">
        <v>66.380499999999998</v>
      </c>
    </row>
    <row r="11862" spans="1:8" s="15" customFormat="1" ht="19.5" hidden="1" customHeight="1" outlineLevel="1" x14ac:dyDescent="0.25">
      <c r="A11862" s="46">
        <v>9991</v>
      </c>
      <c r="B11862" s="4" t="s">
        <v>250</v>
      </c>
      <c r="C11862" s="22" t="s">
        <v>3040</v>
      </c>
      <c r="D11862" s="18">
        <v>2021</v>
      </c>
      <c r="E11862" s="18"/>
      <c r="F11862" s="4">
        <v>1</v>
      </c>
      <c r="G11862" s="4">
        <v>15</v>
      </c>
      <c r="H11862" s="4">
        <v>33.701030000000003</v>
      </c>
    </row>
    <row r="11863" spans="1:8" s="15" customFormat="1" ht="19.5" hidden="1" customHeight="1" outlineLevel="1" x14ac:dyDescent="0.25">
      <c r="A11863" s="45">
        <v>1824</v>
      </c>
      <c r="B11863" s="4" t="s">
        <v>250</v>
      </c>
      <c r="C11863" s="22" t="s">
        <v>3041</v>
      </c>
      <c r="D11863" s="18">
        <v>2021</v>
      </c>
      <c r="E11863" s="18"/>
      <c r="F11863" s="4">
        <v>1</v>
      </c>
      <c r="G11863" s="4">
        <v>15</v>
      </c>
      <c r="H11863" s="4">
        <v>40.416589999999999</v>
      </c>
    </row>
    <row r="11864" spans="1:8" s="15" customFormat="1" ht="19.5" hidden="1" customHeight="1" outlineLevel="1" x14ac:dyDescent="0.25">
      <c r="A11864" s="46">
        <v>9527</v>
      </c>
      <c r="B11864" s="4" t="s">
        <v>250</v>
      </c>
      <c r="C11864" s="22" t="s">
        <v>1866</v>
      </c>
      <c r="D11864" s="18">
        <v>2021</v>
      </c>
      <c r="E11864" s="18"/>
      <c r="F11864" s="4">
        <v>1</v>
      </c>
      <c r="G11864" s="4">
        <v>15</v>
      </c>
      <c r="H11864" s="4">
        <v>93.410330000000002</v>
      </c>
    </row>
    <row r="11865" spans="1:8" s="15" customFormat="1" ht="19.5" hidden="1" customHeight="1" outlineLevel="1" x14ac:dyDescent="0.25">
      <c r="A11865" s="46">
        <v>9982</v>
      </c>
      <c r="B11865" s="4" t="s">
        <v>250</v>
      </c>
      <c r="C11865" s="22" t="s">
        <v>3042</v>
      </c>
      <c r="D11865" s="18">
        <v>2021</v>
      </c>
      <c r="E11865" s="18"/>
      <c r="F11865" s="4">
        <v>1</v>
      </c>
      <c r="G11865" s="4">
        <v>15</v>
      </c>
      <c r="H11865" s="4">
        <v>42.485619999999997</v>
      </c>
    </row>
    <row r="11866" spans="1:8" s="15" customFormat="1" ht="19.5" hidden="1" customHeight="1" outlineLevel="1" x14ac:dyDescent="0.25">
      <c r="A11866" s="46">
        <v>9973</v>
      </c>
      <c r="B11866" s="4" t="s">
        <v>250</v>
      </c>
      <c r="C11866" s="22" t="s">
        <v>3043</v>
      </c>
      <c r="D11866" s="18">
        <v>2021</v>
      </c>
      <c r="E11866" s="18"/>
      <c r="F11866" s="4">
        <v>1</v>
      </c>
      <c r="G11866" s="4">
        <v>15</v>
      </c>
      <c r="H11866" s="4">
        <v>36.31653</v>
      </c>
    </row>
    <row r="11867" spans="1:8" s="15" customFormat="1" ht="19.5" hidden="1" customHeight="1" outlineLevel="1" x14ac:dyDescent="0.25">
      <c r="A11867" s="46">
        <v>9974</v>
      </c>
      <c r="B11867" s="4" t="s">
        <v>250</v>
      </c>
      <c r="C11867" s="22" t="s">
        <v>3044</v>
      </c>
      <c r="D11867" s="18">
        <v>2021</v>
      </c>
      <c r="E11867" s="18"/>
      <c r="F11867" s="4">
        <v>1</v>
      </c>
      <c r="G11867" s="4">
        <v>15</v>
      </c>
      <c r="H11867" s="4">
        <v>94.923839999999998</v>
      </c>
    </row>
    <row r="11868" spans="1:8" s="15" customFormat="1" ht="19.5" hidden="1" customHeight="1" outlineLevel="1" x14ac:dyDescent="0.25">
      <c r="A11868" s="46">
        <v>10313</v>
      </c>
      <c r="B11868" s="4" t="s">
        <v>250</v>
      </c>
      <c r="C11868" s="22" t="s">
        <v>3045</v>
      </c>
      <c r="D11868" s="18">
        <v>2021</v>
      </c>
      <c r="E11868" s="18"/>
      <c r="F11868" s="4">
        <v>2</v>
      </c>
      <c r="G11868" s="4">
        <v>15</v>
      </c>
      <c r="H11868" s="4">
        <v>80.189629999999994</v>
      </c>
    </row>
    <row r="11869" spans="1:8" s="15" customFormat="1" ht="19.5" hidden="1" customHeight="1" outlineLevel="1" x14ac:dyDescent="0.25">
      <c r="A11869" s="46">
        <v>10025</v>
      </c>
      <c r="B11869" s="4" t="s">
        <v>250</v>
      </c>
      <c r="C11869" s="22" t="s">
        <v>3046</v>
      </c>
      <c r="D11869" s="18">
        <v>2021</v>
      </c>
      <c r="E11869" s="18"/>
      <c r="F11869" s="4">
        <v>1</v>
      </c>
      <c r="G11869" s="4">
        <v>5</v>
      </c>
      <c r="H11869" s="4">
        <v>42.604170000000003</v>
      </c>
    </row>
    <row r="11870" spans="1:8" s="15" customFormat="1" ht="19.5" hidden="1" customHeight="1" outlineLevel="1" x14ac:dyDescent="0.25">
      <c r="A11870" s="46">
        <v>10317</v>
      </c>
      <c r="B11870" s="4" t="s">
        <v>250</v>
      </c>
      <c r="C11870" s="22" t="s">
        <v>3047</v>
      </c>
      <c r="D11870" s="18">
        <v>2021</v>
      </c>
      <c r="E11870" s="18"/>
      <c r="F11870" s="4">
        <v>1</v>
      </c>
      <c r="G11870" s="4">
        <v>15</v>
      </c>
      <c r="H11870" s="4">
        <v>35.068429999999999</v>
      </c>
    </row>
    <row r="11871" spans="1:8" s="15" customFormat="1" ht="19.5" hidden="1" customHeight="1" outlineLevel="1" x14ac:dyDescent="0.25">
      <c r="A11871" s="46">
        <v>10316</v>
      </c>
      <c r="B11871" s="4" t="s">
        <v>250</v>
      </c>
      <c r="C11871" s="22" t="s">
        <v>3048</v>
      </c>
      <c r="D11871" s="18">
        <v>2021</v>
      </c>
      <c r="E11871" s="18"/>
      <c r="F11871" s="4">
        <v>2</v>
      </c>
      <c r="G11871" s="4">
        <v>15</v>
      </c>
      <c r="H11871" s="4">
        <v>75.975700000000003</v>
      </c>
    </row>
    <row r="11872" spans="1:8" s="15" customFormat="1" ht="19.5" hidden="1" customHeight="1" outlineLevel="1" x14ac:dyDescent="0.25">
      <c r="A11872" s="46">
        <v>9840</v>
      </c>
      <c r="B11872" s="4" t="s">
        <v>250</v>
      </c>
      <c r="C11872" s="22" t="s">
        <v>3049</v>
      </c>
      <c r="D11872" s="18">
        <v>2021</v>
      </c>
      <c r="E11872" s="18"/>
      <c r="F11872" s="4">
        <v>1</v>
      </c>
      <c r="G11872" s="4">
        <v>20</v>
      </c>
      <c r="H11872" s="4">
        <v>37.592280000000002</v>
      </c>
    </row>
    <row r="11873" spans="1:8" s="15" customFormat="1" ht="19.5" hidden="1" customHeight="1" outlineLevel="1" x14ac:dyDescent="0.25">
      <c r="A11873" s="46">
        <v>9754</v>
      </c>
      <c r="B11873" s="4" t="s">
        <v>250</v>
      </c>
      <c r="C11873" s="22" t="s">
        <v>1738</v>
      </c>
      <c r="D11873" s="18">
        <v>2021</v>
      </c>
      <c r="E11873" s="18"/>
      <c r="F11873" s="4">
        <v>1</v>
      </c>
      <c r="G11873" s="4">
        <v>15</v>
      </c>
      <c r="H11873" s="4">
        <v>30.95609</v>
      </c>
    </row>
    <row r="11874" spans="1:8" s="15" customFormat="1" ht="19.5" hidden="1" customHeight="1" outlineLevel="1" x14ac:dyDescent="0.25">
      <c r="A11874" s="46">
        <v>9750</v>
      </c>
      <c r="B11874" s="4" t="s">
        <v>250</v>
      </c>
      <c r="C11874" s="22" t="s">
        <v>3050</v>
      </c>
      <c r="D11874" s="18">
        <v>2021</v>
      </c>
      <c r="E11874" s="18"/>
      <c r="F11874" s="4">
        <v>1</v>
      </c>
      <c r="G11874" s="4">
        <v>15</v>
      </c>
      <c r="H11874" s="4">
        <v>32.635010000000001</v>
      </c>
    </row>
    <row r="11875" spans="1:8" s="15" customFormat="1" ht="19.5" hidden="1" customHeight="1" outlineLevel="1" x14ac:dyDescent="0.25">
      <c r="A11875" s="46">
        <v>9989</v>
      </c>
      <c r="B11875" s="4" t="s">
        <v>250</v>
      </c>
      <c r="C11875" s="22" t="s">
        <v>3051</v>
      </c>
      <c r="D11875" s="18">
        <v>2021</v>
      </c>
      <c r="E11875" s="18"/>
      <c r="F11875" s="4">
        <v>1</v>
      </c>
      <c r="G11875" s="4">
        <v>15</v>
      </c>
      <c r="H11875" s="4">
        <v>37.237180000000002</v>
      </c>
    </row>
    <row r="11876" spans="1:8" s="15" customFormat="1" ht="19.5" hidden="1" customHeight="1" outlineLevel="1" x14ac:dyDescent="0.25">
      <c r="A11876" s="46">
        <v>9999</v>
      </c>
      <c r="B11876" s="4" t="s">
        <v>250</v>
      </c>
      <c r="C11876" s="22" t="s">
        <v>3052</v>
      </c>
      <c r="D11876" s="18">
        <v>2021</v>
      </c>
      <c r="E11876" s="18"/>
      <c r="F11876" s="4">
        <v>1</v>
      </c>
      <c r="G11876" s="4">
        <v>15</v>
      </c>
      <c r="H11876" s="4">
        <v>37.634480000000003</v>
      </c>
    </row>
    <row r="11877" spans="1:8" s="15" customFormat="1" ht="19.5" hidden="1" customHeight="1" outlineLevel="1" x14ac:dyDescent="0.25">
      <c r="A11877" s="46">
        <v>10010</v>
      </c>
      <c r="B11877" s="4" t="s">
        <v>250</v>
      </c>
      <c r="C11877" s="22" t="s">
        <v>3053</v>
      </c>
      <c r="D11877" s="18">
        <v>2021</v>
      </c>
      <c r="E11877" s="18"/>
      <c r="F11877" s="4">
        <v>1</v>
      </c>
      <c r="G11877" s="4">
        <v>15</v>
      </c>
      <c r="H11877" s="4">
        <v>37.996029999999998</v>
      </c>
    </row>
    <row r="11878" spans="1:8" s="15" customFormat="1" ht="19.5" hidden="1" customHeight="1" outlineLevel="1" x14ac:dyDescent="0.25">
      <c r="A11878" s="46">
        <v>9984</v>
      </c>
      <c r="B11878" s="4" t="s">
        <v>250</v>
      </c>
      <c r="C11878" s="22" t="s">
        <v>3054</v>
      </c>
      <c r="D11878" s="18">
        <v>2021</v>
      </c>
      <c r="E11878" s="18"/>
      <c r="F11878" s="4">
        <v>1</v>
      </c>
      <c r="G11878" s="4">
        <v>15</v>
      </c>
      <c r="H11878" s="4">
        <v>45.553539999999998</v>
      </c>
    </row>
    <row r="11879" spans="1:8" s="15" customFormat="1" ht="19.5" hidden="1" customHeight="1" outlineLevel="1" x14ac:dyDescent="0.25">
      <c r="A11879" s="45">
        <v>1877</v>
      </c>
      <c r="B11879" s="4" t="s">
        <v>250</v>
      </c>
      <c r="C11879" s="22" t="s">
        <v>3055</v>
      </c>
      <c r="D11879" s="18">
        <v>2021</v>
      </c>
      <c r="E11879" s="18"/>
      <c r="F11879" s="4">
        <v>1</v>
      </c>
      <c r="G11879" s="4">
        <v>15</v>
      </c>
      <c r="H11879" s="4">
        <v>37.249339999999997</v>
      </c>
    </row>
    <row r="11880" spans="1:8" s="15" customFormat="1" ht="19.5" hidden="1" customHeight="1" outlineLevel="1" x14ac:dyDescent="0.25">
      <c r="A11880" s="45">
        <v>9627</v>
      </c>
      <c r="B11880" s="4" t="s">
        <v>250</v>
      </c>
      <c r="C11880" s="22" t="s">
        <v>3056</v>
      </c>
      <c r="D11880" s="18">
        <v>2021</v>
      </c>
      <c r="E11880" s="18"/>
      <c r="F11880" s="4">
        <v>1</v>
      </c>
      <c r="G11880" s="4">
        <v>150</v>
      </c>
      <c r="H11880" s="4">
        <v>66.840410000000006</v>
      </c>
    </row>
    <row r="11881" spans="1:8" s="15" customFormat="1" ht="19.5" hidden="1" customHeight="1" outlineLevel="1" x14ac:dyDescent="0.25">
      <c r="A11881" s="46">
        <v>9853</v>
      </c>
      <c r="B11881" s="4" t="s">
        <v>250</v>
      </c>
      <c r="C11881" s="22" t="s">
        <v>3057</v>
      </c>
      <c r="D11881" s="18">
        <v>2021</v>
      </c>
      <c r="E11881" s="18"/>
      <c r="F11881" s="4">
        <v>2</v>
      </c>
      <c r="G11881" s="4">
        <v>30</v>
      </c>
      <c r="H11881" s="4">
        <v>57.82582</v>
      </c>
    </row>
    <row r="11882" spans="1:8" s="15" customFormat="1" ht="19.5" hidden="1" customHeight="1" outlineLevel="1" x14ac:dyDescent="0.25">
      <c r="A11882" s="45">
        <v>1358</v>
      </c>
      <c r="B11882" s="4" t="s">
        <v>250</v>
      </c>
      <c r="C11882" s="22" t="s">
        <v>1745</v>
      </c>
      <c r="D11882" s="18">
        <v>2021</v>
      </c>
      <c r="E11882" s="18"/>
      <c r="F11882" s="4">
        <v>1</v>
      </c>
      <c r="G11882" s="4">
        <v>15</v>
      </c>
      <c r="H11882" s="4">
        <v>28.021350000000002</v>
      </c>
    </row>
    <row r="11883" spans="1:8" s="15" customFormat="1" ht="19.5" hidden="1" customHeight="1" outlineLevel="1" x14ac:dyDescent="0.25">
      <c r="A11883" s="46">
        <v>10001</v>
      </c>
      <c r="B11883" s="4" t="s">
        <v>250</v>
      </c>
      <c r="C11883" s="22" t="s">
        <v>3058</v>
      </c>
      <c r="D11883" s="18">
        <v>2021</v>
      </c>
      <c r="E11883" s="18"/>
      <c r="F11883" s="4">
        <v>1</v>
      </c>
      <c r="G11883" s="4">
        <v>13</v>
      </c>
      <c r="H11883" s="4">
        <v>41.968269999999997</v>
      </c>
    </row>
    <row r="11884" spans="1:8" s="15" customFormat="1" ht="19.5" hidden="1" customHeight="1" outlineLevel="1" x14ac:dyDescent="0.25">
      <c r="A11884" s="46">
        <v>10024</v>
      </c>
      <c r="B11884" s="4" t="s">
        <v>250</v>
      </c>
      <c r="C11884" s="22" t="s">
        <v>3059</v>
      </c>
      <c r="D11884" s="18">
        <v>2021</v>
      </c>
      <c r="E11884" s="18"/>
      <c r="F11884" s="4">
        <v>1</v>
      </c>
      <c r="G11884" s="4">
        <v>15</v>
      </c>
      <c r="H11884" s="4">
        <v>38.338349999999998</v>
      </c>
    </row>
    <row r="11885" spans="1:8" s="15" customFormat="1" ht="19.5" hidden="1" customHeight="1" outlineLevel="1" x14ac:dyDescent="0.25">
      <c r="A11885" s="46">
        <v>9987</v>
      </c>
      <c r="B11885" s="4" t="s">
        <v>250</v>
      </c>
      <c r="C11885" s="22" t="s">
        <v>3060</v>
      </c>
      <c r="D11885" s="18">
        <v>2021</v>
      </c>
      <c r="E11885" s="18"/>
      <c r="F11885" s="4">
        <v>1</v>
      </c>
      <c r="G11885" s="4">
        <v>15</v>
      </c>
      <c r="H11885" s="4">
        <v>31.817530000000001</v>
      </c>
    </row>
    <row r="11886" spans="1:8" s="15" customFormat="1" ht="19.5" hidden="1" customHeight="1" outlineLevel="1" x14ac:dyDescent="0.25">
      <c r="A11886" s="46">
        <v>10004</v>
      </c>
      <c r="B11886" s="4" t="s">
        <v>250</v>
      </c>
      <c r="C11886" s="22" t="s">
        <v>3061</v>
      </c>
      <c r="D11886" s="18">
        <v>2021</v>
      </c>
      <c r="E11886" s="18"/>
      <c r="F11886" s="4">
        <v>1</v>
      </c>
      <c r="G11886" s="4">
        <v>15</v>
      </c>
      <c r="H11886" s="4">
        <v>39.079680000000003</v>
      </c>
    </row>
    <row r="11887" spans="1:8" s="15" customFormat="1" ht="19.5" hidden="1" customHeight="1" outlineLevel="1" x14ac:dyDescent="0.25">
      <c r="A11887" s="46">
        <v>9994</v>
      </c>
      <c r="B11887" s="4" t="s">
        <v>250</v>
      </c>
      <c r="C11887" s="22" t="s">
        <v>3062</v>
      </c>
      <c r="D11887" s="18">
        <v>2021</v>
      </c>
      <c r="E11887" s="18"/>
      <c r="F11887" s="4">
        <v>1</v>
      </c>
      <c r="G11887" s="4">
        <v>15</v>
      </c>
      <c r="H11887" s="4">
        <v>35.673389999999998</v>
      </c>
    </row>
    <row r="11888" spans="1:8" s="15" customFormat="1" ht="19.5" hidden="1" customHeight="1" outlineLevel="1" x14ac:dyDescent="0.25">
      <c r="A11888" s="46">
        <v>9529</v>
      </c>
      <c r="B11888" s="4" t="s">
        <v>250</v>
      </c>
      <c r="C11888" s="22" t="s">
        <v>1751</v>
      </c>
      <c r="D11888" s="18">
        <v>2021</v>
      </c>
      <c r="E11888" s="18"/>
      <c r="F11888" s="4">
        <v>1</v>
      </c>
      <c r="G11888" s="4">
        <v>30</v>
      </c>
      <c r="H11888" s="4">
        <v>33.536740000000002</v>
      </c>
    </row>
    <row r="11889" spans="1:8" s="15" customFormat="1" ht="19.5" hidden="1" customHeight="1" outlineLevel="1" x14ac:dyDescent="0.25">
      <c r="A11889" s="45">
        <v>2357</v>
      </c>
      <c r="B11889" s="4" t="s">
        <v>250</v>
      </c>
      <c r="C11889" s="22" t="s">
        <v>2404</v>
      </c>
      <c r="D11889" s="18">
        <v>2021</v>
      </c>
      <c r="E11889" s="18"/>
      <c r="F11889" s="4">
        <v>2</v>
      </c>
      <c r="G11889" s="4">
        <v>55</v>
      </c>
      <c r="H11889" s="4">
        <v>70.225999999999999</v>
      </c>
    </row>
    <row r="11890" spans="1:8" s="15" customFormat="1" ht="19.5" hidden="1" customHeight="1" outlineLevel="1" x14ac:dyDescent="0.25">
      <c r="A11890" s="45">
        <v>2303</v>
      </c>
      <c r="B11890" s="4" t="s">
        <v>250</v>
      </c>
      <c r="C11890" s="22" t="s">
        <v>3063</v>
      </c>
      <c r="D11890" s="18">
        <v>2021</v>
      </c>
      <c r="E11890" s="18"/>
      <c r="F11890" s="4">
        <v>1</v>
      </c>
      <c r="G11890" s="4">
        <v>5</v>
      </c>
      <c r="H11890" s="4">
        <v>60.48471</v>
      </c>
    </row>
    <row r="11891" spans="1:8" s="15" customFormat="1" ht="19.5" hidden="1" customHeight="1" outlineLevel="1" x14ac:dyDescent="0.25">
      <c r="A11891" s="46">
        <v>10320</v>
      </c>
      <c r="B11891" s="4" t="s">
        <v>250</v>
      </c>
      <c r="C11891" s="22" t="s">
        <v>3064</v>
      </c>
      <c r="D11891" s="18">
        <v>2021</v>
      </c>
      <c r="E11891" s="18"/>
      <c r="F11891" s="4">
        <v>1</v>
      </c>
      <c r="G11891" s="4">
        <v>15</v>
      </c>
      <c r="H11891" s="4">
        <v>39.652230000000003</v>
      </c>
    </row>
    <row r="11892" spans="1:8" s="15" customFormat="1" ht="19.5" hidden="1" customHeight="1" outlineLevel="1" x14ac:dyDescent="0.25">
      <c r="A11892" s="45">
        <v>1852</v>
      </c>
      <c r="B11892" s="4" t="s">
        <v>250</v>
      </c>
      <c r="C11892" s="22" t="s">
        <v>3065</v>
      </c>
      <c r="D11892" s="18">
        <v>2021</v>
      </c>
      <c r="E11892" s="18"/>
      <c r="F11892" s="4">
        <v>1</v>
      </c>
      <c r="G11892" s="4">
        <v>15</v>
      </c>
      <c r="H11892" s="4">
        <v>38.358370000000001</v>
      </c>
    </row>
    <row r="11893" spans="1:8" s="15" customFormat="1" ht="19.5" hidden="1" customHeight="1" outlineLevel="1" x14ac:dyDescent="0.25">
      <c r="A11893" s="46">
        <v>9614</v>
      </c>
      <c r="B11893" s="4" t="s">
        <v>250</v>
      </c>
      <c r="C11893" s="22" t="s">
        <v>1966</v>
      </c>
      <c r="D11893" s="18">
        <v>2021</v>
      </c>
      <c r="E11893" s="18"/>
      <c r="F11893" s="4">
        <v>1</v>
      </c>
      <c r="G11893" s="4">
        <v>150</v>
      </c>
      <c r="H11893" s="4">
        <v>32.029339999999998</v>
      </c>
    </row>
    <row r="11894" spans="1:8" s="15" customFormat="1" ht="19.5" hidden="1" customHeight="1" outlineLevel="1" x14ac:dyDescent="0.25">
      <c r="A11894" s="46">
        <v>9827</v>
      </c>
      <c r="B11894" s="4" t="s">
        <v>250</v>
      </c>
      <c r="C11894" s="22" t="s">
        <v>1752</v>
      </c>
      <c r="D11894" s="18">
        <v>2021</v>
      </c>
      <c r="E11894" s="18"/>
      <c r="F11894" s="4">
        <v>1</v>
      </c>
      <c r="G11894" s="4">
        <v>50</v>
      </c>
      <c r="H11894" s="4">
        <v>30.99841</v>
      </c>
    </row>
    <row r="11895" spans="1:8" s="15" customFormat="1" ht="19.5" hidden="1" customHeight="1" outlineLevel="1" x14ac:dyDescent="0.25">
      <c r="A11895" s="45">
        <v>1841</v>
      </c>
      <c r="B11895" s="4" t="s">
        <v>250</v>
      </c>
      <c r="C11895" s="22" t="s">
        <v>3066</v>
      </c>
      <c r="D11895" s="18">
        <v>2021</v>
      </c>
      <c r="E11895" s="18"/>
      <c r="F11895" s="4">
        <v>1</v>
      </c>
      <c r="G11895" s="4">
        <v>15</v>
      </c>
      <c r="H11895" s="4">
        <v>42.183369999999996</v>
      </c>
    </row>
    <row r="11896" spans="1:8" s="15" customFormat="1" ht="19.5" hidden="1" customHeight="1" outlineLevel="1" x14ac:dyDescent="0.25">
      <c r="A11896" s="45">
        <v>1859</v>
      </c>
      <c r="B11896" s="4" t="s">
        <v>250</v>
      </c>
      <c r="C11896" s="22" t="s">
        <v>3067</v>
      </c>
      <c r="D11896" s="18">
        <v>2021</v>
      </c>
      <c r="E11896" s="18"/>
      <c r="F11896" s="4">
        <v>1</v>
      </c>
      <c r="G11896" s="4">
        <v>15</v>
      </c>
      <c r="H11896" s="4">
        <v>42.182600000000001</v>
      </c>
    </row>
    <row r="11897" spans="1:8" s="15" customFormat="1" ht="19.5" hidden="1" customHeight="1" outlineLevel="1" x14ac:dyDescent="0.25">
      <c r="A11897" s="45">
        <v>1855</v>
      </c>
      <c r="B11897" s="4" t="s">
        <v>250</v>
      </c>
      <c r="C11897" s="22" t="s">
        <v>3068</v>
      </c>
      <c r="D11897" s="18">
        <v>2021</v>
      </c>
      <c r="E11897" s="18"/>
      <c r="F11897" s="4">
        <v>1</v>
      </c>
      <c r="G11897" s="4">
        <v>15</v>
      </c>
      <c r="H11897" s="4">
        <v>49.439279999999997</v>
      </c>
    </row>
    <row r="11898" spans="1:8" s="15" customFormat="1" ht="19.5" hidden="1" customHeight="1" outlineLevel="1" x14ac:dyDescent="0.25">
      <c r="A11898" s="46">
        <v>9486</v>
      </c>
      <c r="B11898" s="4" t="s">
        <v>250</v>
      </c>
      <c r="C11898" s="22" t="s">
        <v>1753</v>
      </c>
      <c r="D11898" s="18">
        <v>2021</v>
      </c>
      <c r="E11898" s="18"/>
      <c r="F11898" s="4">
        <v>1</v>
      </c>
      <c r="G11898" s="4">
        <v>15</v>
      </c>
      <c r="H11898" s="4">
        <v>52.113630000000001</v>
      </c>
    </row>
    <row r="11899" spans="1:8" s="15" customFormat="1" ht="19.5" hidden="1" customHeight="1" outlineLevel="1" x14ac:dyDescent="0.25">
      <c r="A11899" s="46">
        <v>9767</v>
      </c>
      <c r="B11899" s="4" t="s">
        <v>250</v>
      </c>
      <c r="C11899" s="22" t="s">
        <v>1754</v>
      </c>
      <c r="D11899" s="18">
        <v>2021</v>
      </c>
      <c r="E11899" s="18"/>
      <c r="F11899" s="4">
        <v>1</v>
      </c>
      <c r="G11899" s="4">
        <v>15</v>
      </c>
      <c r="H11899" s="4">
        <v>40.444609999999997</v>
      </c>
    </row>
    <row r="11900" spans="1:8" s="15" customFormat="1" ht="19.5" hidden="1" customHeight="1" outlineLevel="1" x14ac:dyDescent="0.25">
      <c r="A11900" s="46">
        <v>9765</v>
      </c>
      <c r="B11900" s="4" t="s">
        <v>250</v>
      </c>
      <c r="C11900" s="22" t="s">
        <v>1755</v>
      </c>
      <c r="D11900" s="18">
        <v>2021</v>
      </c>
      <c r="E11900" s="18"/>
      <c r="F11900" s="4">
        <v>1</v>
      </c>
      <c r="G11900" s="4">
        <v>15</v>
      </c>
      <c r="H11900" s="4">
        <v>26.387989999999999</v>
      </c>
    </row>
    <row r="11901" spans="1:8" s="15" customFormat="1" ht="19.5" hidden="1" customHeight="1" outlineLevel="1" x14ac:dyDescent="0.25">
      <c r="A11901" s="46">
        <v>9761</v>
      </c>
      <c r="B11901" s="4" t="s">
        <v>250</v>
      </c>
      <c r="C11901" s="22" t="s">
        <v>1756</v>
      </c>
      <c r="D11901" s="18">
        <v>2021</v>
      </c>
      <c r="E11901" s="18"/>
      <c r="F11901" s="4">
        <v>1</v>
      </c>
      <c r="G11901" s="4">
        <v>15</v>
      </c>
      <c r="H11901" s="4">
        <v>23.469439999999999</v>
      </c>
    </row>
    <row r="11902" spans="1:8" s="15" customFormat="1" ht="19.5" hidden="1" customHeight="1" outlineLevel="1" x14ac:dyDescent="0.25">
      <c r="A11902" s="45">
        <v>1347</v>
      </c>
      <c r="B11902" s="4" t="s">
        <v>250</v>
      </c>
      <c r="C11902" s="22" t="s">
        <v>3069</v>
      </c>
      <c r="D11902" s="18">
        <v>2021</v>
      </c>
      <c r="E11902" s="18"/>
      <c r="F11902" s="4">
        <v>1</v>
      </c>
      <c r="G11902" s="4">
        <v>15</v>
      </c>
      <c r="H11902" s="4">
        <v>27.89113</v>
      </c>
    </row>
    <row r="11903" spans="1:8" s="15" customFormat="1" ht="19.5" hidden="1" customHeight="1" outlineLevel="1" x14ac:dyDescent="0.25">
      <c r="A11903" s="45">
        <v>1908</v>
      </c>
      <c r="B11903" s="4" t="s">
        <v>250</v>
      </c>
      <c r="C11903" s="22" t="s">
        <v>3070</v>
      </c>
      <c r="D11903" s="18">
        <v>2021</v>
      </c>
      <c r="E11903" s="18"/>
      <c r="F11903" s="4">
        <v>1</v>
      </c>
      <c r="G11903" s="4">
        <v>15</v>
      </c>
      <c r="H11903" s="4">
        <v>38.072830000000003</v>
      </c>
    </row>
    <row r="11904" spans="1:8" s="15" customFormat="1" ht="19.5" hidden="1" customHeight="1" outlineLevel="1" x14ac:dyDescent="0.25">
      <c r="A11904" s="45">
        <v>1834</v>
      </c>
      <c r="B11904" s="4" t="s">
        <v>250</v>
      </c>
      <c r="C11904" s="22" t="s">
        <v>3071</v>
      </c>
      <c r="D11904" s="18">
        <v>2021</v>
      </c>
      <c r="E11904" s="18"/>
      <c r="F11904" s="4">
        <v>1</v>
      </c>
      <c r="G11904" s="4">
        <v>15</v>
      </c>
      <c r="H11904" s="4">
        <v>57.68562</v>
      </c>
    </row>
    <row r="11905" spans="1:8" s="15" customFormat="1" ht="19.5" hidden="1" customHeight="1" outlineLevel="1" x14ac:dyDescent="0.25">
      <c r="A11905" s="46">
        <v>9995</v>
      </c>
      <c r="B11905" s="4" t="s">
        <v>250</v>
      </c>
      <c r="C11905" s="22" t="s">
        <v>3072</v>
      </c>
      <c r="D11905" s="18">
        <v>2021</v>
      </c>
      <c r="E11905" s="18"/>
      <c r="F11905" s="4">
        <v>1</v>
      </c>
      <c r="G11905" s="4">
        <v>5</v>
      </c>
      <c r="H11905" s="4">
        <v>44.859630000000003</v>
      </c>
    </row>
    <row r="11906" spans="1:8" s="15" customFormat="1" ht="19.5" hidden="1" customHeight="1" outlineLevel="1" x14ac:dyDescent="0.25">
      <c r="A11906" s="45">
        <v>1880</v>
      </c>
      <c r="B11906" s="4" t="s">
        <v>250</v>
      </c>
      <c r="C11906" s="22" t="s">
        <v>3073</v>
      </c>
      <c r="D11906" s="18">
        <v>2021</v>
      </c>
      <c r="E11906" s="18"/>
      <c r="F11906" s="4">
        <v>1</v>
      </c>
      <c r="G11906" s="4">
        <v>15</v>
      </c>
      <c r="H11906" s="4">
        <v>41.853540000000002</v>
      </c>
    </row>
    <row r="11907" spans="1:8" s="15" customFormat="1" ht="19.5" hidden="1" customHeight="1" outlineLevel="1" x14ac:dyDescent="0.25">
      <c r="A11907" s="45">
        <v>781</v>
      </c>
      <c r="B11907" s="4" t="s">
        <v>250</v>
      </c>
      <c r="C11907" s="22" t="s">
        <v>1760</v>
      </c>
      <c r="D11907" s="18">
        <v>2021</v>
      </c>
      <c r="E11907" s="18"/>
      <c r="F11907" s="4">
        <v>1</v>
      </c>
      <c r="G11907" s="4">
        <v>15</v>
      </c>
      <c r="H11907" s="4">
        <v>106.94925000000001</v>
      </c>
    </row>
    <row r="11908" spans="1:8" s="15" customFormat="1" ht="19.5" hidden="1" customHeight="1" outlineLevel="1" x14ac:dyDescent="0.25">
      <c r="A11908" s="46">
        <v>9866</v>
      </c>
      <c r="B11908" s="4" t="s">
        <v>250</v>
      </c>
      <c r="C11908" s="22" t="s">
        <v>1965</v>
      </c>
      <c r="D11908" s="18">
        <v>2021</v>
      </c>
      <c r="E11908" s="18"/>
      <c r="F11908" s="4">
        <v>1</v>
      </c>
      <c r="G11908" s="4">
        <v>15</v>
      </c>
      <c r="H11908" s="4">
        <v>29.371600000000001</v>
      </c>
    </row>
    <row r="11909" spans="1:8" s="15" customFormat="1" ht="19.5" hidden="1" customHeight="1" outlineLevel="1" x14ac:dyDescent="0.25">
      <c r="A11909" s="45">
        <v>1521</v>
      </c>
      <c r="B11909" s="4" t="s">
        <v>250</v>
      </c>
      <c r="C11909" s="22" t="s">
        <v>1761</v>
      </c>
      <c r="D11909" s="18">
        <v>2021</v>
      </c>
      <c r="E11909" s="18"/>
      <c r="F11909" s="4">
        <v>1</v>
      </c>
      <c r="G11909" s="4">
        <v>15</v>
      </c>
      <c r="H11909" s="4">
        <v>33.515659999999997</v>
      </c>
    </row>
    <row r="11910" spans="1:8" s="15" customFormat="1" ht="19.5" hidden="1" customHeight="1" outlineLevel="1" x14ac:dyDescent="0.25">
      <c r="A11910" s="45">
        <v>1773</v>
      </c>
      <c r="B11910" s="4" t="s">
        <v>250</v>
      </c>
      <c r="C11910" s="22" t="s">
        <v>3074</v>
      </c>
      <c r="D11910" s="18">
        <v>2021</v>
      </c>
      <c r="E11910" s="18"/>
      <c r="F11910" s="4">
        <v>1</v>
      </c>
      <c r="G11910" s="4">
        <v>15</v>
      </c>
      <c r="H11910" s="4">
        <v>35.529969999999999</v>
      </c>
    </row>
    <row r="11911" spans="1:8" s="15" customFormat="1" ht="19.5" hidden="1" customHeight="1" outlineLevel="1" x14ac:dyDescent="0.25">
      <c r="A11911" s="45">
        <v>1776</v>
      </c>
      <c r="B11911" s="4" t="s">
        <v>250</v>
      </c>
      <c r="C11911" s="22" t="s">
        <v>3075</v>
      </c>
      <c r="D11911" s="18">
        <v>2021</v>
      </c>
      <c r="E11911" s="18"/>
      <c r="F11911" s="4">
        <v>1</v>
      </c>
      <c r="G11911" s="4">
        <v>15</v>
      </c>
      <c r="H11911" s="4">
        <v>49.741019999999999</v>
      </c>
    </row>
    <row r="11912" spans="1:8" s="15" customFormat="1" ht="19.5" hidden="1" customHeight="1" outlineLevel="1" x14ac:dyDescent="0.25">
      <c r="A11912" s="45">
        <v>1788</v>
      </c>
      <c r="B11912" s="4" t="s">
        <v>250</v>
      </c>
      <c r="C11912" s="22" t="s">
        <v>3076</v>
      </c>
      <c r="D11912" s="18">
        <v>2021</v>
      </c>
      <c r="E11912" s="18"/>
      <c r="F11912" s="4">
        <v>1</v>
      </c>
      <c r="G11912" s="4">
        <v>15</v>
      </c>
      <c r="H11912" s="4">
        <v>49.480989999999998</v>
      </c>
    </row>
    <row r="11913" spans="1:8" s="15" customFormat="1" ht="19.5" hidden="1" customHeight="1" outlineLevel="1" x14ac:dyDescent="0.25">
      <c r="A11913" s="45">
        <v>1489</v>
      </c>
      <c r="B11913" s="4" t="s">
        <v>250</v>
      </c>
      <c r="C11913" s="22" t="s">
        <v>1762</v>
      </c>
      <c r="D11913" s="18">
        <v>2021</v>
      </c>
      <c r="E11913" s="18"/>
      <c r="F11913" s="4">
        <v>1</v>
      </c>
      <c r="G11913" s="4">
        <v>15</v>
      </c>
      <c r="H11913" s="4">
        <v>48.815849999999998</v>
      </c>
    </row>
    <row r="11914" spans="1:8" s="15" customFormat="1" ht="19.5" hidden="1" customHeight="1" outlineLevel="1" x14ac:dyDescent="0.25">
      <c r="A11914" s="46">
        <v>10314</v>
      </c>
      <c r="B11914" s="4" t="s">
        <v>250</v>
      </c>
      <c r="C11914" s="22" t="s">
        <v>2415</v>
      </c>
      <c r="D11914" s="18">
        <v>2021</v>
      </c>
      <c r="E11914" s="18"/>
      <c r="F11914" s="4">
        <v>2</v>
      </c>
      <c r="G11914" s="4">
        <v>30</v>
      </c>
      <c r="H11914" s="4">
        <v>64.214380000000006</v>
      </c>
    </row>
    <row r="11915" spans="1:8" s="15" customFormat="1" ht="19.5" hidden="1" customHeight="1" outlineLevel="1" x14ac:dyDescent="0.25">
      <c r="A11915" s="45">
        <v>2306</v>
      </c>
      <c r="B11915" s="4" t="s">
        <v>250</v>
      </c>
      <c r="C11915" s="22" t="s">
        <v>3077</v>
      </c>
      <c r="D11915" s="18">
        <v>2021</v>
      </c>
      <c r="E11915" s="18"/>
      <c r="F11915" s="4">
        <v>3</v>
      </c>
      <c r="G11915" s="4">
        <v>15</v>
      </c>
      <c r="H11915" s="4">
        <v>113.31865000000001</v>
      </c>
    </row>
    <row r="11916" spans="1:8" s="15" customFormat="1" ht="19.5" hidden="1" customHeight="1" outlineLevel="1" x14ac:dyDescent="0.25">
      <c r="A11916" s="45">
        <v>2412</v>
      </c>
      <c r="B11916" s="4" t="s">
        <v>250</v>
      </c>
      <c r="C11916" s="22" t="s">
        <v>2417</v>
      </c>
      <c r="D11916" s="18">
        <v>2021</v>
      </c>
      <c r="E11916" s="18"/>
      <c r="F11916" s="4">
        <v>2</v>
      </c>
      <c r="G11916" s="4">
        <v>25</v>
      </c>
      <c r="H11916" s="4">
        <v>65.427580000000006</v>
      </c>
    </row>
    <row r="11917" spans="1:8" s="15" customFormat="1" ht="19.5" hidden="1" customHeight="1" outlineLevel="1" x14ac:dyDescent="0.25">
      <c r="A11917" s="45">
        <v>2368</v>
      </c>
      <c r="B11917" s="4" t="s">
        <v>250</v>
      </c>
      <c r="C11917" s="22" t="s">
        <v>3078</v>
      </c>
      <c r="D11917" s="18">
        <v>2021</v>
      </c>
      <c r="E11917" s="18"/>
      <c r="F11917" s="4">
        <v>3</v>
      </c>
      <c r="G11917" s="4">
        <v>45</v>
      </c>
      <c r="H11917" s="4">
        <v>101.71357999999999</v>
      </c>
    </row>
    <row r="11918" spans="1:8" s="15" customFormat="1" ht="19.5" hidden="1" customHeight="1" outlineLevel="1" x14ac:dyDescent="0.25">
      <c r="A11918" s="45">
        <v>2302</v>
      </c>
      <c r="B11918" s="4" t="s">
        <v>250</v>
      </c>
      <c r="C11918" s="22" t="s">
        <v>2418</v>
      </c>
      <c r="D11918" s="18">
        <v>2021</v>
      </c>
      <c r="E11918" s="18"/>
      <c r="F11918" s="4">
        <v>1</v>
      </c>
      <c r="G11918" s="4">
        <v>15</v>
      </c>
      <c r="H11918" s="4">
        <v>18.893090000000001</v>
      </c>
    </row>
    <row r="11919" spans="1:8" s="15" customFormat="1" ht="19.5" hidden="1" customHeight="1" outlineLevel="1" x14ac:dyDescent="0.25">
      <c r="A11919" s="45">
        <v>1806</v>
      </c>
      <c r="B11919" s="4" t="s">
        <v>250</v>
      </c>
      <c r="C11919" s="22" t="s">
        <v>3079</v>
      </c>
      <c r="D11919" s="18">
        <v>2021</v>
      </c>
      <c r="E11919" s="18"/>
      <c r="F11919" s="4">
        <v>1</v>
      </c>
      <c r="G11919" s="4">
        <v>15</v>
      </c>
      <c r="H11919" s="4">
        <v>38.562359999999998</v>
      </c>
    </row>
    <row r="11920" spans="1:8" s="15" customFormat="1" ht="19.5" hidden="1" customHeight="1" outlineLevel="1" x14ac:dyDescent="0.25">
      <c r="A11920" s="45">
        <v>1808</v>
      </c>
      <c r="B11920" s="4" t="s">
        <v>250</v>
      </c>
      <c r="C11920" s="22" t="s">
        <v>3080</v>
      </c>
      <c r="D11920" s="18">
        <v>2021</v>
      </c>
      <c r="E11920" s="18"/>
      <c r="F11920" s="4">
        <v>1</v>
      </c>
      <c r="G11920" s="4">
        <v>15</v>
      </c>
      <c r="H11920" s="4">
        <v>35.062080000000002</v>
      </c>
    </row>
    <row r="11921" spans="1:8" s="15" customFormat="1" ht="19.5" hidden="1" customHeight="1" outlineLevel="1" x14ac:dyDescent="0.25">
      <c r="A11921" s="45">
        <v>1851</v>
      </c>
      <c r="B11921" s="4" t="s">
        <v>250</v>
      </c>
      <c r="C11921" s="22" t="s">
        <v>3081</v>
      </c>
      <c r="D11921" s="18">
        <v>2021</v>
      </c>
      <c r="E11921" s="18"/>
      <c r="F11921" s="4">
        <v>1</v>
      </c>
      <c r="G11921" s="4">
        <v>15</v>
      </c>
      <c r="H11921" s="4">
        <v>37.626690000000004</v>
      </c>
    </row>
    <row r="11922" spans="1:8" s="15" customFormat="1" ht="19.5" hidden="1" customHeight="1" outlineLevel="1" x14ac:dyDescent="0.25">
      <c r="A11922" s="45">
        <v>1918</v>
      </c>
      <c r="B11922" s="4" t="s">
        <v>250</v>
      </c>
      <c r="C11922" s="22" t="s">
        <v>3082</v>
      </c>
      <c r="D11922" s="18">
        <v>2021</v>
      </c>
      <c r="E11922" s="18"/>
      <c r="F11922" s="4">
        <v>1</v>
      </c>
      <c r="G11922" s="4">
        <v>15</v>
      </c>
      <c r="H11922" s="4">
        <v>33.585610000000003</v>
      </c>
    </row>
    <row r="11923" spans="1:8" s="15" customFormat="1" ht="19.5" hidden="1" customHeight="1" outlineLevel="1" x14ac:dyDescent="0.25">
      <c r="A11923" s="46">
        <v>10017</v>
      </c>
      <c r="B11923" s="4" t="s">
        <v>250</v>
      </c>
      <c r="C11923" s="22" t="s">
        <v>3083</v>
      </c>
      <c r="D11923" s="18">
        <v>2021</v>
      </c>
      <c r="E11923" s="18"/>
      <c r="F11923" s="4">
        <v>1</v>
      </c>
      <c r="G11923" s="4">
        <v>15</v>
      </c>
      <c r="H11923" s="4">
        <v>33.580190000000002</v>
      </c>
    </row>
    <row r="11924" spans="1:8" s="15" customFormat="1" ht="19.5" hidden="1" customHeight="1" outlineLevel="1" x14ac:dyDescent="0.25">
      <c r="A11924" s="45">
        <v>1805</v>
      </c>
      <c r="B11924" s="4" t="s">
        <v>250</v>
      </c>
      <c r="C11924" s="22" t="s">
        <v>3084</v>
      </c>
      <c r="D11924" s="18">
        <v>2021</v>
      </c>
      <c r="E11924" s="18"/>
      <c r="F11924" s="4">
        <v>1</v>
      </c>
      <c r="G11924" s="4">
        <v>10</v>
      </c>
      <c r="H11924" s="4">
        <v>43.535110000000003</v>
      </c>
    </row>
    <row r="11925" spans="1:8" s="15" customFormat="1" ht="19.5" hidden="1" customHeight="1" outlineLevel="1" x14ac:dyDescent="0.25">
      <c r="A11925" s="45">
        <v>1842</v>
      </c>
      <c r="B11925" s="4" t="s">
        <v>250</v>
      </c>
      <c r="C11925" s="22" t="s">
        <v>3085</v>
      </c>
      <c r="D11925" s="18">
        <v>2021</v>
      </c>
      <c r="E11925" s="18"/>
      <c r="F11925" s="4">
        <v>1</v>
      </c>
      <c r="G11925" s="4">
        <v>15</v>
      </c>
      <c r="H11925" s="4">
        <v>34.411850000000001</v>
      </c>
    </row>
    <row r="11926" spans="1:8" s="15" customFormat="1" ht="19.5" hidden="1" customHeight="1" outlineLevel="1" x14ac:dyDescent="0.25">
      <c r="A11926" s="46">
        <v>9996</v>
      </c>
      <c r="B11926" s="4" t="s">
        <v>250</v>
      </c>
      <c r="C11926" s="22" t="s">
        <v>3086</v>
      </c>
      <c r="D11926" s="18">
        <v>2021</v>
      </c>
      <c r="E11926" s="18"/>
      <c r="F11926" s="4">
        <v>1</v>
      </c>
      <c r="G11926" s="4">
        <v>15</v>
      </c>
      <c r="H11926" s="4">
        <v>35.121299999999998</v>
      </c>
    </row>
    <row r="11927" spans="1:8" s="15" customFormat="1" ht="19.5" hidden="1" customHeight="1" outlineLevel="1" x14ac:dyDescent="0.25">
      <c r="A11927" s="46">
        <v>10000</v>
      </c>
      <c r="B11927" s="4" t="s">
        <v>250</v>
      </c>
      <c r="C11927" s="22" t="s">
        <v>3087</v>
      </c>
      <c r="D11927" s="18">
        <v>2021</v>
      </c>
      <c r="E11927" s="18"/>
      <c r="F11927" s="4">
        <v>1</v>
      </c>
      <c r="G11927" s="4">
        <v>15</v>
      </c>
      <c r="H11927" s="4">
        <v>47.544490000000003</v>
      </c>
    </row>
    <row r="11928" spans="1:8" s="15" customFormat="1" ht="19.5" hidden="1" customHeight="1" outlineLevel="1" x14ac:dyDescent="0.25">
      <c r="A11928" s="45">
        <v>1871</v>
      </c>
      <c r="B11928" s="4" t="s">
        <v>250</v>
      </c>
      <c r="C11928" s="22" t="s">
        <v>3088</v>
      </c>
      <c r="D11928" s="18">
        <v>2021</v>
      </c>
      <c r="E11928" s="18"/>
      <c r="F11928" s="4">
        <v>1</v>
      </c>
      <c r="G11928" s="4">
        <v>15</v>
      </c>
      <c r="H11928" s="4">
        <v>32.226959999999998</v>
      </c>
    </row>
    <row r="11929" spans="1:8" s="15" customFormat="1" ht="19.5" hidden="1" customHeight="1" outlineLevel="1" x14ac:dyDescent="0.25">
      <c r="A11929" s="45">
        <v>1893</v>
      </c>
      <c r="B11929" s="4" t="s">
        <v>250</v>
      </c>
      <c r="C11929" s="22" t="s">
        <v>3089</v>
      </c>
      <c r="D11929" s="18">
        <v>2021</v>
      </c>
      <c r="E11929" s="18"/>
      <c r="F11929" s="4">
        <v>1</v>
      </c>
      <c r="G11929" s="4">
        <v>15</v>
      </c>
      <c r="H11929" s="4">
        <v>36.713929999999998</v>
      </c>
    </row>
    <row r="11930" spans="1:8" s="15" customFormat="1" ht="19.5" hidden="1" customHeight="1" outlineLevel="1" x14ac:dyDescent="0.25">
      <c r="A11930" s="45">
        <v>1896</v>
      </c>
      <c r="B11930" s="4" t="s">
        <v>250</v>
      </c>
      <c r="C11930" s="22" t="s">
        <v>3090</v>
      </c>
      <c r="D11930" s="18">
        <v>2021</v>
      </c>
      <c r="E11930" s="18"/>
      <c r="F11930" s="4">
        <v>1</v>
      </c>
      <c r="G11930" s="4">
        <v>15</v>
      </c>
      <c r="H11930" s="4">
        <v>34.355980000000002</v>
      </c>
    </row>
    <row r="11931" spans="1:8" s="15" customFormat="1" ht="19.5" hidden="1" customHeight="1" outlineLevel="1" x14ac:dyDescent="0.25">
      <c r="A11931" s="45">
        <v>1625</v>
      </c>
      <c r="B11931" s="4" t="s">
        <v>250</v>
      </c>
      <c r="C11931" s="22" t="s">
        <v>3091</v>
      </c>
      <c r="D11931" s="18">
        <v>2021</v>
      </c>
      <c r="E11931" s="18"/>
      <c r="F11931" s="4">
        <v>1</v>
      </c>
      <c r="G11931" s="4">
        <v>15</v>
      </c>
      <c r="H11931" s="4">
        <v>32.808799999999998</v>
      </c>
    </row>
    <row r="11932" spans="1:8" s="15" customFormat="1" ht="19.5" hidden="1" customHeight="1" outlineLevel="1" x14ac:dyDescent="0.25">
      <c r="A11932" s="45">
        <v>1594</v>
      </c>
      <c r="B11932" s="4" t="s">
        <v>250</v>
      </c>
      <c r="C11932" s="22" t="s">
        <v>3092</v>
      </c>
      <c r="D11932" s="18">
        <v>2021</v>
      </c>
      <c r="E11932" s="18"/>
      <c r="F11932" s="4">
        <v>1</v>
      </c>
      <c r="G11932" s="4">
        <v>15</v>
      </c>
      <c r="H11932" s="4">
        <v>35.161819999999999</v>
      </c>
    </row>
    <row r="11933" spans="1:8" s="15" customFormat="1" ht="19.5" hidden="1" customHeight="1" outlineLevel="1" x14ac:dyDescent="0.25">
      <c r="A11933" s="46">
        <v>9932</v>
      </c>
      <c r="B11933" s="4" t="s">
        <v>250</v>
      </c>
      <c r="C11933" s="22" t="s">
        <v>3093</v>
      </c>
      <c r="D11933" s="18">
        <v>2021</v>
      </c>
      <c r="E11933" s="18"/>
      <c r="F11933" s="4">
        <v>1</v>
      </c>
      <c r="G11933" s="4">
        <v>15</v>
      </c>
      <c r="H11933" s="4">
        <v>30.564419999999998</v>
      </c>
    </row>
    <row r="11934" spans="1:8" s="15" customFormat="1" ht="19.5" hidden="1" customHeight="1" outlineLevel="1" x14ac:dyDescent="0.25">
      <c r="A11934" s="45">
        <v>1618</v>
      </c>
      <c r="B11934" s="4" t="s">
        <v>250</v>
      </c>
      <c r="C11934" s="22" t="s">
        <v>3094</v>
      </c>
      <c r="D11934" s="18">
        <v>2021</v>
      </c>
      <c r="E11934" s="18"/>
      <c r="F11934" s="4">
        <v>1</v>
      </c>
      <c r="G11934" s="4">
        <v>15</v>
      </c>
      <c r="H11934" s="4">
        <v>32.597029999999997</v>
      </c>
    </row>
    <row r="11935" spans="1:8" s="15" customFormat="1" ht="19.5" hidden="1" customHeight="1" outlineLevel="1" x14ac:dyDescent="0.25">
      <c r="A11935" s="45">
        <v>1802</v>
      </c>
      <c r="B11935" s="4" t="s">
        <v>250</v>
      </c>
      <c r="C11935" s="22" t="s">
        <v>3095</v>
      </c>
      <c r="D11935" s="18">
        <v>2021</v>
      </c>
      <c r="E11935" s="18"/>
      <c r="F11935" s="4">
        <v>1</v>
      </c>
      <c r="G11935" s="4">
        <v>15</v>
      </c>
      <c r="H11935" s="4">
        <v>68.858459999999994</v>
      </c>
    </row>
    <row r="11936" spans="1:8" s="15" customFormat="1" ht="19.5" hidden="1" customHeight="1" outlineLevel="1" x14ac:dyDescent="0.25">
      <c r="A11936" s="46">
        <v>9447</v>
      </c>
      <c r="B11936" s="4" t="s">
        <v>250</v>
      </c>
      <c r="C11936" s="22" t="s">
        <v>1765</v>
      </c>
      <c r="D11936" s="18">
        <v>2021</v>
      </c>
      <c r="E11936" s="18"/>
      <c r="F11936" s="4">
        <v>1</v>
      </c>
      <c r="G11936" s="4">
        <v>10</v>
      </c>
      <c r="H11936" s="4">
        <v>17.491879999999998</v>
      </c>
    </row>
    <row r="11937" spans="1:8" s="15" customFormat="1" ht="19.5" hidden="1" customHeight="1" outlineLevel="1" x14ac:dyDescent="0.25">
      <c r="A11937" s="45">
        <v>1355</v>
      </c>
      <c r="B11937" s="4" t="s">
        <v>250</v>
      </c>
      <c r="C11937" s="22" t="s">
        <v>1766</v>
      </c>
      <c r="D11937" s="18">
        <v>2021</v>
      </c>
      <c r="E11937" s="18"/>
      <c r="F11937" s="4">
        <v>1</v>
      </c>
      <c r="G11937" s="4">
        <v>15</v>
      </c>
      <c r="H11937" s="4">
        <v>24.349589999999999</v>
      </c>
    </row>
    <row r="11938" spans="1:8" s="15" customFormat="1" ht="19.5" hidden="1" customHeight="1" outlineLevel="1" x14ac:dyDescent="0.25">
      <c r="A11938" s="46">
        <v>9954</v>
      </c>
      <c r="B11938" s="4" t="s">
        <v>250</v>
      </c>
      <c r="C11938" s="22" t="s">
        <v>3096</v>
      </c>
      <c r="D11938" s="18">
        <v>2021</v>
      </c>
      <c r="E11938" s="18"/>
      <c r="F11938" s="4">
        <v>1</v>
      </c>
      <c r="G11938" s="4">
        <v>15</v>
      </c>
      <c r="H11938" s="4">
        <v>31.400749999999999</v>
      </c>
    </row>
    <row r="11939" spans="1:8" s="15" customFormat="1" ht="19.5" hidden="1" customHeight="1" outlineLevel="1" x14ac:dyDescent="0.25">
      <c r="A11939" s="46">
        <v>9638</v>
      </c>
      <c r="B11939" s="4" t="s">
        <v>250</v>
      </c>
      <c r="C11939" s="22" t="s">
        <v>3097</v>
      </c>
      <c r="D11939" s="18">
        <v>2021</v>
      </c>
      <c r="E11939" s="18"/>
      <c r="F11939" s="4">
        <v>1</v>
      </c>
      <c r="G11939" s="4">
        <v>55</v>
      </c>
      <c r="H11939" s="4">
        <v>63.756729999999997</v>
      </c>
    </row>
    <row r="11940" spans="1:8" s="15" customFormat="1" ht="19.5" hidden="1" customHeight="1" outlineLevel="1" x14ac:dyDescent="0.25">
      <c r="A11940" s="46">
        <v>9908</v>
      </c>
      <c r="B11940" s="4" t="s">
        <v>250</v>
      </c>
      <c r="C11940" s="22" t="s">
        <v>3098</v>
      </c>
      <c r="D11940" s="18">
        <v>2021</v>
      </c>
      <c r="E11940" s="18"/>
      <c r="F11940" s="4">
        <v>1</v>
      </c>
      <c r="G11940" s="4">
        <v>120</v>
      </c>
      <c r="H11940" s="4">
        <v>49.672229999999999</v>
      </c>
    </row>
    <row r="11941" spans="1:8" s="15" customFormat="1" ht="19.5" hidden="1" customHeight="1" outlineLevel="1" x14ac:dyDescent="0.25">
      <c r="A11941" s="46">
        <v>10315</v>
      </c>
      <c r="B11941" s="4" t="s">
        <v>250</v>
      </c>
      <c r="C11941" s="22" t="s">
        <v>2427</v>
      </c>
      <c r="D11941" s="18">
        <v>2021</v>
      </c>
      <c r="E11941" s="18"/>
      <c r="F11941" s="4">
        <v>2</v>
      </c>
      <c r="G11941" s="4">
        <v>45</v>
      </c>
      <c r="H11941" s="4">
        <v>64.719809999999995</v>
      </c>
    </row>
    <row r="11942" spans="1:8" s="15" customFormat="1" ht="19.5" hidden="1" customHeight="1" outlineLevel="1" x14ac:dyDescent="0.25">
      <c r="A11942" s="46">
        <v>9456</v>
      </c>
      <c r="B11942" s="4" t="s">
        <v>250</v>
      </c>
      <c r="C11942" s="22" t="s">
        <v>1767</v>
      </c>
      <c r="D11942" s="18">
        <v>2021</v>
      </c>
      <c r="E11942" s="18"/>
      <c r="F11942" s="4">
        <v>1</v>
      </c>
      <c r="G11942" s="4">
        <v>15</v>
      </c>
      <c r="H11942" s="4">
        <v>22.914929999999998</v>
      </c>
    </row>
    <row r="11943" spans="1:8" s="15" customFormat="1" ht="19.5" hidden="1" customHeight="1" outlineLevel="1" x14ac:dyDescent="0.25">
      <c r="A11943" s="45">
        <v>1861</v>
      </c>
      <c r="B11943" s="4" t="s">
        <v>250</v>
      </c>
      <c r="C11943" s="22" t="s">
        <v>3099</v>
      </c>
      <c r="D11943" s="18">
        <v>2021</v>
      </c>
      <c r="E11943" s="18"/>
      <c r="F11943" s="4">
        <v>1</v>
      </c>
      <c r="G11943" s="4">
        <v>10</v>
      </c>
      <c r="H11943" s="4">
        <v>32.079149999999998</v>
      </c>
    </row>
    <row r="11944" spans="1:8" s="15" customFormat="1" ht="19.5" hidden="1" customHeight="1" outlineLevel="1" x14ac:dyDescent="0.25">
      <c r="A11944" s="45">
        <v>1356</v>
      </c>
      <c r="B11944" s="4" t="s">
        <v>250</v>
      </c>
      <c r="C11944" s="22" t="s">
        <v>1769</v>
      </c>
      <c r="D11944" s="18">
        <v>2021</v>
      </c>
      <c r="E11944" s="18"/>
      <c r="F11944" s="4">
        <v>1</v>
      </c>
      <c r="G11944" s="4">
        <v>15</v>
      </c>
      <c r="H11944" s="4">
        <v>29.333680000000001</v>
      </c>
    </row>
    <row r="11945" spans="1:8" s="15" customFormat="1" ht="19.5" hidden="1" customHeight="1" outlineLevel="1" x14ac:dyDescent="0.25">
      <c r="A11945" s="45">
        <v>2312</v>
      </c>
      <c r="B11945" s="4" t="s">
        <v>250</v>
      </c>
      <c r="C11945" s="22" t="s">
        <v>3100</v>
      </c>
      <c r="D11945" s="18">
        <v>2021</v>
      </c>
      <c r="E11945" s="18"/>
      <c r="F11945" s="4">
        <v>3</v>
      </c>
      <c r="G11945" s="4">
        <v>15</v>
      </c>
      <c r="H11945" s="4">
        <v>125.92418000000001</v>
      </c>
    </row>
    <row r="11946" spans="1:8" s="15" customFormat="1" ht="19.5" hidden="1" customHeight="1" outlineLevel="1" x14ac:dyDescent="0.25">
      <c r="A11946" s="45">
        <v>2464</v>
      </c>
      <c r="B11946" s="4" t="s">
        <v>250</v>
      </c>
      <c r="C11946" s="22" t="s">
        <v>3101</v>
      </c>
      <c r="D11946" s="18">
        <v>2021</v>
      </c>
      <c r="E11946" s="18"/>
      <c r="F11946" s="4">
        <v>1</v>
      </c>
      <c r="G11946" s="4">
        <v>15</v>
      </c>
      <c r="H11946" s="4">
        <v>42.797980000000003</v>
      </c>
    </row>
    <row r="11947" spans="1:8" s="15" customFormat="1" ht="19.5" hidden="1" customHeight="1" outlineLevel="1" x14ac:dyDescent="0.25">
      <c r="A11947" s="46">
        <v>9956</v>
      </c>
      <c r="B11947" s="4" t="s">
        <v>250</v>
      </c>
      <c r="C11947" s="22" t="s">
        <v>3102</v>
      </c>
      <c r="D11947" s="18">
        <v>2021</v>
      </c>
      <c r="E11947" s="18"/>
      <c r="F11947" s="4">
        <v>1</v>
      </c>
      <c r="G11947" s="4">
        <v>70</v>
      </c>
      <c r="H11947" s="4">
        <v>79.033510000000007</v>
      </c>
    </row>
    <row r="11948" spans="1:8" s="15" customFormat="1" ht="19.5" hidden="1" customHeight="1" outlineLevel="1" x14ac:dyDescent="0.25">
      <c r="A11948" s="45">
        <v>1843</v>
      </c>
      <c r="B11948" s="4" t="s">
        <v>250</v>
      </c>
      <c r="C11948" s="22" t="s">
        <v>3103</v>
      </c>
      <c r="D11948" s="18">
        <v>2021</v>
      </c>
      <c r="E11948" s="18"/>
      <c r="F11948" s="4">
        <v>1</v>
      </c>
      <c r="G11948" s="4">
        <v>15</v>
      </c>
      <c r="H11948" s="4">
        <v>34.774839999999998</v>
      </c>
    </row>
    <row r="11949" spans="1:8" s="15" customFormat="1" ht="19.5" hidden="1" customHeight="1" outlineLevel="1" x14ac:dyDescent="0.25">
      <c r="A11949" s="45">
        <v>1900</v>
      </c>
      <c r="B11949" s="4" t="s">
        <v>250</v>
      </c>
      <c r="C11949" s="22" t="s">
        <v>3104</v>
      </c>
      <c r="D11949" s="18">
        <v>2021</v>
      </c>
      <c r="E11949" s="18"/>
      <c r="F11949" s="4">
        <v>1</v>
      </c>
      <c r="G11949" s="4">
        <v>15</v>
      </c>
      <c r="H11949" s="4">
        <v>37.072049999999997</v>
      </c>
    </row>
    <row r="11950" spans="1:8" s="15" customFormat="1" ht="19.5" hidden="1" customHeight="1" outlineLevel="1" x14ac:dyDescent="0.25">
      <c r="A11950" s="45">
        <v>663</v>
      </c>
      <c r="B11950" s="4" t="s">
        <v>250</v>
      </c>
      <c r="C11950" s="22" t="s">
        <v>1873</v>
      </c>
      <c r="D11950" s="18">
        <v>2021</v>
      </c>
      <c r="E11950" s="18"/>
      <c r="F11950" s="4">
        <v>1</v>
      </c>
      <c r="G11950" s="4">
        <v>15</v>
      </c>
      <c r="H11950" s="4">
        <v>35.899679999999996</v>
      </c>
    </row>
    <row r="11951" spans="1:8" s="15" customFormat="1" ht="19.5" hidden="1" customHeight="1" outlineLevel="1" x14ac:dyDescent="0.25">
      <c r="A11951" s="46">
        <v>9766</v>
      </c>
      <c r="B11951" s="4" t="s">
        <v>250</v>
      </c>
      <c r="C11951" s="22" t="s">
        <v>1770</v>
      </c>
      <c r="D11951" s="18">
        <v>2021</v>
      </c>
      <c r="E11951" s="18"/>
      <c r="F11951" s="4">
        <v>1</v>
      </c>
      <c r="G11951" s="4">
        <v>15</v>
      </c>
      <c r="H11951" s="4">
        <v>23.669429999999998</v>
      </c>
    </row>
    <row r="11952" spans="1:8" s="15" customFormat="1" ht="19.5" hidden="1" customHeight="1" outlineLevel="1" x14ac:dyDescent="0.25">
      <c r="A11952" s="45">
        <v>2373</v>
      </c>
      <c r="B11952" s="4" t="s">
        <v>250</v>
      </c>
      <c r="C11952" s="22" t="s">
        <v>3105</v>
      </c>
      <c r="D11952" s="18">
        <v>2021</v>
      </c>
      <c r="E11952" s="18"/>
      <c r="F11952" s="4">
        <v>2</v>
      </c>
      <c r="G11952" s="4">
        <v>15</v>
      </c>
      <c r="H11952" s="4">
        <v>81.826570000000004</v>
      </c>
    </row>
    <row r="11953" spans="1:8" s="15" customFormat="1" ht="19.5" hidden="1" customHeight="1" outlineLevel="1" x14ac:dyDescent="0.25">
      <c r="A11953" s="45">
        <v>1839</v>
      </c>
      <c r="B11953" s="4" t="s">
        <v>250</v>
      </c>
      <c r="C11953" s="22" t="s">
        <v>3106</v>
      </c>
      <c r="D11953" s="18">
        <v>2021</v>
      </c>
      <c r="E11953" s="18"/>
      <c r="F11953" s="4">
        <v>1</v>
      </c>
      <c r="G11953" s="4">
        <v>10</v>
      </c>
      <c r="H11953" s="4">
        <v>27.366409999999998</v>
      </c>
    </row>
    <row r="11954" spans="1:8" s="15" customFormat="1" ht="19.5" hidden="1" customHeight="1" outlineLevel="1" x14ac:dyDescent="0.25">
      <c r="A11954" s="45">
        <v>1868</v>
      </c>
      <c r="B11954" s="4" t="s">
        <v>250</v>
      </c>
      <c r="C11954" s="22" t="s">
        <v>3107</v>
      </c>
      <c r="D11954" s="18">
        <v>2021</v>
      </c>
      <c r="E11954" s="18"/>
      <c r="F11954" s="4">
        <v>1</v>
      </c>
      <c r="G11954" s="4">
        <v>15</v>
      </c>
      <c r="H11954" s="4">
        <v>44.982520000000001</v>
      </c>
    </row>
    <row r="11955" spans="1:8" s="15" customFormat="1" ht="19.5" hidden="1" customHeight="1" outlineLevel="1" x14ac:dyDescent="0.25">
      <c r="A11955" s="45">
        <v>1887</v>
      </c>
      <c r="B11955" s="4" t="s">
        <v>250</v>
      </c>
      <c r="C11955" s="22" t="s">
        <v>3108</v>
      </c>
      <c r="D11955" s="18">
        <v>2021</v>
      </c>
      <c r="E11955" s="18"/>
      <c r="F11955" s="4">
        <v>1</v>
      </c>
      <c r="G11955" s="4">
        <v>15</v>
      </c>
      <c r="H11955" s="4">
        <v>38.619509999999998</v>
      </c>
    </row>
    <row r="11956" spans="1:8" s="15" customFormat="1" ht="19.5" hidden="1" customHeight="1" outlineLevel="1" x14ac:dyDescent="0.25">
      <c r="A11956" s="45">
        <v>1888</v>
      </c>
      <c r="B11956" s="4" t="s">
        <v>250</v>
      </c>
      <c r="C11956" s="22" t="s">
        <v>3109</v>
      </c>
      <c r="D11956" s="18">
        <v>2021</v>
      </c>
      <c r="E11956" s="18"/>
      <c r="F11956" s="4">
        <v>1</v>
      </c>
      <c r="G11956" s="4">
        <v>15</v>
      </c>
      <c r="H11956" s="4">
        <v>45.284500000000001</v>
      </c>
    </row>
    <row r="11957" spans="1:8" s="15" customFormat="1" ht="19.5" hidden="1" customHeight="1" outlineLevel="1" x14ac:dyDescent="0.25">
      <c r="A11957" s="45">
        <v>1921</v>
      </c>
      <c r="B11957" s="4" t="s">
        <v>250</v>
      </c>
      <c r="C11957" s="22" t="s">
        <v>3110</v>
      </c>
      <c r="D11957" s="18">
        <v>2021</v>
      </c>
      <c r="E11957" s="18"/>
      <c r="F11957" s="4">
        <v>1</v>
      </c>
      <c r="G11957" s="4">
        <v>15</v>
      </c>
      <c r="H11957" s="4">
        <v>37.362160000000003</v>
      </c>
    </row>
    <row r="11958" spans="1:8" s="15" customFormat="1" ht="19.5" hidden="1" customHeight="1" outlineLevel="1" x14ac:dyDescent="0.25">
      <c r="A11958" s="45">
        <v>1341</v>
      </c>
      <c r="B11958" s="4" t="s">
        <v>250</v>
      </c>
      <c r="C11958" s="22" t="s">
        <v>1771</v>
      </c>
      <c r="D11958" s="18">
        <v>2021</v>
      </c>
      <c r="E11958" s="18"/>
      <c r="F11958" s="4">
        <v>2</v>
      </c>
      <c r="G11958" s="4">
        <v>29</v>
      </c>
      <c r="H11958" s="4">
        <v>51.179389999999998</v>
      </c>
    </row>
    <row r="11959" spans="1:8" s="15" customFormat="1" ht="19.5" hidden="1" customHeight="1" outlineLevel="1" x14ac:dyDescent="0.25">
      <c r="A11959" s="45">
        <v>1798</v>
      </c>
      <c r="B11959" s="4" t="s">
        <v>250</v>
      </c>
      <c r="C11959" s="22" t="s">
        <v>3111</v>
      </c>
      <c r="D11959" s="18">
        <v>2021</v>
      </c>
      <c r="E11959" s="18"/>
      <c r="F11959" s="4">
        <v>1</v>
      </c>
      <c r="G11959" s="4">
        <v>15</v>
      </c>
      <c r="H11959" s="4">
        <v>44.308010000000003</v>
      </c>
    </row>
    <row r="11960" spans="1:8" s="15" customFormat="1" ht="19.5" hidden="1" customHeight="1" outlineLevel="1" x14ac:dyDescent="0.25">
      <c r="A11960" s="45">
        <v>1809</v>
      </c>
      <c r="B11960" s="4" t="s">
        <v>250</v>
      </c>
      <c r="C11960" s="22" t="s">
        <v>3112</v>
      </c>
      <c r="D11960" s="18">
        <v>2021</v>
      </c>
      <c r="E11960" s="18"/>
      <c r="F11960" s="4">
        <v>1</v>
      </c>
      <c r="G11960" s="4">
        <v>15</v>
      </c>
      <c r="H11960" s="4">
        <v>35.217179999999999</v>
      </c>
    </row>
    <row r="11961" spans="1:8" s="15" customFormat="1" ht="19.5" hidden="1" customHeight="1" outlineLevel="1" x14ac:dyDescent="0.25">
      <c r="A11961" s="45">
        <v>1820</v>
      </c>
      <c r="B11961" s="4" t="s">
        <v>250</v>
      </c>
      <c r="C11961" s="22" t="s">
        <v>3113</v>
      </c>
      <c r="D11961" s="18">
        <v>2021</v>
      </c>
      <c r="E11961" s="18"/>
      <c r="F11961" s="4">
        <v>1</v>
      </c>
      <c r="G11961" s="4">
        <v>15</v>
      </c>
      <c r="H11961" s="4">
        <v>39.086100000000002</v>
      </c>
    </row>
    <row r="11962" spans="1:8" s="15" customFormat="1" ht="19.5" hidden="1" customHeight="1" outlineLevel="1" x14ac:dyDescent="0.25">
      <c r="A11962" s="45">
        <v>1833</v>
      </c>
      <c r="B11962" s="4" t="s">
        <v>250</v>
      </c>
      <c r="C11962" s="22" t="s">
        <v>3114</v>
      </c>
      <c r="D11962" s="18">
        <v>2021</v>
      </c>
      <c r="E11962" s="18"/>
      <c r="F11962" s="4">
        <v>1</v>
      </c>
      <c r="G11962" s="4">
        <v>15</v>
      </c>
      <c r="H11962" s="4">
        <v>42.036250000000003</v>
      </c>
    </row>
    <row r="11963" spans="1:8" s="15" customFormat="1" ht="19.5" hidden="1" customHeight="1" outlineLevel="1" x14ac:dyDescent="0.25">
      <c r="A11963" s="45">
        <v>1837</v>
      </c>
      <c r="B11963" s="4" t="s">
        <v>250</v>
      </c>
      <c r="C11963" s="22" t="s">
        <v>3115</v>
      </c>
      <c r="D11963" s="18">
        <v>2021</v>
      </c>
      <c r="E11963" s="18"/>
      <c r="F11963" s="4">
        <v>1</v>
      </c>
      <c r="G11963" s="4">
        <v>15</v>
      </c>
      <c r="H11963" s="4">
        <v>36.693980000000003</v>
      </c>
    </row>
    <row r="11964" spans="1:8" s="15" customFormat="1" ht="19.5" hidden="1" customHeight="1" outlineLevel="1" x14ac:dyDescent="0.25">
      <c r="A11964" s="45">
        <v>1866</v>
      </c>
      <c r="B11964" s="4" t="s">
        <v>250</v>
      </c>
      <c r="C11964" s="22" t="s">
        <v>3116</v>
      </c>
      <c r="D11964" s="18">
        <v>2021</v>
      </c>
      <c r="E11964" s="18"/>
      <c r="F11964" s="4">
        <v>1</v>
      </c>
      <c r="G11964" s="4">
        <v>15</v>
      </c>
      <c r="H11964" s="4">
        <v>39.158639999999998</v>
      </c>
    </row>
    <row r="11965" spans="1:8" s="15" customFormat="1" ht="19.5" hidden="1" customHeight="1" outlineLevel="1" x14ac:dyDescent="0.25">
      <c r="A11965" s="46">
        <v>10005</v>
      </c>
      <c r="B11965" s="4" t="s">
        <v>250</v>
      </c>
      <c r="C11965" s="22" t="s">
        <v>3117</v>
      </c>
      <c r="D11965" s="18">
        <v>2021</v>
      </c>
      <c r="E11965" s="18"/>
      <c r="F11965" s="4">
        <v>1</v>
      </c>
      <c r="G11965" s="4">
        <v>10</v>
      </c>
      <c r="H11965" s="4">
        <v>29.915099999999999</v>
      </c>
    </row>
    <row r="11966" spans="1:8" s="15" customFormat="1" ht="19.5" hidden="1" customHeight="1" outlineLevel="1" x14ac:dyDescent="0.25">
      <c r="A11966" s="45">
        <v>1870</v>
      </c>
      <c r="B11966" s="4" t="s">
        <v>250</v>
      </c>
      <c r="C11966" s="22" t="s">
        <v>3118</v>
      </c>
      <c r="D11966" s="18">
        <v>2021</v>
      </c>
      <c r="E11966" s="18"/>
      <c r="F11966" s="4">
        <v>1</v>
      </c>
      <c r="G11966" s="4">
        <v>15</v>
      </c>
      <c r="H11966" s="4">
        <v>43.387810000000002</v>
      </c>
    </row>
    <row r="11967" spans="1:8" s="15" customFormat="1" ht="19.5" hidden="1" customHeight="1" outlineLevel="1" x14ac:dyDescent="0.25">
      <c r="A11967" s="45">
        <v>1874</v>
      </c>
      <c r="B11967" s="4" t="s">
        <v>250</v>
      </c>
      <c r="C11967" s="22" t="s">
        <v>3119</v>
      </c>
      <c r="D11967" s="18">
        <v>2021</v>
      </c>
      <c r="E11967" s="18"/>
      <c r="F11967" s="4">
        <v>1</v>
      </c>
      <c r="G11967" s="4">
        <v>15</v>
      </c>
      <c r="H11967" s="4">
        <v>37.959159999999997</v>
      </c>
    </row>
    <row r="11968" spans="1:8" s="15" customFormat="1" ht="19.5" hidden="1" customHeight="1" outlineLevel="1" x14ac:dyDescent="0.25">
      <c r="A11968" s="45">
        <v>1885</v>
      </c>
      <c r="B11968" s="4" t="s">
        <v>250</v>
      </c>
      <c r="C11968" s="22" t="s">
        <v>3120</v>
      </c>
      <c r="D11968" s="18">
        <v>2021</v>
      </c>
      <c r="E11968" s="18"/>
      <c r="F11968" s="4">
        <v>1</v>
      </c>
      <c r="G11968" s="4">
        <v>15</v>
      </c>
      <c r="H11968" s="4">
        <v>47.65061</v>
      </c>
    </row>
    <row r="11969" spans="1:8" s="15" customFormat="1" ht="19.5" hidden="1" customHeight="1" outlineLevel="1" x14ac:dyDescent="0.25">
      <c r="A11969" s="45">
        <v>1932</v>
      </c>
      <c r="B11969" s="4" t="s">
        <v>250</v>
      </c>
      <c r="C11969" s="22" t="s">
        <v>3121</v>
      </c>
      <c r="D11969" s="18">
        <v>2021</v>
      </c>
      <c r="E11969" s="18"/>
      <c r="F11969" s="4">
        <v>1</v>
      </c>
      <c r="G11969" s="4">
        <v>15</v>
      </c>
      <c r="H11969" s="4">
        <v>37.448909999999998</v>
      </c>
    </row>
    <row r="11970" spans="1:8" s="15" customFormat="1" ht="19.5" hidden="1" customHeight="1" outlineLevel="1" x14ac:dyDescent="0.25">
      <c r="A11970" s="46">
        <v>10319</v>
      </c>
      <c r="B11970" s="4" t="s">
        <v>250</v>
      </c>
      <c r="C11970" s="22" t="s">
        <v>3122</v>
      </c>
      <c r="D11970" s="18">
        <v>2021</v>
      </c>
      <c r="E11970" s="18"/>
      <c r="F11970" s="4">
        <v>1</v>
      </c>
      <c r="G11970" s="4">
        <v>15</v>
      </c>
      <c r="H11970" s="4">
        <v>42.189540000000001</v>
      </c>
    </row>
    <row r="11971" spans="1:8" s="15" customFormat="1" ht="19.5" hidden="1" customHeight="1" outlineLevel="1" x14ac:dyDescent="0.25">
      <c r="A11971" s="46">
        <v>9873</v>
      </c>
      <c r="B11971" s="4" t="s">
        <v>250</v>
      </c>
      <c r="C11971" s="22" t="s">
        <v>1773</v>
      </c>
      <c r="D11971" s="18">
        <v>2021</v>
      </c>
      <c r="E11971" s="18"/>
      <c r="F11971" s="4">
        <v>1</v>
      </c>
      <c r="G11971" s="4">
        <v>10</v>
      </c>
      <c r="H11971" s="4">
        <v>31.405729999999998</v>
      </c>
    </row>
    <row r="11972" spans="1:8" s="15" customFormat="1" ht="19.5" hidden="1" customHeight="1" outlineLevel="1" x14ac:dyDescent="0.25">
      <c r="A11972" s="46">
        <v>9812</v>
      </c>
      <c r="B11972" s="4" t="s">
        <v>250</v>
      </c>
      <c r="C11972" s="22" t="s">
        <v>1968</v>
      </c>
      <c r="D11972" s="18">
        <v>2021</v>
      </c>
      <c r="E11972" s="18"/>
      <c r="F11972" s="4">
        <v>1</v>
      </c>
      <c r="G11972" s="4">
        <v>15</v>
      </c>
      <c r="H11972" s="4">
        <v>141.60095000000001</v>
      </c>
    </row>
    <row r="11973" spans="1:8" s="15" customFormat="1" ht="19.5" hidden="1" customHeight="1" outlineLevel="1" x14ac:dyDescent="0.25">
      <c r="A11973" s="46">
        <v>9616</v>
      </c>
      <c r="B11973" s="4" t="s">
        <v>250</v>
      </c>
      <c r="C11973" s="22" t="s">
        <v>1875</v>
      </c>
      <c r="D11973" s="18">
        <v>2021</v>
      </c>
      <c r="E11973" s="18"/>
      <c r="F11973" s="4">
        <v>1</v>
      </c>
      <c r="G11973" s="4">
        <v>150</v>
      </c>
      <c r="H11973" s="4">
        <v>20.370419999999999</v>
      </c>
    </row>
    <row r="11974" spans="1:8" s="15" customFormat="1" ht="19.5" hidden="1" customHeight="1" outlineLevel="1" x14ac:dyDescent="0.25">
      <c r="A11974" s="45">
        <v>1775</v>
      </c>
      <c r="B11974" s="4" t="s">
        <v>250</v>
      </c>
      <c r="C11974" s="22" t="s">
        <v>3123</v>
      </c>
      <c r="D11974" s="18">
        <v>2021</v>
      </c>
      <c r="E11974" s="18"/>
      <c r="F11974" s="4">
        <v>1</v>
      </c>
      <c r="G11974" s="4">
        <v>15</v>
      </c>
      <c r="H11974" s="4">
        <v>43.968699999999998</v>
      </c>
    </row>
    <row r="11975" spans="1:8" s="15" customFormat="1" ht="19.5" hidden="1" customHeight="1" outlineLevel="1" x14ac:dyDescent="0.25">
      <c r="A11975" s="46">
        <v>9446</v>
      </c>
      <c r="B11975" s="4" t="s">
        <v>250</v>
      </c>
      <c r="C11975" s="22" t="s">
        <v>1876</v>
      </c>
      <c r="D11975" s="18">
        <v>2021</v>
      </c>
      <c r="E11975" s="18"/>
      <c r="F11975" s="4">
        <v>1</v>
      </c>
      <c r="G11975" s="4">
        <v>150</v>
      </c>
      <c r="H11975" s="4">
        <v>22.662559999999999</v>
      </c>
    </row>
    <row r="11976" spans="1:8" s="15" customFormat="1" ht="19.5" hidden="1" customHeight="1" outlineLevel="1" x14ac:dyDescent="0.25">
      <c r="A11976" s="46">
        <v>10312</v>
      </c>
      <c r="B11976" s="4" t="s">
        <v>250</v>
      </c>
      <c r="C11976" s="22" t="s">
        <v>3124</v>
      </c>
      <c r="D11976" s="18">
        <v>2021</v>
      </c>
      <c r="E11976" s="18"/>
      <c r="F11976" s="4">
        <v>3</v>
      </c>
      <c r="G11976" s="4">
        <v>5</v>
      </c>
      <c r="H11976" s="4">
        <v>95.581050000000005</v>
      </c>
    </row>
    <row r="11977" spans="1:8" s="15" customFormat="1" ht="19.5" hidden="1" customHeight="1" outlineLevel="1" x14ac:dyDescent="0.25">
      <c r="A11977" s="45">
        <v>2305</v>
      </c>
      <c r="B11977" s="4" t="s">
        <v>250</v>
      </c>
      <c r="C11977" s="22" t="s">
        <v>3125</v>
      </c>
      <c r="D11977" s="18">
        <v>2021</v>
      </c>
      <c r="E11977" s="18"/>
      <c r="F11977" s="4">
        <v>3</v>
      </c>
      <c r="G11977" s="4">
        <v>15</v>
      </c>
      <c r="H11977" s="4">
        <v>95.540430000000001</v>
      </c>
    </row>
    <row r="11978" spans="1:8" s="15" customFormat="1" ht="19.5" hidden="1" customHeight="1" outlineLevel="1" x14ac:dyDescent="0.25">
      <c r="A11978" s="45">
        <v>2311</v>
      </c>
      <c r="B11978" s="4" t="s">
        <v>250</v>
      </c>
      <c r="C11978" s="22" t="s">
        <v>3126</v>
      </c>
      <c r="D11978" s="18">
        <v>2021</v>
      </c>
      <c r="E11978" s="18"/>
      <c r="F11978" s="4">
        <v>2</v>
      </c>
      <c r="G11978" s="4">
        <v>15</v>
      </c>
      <c r="H11978" s="4">
        <v>63.374809999999997</v>
      </c>
    </row>
    <row r="11979" spans="1:8" s="15" customFormat="1" ht="19.5" hidden="1" customHeight="1" outlineLevel="1" x14ac:dyDescent="0.25">
      <c r="A11979" s="46">
        <v>10014</v>
      </c>
      <c r="B11979" s="4" t="s">
        <v>250</v>
      </c>
      <c r="C11979" s="22" t="s">
        <v>3127</v>
      </c>
      <c r="D11979" s="18">
        <v>2021</v>
      </c>
      <c r="E11979" s="18"/>
      <c r="F11979" s="4">
        <v>1</v>
      </c>
      <c r="G11979" s="4">
        <v>5.5</v>
      </c>
      <c r="H11979" s="4">
        <v>34.326709999999999</v>
      </c>
    </row>
    <row r="11980" spans="1:8" s="15" customFormat="1" ht="19.5" hidden="1" customHeight="1" outlineLevel="1" x14ac:dyDescent="0.25">
      <c r="A11980" s="45">
        <v>1832</v>
      </c>
      <c r="B11980" s="4" t="s">
        <v>250</v>
      </c>
      <c r="C11980" s="22" t="s">
        <v>3128</v>
      </c>
      <c r="D11980" s="18">
        <v>2021</v>
      </c>
      <c r="E11980" s="18"/>
      <c r="F11980" s="4">
        <v>1</v>
      </c>
      <c r="G11980" s="4">
        <v>15</v>
      </c>
      <c r="H11980" s="4">
        <v>36.588949999999997</v>
      </c>
    </row>
    <row r="11981" spans="1:8" s="15" customFormat="1" ht="19.5" hidden="1" customHeight="1" outlineLevel="1" x14ac:dyDescent="0.25">
      <c r="A11981" s="45">
        <v>1813</v>
      </c>
      <c r="B11981" s="4" t="s">
        <v>250</v>
      </c>
      <c r="C11981" s="22" t="s">
        <v>3129</v>
      </c>
      <c r="D11981" s="18">
        <v>2021</v>
      </c>
      <c r="E11981" s="18"/>
      <c r="F11981" s="4">
        <v>1</v>
      </c>
      <c r="G11981" s="4">
        <v>15</v>
      </c>
      <c r="H11981" s="4">
        <v>42.258719999999997</v>
      </c>
    </row>
    <row r="11982" spans="1:8" s="15" customFormat="1" ht="19.5" hidden="1" customHeight="1" outlineLevel="1" x14ac:dyDescent="0.25">
      <c r="A11982" s="46">
        <v>9986</v>
      </c>
      <c r="B11982" s="4" t="s">
        <v>250</v>
      </c>
      <c r="C11982" s="22" t="s">
        <v>3130</v>
      </c>
      <c r="D11982" s="18">
        <v>2021</v>
      </c>
      <c r="E11982" s="18"/>
      <c r="F11982" s="4">
        <v>1</v>
      </c>
      <c r="G11982" s="4">
        <v>15</v>
      </c>
      <c r="H11982" s="4">
        <v>41.429299999999998</v>
      </c>
    </row>
    <row r="11983" spans="1:8" s="15" customFormat="1" ht="19.5" hidden="1" customHeight="1" outlineLevel="1" x14ac:dyDescent="0.25">
      <c r="A11983" s="46">
        <v>9990</v>
      </c>
      <c r="B11983" s="4" t="s">
        <v>250</v>
      </c>
      <c r="C11983" s="22" t="s">
        <v>3131</v>
      </c>
      <c r="D11983" s="18">
        <v>2021</v>
      </c>
      <c r="E11983" s="18"/>
      <c r="F11983" s="4">
        <v>1</v>
      </c>
      <c r="G11983" s="4">
        <v>15</v>
      </c>
      <c r="H11983" s="4">
        <v>31.762111999999998</v>
      </c>
    </row>
    <row r="11984" spans="1:8" s="15" customFormat="1" ht="19.5" hidden="1" customHeight="1" outlineLevel="1" x14ac:dyDescent="0.25">
      <c r="A11984" s="45">
        <v>1799</v>
      </c>
      <c r="B11984" s="4" t="s">
        <v>250</v>
      </c>
      <c r="C11984" s="22" t="s">
        <v>3132</v>
      </c>
      <c r="D11984" s="18">
        <v>2021</v>
      </c>
      <c r="E11984" s="18"/>
      <c r="F11984" s="4">
        <v>1</v>
      </c>
      <c r="G11984" s="4">
        <v>8</v>
      </c>
      <c r="H11984" s="4">
        <v>43.07255</v>
      </c>
    </row>
    <row r="11985" spans="1:8" s="15" customFormat="1" ht="19.5" hidden="1" customHeight="1" outlineLevel="1" x14ac:dyDescent="0.25">
      <c r="A11985" s="46">
        <v>9985</v>
      </c>
      <c r="B11985" s="4" t="s">
        <v>250</v>
      </c>
      <c r="C11985" s="22" t="s">
        <v>3133</v>
      </c>
      <c r="D11985" s="18">
        <v>2021</v>
      </c>
      <c r="E11985" s="18"/>
      <c r="F11985" s="4">
        <v>1</v>
      </c>
      <c r="G11985" s="4">
        <v>15</v>
      </c>
      <c r="H11985" s="4">
        <v>39.850029999999997</v>
      </c>
    </row>
    <row r="11986" spans="1:8" s="15" customFormat="1" ht="19.5" hidden="1" customHeight="1" outlineLevel="1" x14ac:dyDescent="0.25">
      <c r="A11986" s="45">
        <v>1914</v>
      </c>
      <c r="B11986" s="4" t="s">
        <v>250</v>
      </c>
      <c r="C11986" s="22" t="s">
        <v>3134</v>
      </c>
      <c r="D11986" s="18">
        <v>2021</v>
      </c>
      <c r="E11986" s="18"/>
      <c r="F11986" s="4">
        <v>1</v>
      </c>
      <c r="G11986" s="4">
        <v>15</v>
      </c>
      <c r="H11986" s="4">
        <v>35.200229999999998</v>
      </c>
    </row>
    <row r="11987" spans="1:8" s="15" customFormat="1" ht="19.5" hidden="1" customHeight="1" outlineLevel="1" x14ac:dyDescent="0.25">
      <c r="A11987" s="46">
        <v>10021</v>
      </c>
      <c r="B11987" s="4" t="s">
        <v>250</v>
      </c>
      <c r="C11987" s="22" t="s">
        <v>3135</v>
      </c>
      <c r="D11987" s="18">
        <v>2021</v>
      </c>
      <c r="E11987" s="18"/>
      <c r="F11987" s="4">
        <v>1</v>
      </c>
      <c r="G11987" s="4">
        <v>15</v>
      </c>
      <c r="H11987" s="4">
        <v>35.490940000000002</v>
      </c>
    </row>
    <row r="11988" spans="1:8" s="15" customFormat="1" ht="19.5" hidden="1" customHeight="1" outlineLevel="1" x14ac:dyDescent="0.25">
      <c r="A11988" s="46">
        <v>9491</v>
      </c>
      <c r="B11988" s="4" t="s">
        <v>250</v>
      </c>
      <c r="C11988" s="22" t="s">
        <v>1776</v>
      </c>
      <c r="D11988" s="18">
        <v>2021</v>
      </c>
      <c r="E11988" s="18"/>
      <c r="F11988" s="4">
        <v>1</v>
      </c>
      <c r="G11988" s="4">
        <v>10</v>
      </c>
      <c r="H11988" s="4">
        <v>82.671589999999995</v>
      </c>
    </row>
    <row r="11989" spans="1:8" s="15" customFormat="1" ht="19.5" hidden="1" customHeight="1" outlineLevel="1" x14ac:dyDescent="0.25">
      <c r="A11989" s="45">
        <v>722</v>
      </c>
      <c r="B11989" s="4" t="s">
        <v>250</v>
      </c>
      <c r="C11989" s="22" t="s">
        <v>1777</v>
      </c>
      <c r="D11989" s="18">
        <v>2021</v>
      </c>
      <c r="E11989" s="18"/>
      <c r="F11989" s="4">
        <v>1</v>
      </c>
      <c r="G11989" s="4">
        <v>15</v>
      </c>
      <c r="H11989" s="4">
        <v>35.550350000000002</v>
      </c>
    </row>
    <row r="11990" spans="1:8" s="15" customFormat="1" ht="19.5" hidden="1" customHeight="1" outlineLevel="1" x14ac:dyDescent="0.25">
      <c r="A11990" s="46">
        <v>9269</v>
      </c>
      <c r="B11990" s="4" t="s">
        <v>250</v>
      </c>
      <c r="C11990" s="22" t="s">
        <v>1778</v>
      </c>
      <c r="D11990" s="18">
        <v>2021</v>
      </c>
      <c r="E11990" s="18"/>
      <c r="F11990" s="4">
        <v>1</v>
      </c>
      <c r="G11990" s="4">
        <v>15</v>
      </c>
      <c r="H11990" s="4">
        <v>34.822130000000001</v>
      </c>
    </row>
    <row r="11991" spans="1:8" s="15" customFormat="1" ht="19.5" hidden="1" customHeight="1" outlineLevel="1" x14ac:dyDescent="0.25">
      <c r="A11991" s="46">
        <v>9768</v>
      </c>
      <c r="B11991" s="4" t="s">
        <v>250</v>
      </c>
      <c r="C11991" s="22" t="s">
        <v>1969</v>
      </c>
      <c r="D11991" s="18">
        <v>2021</v>
      </c>
      <c r="E11991" s="18"/>
      <c r="F11991" s="4">
        <v>1</v>
      </c>
      <c r="G11991" s="4">
        <v>98</v>
      </c>
      <c r="H11991" s="4">
        <v>35.262630000000001</v>
      </c>
    </row>
    <row r="11992" spans="1:8" s="15" customFormat="1" ht="19.5" hidden="1" customHeight="1" outlineLevel="1" x14ac:dyDescent="0.25">
      <c r="A11992" s="45">
        <v>1592</v>
      </c>
      <c r="B11992" s="4" t="s">
        <v>250</v>
      </c>
      <c r="C11992" s="22" t="s">
        <v>3136</v>
      </c>
      <c r="D11992" s="18">
        <v>2021</v>
      </c>
      <c r="E11992" s="18"/>
      <c r="F11992" s="4">
        <v>1</v>
      </c>
      <c r="G11992" s="4">
        <v>15</v>
      </c>
      <c r="H11992" s="4">
        <v>42.335329999999999</v>
      </c>
    </row>
    <row r="11993" spans="1:8" s="15" customFormat="1" ht="19.5" hidden="1" customHeight="1" outlineLevel="1" x14ac:dyDescent="0.25">
      <c r="A11993" s="45">
        <v>2256</v>
      </c>
      <c r="B11993" s="4" t="s">
        <v>250</v>
      </c>
      <c r="C11993" s="22" t="s">
        <v>3137</v>
      </c>
      <c r="D11993" s="18">
        <v>2021</v>
      </c>
      <c r="E11993" s="18"/>
      <c r="F11993" s="4">
        <v>3</v>
      </c>
      <c r="G11993" s="4">
        <v>15</v>
      </c>
      <c r="H11993" s="4">
        <v>129.29483999999999</v>
      </c>
    </row>
    <row r="11994" spans="1:8" s="15" customFormat="1" ht="19.5" hidden="1" customHeight="1" outlineLevel="1" x14ac:dyDescent="0.25">
      <c r="A11994" s="45">
        <v>1879</v>
      </c>
      <c r="B11994" s="4" t="s">
        <v>250</v>
      </c>
      <c r="C11994" s="22" t="s">
        <v>3138</v>
      </c>
      <c r="D11994" s="18">
        <v>2021</v>
      </c>
      <c r="E11994" s="18"/>
      <c r="F11994" s="4">
        <v>1</v>
      </c>
      <c r="G11994" s="4">
        <v>15</v>
      </c>
      <c r="H11994" s="4">
        <v>44.3949</v>
      </c>
    </row>
    <row r="11995" spans="1:8" s="15" customFormat="1" ht="19.5" hidden="1" customHeight="1" outlineLevel="1" x14ac:dyDescent="0.25">
      <c r="A11995" s="46">
        <v>9755</v>
      </c>
      <c r="B11995" s="4" t="s">
        <v>250</v>
      </c>
      <c r="C11995" s="22" t="s">
        <v>1781</v>
      </c>
      <c r="D11995" s="18">
        <v>2021</v>
      </c>
      <c r="E11995" s="18"/>
      <c r="F11995" s="4">
        <v>1</v>
      </c>
      <c r="G11995" s="4">
        <v>15</v>
      </c>
      <c r="H11995" s="4">
        <v>31.244689999999999</v>
      </c>
    </row>
    <row r="11996" spans="1:8" s="15" customFormat="1" ht="19.5" hidden="1" customHeight="1" outlineLevel="1" x14ac:dyDescent="0.25">
      <c r="A11996" s="45">
        <v>1922</v>
      </c>
      <c r="B11996" s="4" t="s">
        <v>250</v>
      </c>
      <c r="C11996" s="22" t="s">
        <v>3139</v>
      </c>
      <c r="D11996" s="18">
        <v>2021</v>
      </c>
      <c r="E11996" s="18"/>
      <c r="F11996" s="4">
        <v>1</v>
      </c>
      <c r="G11996" s="4">
        <v>15</v>
      </c>
      <c r="H11996" s="4">
        <v>41.561950000000003</v>
      </c>
    </row>
    <row r="11997" spans="1:8" s="15" customFormat="1" ht="19.5" hidden="1" customHeight="1" outlineLevel="1" x14ac:dyDescent="0.25">
      <c r="A11997" s="45">
        <v>1884</v>
      </c>
      <c r="B11997" s="4" t="s">
        <v>250</v>
      </c>
      <c r="C11997" s="22" t="s">
        <v>3140</v>
      </c>
      <c r="D11997" s="18">
        <v>2021</v>
      </c>
      <c r="E11997" s="18"/>
      <c r="F11997" s="4">
        <v>1</v>
      </c>
      <c r="G11997" s="4">
        <v>15</v>
      </c>
      <c r="H11997" s="4">
        <v>57.458660000000002</v>
      </c>
    </row>
    <row r="11998" spans="1:8" s="15" customFormat="1" ht="19.5" hidden="1" customHeight="1" outlineLevel="1" x14ac:dyDescent="0.25">
      <c r="A11998" s="45">
        <v>1903</v>
      </c>
      <c r="B11998" s="4" t="s">
        <v>250</v>
      </c>
      <c r="C11998" s="22" t="s">
        <v>3141</v>
      </c>
      <c r="D11998" s="18">
        <v>2021</v>
      </c>
      <c r="E11998" s="18"/>
      <c r="F11998" s="4">
        <v>1</v>
      </c>
      <c r="G11998" s="4">
        <v>15</v>
      </c>
      <c r="H11998" s="4">
        <v>39.756430000000002</v>
      </c>
    </row>
    <row r="11999" spans="1:8" s="15" customFormat="1" ht="19.5" hidden="1" customHeight="1" outlineLevel="1" x14ac:dyDescent="0.25">
      <c r="A11999" s="45">
        <v>1917</v>
      </c>
      <c r="B11999" s="4" t="s">
        <v>250</v>
      </c>
      <c r="C11999" s="22" t="s">
        <v>3142</v>
      </c>
      <c r="D11999" s="18">
        <v>2021</v>
      </c>
      <c r="E11999" s="18"/>
      <c r="F11999" s="4">
        <v>1</v>
      </c>
      <c r="G11999" s="4">
        <v>15</v>
      </c>
      <c r="H11999" s="4">
        <v>40.103499999999997</v>
      </c>
    </row>
    <row r="12000" spans="1:8" s="15" customFormat="1" ht="19.5" hidden="1" customHeight="1" outlineLevel="1" x14ac:dyDescent="0.25">
      <c r="A12000" s="45">
        <v>1803</v>
      </c>
      <c r="B12000" s="4" t="s">
        <v>250</v>
      </c>
      <c r="C12000" s="22" t="s">
        <v>3143</v>
      </c>
      <c r="D12000" s="18">
        <v>2021</v>
      </c>
      <c r="E12000" s="18"/>
      <c r="F12000" s="4">
        <v>1</v>
      </c>
      <c r="G12000" s="4">
        <v>15</v>
      </c>
      <c r="H12000" s="4">
        <v>50.799250000000001</v>
      </c>
    </row>
    <row r="12001" spans="1:8" s="15" customFormat="1" ht="19.5" hidden="1" customHeight="1" outlineLevel="1" x14ac:dyDescent="0.25">
      <c r="A12001" s="45">
        <v>1822</v>
      </c>
      <c r="B12001" s="4" t="s">
        <v>250</v>
      </c>
      <c r="C12001" s="22" t="s">
        <v>3144</v>
      </c>
      <c r="D12001" s="18">
        <v>2021</v>
      </c>
      <c r="E12001" s="18"/>
      <c r="F12001" s="4">
        <v>1</v>
      </c>
      <c r="G12001" s="4">
        <v>15</v>
      </c>
      <c r="H12001" s="4">
        <v>46.711030000000001</v>
      </c>
    </row>
    <row r="12002" spans="1:8" s="15" customFormat="1" ht="19.5" hidden="1" customHeight="1" outlineLevel="1" x14ac:dyDescent="0.25">
      <c r="A12002" s="45">
        <v>1831</v>
      </c>
      <c r="B12002" s="4" t="s">
        <v>250</v>
      </c>
      <c r="C12002" s="22" t="s">
        <v>3145</v>
      </c>
      <c r="D12002" s="18">
        <v>2021</v>
      </c>
      <c r="E12002" s="18"/>
      <c r="F12002" s="4">
        <v>1</v>
      </c>
      <c r="G12002" s="4">
        <v>15</v>
      </c>
      <c r="H12002" s="4">
        <v>44.521419999999999</v>
      </c>
    </row>
    <row r="12003" spans="1:8" s="15" customFormat="1" ht="19.5" hidden="1" customHeight="1" outlineLevel="1" x14ac:dyDescent="0.25">
      <c r="A12003" s="18">
        <v>10907</v>
      </c>
      <c r="B12003" s="4" t="s">
        <v>250</v>
      </c>
      <c r="C12003" s="22" t="s">
        <v>3146</v>
      </c>
      <c r="D12003" s="18">
        <v>2021</v>
      </c>
      <c r="E12003" s="18"/>
      <c r="F12003" s="4">
        <v>1</v>
      </c>
      <c r="G12003" s="4">
        <v>15</v>
      </c>
      <c r="H12003" s="4">
        <v>39.395560000000003</v>
      </c>
    </row>
    <row r="12004" spans="1:8" s="15" customFormat="1" ht="19.5" hidden="1" customHeight="1" outlineLevel="1" x14ac:dyDescent="0.25">
      <c r="A12004" s="45">
        <v>1848</v>
      </c>
      <c r="B12004" s="4" t="s">
        <v>250</v>
      </c>
      <c r="C12004" s="22" t="s">
        <v>3147</v>
      </c>
      <c r="D12004" s="18">
        <v>2021</v>
      </c>
      <c r="E12004" s="18"/>
      <c r="F12004" s="4">
        <v>1</v>
      </c>
      <c r="G12004" s="4">
        <v>15</v>
      </c>
      <c r="H12004" s="4">
        <v>42.899500000000003</v>
      </c>
    </row>
    <row r="12005" spans="1:8" s="15" customFormat="1" ht="19.5" hidden="1" customHeight="1" outlineLevel="1" x14ac:dyDescent="0.25">
      <c r="A12005" s="45">
        <v>1882</v>
      </c>
      <c r="B12005" s="4" t="s">
        <v>250</v>
      </c>
      <c r="C12005" s="22" t="s">
        <v>3148</v>
      </c>
      <c r="D12005" s="18">
        <v>2021</v>
      </c>
      <c r="E12005" s="18"/>
      <c r="F12005" s="4">
        <v>1</v>
      </c>
      <c r="G12005" s="4">
        <v>10</v>
      </c>
      <c r="H12005" s="4">
        <v>36.528750000000002</v>
      </c>
    </row>
    <row r="12006" spans="1:8" s="15" customFormat="1" ht="19.5" hidden="1" customHeight="1" outlineLevel="1" x14ac:dyDescent="0.25">
      <c r="A12006" s="45">
        <v>1883</v>
      </c>
      <c r="B12006" s="4" t="s">
        <v>250</v>
      </c>
      <c r="C12006" s="22" t="s">
        <v>3149</v>
      </c>
      <c r="D12006" s="18">
        <v>2021</v>
      </c>
      <c r="E12006" s="18"/>
      <c r="F12006" s="4">
        <v>1</v>
      </c>
      <c r="G12006" s="4">
        <v>15</v>
      </c>
      <c r="H12006" s="4">
        <v>48.844099999999997</v>
      </c>
    </row>
    <row r="12007" spans="1:8" s="15" customFormat="1" ht="19.5" hidden="1" customHeight="1" outlineLevel="1" x14ac:dyDescent="0.25">
      <c r="A12007" s="45">
        <v>1886</v>
      </c>
      <c r="B12007" s="4" t="s">
        <v>250</v>
      </c>
      <c r="C12007" s="22" t="s">
        <v>3150</v>
      </c>
      <c r="D12007" s="18">
        <v>2021</v>
      </c>
      <c r="E12007" s="18"/>
      <c r="F12007" s="4">
        <v>1</v>
      </c>
      <c r="G12007" s="4">
        <v>15</v>
      </c>
      <c r="H12007" s="4">
        <v>46.043489999999998</v>
      </c>
    </row>
    <row r="12008" spans="1:8" s="15" customFormat="1" ht="19.5" hidden="1" customHeight="1" outlineLevel="1" x14ac:dyDescent="0.25">
      <c r="A12008" s="46">
        <v>9756</v>
      </c>
      <c r="B12008" s="4" t="s">
        <v>250</v>
      </c>
      <c r="C12008" s="22" t="s">
        <v>1782</v>
      </c>
      <c r="D12008" s="18">
        <v>2021</v>
      </c>
      <c r="E12008" s="18"/>
      <c r="F12008" s="4">
        <v>1</v>
      </c>
      <c r="G12008" s="4">
        <v>15</v>
      </c>
      <c r="H12008" s="4">
        <v>92.773579999999995</v>
      </c>
    </row>
    <row r="12009" spans="1:8" s="15" customFormat="1" ht="19.5" hidden="1" customHeight="1" outlineLevel="1" x14ac:dyDescent="0.25">
      <c r="A12009" s="46">
        <v>9876</v>
      </c>
      <c r="B12009" s="4" t="s">
        <v>250</v>
      </c>
      <c r="C12009" s="22" t="s">
        <v>1783</v>
      </c>
      <c r="D12009" s="18">
        <v>2021</v>
      </c>
      <c r="E12009" s="18"/>
      <c r="F12009" s="4">
        <v>3</v>
      </c>
      <c r="G12009" s="4">
        <v>15</v>
      </c>
      <c r="H12009" s="4">
        <v>126.19851</v>
      </c>
    </row>
    <row r="12010" spans="1:8" s="15" customFormat="1" ht="19.5" hidden="1" customHeight="1" outlineLevel="1" x14ac:dyDescent="0.25">
      <c r="A12010" s="46">
        <v>9448</v>
      </c>
      <c r="B12010" s="4" t="s">
        <v>250</v>
      </c>
      <c r="C12010" s="22" t="s">
        <v>1785</v>
      </c>
      <c r="D12010" s="18">
        <v>2021</v>
      </c>
      <c r="E12010" s="18"/>
      <c r="F12010" s="4">
        <v>1</v>
      </c>
      <c r="G12010" s="4">
        <v>15</v>
      </c>
      <c r="H12010" s="4">
        <v>115.03149000000001</v>
      </c>
    </row>
    <row r="12011" spans="1:8" s="15" customFormat="1" ht="19.5" hidden="1" customHeight="1" outlineLevel="1" x14ac:dyDescent="0.25">
      <c r="A12011" s="46">
        <v>9861</v>
      </c>
      <c r="B12011" s="4" t="s">
        <v>250</v>
      </c>
      <c r="C12011" s="22" t="s">
        <v>1970</v>
      </c>
      <c r="D12011" s="18">
        <v>2021</v>
      </c>
      <c r="E12011" s="18"/>
      <c r="F12011" s="4">
        <v>1</v>
      </c>
      <c r="G12011" s="4">
        <v>15</v>
      </c>
      <c r="H12011" s="4">
        <v>40.71163</v>
      </c>
    </row>
    <row r="12012" spans="1:8" s="15" customFormat="1" ht="19.5" hidden="1" customHeight="1" outlineLevel="1" x14ac:dyDescent="0.25">
      <c r="A12012" s="46">
        <v>9877</v>
      </c>
      <c r="B12012" s="4" t="s">
        <v>250</v>
      </c>
      <c r="C12012" s="22" t="s">
        <v>1971</v>
      </c>
      <c r="D12012" s="18">
        <v>2021</v>
      </c>
      <c r="E12012" s="18"/>
      <c r="F12012" s="4">
        <v>1</v>
      </c>
      <c r="G12012" s="4">
        <v>15</v>
      </c>
      <c r="H12012" s="4">
        <v>36.875399999999999</v>
      </c>
    </row>
    <row r="12013" spans="1:8" s="15" customFormat="1" ht="19.5" hidden="1" customHeight="1" outlineLevel="1" x14ac:dyDescent="0.25">
      <c r="A12013" s="45">
        <v>1487</v>
      </c>
      <c r="B12013" s="4" t="s">
        <v>250</v>
      </c>
      <c r="C12013" s="22" t="s">
        <v>1786</v>
      </c>
      <c r="D12013" s="18">
        <v>2021</v>
      </c>
      <c r="E12013" s="18"/>
      <c r="F12013" s="4">
        <v>1</v>
      </c>
      <c r="G12013" s="4">
        <v>15</v>
      </c>
      <c r="H12013" s="4">
        <v>63.310920000000003</v>
      </c>
    </row>
    <row r="12014" spans="1:8" s="15" customFormat="1" ht="19.5" hidden="1" customHeight="1" outlineLevel="1" x14ac:dyDescent="0.25">
      <c r="A12014" s="46">
        <v>9836</v>
      </c>
      <c r="B12014" s="4" t="s">
        <v>250</v>
      </c>
      <c r="C12014" s="22" t="s">
        <v>1787</v>
      </c>
      <c r="D12014" s="18">
        <v>2021</v>
      </c>
      <c r="E12014" s="18"/>
      <c r="F12014" s="4">
        <v>2</v>
      </c>
      <c r="G12014" s="4">
        <v>29</v>
      </c>
      <c r="H12014" s="4">
        <v>112.77504</v>
      </c>
    </row>
    <row r="12015" spans="1:8" s="15" customFormat="1" ht="19.5" hidden="1" customHeight="1" outlineLevel="1" x14ac:dyDescent="0.25">
      <c r="A12015" s="45">
        <v>1438</v>
      </c>
      <c r="B12015" s="4" t="s">
        <v>250</v>
      </c>
      <c r="C12015" s="22" t="s">
        <v>3151</v>
      </c>
      <c r="D12015" s="18">
        <v>2021</v>
      </c>
      <c r="E12015" s="18"/>
      <c r="F12015" s="4">
        <v>1</v>
      </c>
      <c r="G12015" s="4">
        <v>7</v>
      </c>
      <c r="H12015" s="4">
        <v>56.159680000000002</v>
      </c>
    </row>
    <row r="12016" spans="1:8" s="15" customFormat="1" ht="19.5" hidden="1" customHeight="1" outlineLevel="1" x14ac:dyDescent="0.25">
      <c r="A12016" s="45">
        <v>963</v>
      </c>
      <c r="B12016" s="4" t="s">
        <v>250</v>
      </c>
      <c r="C12016" s="22" t="s">
        <v>1877</v>
      </c>
      <c r="D12016" s="18">
        <v>2021</v>
      </c>
      <c r="E12016" s="18"/>
      <c r="F12016" s="4">
        <v>1</v>
      </c>
      <c r="G12016" s="4">
        <v>45</v>
      </c>
      <c r="H12016" s="4">
        <v>92.333370000000002</v>
      </c>
    </row>
    <row r="12017" spans="1:33" s="15" customFormat="1" ht="19.5" hidden="1" customHeight="1" outlineLevel="1" x14ac:dyDescent="0.25">
      <c r="A12017" s="46">
        <v>9847</v>
      </c>
      <c r="B12017" s="4" t="s">
        <v>250</v>
      </c>
      <c r="C12017" s="22" t="s">
        <v>1789</v>
      </c>
      <c r="D12017" s="18">
        <v>2021</v>
      </c>
      <c r="E12017" s="18"/>
      <c r="F12017" s="4">
        <v>1</v>
      </c>
      <c r="G12017" s="4">
        <v>15</v>
      </c>
      <c r="H12017" s="4">
        <v>55.822130000000001</v>
      </c>
    </row>
    <row r="12018" spans="1:33" s="15" customFormat="1" ht="19.5" hidden="1" customHeight="1" outlineLevel="1" x14ac:dyDescent="0.25">
      <c r="A12018" s="46">
        <v>9815</v>
      </c>
      <c r="B12018" s="4" t="s">
        <v>250</v>
      </c>
      <c r="C12018" s="22" t="s">
        <v>1790</v>
      </c>
      <c r="D12018" s="18">
        <v>2021</v>
      </c>
      <c r="E12018" s="18"/>
      <c r="F12018" s="4">
        <v>1</v>
      </c>
      <c r="G12018" s="4">
        <v>15</v>
      </c>
      <c r="H12018" s="4">
        <v>38.628250000000001</v>
      </c>
    </row>
    <row r="12019" spans="1:33" s="15" customFormat="1" ht="19.5" hidden="1" customHeight="1" outlineLevel="1" x14ac:dyDescent="0.25">
      <c r="A12019" s="46">
        <v>9918</v>
      </c>
      <c r="B12019" s="4" t="s">
        <v>250</v>
      </c>
      <c r="C12019" s="22" t="s">
        <v>3152</v>
      </c>
      <c r="D12019" s="18">
        <v>2021</v>
      </c>
      <c r="E12019" s="18"/>
      <c r="F12019" s="4">
        <v>1</v>
      </c>
      <c r="G12019" s="4">
        <v>15</v>
      </c>
      <c r="H12019" s="4">
        <v>86.432069999999996</v>
      </c>
    </row>
    <row r="12020" spans="1:33" s="15" customFormat="1" ht="19.5" hidden="1" customHeight="1" outlineLevel="1" x14ac:dyDescent="0.25">
      <c r="A12020" s="46">
        <v>9824</v>
      </c>
      <c r="B12020" s="4" t="s">
        <v>250</v>
      </c>
      <c r="C12020" s="22" t="s">
        <v>1797</v>
      </c>
      <c r="D12020" s="18">
        <v>2021</v>
      </c>
      <c r="E12020" s="18"/>
      <c r="F12020" s="4">
        <v>1</v>
      </c>
      <c r="G12020" s="4">
        <v>15</v>
      </c>
      <c r="H12020" s="4">
        <v>51.034939999999999</v>
      </c>
    </row>
    <row r="12021" spans="1:33" s="15" customFormat="1" ht="34.5" hidden="1" customHeight="1" outlineLevel="1" x14ac:dyDescent="0.25">
      <c r="A12021" s="46">
        <v>9823</v>
      </c>
      <c r="B12021" s="4" t="s">
        <v>250</v>
      </c>
      <c r="C12021" s="22" t="s">
        <v>3153</v>
      </c>
      <c r="D12021" s="18">
        <v>2021</v>
      </c>
      <c r="E12021" s="18"/>
      <c r="F12021" s="4">
        <v>2</v>
      </c>
      <c r="G12021" s="4">
        <v>24</v>
      </c>
      <c r="H12021" s="4">
        <v>42.103470000000002</v>
      </c>
    </row>
    <row r="12022" spans="1:33" s="15" customFormat="1" ht="24.75" hidden="1" customHeight="1" outlineLevel="1" x14ac:dyDescent="0.25">
      <c r="A12022" s="46">
        <v>9955</v>
      </c>
      <c r="B12022" s="4" t="s">
        <v>250</v>
      </c>
      <c r="C12022" s="22" t="s">
        <v>3154</v>
      </c>
      <c r="D12022" s="18">
        <v>2021</v>
      </c>
      <c r="E12022" s="18"/>
      <c r="F12022" s="4">
        <v>1</v>
      </c>
      <c r="G12022" s="4">
        <v>15</v>
      </c>
      <c r="H12022" s="4">
        <v>90.506129999999999</v>
      </c>
    </row>
    <row r="12023" spans="1:33" s="15" customFormat="1" ht="19.5" hidden="1" customHeight="1" outlineLevel="1" x14ac:dyDescent="0.25">
      <c r="A12023" s="46">
        <v>9857</v>
      </c>
      <c r="B12023" s="4" t="s">
        <v>250</v>
      </c>
      <c r="C12023" s="22" t="s">
        <v>1796</v>
      </c>
      <c r="D12023" s="18">
        <v>2021</v>
      </c>
      <c r="E12023" s="18"/>
      <c r="F12023" s="4">
        <v>1</v>
      </c>
      <c r="G12023" s="4">
        <v>15</v>
      </c>
      <c r="H12023" s="4">
        <v>31.599589999999999</v>
      </c>
    </row>
    <row r="12024" spans="1:33" s="15" customFormat="1" ht="19.5" hidden="1" customHeight="1" outlineLevel="1" x14ac:dyDescent="0.25">
      <c r="A12024" s="46">
        <v>10013</v>
      </c>
      <c r="B12024" s="4" t="s">
        <v>250</v>
      </c>
      <c r="C12024" s="22" t="s">
        <v>3155</v>
      </c>
      <c r="D12024" s="18">
        <v>2021</v>
      </c>
      <c r="E12024" s="18"/>
      <c r="F12024" s="4">
        <v>1</v>
      </c>
      <c r="G12024" s="4">
        <v>15</v>
      </c>
      <c r="H12024" s="4">
        <v>41.327739999999999</v>
      </c>
    </row>
    <row r="12025" spans="1:33" s="15" customFormat="1" ht="19.5" hidden="1" customHeight="1" outlineLevel="1" x14ac:dyDescent="0.25">
      <c r="A12025" s="46">
        <v>9764</v>
      </c>
      <c r="B12025" s="4" t="s">
        <v>250</v>
      </c>
      <c r="C12025" s="22" t="s">
        <v>3156</v>
      </c>
      <c r="D12025" s="18">
        <v>2021</v>
      </c>
      <c r="E12025" s="18"/>
      <c r="F12025" s="4">
        <v>1</v>
      </c>
      <c r="G12025" s="4">
        <v>15</v>
      </c>
      <c r="H12025" s="4">
        <v>29.767119999999998</v>
      </c>
    </row>
    <row r="12026" spans="1:33" s="15" customFormat="1" ht="19.5" hidden="1" customHeight="1" outlineLevel="1" x14ac:dyDescent="0.25">
      <c r="A12026" s="45">
        <v>1352</v>
      </c>
      <c r="B12026" s="4" t="s">
        <v>250</v>
      </c>
      <c r="C12026" s="22" t="s">
        <v>3157</v>
      </c>
      <c r="D12026" s="18">
        <v>2021</v>
      </c>
      <c r="E12026" s="18"/>
      <c r="F12026" s="4">
        <v>2</v>
      </c>
      <c r="G12026" s="4">
        <v>30</v>
      </c>
      <c r="H12026" s="4">
        <v>60.32396</v>
      </c>
    </row>
    <row r="12027" spans="1:33" s="15" customFormat="1" ht="19.5" hidden="1" customHeight="1" outlineLevel="1" x14ac:dyDescent="0.25">
      <c r="A12027" s="45">
        <v>1897</v>
      </c>
      <c r="B12027" s="4" t="s">
        <v>250</v>
      </c>
      <c r="C12027" s="22" t="s">
        <v>3158</v>
      </c>
      <c r="D12027" s="18">
        <v>2021</v>
      </c>
      <c r="E12027" s="18"/>
      <c r="F12027" s="4">
        <v>1</v>
      </c>
      <c r="G12027" s="4">
        <v>15</v>
      </c>
      <c r="H12027" s="4">
        <v>38.467750000000002</v>
      </c>
    </row>
    <row r="12028" spans="1:33" s="15" customFormat="1" ht="19.5" hidden="1" customHeight="1" outlineLevel="1" x14ac:dyDescent="0.25">
      <c r="A12028" s="46">
        <v>9749</v>
      </c>
      <c r="B12028" s="4" t="s">
        <v>250</v>
      </c>
      <c r="C12028" s="22" t="s">
        <v>1804</v>
      </c>
      <c r="D12028" s="18">
        <v>2021</v>
      </c>
      <c r="E12028" s="18"/>
      <c r="F12028" s="4">
        <v>1</v>
      </c>
      <c r="G12028" s="4">
        <v>15</v>
      </c>
      <c r="H12028" s="4">
        <v>32.44511</v>
      </c>
    </row>
    <row r="12029" spans="1:33" s="15" customFormat="1" ht="19.5" hidden="1" customHeight="1" outlineLevel="1" x14ac:dyDescent="0.25">
      <c r="A12029" s="45">
        <v>1872</v>
      </c>
      <c r="B12029" s="4" t="s">
        <v>250</v>
      </c>
      <c r="C12029" s="22" t="s">
        <v>3159</v>
      </c>
      <c r="D12029" s="18">
        <v>2021</v>
      </c>
      <c r="E12029" s="18"/>
      <c r="F12029" s="4">
        <v>1</v>
      </c>
      <c r="G12029" s="4">
        <v>15</v>
      </c>
      <c r="H12029" s="4">
        <v>39.416260000000001</v>
      </c>
    </row>
    <row r="12030" spans="1:33" s="15" customFormat="1" ht="19.5" hidden="1" customHeight="1" outlineLevel="1" x14ac:dyDescent="0.25">
      <c r="A12030" s="46">
        <v>9874</v>
      </c>
      <c r="B12030" s="4" t="s">
        <v>250</v>
      </c>
      <c r="C12030" s="22" t="s">
        <v>1972</v>
      </c>
      <c r="D12030" s="18">
        <v>2021</v>
      </c>
      <c r="E12030" s="18"/>
      <c r="F12030" s="4">
        <v>1</v>
      </c>
      <c r="G12030" s="4">
        <v>12</v>
      </c>
      <c r="H12030" s="4">
        <v>43.172409999999999</v>
      </c>
    </row>
    <row r="12031" spans="1:33" s="15" customFormat="1" ht="15.75" collapsed="1" x14ac:dyDescent="0.25">
      <c r="A12031" s="18"/>
      <c r="B12031" s="174" t="s">
        <v>250</v>
      </c>
      <c r="C12031" s="176" t="s">
        <v>3235</v>
      </c>
      <c r="D12031" s="174"/>
      <c r="E12031" s="174" t="s">
        <v>251</v>
      </c>
      <c r="F12031" s="174"/>
      <c r="G12031" s="174"/>
      <c r="H12031" s="174"/>
    </row>
    <row r="12032" spans="1:33" s="16" customFormat="1" ht="16.5" customHeight="1" x14ac:dyDescent="0.25">
      <c r="A12032" s="18"/>
      <c r="B12032" s="175"/>
      <c r="C12032" s="177"/>
      <c r="D12032" s="175"/>
      <c r="E12032" s="175" t="s">
        <v>251</v>
      </c>
      <c r="F12032" s="175"/>
      <c r="G12032" s="175"/>
      <c r="H12032" s="175"/>
      <c r="I12032" s="15"/>
      <c r="J12032" s="15"/>
      <c r="K12032" s="15"/>
      <c r="L12032" s="15"/>
      <c r="M12032" s="15"/>
      <c r="N12032" s="15"/>
      <c r="O12032" s="15"/>
      <c r="P12032" s="15"/>
      <c r="Q12032" s="15"/>
      <c r="R12032" s="15"/>
      <c r="S12032" s="15"/>
      <c r="T12032" s="15"/>
      <c r="U12032" s="15"/>
      <c r="V12032" s="15"/>
      <c r="W12032" s="15"/>
      <c r="X12032" s="15"/>
      <c r="Y12032" s="15"/>
      <c r="Z12032" s="15"/>
      <c r="AA12032" s="15"/>
      <c r="AB12032" s="15"/>
      <c r="AC12032" s="15"/>
      <c r="AD12032" s="15"/>
      <c r="AE12032" s="15"/>
      <c r="AF12032" s="15"/>
      <c r="AG12032" s="15"/>
    </row>
    <row r="12033" spans="1:33" s="16" customFormat="1" ht="15.75" customHeight="1" x14ac:dyDescent="0.25">
      <c r="A12033" s="18"/>
      <c r="B12033" s="11" t="s">
        <v>250</v>
      </c>
      <c r="C12033" s="12" t="s">
        <v>1102</v>
      </c>
      <c r="D12033" s="20">
        <v>2020</v>
      </c>
      <c r="E12033" s="20" t="s">
        <v>251</v>
      </c>
      <c r="F12033" s="14">
        <f ca="1">SUMIF($D$12036:$H$12046,$D$12033,$F$12036:$F$12046)</f>
        <v>0</v>
      </c>
      <c r="G12033" s="14">
        <f ca="1">SUMIF($D$12036:$H$12046,$D$12033,$G$12036:$G$12046)</f>
        <v>0</v>
      </c>
      <c r="H12033" s="14">
        <f ca="1">SUMIF($D$12036:$H$12046,$D$12033,$H$12036:$H$12046)</f>
        <v>0</v>
      </c>
      <c r="I12033" s="15"/>
      <c r="J12033" s="15"/>
      <c r="K12033" s="15"/>
      <c r="L12033" s="15"/>
      <c r="M12033" s="15"/>
      <c r="N12033" s="15"/>
      <c r="O12033" s="15"/>
      <c r="P12033" s="15"/>
      <c r="Q12033" s="15"/>
      <c r="R12033" s="15"/>
      <c r="S12033" s="15"/>
      <c r="T12033" s="15"/>
      <c r="U12033" s="15"/>
      <c r="V12033" s="15"/>
      <c r="W12033" s="15"/>
      <c r="X12033" s="15"/>
      <c r="Y12033" s="15"/>
      <c r="Z12033" s="15"/>
      <c r="AA12033" s="15"/>
      <c r="AB12033" s="15"/>
      <c r="AC12033" s="15"/>
      <c r="AD12033" s="15"/>
      <c r="AE12033" s="15"/>
      <c r="AF12033" s="15"/>
      <c r="AG12033" s="15"/>
    </row>
    <row r="12034" spans="1:33" s="26" customFormat="1" ht="16.5" customHeight="1" x14ac:dyDescent="0.25">
      <c r="A12034" s="18"/>
      <c r="B12034" s="11" t="s">
        <v>250</v>
      </c>
      <c r="C12034" s="12" t="s">
        <v>1102</v>
      </c>
      <c r="D12034" s="20">
        <v>2021</v>
      </c>
      <c r="E12034" s="20" t="s">
        <v>251</v>
      </c>
      <c r="F12034" s="14">
        <f ca="1">SUMIF($D$12036:$H$12046,$D$12034,$F$12036:$F$12046)</f>
        <v>0</v>
      </c>
      <c r="G12034" s="14">
        <f ca="1">SUMIF($D$12036:$H$12046,$D$12034,$G$12036:$G$12046)</f>
        <v>0</v>
      </c>
      <c r="H12034" s="14">
        <f ca="1">SUMIF($D$12036:$H$12046,$D$12034,$H$12036:$H$12046)</f>
        <v>0</v>
      </c>
      <c r="I12034" s="15"/>
      <c r="J12034" s="15"/>
      <c r="K12034" s="15"/>
      <c r="L12034" s="15"/>
      <c r="M12034" s="15"/>
      <c r="N12034" s="15"/>
      <c r="O12034" s="15"/>
      <c r="P12034" s="15"/>
      <c r="Q12034" s="15"/>
      <c r="R12034" s="15"/>
      <c r="S12034" s="15"/>
      <c r="T12034" s="15"/>
      <c r="U12034" s="15"/>
      <c r="V12034" s="15"/>
      <c r="W12034" s="15"/>
      <c r="X12034" s="15"/>
      <c r="Y12034" s="15"/>
      <c r="Z12034" s="15"/>
      <c r="AA12034" s="15"/>
      <c r="AB12034" s="15"/>
      <c r="AC12034" s="15"/>
      <c r="AD12034" s="15"/>
      <c r="AE12034" s="15"/>
      <c r="AF12034" s="15"/>
      <c r="AG12034" s="15"/>
    </row>
    <row r="12035" spans="1:33" s="15" customFormat="1" ht="15.75" x14ac:dyDescent="0.25">
      <c r="A12035" s="18"/>
      <c r="B12035" s="11" t="s">
        <v>250</v>
      </c>
      <c r="C12035" s="12" t="s">
        <v>1102</v>
      </c>
      <c r="D12035" s="20">
        <v>2022</v>
      </c>
      <c r="E12035" s="20" t="s">
        <v>251</v>
      </c>
      <c r="F12035" s="14">
        <f>SUMIF($D$12036:$D$12046,$D$12035,$F$12036:$F$12046)</f>
        <v>11</v>
      </c>
      <c r="G12035" s="14">
        <f>SUMIF($D$12036:$D$12046,$D$12035,$G$12036:$G$12046)</f>
        <v>4147</v>
      </c>
      <c r="H12035" s="14">
        <f>SUMIF($D$12036:$D$12046,$D$12035,$H$12036:$H$12046)</f>
        <v>5015.7260000000006</v>
      </c>
    </row>
    <row r="12036" spans="1:33" s="15" customFormat="1" ht="94.5" hidden="1" outlineLevel="1" x14ac:dyDescent="0.25">
      <c r="A12036" s="18">
        <v>5418</v>
      </c>
      <c r="B12036" s="4" t="s">
        <v>250</v>
      </c>
      <c r="C12036" s="38" t="s">
        <v>4233</v>
      </c>
      <c r="D12036" s="18">
        <v>2022</v>
      </c>
      <c r="E12036" s="36" t="s">
        <v>251</v>
      </c>
      <c r="F12036" s="4">
        <v>1</v>
      </c>
      <c r="G12036" s="42">
        <v>540</v>
      </c>
      <c r="H12036" s="125">
        <v>460.726</v>
      </c>
    </row>
    <row r="12037" spans="1:33" s="15" customFormat="1" ht="47.25" hidden="1" outlineLevel="1" x14ac:dyDescent="0.25">
      <c r="A12037" s="18">
        <v>6</v>
      </c>
      <c r="B12037" s="4" t="s">
        <v>250</v>
      </c>
      <c r="C12037" s="38" t="s">
        <v>9139</v>
      </c>
      <c r="D12037" s="18">
        <v>2022</v>
      </c>
      <c r="E12037" s="36" t="s">
        <v>251</v>
      </c>
      <c r="F12037" s="4">
        <v>1</v>
      </c>
      <c r="G12037" s="42">
        <v>500</v>
      </c>
      <c r="H12037" s="125">
        <v>442</v>
      </c>
    </row>
    <row r="12038" spans="1:33" s="15" customFormat="1" ht="47.25" hidden="1" outlineLevel="1" x14ac:dyDescent="0.25">
      <c r="A12038" s="18">
        <v>410</v>
      </c>
      <c r="B12038" s="4" t="s">
        <v>250</v>
      </c>
      <c r="C12038" s="38" t="s">
        <v>9140</v>
      </c>
      <c r="D12038" s="18">
        <v>2022</v>
      </c>
      <c r="E12038" s="36" t="s">
        <v>251</v>
      </c>
      <c r="F12038" s="4">
        <v>1</v>
      </c>
      <c r="G12038" s="42">
        <v>60</v>
      </c>
      <c r="H12038" s="125">
        <v>458</v>
      </c>
    </row>
    <row r="12039" spans="1:33" s="15" customFormat="1" ht="47.25" hidden="1" outlineLevel="1" x14ac:dyDescent="0.25">
      <c r="A12039" s="18">
        <v>4</v>
      </c>
      <c r="B12039" s="4" t="s">
        <v>250</v>
      </c>
      <c r="C12039" s="38" t="s">
        <v>9141</v>
      </c>
      <c r="D12039" s="18">
        <v>2022</v>
      </c>
      <c r="E12039" s="36" t="s">
        <v>251</v>
      </c>
      <c r="F12039" s="4">
        <v>1</v>
      </c>
      <c r="G12039" s="42">
        <v>950</v>
      </c>
      <c r="H12039" s="125">
        <v>442</v>
      </c>
    </row>
    <row r="12040" spans="1:33" s="15" customFormat="1" ht="47.25" hidden="1" outlineLevel="1" x14ac:dyDescent="0.25">
      <c r="A12040" s="18">
        <v>7</v>
      </c>
      <c r="B12040" s="4" t="s">
        <v>250</v>
      </c>
      <c r="C12040" s="38" t="s">
        <v>9142</v>
      </c>
      <c r="D12040" s="18">
        <v>2022</v>
      </c>
      <c r="E12040" s="36" t="s">
        <v>251</v>
      </c>
      <c r="F12040" s="4">
        <v>1</v>
      </c>
      <c r="G12040" s="42">
        <v>105</v>
      </c>
      <c r="H12040" s="125">
        <v>458</v>
      </c>
    </row>
    <row r="12041" spans="1:33" s="15" customFormat="1" ht="47.25" hidden="1" outlineLevel="1" x14ac:dyDescent="0.25">
      <c r="A12041" s="18">
        <v>5</v>
      </c>
      <c r="B12041" s="4" t="s">
        <v>250</v>
      </c>
      <c r="C12041" s="38" t="s">
        <v>9143</v>
      </c>
      <c r="D12041" s="18">
        <v>2022</v>
      </c>
      <c r="E12041" s="36" t="s">
        <v>251</v>
      </c>
      <c r="F12041" s="4">
        <v>1</v>
      </c>
      <c r="G12041" s="42">
        <v>400</v>
      </c>
      <c r="H12041" s="125">
        <v>442</v>
      </c>
    </row>
    <row r="12042" spans="1:33" s="15" customFormat="1" ht="63" hidden="1" outlineLevel="1" x14ac:dyDescent="0.25">
      <c r="A12042" s="18">
        <v>13</v>
      </c>
      <c r="B12042" s="4" t="s">
        <v>250</v>
      </c>
      <c r="C12042" s="38" t="s">
        <v>9144</v>
      </c>
      <c r="D12042" s="18">
        <v>2022</v>
      </c>
      <c r="E12042" s="36" t="s">
        <v>251</v>
      </c>
      <c r="F12042" s="4">
        <v>1</v>
      </c>
      <c r="G12042" s="42">
        <v>500</v>
      </c>
      <c r="H12042" s="125">
        <v>459</v>
      </c>
    </row>
    <row r="12043" spans="1:33" s="15" customFormat="1" ht="63" hidden="1" outlineLevel="1" x14ac:dyDescent="0.25">
      <c r="A12043" s="18">
        <v>435</v>
      </c>
      <c r="B12043" s="4" t="s">
        <v>250</v>
      </c>
      <c r="C12043" s="38" t="s">
        <v>9145</v>
      </c>
      <c r="D12043" s="18">
        <v>2022</v>
      </c>
      <c r="E12043" s="36" t="s">
        <v>251</v>
      </c>
      <c r="F12043" s="4">
        <v>1</v>
      </c>
      <c r="G12043" s="42">
        <v>146</v>
      </c>
      <c r="H12043" s="125">
        <v>466</v>
      </c>
    </row>
    <row r="12044" spans="1:33" s="15" customFormat="1" ht="63" hidden="1" outlineLevel="1" x14ac:dyDescent="0.25">
      <c r="A12044" s="18">
        <v>436</v>
      </c>
      <c r="B12044" s="4" t="s">
        <v>250</v>
      </c>
      <c r="C12044" s="38" t="s">
        <v>9146</v>
      </c>
      <c r="D12044" s="18">
        <v>2022</v>
      </c>
      <c r="E12044" s="36" t="s">
        <v>251</v>
      </c>
      <c r="F12044" s="4">
        <v>1</v>
      </c>
      <c r="G12044" s="42">
        <v>146</v>
      </c>
      <c r="H12044" s="125">
        <v>466</v>
      </c>
    </row>
    <row r="12045" spans="1:33" s="15" customFormat="1" ht="63" hidden="1" outlineLevel="1" x14ac:dyDescent="0.25">
      <c r="A12045" s="18">
        <v>14</v>
      </c>
      <c r="B12045" s="4" t="s">
        <v>250</v>
      </c>
      <c r="C12045" s="38" t="s">
        <v>9147</v>
      </c>
      <c r="D12045" s="18">
        <v>2022</v>
      </c>
      <c r="E12045" s="36" t="s">
        <v>251</v>
      </c>
      <c r="F12045" s="4">
        <v>1</v>
      </c>
      <c r="G12045" s="42">
        <v>450</v>
      </c>
      <c r="H12045" s="125">
        <v>462</v>
      </c>
    </row>
    <row r="12046" spans="1:33" s="15" customFormat="1" ht="47.25" hidden="1" outlineLevel="1" x14ac:dyDescent="0.25">
      <c r="A12046" s="18">
        <v>12</v>
      </c>
      <c r="B12046" s="4" t="s">
        <v>250</v>
      </c>
      <c r="C12046" s="38" t="s">
        <v>9148</v>
      </c>
      <c r="D12046" s="18">
        <v>2022</v>
      </c>
      <c r="E12046" s="36" t="s">
        <v>251</v>
      </c>
      <c r="F12046" s="4">
        <v>1</v>
      </c>
      <c r="G12046" s="42">
        <v>350</v>
      </c>
      <c r="H12046" s="125">
        <v>460</v>
      </c>
    </row>
    <row r="12047" spans="1:33" s="15" customFormat="1" ht="31.5" collapsed="1" x14ac:dyDescent="0.25">
      <c r="A12047" s="18"/>
      <c r="B12047" s="58" t="s">
        <v>1097</v>
      </c>
      <c r="C12047" s="78" t="s">
        <v>3236</v>
      </c>
      <c r="D12047" s="65"/>
      <c r="E12047" s="66" t="s">
        <v>0</v>
      </c>
      <c r="F12047" s="58"/>
      <c r="G12047" s="58"/>
      <c r="H12047" s="58"/>
    </row>
    <row r="12048" spans="1:33" s="21" customFormat="1" ht="28.5" x14ac:dyDescent="0.25">
      <c r="A12048" s="18"/>
      <c r="B12048" s="7" t="s">
        <v>1097</v>
      </c>
      <c r="C12048" s="8" t="s">
        <v>1102</v>
      </c>
      <c r="D12048" s="40" t="s">
        <v>1120</v>
      </c>
      <c r="E12048" s="19" t="s">
        <v>0</v>
      </c>
      <c r="F12048" s="7">
        <v>0</v>
      </c>
      <c r="G12048" s="7">
        <v>0</v>
      </c>
      <c r="H12048" s="7">
        <v>0</v>
      </c>
      <c r="I12048" s="15"/>
      <c r="J12048" s="15"/>
      <c r="K12048" s="15"/>
      <c r="L12048" s="15"/>
      <c r="M12048" s="15"/>
      <c r="N12048" s="15"/>
      <c r="O12048" s="15"/>
      <c r="P12048" s="15"/>
      <c r="Q12048" s="15"/>
      <c r="R12048" s="15"/>
      <c r="S12048" s="15"/>
      <c r="T12048" s="15"/>
      <c r="U12048" s="15"/>
      <c r="V12048" s="15"/>
      <c r="W12048" s="15"/>
      <c r="X12048" s="15"/>
      <c r="Y12048" s="15"/>
      <c r="Z12048" s="15"/>
      <c r="AA12048" s="15"/>
      <c r="AB12048" s="15"/>
      <c r="AC12048" s="15"/>
      <c r="AD12048" s="15"/>
      <c r="AE12048" s="15"/>
      <c r="AF12048" s="15"/>
      <c r="AG12048" s="15"/>
    </row>
    <row r="12049" spans="1:33" s="26" customFormat="1" ht="15.75" x14ac:dyDescent="0.25">
      <c r="A12049" s="18"/>
      <c r="B12049" s="7" t="s">
        <v>1097</v>
      </c>
      <c r="C12049" s="8" t="s">
        <v>1102</v>
      </c>
      <c r="D12049" s="19">
        <v>2021</v>
      </c>
      <c r="E12049" s="19" t="s">
        <v>0</v>
      </c>
      <c r="F12049" s="7">
        <f>SUMIF($D$12051:$D$12111,$D$12049,$F$12051:$F$12111)</f>
        <v>38</v>
      </c>
      <c r="G12049" s="7">
        <f>SUMIF($D$12051:$D$12111,$D$12049,$G$12051:$G$12111)</f>
        <v>3557</v>
      </c>
      <c r="H12049" s="10">
        <f>SUMIF($D$12051:$D$12111,$D$12049,$H$12051:$H$12111)</f>
        <v>2053.3974200000002</v>
      </c>
      <c r="I12049" s="15"/>
      <c r="J12049" s="15"/>
      <c r="K12049" s="15"/>
      <c r="L12049" s="15"/>
      <c r="M12049" s="15"/>
      <c r="N12049" s="15"/>
      <c r="O12049" s="15"/>
      <c r="P12049" s="15"/>
      <c r="Q12049" s="15"/>
      <c r="R12049" s="15"/>
      <c r="S12049" s="15"/>
      <c r="T12049" s="15"/>
      <c r="U12049" s="15"/>
      <c r="V12049" s="15"/>
      <c r="W12049" s="15"/>
      <c r="X12049" s="15"/>
      <c r="Y12049" s="15"/>
      <c r="Z12049" s="15"/>
      <c r="AA12049" s="15"/>
      <c r="AB12049" s="15"/>
      <c r="AC12049" s="15"/>
      <c r="AD12049" s="15"/>
      <c r="AE12049" s="15"/>
      <c r="AF12049" s="15"/>
      <c r="AG12049" s="15"/>
    </row>
    <row r="12050" spans="1:33" s="26" customFormat="1" ht="15.75" x14ac:dyDescent="0.25">
      <c r="A12050" s="130"/>
      <c r="B12050" s="7" t="s">
        <v>1097</v>
      </c>
      <c r="C12050" s="8" t="s">
        <v>1102</v>
      </c>
      <c r="D12050" s="19">
        <v>2022</v>
      </c>
      <c r="E12050" s="19" t="s">
        <v>0</v>
      </c>
      <c r="F12050" s="7">
        <f>SUMIF($D$12051:$D$12111,$D$12050,$F$12051:$F$12111)</f>
        <v>53</v>
      </c>
      <c r="G12050" s="10">
        <f>SUMIF($D$12051:$D$12111,$D$12050,$G$12051:$G$12111)</f>
        <v>2966.6</v>
      </c>
      <c r="H12050" s="10">
        <f>SUMIF($D$12051:$D$12111,$D$12050,$H$12051:$H$12111)</f>
        <v>4094.3437400000003</v>
      </c>
      <c r="I12050" s="15"/>
      <c r="J12050" s="15"/>
      <c r="K12050" s="15"/>
      <c r="L12050" s="15"/>
      <c r="M12050" s="15"/>
      <c r="N12050" s="15"/>
      <c r="O12050" s="15"/>
      <c r="P12050" s="15"/>
      <c r="Q12050" s="15"/>
      <c r="R12050" s="15"/>
      <c r="S12050" s="15"/>
      <c r="T12050" s="15"/>
      <c r="U12050" s="15"/>
      <c r="V12050" s="15"/>
      <c r="W12050" s="15"/>
      <c r="X12050" s="15"/>
      <c r="Y12050" s="15"/>
      <c r="Z12050" s="15"/>
      <c r="AA12050" s="15"/>
      <c r="AB12050" s="15"/>
      <c r="AC12050" s="15"/>
      <c r="AD12050" s="15"/>
      <c r="AE12050" s="15"/>
      <c r="AF12050" s="15"/>
      <c r="AG12050" s="15"/>
    </row>
    <row r="12051" spans="1:33" s="15" customFormat="1" ht="28.5" hidden="1" customHeight="1" outlineLevel="1" x14ac:dyDescent="0.25">
      <c r="A12051" s="18">
        <v>449</v>
      </c>
      <c r="B12051" s="4" t="s">
        <v>1097</v>
      </c>
      <c r="C12051" s="38" t="s">
        <v>3953</v>
      </c>
      <c r="D12051" s="18">
        <v>2022</v>
      </c>
      <c r="E12051" s="18" t="s">
        <v>0</v>
      </c>
      <c r="F12051" s="4">
        <v>2</v>
      </c>
      <c r="G12051" s="42">
        <v>149</v>
      </c>
      <c r="H12051" s="42">
        <v>190.03334000000001</v>
      </c>
    </row>
    <row r="12052" spans="1:33" s="15" customFormat="1" ht="28.5" hidden="1" customHeight="1" outlineLevel="1" x14ac:dyDescent="0.25">
      <c r="A12052" s="18">
        <v>451</v>
      </c>
      <c r="B12052" s="4" t="s">
        <v>1097</v>
      </c>
      <c r="C12052" s="38" t="s">
        <v>3954</v>
      </c>
      <c r="D12052" s="18">
        <v>2022</v>
      </c>
      <c r="E12052" s="18" t="s">
        <v>0</v>
      </c>
      <c r="F12052" s="4">
        <v>2</v>
      </c>
      <c r="G12052" s="42">
        <v>150</v>
      </c>
      <c r="H12052" s="42">
        <v>266.27516000000003</v>
      </c>
    </row>
    <row r="12053" spans="1:33" s="15" customFormat="1" ht="28.5" hidden="1" customHeight="1" outlineLevel="1" x14ac:dyDescent="0.25">
      <c r="A12053" s="18">
        <v>454</v>
      </c>
      <c r="B12053" s="4" t="s">
        <v>1097</v>
      </c>
      <c r="C12053" s="38" t="s">
        <v>4023</v>
      </c>
      <c r="D12053" s="18">
        <v>2022</v>
      </c>
      <c r="E12053" s="18" t="s">
        <v>0</v>
      </c>
      <c r="F12053" s="4">
        <v>1</v>
      </c>
      <c r="G12053" s="42">
        <v>150</v>
      </c>
      <c r="H12053" s="42">
        <v>63.871459999999999</v>
      </c>
    </row>
    <row r="12054" spans="1:33" s="15" customFormat="1" ht="28.5" hidden="1" customHeight="1" outlineLevel="1" x14ac:dyDescent="0.25">
      <c r="A12054" s="18">
        <v>455</v>
      </c>
      <c r="B12054" s="4" t="s">
        <v>1097</v>
      </c>
      <c r="C12054" s="38" t="s">
        <v>4026</v>
      </c>
      <c r="D12054" s="18">
        <v>2022</v>
      </c>
      <c r="E12054" s="18" t="s">
        <v>0</v>
      </c>
      <c r="F12054" s="4">
        <v>1</v>
      </c>
      <c r="G12054" s="42">
        <v>100</v>
      </c>
      <c r="H12054" s="42">
        <v>55.652929999999998</v>
      </c>
    </row>
    <row r="12055" spans="1:33" s="15" customFormat="1" ht="28.5" hidden="1" customHeight="1" outlineLevel="1" x14ac:dyDescent="0.25">
      <c r="A12055" s="18">
        <v>456</v>
      </c>
      <c r="B12055" s="4" t="s">
        <v>1097</v>
      </c>
      <c r="C12055" s="38" t="s">
        <v>4027</v>
      </c>
      <c r="D12055" s="18">
        <v>2022</v>
      </c>
      <c r="E12055" s="18" t="s">
        <v>0</v>
      </c>
      <c r="F12055" s="4">
        <v>1</v>
      </c>
      <c r="G12055" s="42">
        <v>15</v>
      </c>
      <c r="H12055" s="42">
        <v>42.841709999999999</v>
      </c>
    </row>
    <row r="12056" spans="1:33" s="15" customFormat="1" ht="28.5" hidden="1" customHeight="1" outlineLevel="1" x14ac:dyDescent="0.25">
      <c r="A12056" s="18">
        <v>458</v>
      </c>
      <c r="B12056" s="4" t="s">
        <v>1097</v>
      </c>
      <c r="C12056" s="38" t="s">
        <v>3552</v>
      </c>
      <c r="D12056" s="18">
        <v>2022</v>
      </c>
      <c r="E12056" s="18" t="s">
        <v>0</v>
      </c>
      <c r="F12056" s="4">
        <v>2</v>
      </c>
      <c r="G12056" s="42">
        <v>10</v>
      </c>
      <c r="H12056" s="42">
        <v>114.85038</v>
      </c>
    </row>
    <row r="12057" spans="1:33" s="15" customFormat="1" ht="28.5" hidden="1" customHeight="1" outlineLevel="1" x14ac:dyDescent="0.25">
      <c r="A12057" s="18">
        <v>459</v>
      </c>
      <c r="B12057" s="4" t="s">
        <v>1097</v>
      </c>
      <c r="C12057" s="38" t="s">
        <v>3553</v>
      </c>
      <c r="D12057" s="18">
        <v>2022</v>
      </c>
      <c r="E12057" s="18" t="s">
        <v>0</v>
      </c>
      <c r="F12057" s="4">
        <v>2</v>
      </c>
      <c r="G12057" s="42">
        <v>150</v>
      </c>
      <c r="H12057" s="42">
        <v>327.69360999999998</v>
      </c>
    </row>
    <row r="12058" spans="1:33" s="15" customFormat="1" ht="28.5" hidden="1" customHeight="1" outlineLevel="1" x14ac:dyDescent="0.25">
      <c r="A12058" s="18">
        <v>837</v>
      </c>
      <c r="B12058" s="4" t="s">
        <v>1097</v>
      </c>
      <c r="C12058" s="38" t="s">
        <v>9149</v>
      </c>
      <c r="D12058" s="18">
        <v>2022</v>
      </c>
      <c r="E12058" s="18" t="s">
        <v>0</v>
      </c>
      <c r="F12058" s="4">
        <v>1</v>
      </c>
      <c r="G12058" s="42">
        <v>10</v>
      </c>
      <c r="H12058" s="42">
        <v>65.624309999999994</v>
      </c>
    </row>
    <row r="12059" spans="1:33" s="15" customFormat="1" ht="28.5" hidden="1" customHeight="1" outlineLevel="1" x14ac:dyDescent="0.25">
      <c r="A12059" s="18">
        <v>461</v>
      </c>
      <c r="B12059" s="4" t="s">
        <v>1097</v>
      </c>
      <c r="C12059" s="38" t="s">
        <v>3957</v>
      </c>
      <c r="D12059" s="18">
        <v>2022</v>
      </c>
      <c r="E12059" s="18" t="s">
        <v>0</v>
      </c>
      <c r="F12059" s="4">
        <v>10</v>
      </c>
      <c r="G12059" s="42">
        <v>87</v>
      </c>
      <c r="H12059" s="42">
        <v>576.28480999999999</v>
      </c>
    </row>
    <row r="12060" spans="1:33" s="15" customFormat="1" ht="28.5" hidden="1" customHeight="1" outlineLevel="1" x14ac:dyDescent="0.25">
      <c r="A12060" s="18">
        <v>462</v>
      </c>
      <c r="B12060" s="4" t="s">
        <v>1097</v>
      </c>
      <c r="C12060" s="38" t="s">
        <v>3564</v>
      </c>
      <c r="D12060" s="18">
        <v>2022</v>
      </c>
      <c r="E12060" s="18" t="s">
        <v>0</v>
      </c>
      <c r="F12060" s="4">
        <v>2</v>
      </c>
      <c r="G12060" s="42">
        <v>15</v>
      </c>
      <c r="H12060" s="42">
        <v>77.480940000000004</v>
      </c>
    </row>
    <row r="12061" spans="1:33" s="15" customFormat="1" ht="28.5" hidden="1" customHeight="1" outlineLevel="1" x14ac:dyDescent="0.25">
      <c r="A12061" s="18">
        <v>463</v>
      </c>
      <c r="B12061" s="4" t="s">
        <v>1097</v>
      </c>
      <c r="C12061" s="38" t="s">
        <v>3566</v>
      </c>
      <c r="D12061" s="18">
        <v>2022</v>
      </c>
      <c r="E12061" s="18" t="s">
        <v>0</v>
      </c>
      <c r="F12061" s="4">
        <v>2</v>
      </c>
      <c r="G12061" s="42">
        <v>50</v>
      </c>
      <c r="H12061" s="42">
        <v>195.61016000000001</v>
      </c>
    </row>
    <row r="12062" spans="1:33" s="15" customFormat="1" ht="28.5" hidden="1" customHeight="1" outlineLevel="1" x14ac:dyDescent="0.25">
      <c r="A12062" s="18">
        <v>464</v>
      </c>
      <c r="B12062" s="4" t="s">
        <v>1097</v>
      </c>
      <c r="C12062" s="38" t="s">
        <v>4032</v>
      </c>
      <c r="D12062" s="18">
        <v>2022</v>
      </c>
      <c r="E12062" s="18" t="s">
        <v>0</v>
      </c>
      <c r="F12062" s="4">
        <v>2</v>
      </c>
      <c r="G12062" s="42">
        <v>150</v>
      </c>
      <c r="H12062" s="42">
        <v>127.63611</v>
      </c>
    </row>
    <row r="12063" spans="1:33" s="15" customFormat="1" ht="28.5" hidden="1" customHeight="1" outlineLevel="1" x14ac:dyDescent="0.25">
      <c r="A12063" s="18">
        <v>467</v>
      </c>
      <c r="B12063" s="4" t="s">
        <v>1097</v>
      </c>
      <c r="C12063" s="38" t="s">
        <v>3569</v>
      </c>
      <c r="D12063" s="18">
        <v>2022</v>
      </c>
      <c r="E12063" s="18" t="s">
        <v>0</v>
      </c>
      <c r="F12063" s="4">
        <v>2</v>
      </c>
      <c r="G12063" s="42">
        <v>15</v>
      </c>
      <c r="H12063" s="42">
        <v>276.89328999999998</v>
      </c>
    </row>
    <row r="12064" spans="1:33" s="15" customFormat="1" ht="28.5" hidden="1" customHeight="1" outlineLevel="1" x14ac:dyDescent="0.25">
      <c r="A12064" s="18">
        <v>470</v>
      </c>
      <c r="B12064" s="4" t="s">
        <v>1097</v>
      </c>
      <c r="C12064" s="38" t="s">
        <v>3578</v>
      </c>
      <c r="D12064" s="18">
        <v>2022</v>
      </c>
      <c r="E12064" s="18" t="s">
        <v>0</v>
      </c>
      <c r="F12064" s="4">
        <v>2</v>
      </c>
      <c r="G12064" s="42">
        <v>15</v>
      </c>
      <c r="H12064" s="42">
        <v>94.501400000000004</v>
      </c>
    </row>
    <row r="12065" spans="1:8" s="15" customFormat="1" ht="28.5" hidden="1" customHeight="1" outlineLevel="1" x14ac:dyDescent="0.25">
      <c r="A12065" s="18">
        <v>471</v>
      </c>
      <c r="B12065" s="4" t="s">
        <v>1097</v>
      </c>
      <c r="C12065" s="38" t="s">
        <v>4033</v>
      </c>
      <c r="D12065" s="18">
        <v>2022</v>
      </c>
      <c r="E12065" s="18" t="s">
        <v>0</v>
      </c>
      <c r="F12065" s="4">
        <v>1</v>
      </c>
      <c r="G12065" s="42">
        <v>150</v>
      </c>
      <c r="H12065" s="42">
        <v>81.478020000000001</v>
      </c>
    </row>
    <row r="12066" spans="1:8" s="15" customFormat="1" ht="28.5" hidden="1" customHeight="1" outlineLevel="1" x14ac:dyDescent="0.25">
      <c r="A12066" s="18">
        <v>472</v>
      </c>
      <c r="B12066" s="4" t="s">
        <v>1097</v>
      </c>
      <c r="C12066" s="38" t="s">
        <v>4034</v>
      </c>
      <c r="D12066" s="18">
        <v>2022</v>
      </c>
      <c r="E12066" s="18" t="s">
        <v>0</v>
      </c>
      <c r="F12066" s="4">
        <v>1</v>
      </c>
      <c r="G12066" s="42">
        <v>100</v>
      </c>
      <c r="H12066" s="42">
        <v>172.44685000000001</v>
      </c>
    </row>
    <row r="12067" spans="1:8" s="15" customFormat="1" ht="28.5" hidden="1" customHeight="1" outlineLevel="1" x14ac:dyDescent="0.25">
      <c r="A12067" s="18">
        <v>473</v>
      </c>
      <c r="B12067" s="4" t="s">
        <v>1097</v>
      </c>
      <c r="C12067" s="38" t="s">
        <v>3585</v>
      </c>
      <c r="D12067" s="18">
        <v>2022</v>
      </c>
      <c r="E12067" s="18" t="s">
        <v>0</v>
      </c>
      <c r="F12067" s="4">
        <v>2</v>
      </c>
      <c r="G12067" s="42">
        <v>15</v>
      </c>
      <c r="H12067" s="42">
        <v>152.22559999999999</v>
      </c>
    </row>
    <row r="12068" spans="1:8" s="15" customFormat="1" ht="28.5" hidden="1" customHeight="1" outlineLevel="1" x14ac:dyDescent="0.25">
      <c r="A12068" s="18">
        <v>460</v>
      </c>
      <c r="B12068" s="4" t="s">
        <v>1097</v>
      </c>
      <c r="C12068" s="38" t="s">
        <v>4257</v>
      </c>
      <c r="D12068" s="18">
        <v>2022</v>
      </c>
      <c r="E12068" s="18" t="s">
        <v>0</v>
      </c>
      <c r="F12068" s="4">
        <v>1</v>
      </c>
      <c r="G12068" s="42">
        <v>150</v>
      </c>
      <c r="H12068" s="42">
        <v>72.491950000000003</v>
      </c>
    </row>
    <row r="12069" spans="1:8" s="15" customFormat="1" ht="28.5" hidden="1" customHeight="1" outlineLevel="1" x14ac:dyDescent="0.25">
      <c r="A12069" s="18">
        <v>532</v>
      </c>
      <c r="B12069" s="4" t="s">
        <v>1097</v>
      </c>
      <c r="C12069" s="38" t="s">
        <v>3606</v>
      </c>
      <c r="D12069" s="18">
        <v>2022</v>
      </c>
      <c r="E12069" s="18" t="s">
        <v>0</v>
      </c>
      <c r="F12069" s="4">
        <v>1</v>
      </c>
      <c r="G12069" s="42">
        <v>15</v>
      </c>
      <c r="H12069" s="42">
        <v>41.121110000000002</v>
      </c>
    </row>
    <row r="12070" spans="1:8" s="15" customFormat="1" ht="28.5" hidden="1" customHeight="1" outlineLevel="1" x14ac:dyDescent="0.25">
      <c r="A12070" s="18">
        <v>4878</v>
      </c>
      <c r="B12070" s="4" t="s">
        <v>1097</v>
      </c>
      <c r="C12070" s="38" t="s">
        <v>3970</v>
      </c>
      <c r="D12070" s="18">
        <v>2022</v>
      </c>
      <c r="E12070" s="18" t="s">
        <v>0</v>
      </c>
      <c r="F12070" s="4">
        <v>1</v>
      </c>
      <c r="G12070" s="42">
        <v>90</v>
      </c>
      <c r="H12070" s="42">
        <v>69</v>
      </c>
    </row>
    <row r="12071" spans="1:8" s="15" customFormat="1" ht="28.5" hidden="1" customHeight="1" outlineLevel="1" x14ac:dyDescent="0.25">
      <c r="A12071" s="18">
        <v>4570</v>
      </c>
      <c r="B12071" s="4" t="s">
        <v>1097</v>
      </c>
      <c r="C12071" s="38" t="s">
        <v>4071</v>
      </c>
      <c r="D12071" s="18">
        <v>2022</v>
      </c>
      <c r="E12071" s="18" t="s">
        <v>0</v>
      </c>
      <c r="F12071" s="4">
        <v>1</v>
      </c>
      <c r="G12071" s="42">
        <v>139.4</v>
      </c>
      <c r="H12071" s="42">
        <v>67</v>
      </c>
    </row>
    <row r="12072" spans="1:8" s="15" customFormat="1" ht="28.5" hidden="1" customHeight="1" outlineLevel="1" x14ac:dyDescent="0.25">
      <c r="A12072" s="18">
        <v>4580</v>
      </c>
      <c r="B12072" s="4" t="s">
        <v>1097</v>
      </c>
      <c r="C12072" s="38" t="s">
        <v>4072</v>
      </c>
      <c r="D12072" s="18">
        <v>2022</v>
      </c>
      <c r="E12072" s="18" t="s">
        <v>0</v>
      </c>
      <c r="F12072" s="4">
        <v>1</v>
      </c>
      <c r="G12072" s="42">
        <v>134.5</v>
      </c>
      <c r="H12072" s="42">
        <v>64</v>
      </c>
    </row>
    <row r="12073" spans="1:8" s="15" customFormat="1" ht="28.5" hidden="1" customHeight="1" outlineLevel="1" x14ac:dyDescent="0.25">
      <c r="A12073" s="18">
        <v>4764</v>
      </c>
      <c r="B12073" s="4" t="s">
        <v>1097</v>
      </c>
      <c r="C12073" s="38" t="s">
        <v>9150</v>
      </c>
      <c r="D12073" s="18">
        <v>2022</v>
      </c>
      <c r="E12073" s="18" t="s">
        <v>0</v>
      </c>
      <c r="F12073" s="4">
        <v>1</v>
      </c>
      <c r="G12073" s="42">
        <v>45</v>
      </c>
      <c r="H12073" s="42">
        <v>45</v>
      </c>
    </row>
    <row r="12074" spans="1:8" s="15" customFormat="1" ht="28.5" hidden="1" customHeight="1" outlineLevel="1" x14ac:dyDescent="0.25">
      <c r="A12074" s="18">
        <v>4616</v>
      </c>
      <c r="B12074" s="4" t="s">
        <v>1097</v>
      </c>
      <c r="C12074" s="38" t="s">
        <v>3974</v>
      </c>
      <c r="D12074" s="18">
        <v>2022</v>
      </c>
      <c r="E12074" s="18" t="s">
        <v>0</v>
      </c>
      <c r="F12074" s="4">
        <v>1</v>
      </c>
      <c r="G12074" s="42">
        <v>100</v>
      </c>
      <c r="H12074" s="42">
        <v>116.8</v>
      </c>
    </row>
    <row r="12075" spans="1:8" s="15" customFormat="1" ht="28.5" hidden="1" customHeight="1" outlineLevel="1" x14ac:dyDescent="0.25">
      <c r="A12075" s="18">
        <v>4702</v>
      </c>
      <c r="B12075" s="4" t="s">
        <v>1097</v>
      </c>
      <c r="C12075" s="38" t="s">
        <v>4128</v>
      </c>
      <c r="D12075" s="18">
        <v>2022</v>
      </c>
      <c r="E12075" s="18" t="s">
        <v>0</v>
      </c>
      <c r="F12075" s="4">
        <v>1</v>
      </c>
      <c r="G12075" s="42">
        <v>100</v>
      </c>
      <c r="H12075" s="42">
        <v>51.270999999999994</v>
      </c>
    </row>
    <row r="12076" spans="1:8" s="15" customFormat="1" ht="28.5" hidden="1" customHeight="1" outlineLevel="1" x14ac:dyDescent="0.25">
      <c r="A12076" s="18">
        <v>4853</v>
      </c>
      <c r="B12076" s="4" t="s">
        <v>1097</v>
      </c>
      <c r="C12076" s="38" t="s">
        <v>4223</v>
      </c>
      <c r="D12076" s="18">
        <v>2022</v>
      </c>
      <c r="E12076" s="18" t="s">
        <v>0</v>
      </c>
      <c r="F12076" s="4">
        <v>1</v>
      </c>
      <c r="G12076" s="42">
        <v>150</v>
      </c>
      <c r="H12076" s="42">
        <v>82.249600000000001</v>
      </c>
    </row>
    <row r="12077" spans="1:8" s="15" customFormat="1" ht="28.5" hidden="1" customHeight="1" outlineLevel="1" x14ac:dyDescent="0.25">
      <c r="A12077" s="18">
        <v>5048</v>
      </c>
      <c r="B12077" s="4" t="s">
        <v>1097</v>
      </c>
      <c r="C12077" s="38" t="s">
        <v>3976</v>
      </c>
      <c r="D12077" s="18">
        <v>2022</v>
      </c>
      <c r="E12077" s="18" t="s">
        <v>0</v>
      </c>
      <c r="F12077" s="4">
        <v>1</v>
      </c>
      <c r="G12077" s="42">
        <v>150</v>
      </c>
      <c r="H12077" s="42">
        <v>82.168000000000006</v>
      </c>
    </row>
    <row r="12078" spans="1:8" s="15" customFormat="1" ht="28.5" hidden="1" customHeight="1" outlineLevel="1" x14ac:dyDescent="0.25">
      <c r="A12078" s="18">
        <v>5419</v>
      </c>
      <c r="B12078" s="4" t="s">
        <v>1097</v>
      </c>
      <c r="C12078" s="38" t="s">
        <v>3617</v>
      </c>
      <c r="D12078" s="18">
        <v>2022</v>
      </c>
      <c r="E12078" s="18" t="s">
        <v>0</v>
      </c>
      <c r="F12078" s="4">
        <v>1</v>
      </c>
      <c r="G12078" s="42">
        <v>100</v>
      </c>
      <c r="H12078" s="42">
        <v>93.992000000000004</v>
      </c>
    </row>
    <row r="12079" spans="1:8" s="15" customFormat="1" ht="28.5" hidden="1" customHeight="1" outlineLevel="1" x14ac:dyDescent="0.25">
      <c r="A12079" s="18">
        <v>5421</v>
      </c>
      <c r="B12079" s="4" t="s">
        <v>1097</v>
      </c>
      <c r="C12079" s="38" t="s">
        <v>4036</v>
      </c>
      <c r="D12079" s="18">
        <v>2022</v>
      </c>
      <c r="E12079" s="18" t="s">
        <v>0</v>
      </c>
      <c r="F12079" s="4">
        <v>1</v>
      </c>
      <c r="G12079" s="42">
        <v>130</v>
      </c>
      <c r="H12079" s="42">
        <v>118.37</v>
      </c>
    </row>
    <row r="12080" spans="1:8" s="15" customFormat="1" ht="28.5" hidden="1" customHeight="1" outlineLevel="1" x14ac:dyDescent="0.25">
      <c r="A12080" s="18">
        <v>5417</v>
      </c>
      <c r="B12080" s="4" t="s">
        <v>1097</v>
      </c>
      <c r="C12080" s="38" t="s">
        <v>3977</v>
      </c>
      <c r="D12080" s="18">
        <v>2022</v>
      </c>
      <c r="E12080" s="18" t="s">
        <v>0</v>
      </c>
      <c r="F12080" s="4">
        <v>2</v>
      </c>
      <c r="G12080" s="42">
        <v>159.69999999999999</v>
      </c>
      <c r="H12080" s="42">
        <v>61.281999999999996</v>
      </c>
    </row>
    <row r="12081" spans="1:8" s="15" customFormat="1" ht="28.5" hidden="1" customHeight="1" outlineLevel="1" x14ac:dyDescent="0.25">
      <c r="A12081" s="18">
        <v>5835</v>
      </c>
      <c r="B12081" s="4" t="s">
        <v>1097</v>
      </c>
      <c r="C12081" s="38" t="s">
        <v>3645</v>
      </c>
      <c r="D12081" s="18">
        <v>2022</v>
      </c>
      <c r="E12081" s="18" t="s">
        <v>0</v>
      </c>
      <c r="F12081" s="4">
        <v>1</v>
      </c>
      <c r="G12081" s="42">
        <v>15</v>
      </c>
      <c r="H12081" s="42">
        <v>52.784999999999997</v>
      </c>
    </row>
    <row r="12082" spans="1:8" s="15" customFormat="1" ht="28.5" hidden="1" customHeight="1" outlineLevel="1" x14ac:dyDescent="0.25">
      <c r="A12082" s="18">
        <v>5848</v>
      </c>
      <c r="B12082" s="4" t="s">
        <v>1097</v>
      </c>
      <c r="C12082" s="38" t="s">
        <v>9151</v>
      </c>
      <c r="D12082" s="18">
        <v>2022</v>
      </c>
      <c r="E12082" s="18" t="s">
        <v>0</v>
      </c>
      <c r="F12082" s="4">
        <v>1</v>
      </c>
      <c r="G12082" s="42">
        <v>95</v>
      </c>
      <c r="H12082" s="42">
        <v>43.713000000000001</v>
      </c>
    </row>
    <row r="12083" spans="1:8" s="15" customFormat="1" ht="28.5" hidden="1" customHeight="1" outlineLevel="1" x14ac:dyDescent="0.25">
      <c r="A12083" s="18">
        <v>5768</v>
      </c>
      <c r="B12083" s="4" t="s">
        <v>1097</v>
      </c>
      <c r="C12083" s="38" t="s">
        <v>3676</v>
      </c>
      <c r="D12083" s="18">
        <v>2022</v>
      </c>
      <c r="E12083" s="18" t="s">
        <v>0</v>
      </c>
      <c r="F12083" s="4">
        <v>1</v>
      </c>
      <c r="G12083" s="42">
        <v>62</v>
      </c>
      <c r="H12083" s="42">
        <v>151.69999999999999</v>
      </c>
    </row>
    <row r="12084" spans="1:8" s="15" customFormat="1" ht="19.5" hidden="1" customHeight="1" outlineLevel="1" x14ac:dyDescent="0.25">
      <c r="A12084" s="131">
        <v>1190</v>
      </c>
      <c r="B12084" s="4" t="s">
        <v>1097</v>
      </c>
      <c r="C12084" s="22" t="s">
        <v>1296</v>
      </c>
      <c r="D12084" s="18">
        <v>2021</v>
      </c>
      <c r="E12084" s="18" t="s">
        <v>0</v>
      </c>
      <c r="F12084" s="4">
        <v>1</v>
      </c>
      <c r="G12084" s="4">
        <v>150</v>
      </c>
      <c r="H12084" s="4">
        <v>38.002119999999998</v>
      </c>
    </row>
    <row r="12085" spans="1:8" s="15" customFormat="1" ht="19.5" hidden="1" customHeight="1" outlineLevel="1" x14ac:dyDescent="0.25">
      <c r="A12085" s="132">
        <v>10057</v>
      </c>
      <c r="B12085" s="4" t="s">
        <v>1097</v>
      </c>
      <c r="C12085" s="22" t="s">
        <v>3160</v>
      </c>
      <c r="D12085" s="18">
        <v>2021</v>
      </c>
      <c r="E12085" s="18" t="s">
        <v>0</v>
      </c>
      <c r="F12085" s="4">
        <v>1</v>
      </c>
      <c r="G12085" s="4">
        <v>60</v>
      </c>
      <c r="H12085" s="4">
        <v>29.749780000000001</v>
      </c>
    </row>
    <row r="12086" spans="1:8" s="15" customFormat="1" ht="19.5" hidden="1" customHeight="1" outlineLevel="1" x14ac:dyDescent="0.25">
      <c r="A12086" s="132">
        <v>10115</v>
      </c>
      <c r="B12086" s="4" t="s">
        <v>1097</v>
      </c>
      <c r="C12086" s="22" t="s">
        <v>3161</v>
      </c>
      <c r="D12086" s="18">
        <v>2021</v>
      </c>
      <c r="E12086" s="18" t="s">
        <v>0</v>
      </c>
      <c r="F12086" s="4">
        <v>1</v>
      </c>
      <c r="G12086" s="4">
        <v>110</v>
      </c>
      <c r="H12086" s="4">
        <v>29.546420000000001</v>
      </c>
    </row>
    <row r="12087" spans="1:8" s="15" customFormat="1" ht="19.5" hidden="1" customHeight="1" outlineLevel="1" x14ac:dyDescent="0.25">
      <c r="A12087" s="130">
        <v>232</v>
      </c>
      <c r="B12087" s="4" t="s">
        <v>1097</v>
      </c>
      <c r="C12087" s="22" t="s">
        <v>2165</v>
      </c>
      <c r="D12087" s="18">
        <v>2021</v>
      </c>
      <c r="E12087" s="18" t="s">
        <v>0</v>
      </c>
      <c r="F12087" s="4">
        <v>1</v>
      </c>
      <c r="G12087" s="4">
        <v>25</v>
      </c>
      <c r="H12087" s="4">
        <v>34.299999999999997</v>
      </c>
    </row>
    <row r="12088" spans="1:8" s="15" customFormat="1" ht="19.5" hidden="1" customHeight="1" outlineLevel="1" x14ac:dyDescent="0.25">
      <c r="A12088" s="132">
        <v>9464</v>
      </c>
      <c r="B12088" s="4" t="s">
        <v>1097</v>
      </c>
      <c r="C12088" s="22" t="s">
        <v>1517</v>
      </c>
      <c r="D12088" s="18">
        <v>2021</v>
      </c>
      <c r="E12088" s="18" t="s">
        <v>0</v>
      </c>
      <c r="F12088" s="4">
        <v>1</v>
      </c>
      <c r="G12088" s="4">
        <v>100</v>
      </c>
      <c r="H12088" s="4">
        <v>31.709</v>
      </c>
    </row>
    <row r="12089" spans="1:8" s="15" customFormat="1" ht="19.5" hidden="1" customHeight="1" outlineLevel="1" x14ac:dyDescent="0.25">
      <c r="A12089" s="132">
        <v>9516</v>
      </c>
      <c r="B12089" s="4" t="s">
        <v>1097</v>
      </c>
      <c r="C12089" s="22" t="s">
        <v>1522</v>
      </c>
      <c r="D12089" s="18">
        <v>2021</v>
      </c>
      <c r="E12089" s="18" t="s">
        <v>0</v>
      </c>
      <c r="F12089" s="4">
        <v>1</v>
      </c>
      <c r="G12089" s="4">
        <v>120</v>
      </c>
      <c r="H12089" s="4">
        <v>49.752000000000002</v>
      </c>
    </row>
    <row r="12090" spans="1:8" s="15" customFormat="1" ht="19.5" hidden="1" customHeight="1" outlineLevel="1" x14ac:dyDescent="0.25">
      <c r="A12090" s="132">
        <v>9498</v>
      </c>
      <c r="B12090" s="4" t="s">
        <v>1097</v>
      </c>
      <c r="C12090" s="22" t="s">
        <v>1546</v>
      </c>
      <c r="D12090" s="18">
        <v>2021</v>
      </c>
      <c r="E12090" s="18" t="s">
        <v>0</v>
      </c>
      <c r="F12090" s="4">
        <v>1</v>
      </c>
      <c r="G12090" s="4">
        <v>155</v>
      </c>
      <c r="H12090" s="4">
        <v>49.911999999999999</v>
      </c>
    </row>
    <row r="12091" spans="1:8" s="15" customFormat="1" ht="19.5" hidden="1" customHeight="1" outlineLevel="1" x14ac:dyDescent="0.25">
      <c r="A12091" s="132">
        <v>9524</v>
      </c>
      <c r="B12091" s="4" t="s">
        <v>1097</v>
      </c>
      <c r="C12091" s="22" t="s">
        <v>1547</v>
      </c>
      <c r="D12091" s="18">
        <v>2021</v>
      </c>
      <c r="E12091" s="18" t="s">
        <v>0</v>
      </c>
      <c r="F12091" s="4">
        <v>1</v>
      </c>
      <c r="G12091" s="4">
        <v>10</v>
      </c>
      <c r="H12091" s="4">
        <v>47.779000000000003</v>
      </c>
    </row>
    <row r="12092" spans="1:8" s="15" customFormat="1" ht="19.5" hidden="1" customHeight="1" outlineLevel="1" x14ac:dyDescent="0.25">
      <c r="A12092" s="132">
        <v>9594</v>
      </c>
      <c r="B12092" s="4" t="s">
        <v>1097</v>
      </c>
      <c r="C12092" s="22" t="s">
        <v>1630</v>
      </c>
      <c r="D12092" s="18">
        <v>2021</v>
      </c>
      <c r="E12092" s="18" t="s">
        <v>0</v>
      </c>
      <c r="F12092" s="4">
        <v>1</v>
      </c>
      <c r="G12092" s="4">
        <v>15</v>
      </c>
      <c r="H12092" s="4">
        <v>18</v>
      </c>
    </row>
    <row r="12093" spans="1:8" s="15" customFormat="1" ht="19.5" hidden="1" customHeight="1" outlineLevel="1" x14ac:dyDescent="0.25">
      <c r="A12093" s="132">
        <v>9597</v>
      </c>
      <c r="B12093" s="4" t="s">
        <v>1097</v>
      </c>
      <c r="C12093" s="22" t="s">
        <v>1645</v>
      </c>
      <c r="D12093" s="18">
        <v>2021</v>
      </c>
      <c r="E12093" s="18" t="s">
        <v>0</v>
      </c>
      <c r="F12093" s="4">
        <v>1</v>
      </c>
      <c r="G12093" s="4">
        <v>150</v>
      </c>
      <c r="H12093" s="4">
        <v>31</v>
      </c>
    </row>
    <row r="12094" spans="1:8" s="15" customFormat="1" ht="32.25" hidden="1" customHeight="1" outlineLevel="1" x14ac:dyDescent="0.25">
      <c r="A12094" s="46">
        <v>10047</v>
      </c>
      <c r="B12094" s="4" t="s">
        <v>1097</v>
      </c>
      <c r="C12094" s="22" t="s">
        <v>2621</v>
      </c>
      <c r="D12094" s="18">
        <v>2021</v>
      </c>
      <c r="E12094" s="18" t="s">
        <v>0</v>
      </c>
      <c r="F12094" s="4">
        <v>1</v>
      </c>
      <c r="G12094" s="4" t="s">
        <v>2622</v>
      </c>
      <c r="H12094" s="4">
        <v>97</v>
      </c>
    </row>
    <row r="12095" spans="1:8" s="15" customFormat="1" ht="36.75" hidden="1" customHeight="1" outlineLevel="1" x14ac:dyDescent="0.25">
      <c r="A12095" s="46">
        <v>9578</v>
      </c>
      <c r="B12095" s="4" t="s">
        <v>1097</v>
      </c>
      <c r="C12095" s="22" t="s">
        <v>1623</v>
      </c>
      <c r="D12095" s="18">
        <v>2021</v>
      </c>
      <c r="E12095" s="18" t="s">
        <v>0</v>
      </c>
      <c r="F12095" s="4">
        <v>1</v>
      </c>
      <c r="G12095" s="4">
        <v>15</v>
      </c>
      <c r="H12095" s="4">
        <v>114</v>
      </c>
    </row>
    <row r="12096" spans="1:8" s="15" customFormat="1" ht="43.5" hidden="1" customHeight="1" outlineLevel="1" x14ac:dyDescent="0.25">
      <c r="A12096" s="46">
        <v>9352</v>
      </c>
      <c r="B12096" s="4" t="s">
        <v>1097</v>
      </c>
      <c r="C12096" s="22" t="s">
        <v>1363</v>
      </c>
      <c r="D12096" s="18">
        <v>2021</v>
      </c>
      <c r="E12096" s="18" t="s">
        <v>0</v>
      </c>
      <c r="F12096" s="4">
        <v>1</v>
      </c>
      <c r="G12096" s="4">
        <v>90</v>
      </c>
      <c r="H12096" s="4">
        <v>140.12799999999999</v>
      </c>
    </row>
    <row r="12097" spans="1:8" s="15" customFormat="1" ht="37.5" hidden="1" customHeight="1" outlineLevel="1" x14ac:dyDescent="0.25">
      <c r="A12097" s="46">
        <v>9079</v>
      </c>
      <c r="B12097" s="4" t="s">
        <v>1097</v>
      </c>
      <c r="C12097" s="22" t="s">
        <v>1368</v>
      </c>
      <c r="D12097" s="18">
        <v>2021</v>
      </c>
      <c r="E12097" s="18" t="s">
        <v>0</v>
      </c>
      <c r="F12097" s="4">
        <v>1</v>
      </c>
      <c r="G12097" s="4">
        <v>105</v>
      </c>
      <c r="H12097" s="4">
        <v>223.90299999999999</v>
      </c>
    </row>
    <row r="12098" spans="1:8" s="15" customFormat="1" ht="46.5" hidden="1" customHeight="1" outlineLevel="1" x14ac:dyDescent="0.25">
      <c r="A12098" s="46">
        <v>9484</v>
      </c>
      <c r="B12098" s="4" t="s">
        <v>1097</v>
      </c>
      <c r="C12098" s="22" t="s">
        <v>1750</v>
      </c>
      <c r="D12098" s="18">
        <v>2021</v>
      </c>
      <c r="E12098" s="18" t="s">
        <v>0</v>
      </c>
      <c r="F12098" s="4">
        <v>1</v>
      </c>
      <c r="G12098" s="4">
        <v>15</v>
      </c>
      <c r="H12098" s="4">
        <v>138.99161000000001</v>
      </c>
    </row>
    <row r="12099" spans="1:8" s="15" customFormat="1" ht="65.25" hidden="1" customHeight="1" outlineLevel="1" x14ac:dyDescent="0.25">
      <c r="A12099" s="46">
        <v>9455</v>
      </c>
      <c r="B12099" s="4" t="s">
        <v>1097</v>
      </c>
      <c r="C12099" s="22" t="s">
        <v>1973</v>
      </c>
      <c r="D12099" s="18">
        <v>2021</v>
      </c>
      <c r="E12099" s="18" t="s">
        <v>0</v>
      </c>
      <c r="F12099" s="4">
        <v>1</v>
      </c>
      <c r="G12099" s="4">
        <v>20</v>
      </c>
      <c r="H12099" s="4">
        <v>324.62448999999998</v>
      </c>
    </row>
    <row r="12100" spans="1:8" s="15" customFormat="1" ht="19.5" hidden="1" customHeight="1" outlineLevel="1" x14ac:dyDescent="0.25">
      <c r="A12100" s="131">
        <v>1130</v>
      </c>
      <c r="B12100" s="4" t="s">
        <v>1097</v>
      </c>
      <c r="C12100" s="22" t="s">
        <v>1646</v>
      </c>
      <c r="D12100" s="18">
        <v>2021</v>
      </c>
      <c r="E12100" s="18" t="s">
        <v>0</v>
      </c>
      <c r="F12100" s="4">
        <v>1</v>
      </c>
      <c r="G12100" s="4">
        <v>110</v>
      </c>
      <c r="H12100" s="4">
        <v>31</v>
      </c>
    </row>
    <row r="12101" spans="1:8" s="15" customFormat="1" ht="19.5" hidden="1" customHeight="1" outlineLevel="1" x14ac:dyDescent="0.25">
      <c r="A12101" s="132">
        <v>9671</v>
      </c>
      <c r="B12101" s="4" t="s">
        <v>1097</v>
      </c>
      <c r="C12101" s="22" t="s">
        <v>1832</v>
      </c>
      <c r="D12101" s="18">
        <v>2021</v>
      </c>
      <c r="E12101" s="18" t="s">
        <v>0</v>
      </c>
      <c r="F12101" s="4">
        <v>1</v>
      </c>
      <c r="G12101" s="4">
        <v>150</v>
      </c>
      <c r="H12101" s="4">
        <v>27</v>
      </c>
    </row>
    <row r="12102" spans="1:8" s="15" customFormat="1" ht="19.5" hidden="1" customHeight="1" outlineLevel="1" x14ac:dyDescent="0.25">
      <c r="A12102" s="132">
        <v>9601</v>
      </c>
      <c r="B12102" s="4" t="s">
        <v>1097</v>
      </c>
      <c r="C12102" s="22" t="s">
        <v>1822</v>
      </c>
      <c r="D12102" s="18">
        <v>2021</v>
      </c>
      <c r="E12102" s="18" t="s">
        <v>0</v>
      </c>
      <c r="F12102" s="4">
        <v>7</v>
      </c>
      <c r="G12102" s="4">
        <v>537</v>
      </c>
      <c r="H12102" s="4">
        <v>213</v>
      </c>
    </row>
    <row r="12103" spans="1:8" s="15" customFormat="1" ht="19.5" hidden="1" customHeight="1" outlineLevel="1" x14ac:dyDescent="0.25">
      <c r="A12103" s="132">
        <v>9404</v>
      </c>
      <c r="B12103" s="4" t="s">
        <v>1097</v>
      </c>
      <c r="C12103" s="22" t="s">
        <v>3162</v>
      </c>
      <c r="D12103" s="18">
        <v>2021</v>
      </c>
      <c r="E12103" s="18" t="s">
        <v>0</v>
      </c>
      <c r="F12103" s="4">
        <v>1</v>
      </c>
      <c r="G12103" s="4">
        <v>15</v>
      </c>
      <c r="H12103" s="4">
        <v>103</v>
      </c>
    </row>
    <row r="12104" spans="1:8" s="15" customFormat="1" ht="19.5" hidden="1" customHeight="1" outlineLevel="1" x14ac:dyDescent="0.25">
      <c r="A12104" s="132">
        <v>9669</v>
      </c>
      <c r="B12104" s="4" t="s">
        <v>1097</v>
      </c>
      <c r="C12104" s="22" t="s">
        <v>3163</v>
      </c>
      <c r="D12104" s="18">
        <v>2021</v>
      </c>
      <c r="E12104" s="18" t="s">
        <v>0</v>
      </c>
      <c r="F12104" s="4">
        <v>5</v>
      </c>
      <c r="G12104" s="4">
        <v>750</v>
      </c>
      <c r="H12104" s="4">
        <v>99</v>
      </c>
    </row>
    <row r="12105" spans="1:8" s="15" customFormat="1" ht="19.5" hidden="1" customHeight="1" outlineLevel="1" x14ac:dyDescent="0.25">
      <c r="A12105" s="132">
        <v>9583</v>
      </c>
      <c r="B12105" s="4" t="s">
        <v>1097</v>
      </c>
      <c r="C12105" s="22" t="s">
        <v>1834</v>
      </c>
      <c r="D12105" s="18">
        <v>2021</v>
      </c>
      <c r="E12105" s="18" t="s">
        <v>0</v>
      </c>
      <c r="F12105" s="4">
        <v>1</v>
      </c>
      <c r="G12105" s="4">
        <v>150</v>
      </c>
      <c r="H12105" s="4">
        <v>28</v>
      </c>
    </row>
    <row r="12106" spans="1:8" s="15" customFormat="1" ht="19.5" hidden="1" customHeight="1" outlineLevel="1" x14ac:dyDescent="0.25">
      <c r="A12106" s="132">
        <v>9652</v>
      </c>
      <c r="B12106" s="4" t="s">
        <v>1097</v>
      </c>
      <c r="C12106" s="22" t="s">
        <v>1835</v>
      </c>
      <c r="D12106" s="18">
        <v>2021</v>
      </c>
      <c r="E12106" s="18" t="s">
        <v>0</v>
      </c>
      <c r="F12106" s="4">
        <v>1</v>
      </c>
      <c r="G12106" s="4">
        <v>145</v>
      </c>
      <c r="H12106" s="4">
        <v>29</v>
      </c>
    </row>
    <row r="12107" spans="1:8" s="15" customFormat="1" ht="19.5" hidden="1" customHeight="1" outlineLevel="1" x14ac:dyDescent="0.25">
      <c r="A12107" s="132">
        <v>9645</v>
      </c>
      <c r="B12107" s="4" t="s">
        <v>1097</v>
      </c>
      <c r="C12107" s="22" t="s">
        <v>1836</v>
      </c>
      <c r="D12107" s="18">
        <v>2021</v>
      </c>
      <c r="E12107" s="18" t="s">
        <v>0</v>
      </c>
      <c r="F12107" s="4">
        <v>1</v>
      </c>
      <c r="G12107" s="4">
        <v>150</v>
      </c>
      <c r="H12107" s="4">
        <v>31</v>
      </c>
    </row>
    <row r="12108" spans="1:8" s="15" customFormat="1" ht="78.75" hidden="1" outlineLevel="1" x14ac:dyDescent="0.25">
      <c r="A12108" s="132">
        <v>9646</v>
      </c>
      <c r="B12108" s="4" t="s">
        <v>1097</v>
      </c>
      <c r="C12108" s="22" t="s">
        <v>1839</v>
      </c>
      <c r="D12108" s="18">
        <v>2021</v>
      </c>
      <c r="E12108" s="18" t="s">
        <v>0</v>
      </c>
      <c r="F12108" s="4">
        <v>1</v>
      </c>
      <c r="G12108" s="4">
        <v>150</v>
      </c>
      <c r="H12108" s="4">
        <v>29</v>
      </c>
    </row>
    <row r="12109" spans="1:8" s="15" customFormat="1" ht="63" hidden="1" outlineLevel="1" x14ac:dyDescent="0.25">
      <c r="A12109" s="132">
        <v>9415</v>
      </c>
      <c r="B12109" s="4" t="s">
        <v>1097</v>
      </c>
      <c r="C12109" s="22" t="s">
        <v>3164</v>
      </c>
      <c r="D12109" s="18">
        <v>2021</v>
      </c>
      <c r="E12109" s="18" t="s">
        <v>0</v>
      </c>
      <c r="F12109" s="4">
        <v>1</v>
      </c>
      <c r="G12109" s="4">
        <v>145</v>
      </c>
      <c r="H12109" s="4">
        <v>29</v>
      </c>
    </row>
    <row r="12110" spans="1:8" s="15" customFormat="1" ht="78.75" hidden="1" outlineLevel="1" x14ac:dyDescent="0.25">
      <c r="A12110" s="132">
        <v>9585</v>
      </c>
      <c r="B12110" s="4" t="s">
        <v>1097</v>
      </c>
      <c r="C12110" s="22" t="s">
        <v>1994</v>
      </c>
      <c r="D12110" s="18">
        <v>2021</v>
      </c>
      <c r="E12110" s="18" t="s">
        <v>0</v>
      </c>
      <c r="F12110" s="4">
        <v>1</v>
      </c>
      <c r="G12110" s="4">
        <v>100</v>
      </c>
      <c r="H12110" s="4">
        <v>14</v>
      </c>
    </row>
    <row r="12111" spans="1:8" s="15" customFormat="1" ht="47.25" hidden="1" outlineLevel="1" x14ac:dyDescent="0.25">
      <c r="A12111" s="132">
        <v>10216</v>
      </c>
      <c r="B12111" s="4" t="s">
        <v>1097</v>
      </c>
      <c r="C12111" s="22" t="s">
        <v>3165</v>
      </c>
      <c r="D12111" s="18">
        <v>2021</v>
      </c>
      <c r="E12111" s="18" t="s">
        <v>0</v>
      </c>
      <c r="F12111" s="4">
        <v>1</v>
      </c>
      <c r="G12111" s="4">
        <v>15</v>
      </c>
      <c r="H12111" s="4">
        <v>22</v>
      </c>
    </row>
    <row r="12112" spans="1:8" s="15" customFormat="1" ht="31.5" collapsed="1" x14ac:dyDescent="0.25">
      <c r="A12112" s="130"/>
      <c r="B12112" s="58" t="s">
        <v>1097</v>
      </c>
      <c r="C12112" s="78" t="s">
        <v>3236</v>
      </c>
      <c r="D12112" s="65"/>
      <c r="E12112" s="66" t="s">
        <v>229</v>
      </c>
      <c r="F12112" s="58"/>
      <c r="G12112" s="58"/>
      <c r="H12112" s="58"/>
    </row>
    <row r="12113" spans="1:33" s="15" customFormat="1" ht="31.5" x14ac:dyDescent="0.25">
      <c r="A12113" s="18"/>
      <c r="B12113" s="7" t="s">
        <v>1097</v>
      </c>
      <c r="C12113" s="8" t="s">
        <v>1102</v>
      </c>
      <c r="D12113" s="7" t="s">
        <v>1120</v>
      </c>
      <c r="E12113" s="7" t="s">
        <v>229</v>
      </c>
      <c r="F12113" s="7">
        <f>SUMIF($D$12116:$D$12121,$D$12113,$F$12116:$F$12121)</f>
        <v>0</v>
      </c>
      <c r="G12113" s="7">
        <f>SUMIF($D$12116:$D$12121,$D$12113,$G$12116:$G$12121)</f>
        <v>0</v>
      </c>
      <c r="H12113" s="10">
        <f>SUMIF($D$12116:$D$12121,$D$12113,$H$12116:$H$12121)</f>
        <v>0</v>
      </c>
    </row>
    <row r="12114" spans="1:33" s="26" customFormat="1" ht="15.75" x14ac:dyDescent="0.25">
      <c r="A12114" s="18"/>
      <c r="B12114" s="7" t="s">
        <v>1097</v>
      </c>
      <c r="C12114" s="8" t="s">
        <v>1102</v>
      </c>
      <c r="D12114" s="7">
        <v>2021</v>
      </c>
      <c r="E12114" s="7" t="s">
        <v>229</v>
      </c>
      <c r="F12114" s="7">
        <f>SUMIF($D$12116:$D$12121,$D$12114,$F$12116:$F$12121)</f>
        <v>2</v>
      </c>
      <c r="G12114" s="7">
        <f>SUMIF($D$12116:$D$12121,$D$12114,$G$12116:$G$12121)</f>
        <v>105</v>
      </c>
      <c r="H12114" s="10">
        <f>SUMIF($D$12116:$D$12121,$D$12114,$H$12116:$H$12121)</f>
        <v>169.88300000000001</v>
      </c>
      <c r="I12114" s="15"/>
      <c r="J12114" s="15"/>
      <c r="K12114" s="15"/>
      <c r="L12114" s="15"/>
      <c r="M12114" s="15"/>
      <c r="N12114" s="15"/>
      <c r="O12114" s="15"/>
      <c r="P12114" s="15"/>
      <c r="Q12114" s="15"/>
      <c r="R12114" s="15"/>
      <c r="S12114" s="15"/>
      <c r="T12114" s="15"/>
      <c r="U12114" s="15"/>
      <c r="V12114" s="15"/>
      <c r="W12114" s="15"/>
      <c r="X12114" s="15"/>
      <c r="Y12114" s="15"/>
      <c r="Z12114" s="15"/>
      <c r="AA12114" s="15"/>
      <c r="AB12114" s="15"/>
      <c r="AC12114" s="15"/>
      <c r="AD12114" s="15"/>
      <c r="AE12114" s="15"/>
      <c r="AF12114" s="15"/>
      <c r="AG12114" s="15"/>
    </row>
    <row r="12115" spans="1:33" s="26" customFormat="1" ht="15.75" x14ac:dyDescent="0.25">
      <c r="A12115" s="130"/>
      <c r="B12115" s="7" t="s">
        <v>1097</v>
      </c>
      <c r="C12115" s="8" t="s">
        <v>3929</v>
      </c>
      <c r="D12115" s="7">
        <v>2022</v>
      </c>
      <c r="E12115" s="7" t="s">
        <v>229</v>
      </c>
      <c r="F12115" s="7">
        <f>SUMIF($D$12116:$D$12121,$D$12115,$F$12116:$F$12121)</f>
        <v>6</v>
      </c>
      <c r="G12115" s="7">
        <f>SUMIF($D$12116:$D$12121,$D$12115,$G$12116:$G$12121)</f>
        <v>1050</v>
      </c>
      <c r="H12115" s="7">
        <f>SUMIF($D$12116:$D$12121,$D$12115,$H$12116:$H$12121)</f>
        <v>1540</v>
      </c>
      <c r="I12115" s="15"/>
      <c r="J12115" s="15"/>
      <c r="K12115" s="15"/>
      <c r="L12115" s="15"/>
      <c r="M12115" s="15"/>
      <c r="N12115" s="15"/>
      <c r="O12115" s="15"/>
      <c r="P12115" s="15"/>
      <c r="Q12115" s="15"/>
      <c r="R12115" s="15"/>
      <c r="S12115" s="15"/>
      <c r="T12115" s="15"/>
      <c r="U12115" s="15"/>
      <c r="V12115" s="15"/>
      <c r="W12115" s="15"/>
      <c r="X12115" s="15"/>
      <c r="Y12115" s="15"/>
      <c r="Z12115" s="15"/>
      <c r="AA12115" s="15"/>
      <c r="AB12115" s="15"/>
      <c r="AC12115" s="15"/>
      <c r="AD12115" s="15"/>
      <c r="AE12115" s="15"/>
      <c r="AF12115" s="15"/>
      <c r="AG12115" s="15"/>
    </row>
    <row r="12116" spans="1:33" s="15" customFormat="1" ht="47.25" hidden="1" outlineLevel="1" x14ac:dyDescent="0.25">
      <c r="A12116" s="18">
        <v>1</v>
      </c>
      <c r="B12116" s="4" t="s">
        <v>1097</v>
      </c>
      <c r="C12116" s="38" t="s">
        <v>9135</v>
      </c>
      <c r="D12116" s="18">
        <v>2022</v>
      </c>
      <c r="E12116" s="36" t="s">
        <v>251</v>
      </c>
      <c r="F12116" s="4">
        <v>1</v>
      </c>
      <c r="G12116" s="42">
        <v>500</v>
      </c>
      <c r="H12116" s="125">
        <v>273</v>
      </c>
    </row>
    <row r="12117" spans="1:33" s="15" customFormat="1" ht="47.25" hidden="1" outlineLevel="1" x14ac:dyDescent="0.25">
      <c r="A12117" s="18">
        <v>96</v>
      </c>
      <c r="B12117" s="4" t="s">
        <v>1097</v>
      </c>
      <c r="C12117" s="38" t="s">
        <v>9136</v>
      </c>
      <c r="D12117" s="18">
        <v>2022</v>
      </c>
      <c r="E12117" s="36" t="s">
        <v>251</v>
      </c>
      <c r="F12117" s="4">
        <v>1</v>
      </c>
      <c r="G12117" s="42">
        <v>150</v>
      </c>
      <c r="H12117" s="125">
        <v>258</v>
      </c>
    </row>
    <row r="12118" spans="1:33" s="15" customFormat="1" ht="47.25" hidden="1" outlineLevel="1" x14ac:dyDescent="0.25">
      <c r="A12118" s="18">
        <v>99</v>
      </c>
      <c r="B12118" s="4" t="s">
        <v>1097</v>
      </c>
      <c r="C12118" s="38" t="s">
        <v>9137</v>
      </c>
      <c r="D12118" s="18">
        <v>2022</v>
      </c>
      <c r="E12118" s="36" t="s">
        <v>251</v>
      </c>
      <c r="F12118" s="4">
        <v>1</v>
      </c>
      <c r="G12118" s="42">
        <v>150</v>
      </c>
      <c r="H12118" s="125">
        <v>259</v>
      </c>
    </row>
    <row r="12119" spans="1:33" s="15" customFormat="1" ht="47.25" hidden="1" outlineLevel="1" x14ac:dyDescent="0.25">
      <c r="A12119" s="18">
        <v>89</v>
      </c>
      <c r="B12119" s="4" t="s">
        <v>1097</v>
      </c>
      <c r="C12119" s="38" t="s">
        <v>9138</v>
      </c>
      <c r="D12119" s="18">
        <v>2022</v>
      </c>
      <c r="E12119" s="36" t="s">
        <v>251</v>
      </c>
      <c r="F12119" s="4">
        <v>1</v>
      </c>
      <c r="G12119" s="42">
        <v>150</v>
      </c>
      <c r="H12119" s="125">
        <v>259</v>
      </c>
    </row>
    <row r="12120" spans="1:33" s="15" customFormat="1" ht="78.75" hidden="1" outlineLevel="1" x14ac:dyDescent="0.25">
      <c r="A12120" s="18">
        <v>363</v>
      </c>
      <c r="B12120" s="4" t="s">
        <v>1097</v>
      </c>
      <c r="C12120" s="38" t="s">
        <v>3991</v>
      </c>
      <c r="D12120" s="18">
        <v>2022</v>
      </c>
      <c r="E12120" s="36" t="s">
        <v>251</v>
      </c>
      <c r="F12120" s="4">
        <v>2</v>
      </c>
      <c r="G12120" s="42">
        <v>100</v>
      </c>
      <c r="H12120" s="125">
        <v>491</v>
      </c>
    </row>
    <row r="12121" spans="1:33" s="15" customFormat="1" ht="101.25" hidden="1" customHeight="1" outlineLevel="1" x14ac:dyDescent="0.25">
      <c r="A12121" s="132">
        <v>9007</v>
      </c>
      <c r="B12121" s="4" t="s">
        <v>1097</v>
      </c>
      <c r="C12121" s="22" t="s">
        <v>3166</v>
      </c>
      <c r="D12121" s="18">
        <v>2021</v>
      </c>
      <c r="E12121" s="18" t="s">
        <v>229</v>
      </c>
      <c r="F12121" s="4">
        <v>2</v>
      </c>
      <c r="G12121" s="4">
        <v>105</v>
      </c>
      <c r="H12121" s="4">
        <v>169.88300000000001</v>
      </c>
    </row>
    <row r="12122" spans="1:33" s="15" customFormat="1" ht="31.5" collapsed="1" x14ac:dyDescent="0.25">
      <c r="A12122" s="127"/>
      <c r="B12122" s="70" t="s">
        <v>252</v>
      </c>
      <c r="C12122" s="79" t="s">
        <v>3237</v>
      </c>
      <c r="D12122" s="74"/>
      <c r="E12122" s="74" t="s">
        <v>213</v>
      </c>
      <c r="F12122" s="70"/>
      <c r="G12122" s="70"/>
      <c r="H12122" s="70"/>
    </row>
    <row r="12123" spans="1:33" s="15" customFormat="1" ht="28.5" x14ac:dyDescent="0.25">
      <c r="A12123" s="47"/>
      <c r="B12123" s="11" t="s">
        <v>252</v>
      </c>
      <c r="C12123" s="12" t="s">
        <v>1102</v>
      </c>
      <c r="D12123" s="31" t="s">
        <v>1120</v>
      </c>
      <c r="E12123" s="20" t="s">
        <v>213</v>
      </c>
      <c r="F12123" s="11">
        <f>SUMIF($D$12126:$D$12144,$D$12123,$F$12126:$F$12144)</f>
        <v>0</v>
      </c>
      <c r="G12123" s="11">
        <f>SUMIF($D$12126:$D$12144,$D$12123,$G$12126:$G$12144)</f>
        <v>0</v>
      </c>
      <c r="H12123" s="14">
        <f>SUMIF($D$12126:$D$12144,$D$12123,$H$12126:$H$12144)</f>
        <v>0</v>
      </c>
    </row>
    <row r="12124" spans="1:33" s="15" customFormat="1" ht="21.75" customHeight="1" x14ac:dyDescent="0.25">
      <c r="A12124" s="47"/>
      <c r="B12124" s="11" t="s">
        <v>252</v>
      </c>
      <c r="C12124" s="12" t="s">
        <v>1102</v>
      </c>
      <c r="D12124" s="20">
        <v>2021</v>
      </c>
      <c r="E12124" s="20" t="s">
        <v>213</v>
      </c>
      <c r="F12124" s="11">
        <f>SUMIF($D$12126:$D$12144,$D$12124,$F$12126:$F$12144)</f>
        <v>17</v>
      </c>
      <c r="G12124" s="11">
        <f>SUMIF($D$12126:$D$12144,$D$12124,$G$12126:$G$12144)</f>
        <v>7378</v>
      </c>
      <c r="H12124" s="14">
        <f>SUMIF($D$12126:$D$12144,$D$12124,$H$12126:$H$12144)</f>
        <v>4549.3352300000006</v>
      </c>
    </row>
    <row r="12125" spans="1:33" s="15" customFormat="1" ht="21.75" customHeight="1" x14ac:dyDescent="0.25">
      <c r="A12125" s="47"/>
      <c r="B12125" s="11" t="s">
        <v>252</v>
      </c>
      <c r="C12125" s="12" t="s">
        <v>3929</v>
      </c>
      <c r="D12125" s="20">
        <v>2022</v>
      </c>
      <c r="E12125" s="20" t="s">
        <v>213</v>
      </c>
      <c r="F12125" s="11">
        <f>SUMIF($D$12126:$D$12144,$D$12125,$F$12126:$F$12144)</f>
        <v>2</v>
      </c>
      <c r="G12125" s="11">
        <f>SUMIF($D$12126:$D$12144,$D$12125,$G$12126:$G$12144)</f>
        <v>300</v>
      </c>
      <c r="H12125" s="14">
        <f>SUMIF($D$12126:$D$12144,$D$12125,$H$12126:$H$12144)</f>
        <v>802.76700000000005</v>
      </c>
    </row>
    <row r="12126" spans="1:33" s="15" customFormat="1" ht="47.25" hidden="1" outlineLevel="1" x14ac:dyDescent="0.25">
      <c r="A12126" s="18">
        <v>422</v>
      </c>
      <c r="B12126" s="4" t="s">
        <v>252</v>
      </c>
      <c r="C12126" s="38" t="s">
        <v>4242</v>
      </c>
      <c r="D12126" s="18">
        <v>2022</v>
      </c>
      <c r="E12126" s="36" t="s">
        <v>251</v>
      </c>
      <c r="F12126" s="4">
        <v>1</v>
      </c>
      <c r="G12126" s="42">
        <v>150</v>
      </c>
      <c r="H12126" s="125">
        <v>417</v>
      </c>
    </row>
    <row r="12127" spans="1:33" s="15" customFormat="1" ht="94.5" hidden="1" outlineLevel="1" x14ac:dyDescent="0.25">
      <c r="A12127" s="18">
        <v>5667</v>
      </c>
      <c r="B12127" s="4" t="s">
        <v>252</v>
      </c>
      <c r="C12127" s="38" t="s">
        <v>4232</v>
      </c>
      <c r="D12127" s="18">
        <v>2022</v>
      </c>
      <c r="E12127" s="36" t="s">
        <v>251</v>
      </c>
      <c r="F12127" s="4">
        <v>1</v>
      </c>
      <c r="G12127" s="42">
        <v>150</v>
      </c>
      <c r="H12127" s="125">
        <v>385.767</v>
      </c>
    </row>
    <row r="12128" spans="1:33" s="15" customFormat="1" ht="24" hidden="1" customHeight="1" outlineLevel="1" x14ac:dyDescent="0.25">
      <c r="A12128" s="46">
        <v>9528</v>
      </c>
      <c r="B12128" s="4" t="s">
        <v>252</v>
      </c>
      <c r="C12128" s="22" t="s">
        <v>1376</v>
      </c>
      <c r="D12128" s="18">
        <v>2021</v>
      </c>
      <c r="E12128" s="36" t="s">
        <v>213</v>
      </c>
      <c r="F12128" s="4">
        <v>1</v>
      </c>
      <c r="G12128" s="4">
        <v>150</v>
      </c>
      <c r="H12128" s="4">
        <v>200.69</v>
      </c>
    </row>
    <row r="12129" spans="1:8" s="15" customFormat="1" ht="24" hidden="1" customHeight="1" outlineLevel="1" x14ac:dyDescent="0.25">
      <c r="A12129" s="46">
        <v>9264</v>
      </c>
      <c r="B12129" s="4" t="s">
        <v>252</v>
      </c>
      <c r="C12129" s="22" t="s">
        <v>1990</v>
      </c>
      <c r="D12129" s="18">
        <v>2021</v>
      </c>
      <c r="E12129" s="36" t="s">
        <v>213</v>
      </c>
      <c r="F12129" s="4">
        <v>1</v>
      </c>
      <c r="G12129" s="4">
        <v>100</v>
      </c>
      <c r="H12129" s="4">
        <v>313.24</v>
      </c>
    </row>
    <row r="12130" spans="1:8" s="15" customFormat="1" ht="24" hidden="1" customHeight="1" outlineLevel="1" x14ac:dyDescent="0.25">
      <c r="A12130" s="18">
        <v>660</v>
      </c>
      <c r="B12130" s="4" t="s">
        <v>252</v>
      </c>
      <c r="C12130" s="22" t="s">
        <v>1940</v>
      </c>
      <c r="D12130" s="18">
        <v>2021</v>
      </c>
      <c r="E12130" s="36" t="s">
        <v>213</v>
      </c>
      <c r="F12130" s="4">
        <v>1</v>
      </c>
      <c r="G12130" s="4">
        <v>150</v>
      </c>
      <c r="H12130" s="4">
        <v>258</v>
      </c>
    </row>
    <row r="12131" spans="1:8" s="15" customFormat="1" ht="24" hidden="1" customHeight="1" outlineLevel="1" x14ac:dyDescent="0.25">
      <c r="A12131" s="46">
        <v>10342</v>
      </c>
      <c r="B12131" s="4" t="s">
        <v>252</v>
      </c>
      <c r="C12131" s="22" t="s">
        <v>3167</v>
      </c>
      <c r="D12131" s="18">
        <v>2021</v>
      </c>
      <c r="E12131" s="36" t="s">
        <v>213</v>
      </c>
      <c r="F12131" s="4">
        <v>1</v>
      </c>
      <c r="G12131" s="4">
        <v>300</v>
      </c>
      <c r="H12131" s="4">
        <v>265</v>
      </c>
    </row>
    <row r="12132" spans="1:8" s="15" customFormat="1" ht="24" hidden="1" customHeight="1" outlineLevel="1" x14ac:dyDescent="0.25">
      <c r="A12132" s="46">
        <v>10253</v>
      </c>
      <c r="B12132" s="4" t="s">
        <v>252</v>
      </c>
      <c r="C12132" s="22" t="s">
        <v>3168</v>
      </c>
      <c r="D12132" s="18">
        <v>2021</v>
      </c>
      <c r="E12132" s="36" t="s">
        <v>213</v>
      </c>
      <c r="F12132" s="4">
        <v>1</v>
      </c>
      <c r="G12132" s="4">
        <v>441</v>
      </c>
      <c r="H12132" s="4">
        <v>262</v>
      </c>
    </row>
    <row r="12133" spans="1:8" s="15" customFormat="1" ht="24" hidden="1" customHeight="1" outlineLevel="1" x14ac:dyDescent="0.25">
      <c r="A12133" s="46">
        <v>9451</v>
      </c>
      <c r="B12133" s="4" t="s">
        <v>252</v>
      </c>
      <c r="C12133" s="22" t="s">
        <v>1812</v>
      </c>
      <c r="D12133" s="18">
        <v>2021</v>
      </c>
      <c r="E12133" s="36" t="s">
        <v>213</v>
      </c>
      <c r="F12133" s="4">
        <v>1</v>
      </c>
      <c r="G12133" s="4">
        <v>150</v>
      </c>
      <c r="H12133" s="4">
        <v>250</v>
      </c>
    </row>
    <row r="12134" spans="1:8" s="15" customFormat="1" ht="24" hidden="1" customHeight="1" outlineLevel="1" x14ac:dyDescent="0.25">
      <c r="A12134" s="46">
        <v>9225</v>
      </c>
      <c r="B12134" s="4" t="s">
        <v>252</v>
      </c>
      <c r="C12134" s="22" t="s">
        <v>3169</v>
      </c>
      <c r="D12134" s="18">
        <v>2021</v>
      </c>
      <c r="E12134" s="36" t="s">
        <v>213</v>
      </c>
      <c r="F12134" s="4">
        <v>1</v>
      </c>
      <c r="G12134" s="4">
        <v>300</v>
      </c>
      <c r="H12134" s="4">
        <v>261</v>
      </c>
    </row>
    <row r="12135" spans="1:8" s="15" customFormat="1" ht="24" hidden="1" customHeight="1" outlineLevel="1" x14ac:dyDescent="0.25">
      <c r="A12135" s="46">
        <v>10341</v>
      </c>
      <c r="B12135" s="4" t="s">
        <v>252</v>
      </c>
      <c r="C12135" s="22" t="s">
        <v>3170</v>
      </c>
      <c r="D12135" s="18">
        <v>2021</v>
      </c>
      <c r="E12135" s="36" t="s">
        <v>213</v>
      </c>
      <c r="F12135" s="4">
        <v>1</v>
      </c>
      <c r="G12135" s="4">
        <v>70</v>
      </c>
      <c r="H12135" s="4">
        <v>271</v>
      </c>
    </row>
    <row r="12136" spans="1:8" s="15" customFormat="1" ht="24" hidden="1" customHeight="1" outlineLevel="1" x14ac:dyDescent="0.25">
      <c r="A12136" s="46">
        <v>10338</v>
      </c>
      <c r="B12136" s="4" t="s">
        <v>252</v>
      </c>
      <c r="C12136" s="22" t="s">
        <v>3171</v>
      </c>
      <c r="D12136" s="18">
        <v>2021</v>
      </c>
      <c r="E12136" s="36" t="s">
        <v>213</v>
      </c>
      <c r="F12136" s="4">
        <v>1</v>
      </c>
      <c r="G12136" s="4">
        <v>1845</v>
      </c>
      <c r="H12136" s="4">
        <v>263</v>
      </c>
    </row>
    <row r="12137" spans="1:8" s="15" customFormat="1" ht="24" hidden="1" customHeight="1" outlineLevel="1" x14ac:dyDescent="0.25">
      <c r="A12137" s="46">
        <v>10225</v>
      </c>
      <c r="B12137" s="4" t="s">
        <v>252</v>
      </c>
      <c r="C12137" s="22" t="s">
        <v>3172</v>
      </c>
      <c r="D12137" s="18">
        <v>2021</v>
      </c>
      <c r="E12137" s="36" t="s">
        <v>213</v>
      </c>
      <c r="F12137" s="4">
        <v>1</v>
      </c>
      <c r="G12137" s="4">
        <v>630</v>
      </c>
      <c r="H12137" s="4">
        <v>261</v>
      </c>
    </row>
    <row r="12138" spans="1:8" s="15" customFormat="1" ht="24" hidden="1" customHeight="1" outlineLevel="1" x14ac:dyDescent="0.25">
      <c r="A12138" s="46">
        <v>10343</v>
      </c>
      <c r="B12138" s="4" t="s">
        <v>252</v>
      </c>
      <c r="C12138" s="22" t="s">
        <v>3173</v>
      </c>
      <c r="D12138" s="18">
        <v>2021</v>
      </c>
      <c r="E12138" s="36" t="s">
        <v>213</v>
      </c>
      <c r="F12138" s="4">
        <v>1</v>
      </c>
      <c r="G12138" s="4">
        <v>1110</v>
      </c>
      <c r="H12138" s="4">
        <v>262</v>
      </c>
    </row>
    <row r="12139" spans="1:8" s="15" customFormat="1" ht="24" hidden="1" customHeight="1" outlineLevel="1" x14ac:dyDescent="0.25">
      <c r="A12139" s="46">
        <v>10344</v>
      </c>
      <c r="B12139" s="4" t="s">
        <v>252</v>
      </c>
      <c r="C12139" s="22" t="s">
        <v>3174</v>
      </c>
      <c r="D12139" s="18">
        <v>2021</v>
      </c>
      <c r="E12139" s="36" t="s">
        <v>213</v>
      </c>
      <c r="F12139" s="4">
        <v>1</v>
      </c>
      <c r="G12139" s="4">
        <v>1300</v>
      </c>
      <c r="H12139" s="4">
        <v>261</v>
      </c>
    </row>
    <row r="12140" spans="1:8" s="15" customFormat="1" ht="63" hidden="1" outlineLevel="1" x14ac:dyDescent="0.25">
      <c r="A12140" s="46">
        <v>10340</v>
      </c>
      <c r="B12140" s="4" t="s">
        <v>252</v>
      </c>
      <c r="C12140" s="22" t="s">
        <v>3175</v>
      </c>
      <c r="D12140" s="18">
        <v>2021</v>
      </c>
      <c r="E12140" s="36" t="s">
        <v>213</v>
      </c>
      <c r="F12140" s="4">
        <v>1</v>
      </c>
      <c r="G12140" s="4">
        <v>150</v>
      </c>
      <c r="H12140" s="4">
        <v>268</v>
      </c>
    </row>
    <row r="12141" spans="1:8" s="15" customFormat="1" ht="78.75" hidden="1" outlineLevel="1" x14ac:dyDescent="0.25">
      <c r="A12141" s="46">
        <v>9454</v>
      </c>
      <c r="B12141" s="4" t="s">
        <v>252</v>
      </c>
      <c r="C12141" s="22" t="s">
        <v>1830</v>
      </c>
      <c r="D12141" s="18">
        <v>2021</v>
      </c>
      <c r="E12141" s="36" t="s">
        <v>213</v>
      </c>
      <c r="F12141" s="4">
        <v>1</v>
      </c>
      <c r="G12141" s="4">
        <v>63</v>
      </c>
      <c r="H12141" s="4">
        <v>281</v>
      </c>
    </row>
    <row r="12142" spans="1:8" s="15" customFormat="1" ht="47.25" hidden="1" outlineLevel="1" x14ac:dyDescent="0.25">
      <c r="A12142" s="46">
        <v>9444</v>
      </c>
      <c r="B12142" s="4" t="s">
        <v>252</v>
      </c>
      <c r="C12142" s="22" t="s">
        <v>3176</v>
      </c>
      <c r="D12142" s="18">
        <v>2021</v>
      </c>
      <c r="E12142" s="36" t="s">
        <v>213</v>
      </c>
      <c r="F12142" s="4">
        <v>1</v>
      </c>
      <c r="G12142" s="4">
        <v>149</v>
      </c>
      <c r="H12142" s="4">
        <v>287</v>
      </c>
    </row>
    <row r="12143" spans="1:8" s="15" customFormat="1" ht="47.25" hidden="1" outlineLevel="1" x14ac:dyDescent="0.25">
      <c r="A12143" s="46">
        <v>10256</v>
      </c>
      <c r="B12143" s="4" t="s">
        <v>252</v>
      </c>
      <c r="C12143" s="22" t="s">
        <v>3177</v>
      </c>
      <c r="D12143" s="18">
        <v>2021</v>
      </c>
      <c r="E12143" s="36" t="s">
        <v>213</v>
      </c>
      <c r="F12143" s="4">
        <v>1</v>
      </c>
      <c r="G12143" s="4">
        <v>350</v>
      </c>
      <c r="H12143" s="4">
        <v>257</v>
      </c>
    </row>
    <row r="12144" spans="1:8" s="15" customFormat="1" ht="51.75" hidden="1" customHeight="1" outlineLevel="1" x14ac:dyDescent="0.25">
      <c r="A12144" s="46">
        <v>9017</v>
      </c>
      <c r="B12144" s="4" t="s">
        <v>252</v>
      </c>
      <c r="C12144" s="22" t="s">
        <v>3178</v>
      </c>
      <c r="D12144" s="18">
        <v>2021</v>
      </c>
      <c r="E12144" s="36" t="s">
        <v>213</v>
      </c>
      <c r="F12144" s="4">
        <v>1</v>
      </c>
      <c r="G12144" s="4">
        <v>120</v>
      </c>
      <c r="H12144" s="4">
        <v>328.40523000000002</v>
      </c>
    </row>
    <row r="12145" spans="1:33" s="15" customFormat="1" ht="51.75" hidden="1" customHeight="1" collapsed="1" x14ac:dyDescent="0.25">
      <c r="A12145" s="18"/>
      <c r="B12145" s="4"/>
      <c r="C12145" s="22"/>
      <c r="D12145" s="18"/>
      <c r="E12145" s="18"/>
      <c r="F12145" s="4"/>
      <c r="G12145" s="4"/>
      <c r="H12145" s="4"/>
    </row>
    <row r="12146" spans="1:33" ht="51.75" customHeight="1" x14ac:dyDescent="0.25">
      <c r="A12146" s="24" t="s">
        <v>1103</v>
      </c>
      <c r="I12146"/>
      <c r="J12146"/>
      <c r="K12146"/>
      <c r="L12146"/>
      <c r="M12146"/>
      <c r="N12146"/>
      <c r="O12146"/>
      <c r="P12146"/>
      <c r="Q12146"/>
      <c r="R12146"/>
      <c r="S12146"/>
      <c r="T12146"/>
      <c r="U12146"/>
      <c r="V12146"/>
      <c r="W12146"/>
      <c r="X12146"/>
      <c r="Y12146"/>
      <c r="Z12146"/>
      <c r="AA12146"/>
      <c r="AB12146"/>
      <c r="AC12146"/>
      <c r="AD12146"/>
      <c r="AE12146"/>
      <c r="AF12146"/>
      <c r="AG12146"/>
    </row>
    <row r="12148" spans="1:33" ht="17.25" x14ac:dyDescent="0.25">
      <c r="C12148" s="80"/>
      <c r="D12148" s="81"/>
      <c r="E12148" s="81"/>
      <c r="F12148" s="81"/>
      <c r="I12148"/>
      <c r="J12148"/>
      <c r="K12148"/>
      <c r="L12148"/>
      <c r="M12148"/>
      <c r="N12148"/>
      <c r="O12148"/>
      <c r="P12148"/>
      <c r="Q12148"/>
      <c r="R12148"/>
      <c r="S12148"/>
      <c r="T12148"/>
      <c r="U12148"/>
      <c r="V12148"/>
      <c r="W12148"/>
      <c r="X12148"/>
      <c r="Y12148"/>
      <c r="Z12148"/>
      <c r="AA12148"/>
      <c r="AB12148"/>
      <c r="AC12148"/>
      <c r="AD12148"/>
      <c r="AE12148"/>
      <c r="AF12148"/>
      <c r="AG12148"/>
    </row>
    <row r="12149" spans="1:33" ht="17.25" x14ac:dyDescent="0.25">
      <c r="C12149" s="82"/>
      <c r="D12149" s="81"/>
      <c r="E12149" s="81"/>
      <c r="F12149" s="83"/>
      <c r="G12149" s="87"/>
      <c r="I12149"/>
      <c r="J12149"/>
      <c r="K12149"/>
      <c r="L12149"/>
      <c r="M12149"/>
      <c r="N12149"/>
      <c r="O12149"/>
      <c r="P12149"/>
      <c r="Q12149"/>
      <c r="R12149"/>
      <c r="S12149"/>
      <c r="T12149"/>
      <c r="U12149"/>
      <c r="V12149"/>
      <c r="W12149"/>
      <c r="X12149"/>
      <c r="Y12149"/>
      <c r="Z12149"/>
      <c r="AA12149"/>
      <c r="AB12149"/>
      <c r="AC12149"/>
      <c r="AD12149"/>
      <c r="AE12149"/>
      <c r="AF12149"/>
      <c r="AG12149"/>
    </row>
    <row r="12150" spans="1:33" ht="24.75" customHeight="1" x14ac:dyDescent="0.25">
      <c r="C12150" s="84"/>
      <c r="D12150" s="85"/>
      <c r="E12150" s="85"/>
      <c r="F12150" s="85"/>
      <c r="G12150" s="85"/>
      <c r="I12150"/>
      <c r="J12150"/>
      <c r="K12150"/>
      <c r="L12150"/>
      <c r="M12150"/>
      <c r="N12150"/>
      <c r="O12150"/>
      <c r="P12150"/>
      <c r="Q12150"/>
      <c r="R12150"/>
      <c r="S12150"/>
      <c r="T12150"/>
      <c r="U12150"/>
      <c r="V12150"/>
      <c r="W12150"/>
      <c r="X12150"/>
      <c r="Y12150"/>
      <c r="Z12150"/>
      <c r="AA12150"/>
      <c r="AB12150"/>
      <c r="AC12150"/>
      <c r="AD12150"/>
      <c r="AE12150"/>
      <c r="AF12150"/>
      <c r="AG12150"/>
    </row>
    <row r="12151" spans="1:33" ht="59.25" customHeight="1" x14ac:dyDescent="0.25">
      <c r="C12151" s="86"/>
      <c r="D12151" s="85"/>
      <c r="E12151" s="85"/>
      <c r="F12151" s="83"/>
      <c r="G12151" s="87"/>
      <c r="I12151"/>
      <c r="J12151"/>
      <c r="K12151"/>
      <c r="L12151"/>
      <c r="M12151"/>
      <c r="N12151"/>
      <c r="O12151"/>
      <c r="P12151"/>
      <c r="Q12151"/>
      <c r="R12151"/>
      <c r="S12151"/>
      <c r="T12151"/>
      <c r="U12151"/>
      <c r="V12151"/>
      <c r="W12151"/>
      <c r="X12151"/>
      <c r="Y12151"/>
      <c r="Z12151"/>
      <c r="AA12151"/>
      <c r="AB12151"/>
      <c r="AC12151"/>
      <c r="AD12151"/>
      <c r="AE12151"/>
      <c r="AF12151"/>
      <c r="AG12151"/>
    </row>
  </sheetData>
  <mergeCells count="313">
    <mergeCell ref="A3809:A3812"/>
    <mergeCell ref="A3819:A3822"/>
    <mergeCell ref="A3830:A3832"/>
    <mergeCell ref="A3840:A3842"/>
    <mergeCell ref="A3854:A3857"/>
    <mergeCell ref="A3864:A3867"/>
    <mergeCell ref="A3875:A3878"/>
    <mergeCell ref="A3703:A3706"/>
    <mergeCell ref="A3712:A3715"/>
    <mergeCell ref="A3721:A3723"/>
    <mergeCell ref="A3729:A3732"/>
    <mergeCell ref="A3741:A3744"/>
    <mergeCell ref="A3753:A3756"/>
    <mergeCell ref="A3763:A3766"/>
    <mergeCell ref="A3775:A3778"/>
    <mergeCell ref="A3798:A3800"/>
    <mergeCell ref="A12:A15"/>
    <mergeCell ref="A906:A909"/>
    <mergeCell ref="A1097:A1099"/>
    <mergeCell ref="A1522:A1524"/>
    <mergeCell ref="A1671:A1673"/>
    <mergeCell ref="A1688:A1690"/>
    <mergeCell ref="A2788:A2790"/>
    <mergeCell ref="A3050:A3052"/>
    <mergeCell ref="A3364:A3366"/>
    <mergeCell ref="H3763:H3766"/>
    <mergeCell ref="B1688:B1690"/>
    <mergeCell ref="A3632:A3638"/>
    <mergeCell ref="B3632:B3635"/>
    <mergeCell ref="B3641:B3644"/>
    <mergeCell ref="C3632:C3635"/>
    <mergeCell ref="E3632:E3635"/>
    <mergeCell ref="F3632:F3635"/>
    <mergeCell ref="G3632:G3635"/>
    <mergeCell ref="H3632:H3635"/>
    <mergeCell ref="D3632:D3635"/>
    <mergeCell ref="B3703:B3706"/>
    <mergeCell ref="D3703:D3706"/>
    <mergeCell ref="E3703:E3706"/>
    <mergeCell ref="F3703:F3706"/>
    <mergeCell ref="A3452:A3453"/>
    <mergeCell ref="A3467:A3470"/>
    <mergeCell ref="A3584:A3586"/>
    <mergeCell ref="A3622:A3623"/>
    <mergeCell ref="A3641:A3643"/>
    <mergeCell ref="A3657:A3658"/>
    <mergeCell ref="A3666:A3669"/>
    <mergeCell ref="A3682:A3685"/>
    <mergeCell ref="A3696:A3698"/>
    <mergeCell ref="D3864:D3868"/>
    <mergeCell ref="E3864:E3868"/>
    <mergeCell ref="F3864:F3868"/>
    <mergeCell ref="G3864:G3868"/>
    <mergeCell ref="C3819:C3822"/>
    <mergeCell ref="B3819:B3822"/>
    <mergeCell ref="D3819:D3822"/>
    <mergeCell ref="E3819:E3822"/>
    <mergeCell ref="F3819:F3822"/>
    <mergeCell ref="G3819:G3822"/>
    <mergeCell ref="C3830:C3833"/>
    <mergeCell ref="B3830:B3833"/>
    <mergeCell ref="D3830:D3833"/>
    <mergeCell ref="E3830:E3833"/>
    <mergeCell ref="F3830:F3833"/>
    <mergeCell ref="G3830:G3833"/>
    <mergeCell ref="H3864:H3868"/>
    <mergeCell ref="C3875:C3878"/>
    <mergeCell ref="B3875:B3878"/>
    <mergeCell ref="D3875:D3878"/>
    <mergeCell ref="E3875:E3878"/>
    <mergeCell ref="F3875:F3878"/>
    <mergeCell ref="G3875:G3878"/>
    <mergeCell ref="H3875:H3878"/>
    <mergeCell ref="C3840:C3843"/>
    <mergeCell ref="B3840:B3843"/>
    <mergeCell ref="D3840:D3843"/>
    <mergeCell ref="E3840:E3843"/>
    <mergeCell ref="F3840:F3843"/>
    <mergeCell ref="G3840:G3843"/>
    <mergeCell ref="H3840:H3843"/>
    <mergeCell ref="C3854:C3857"/>
    <mergeCell ref="B3854:B3857"/>
    <mergeCell ref="D3854:D3857"/>
    <mergeCell ref="E3854:E3857"/>
    <mergeCell ref="F3854:F3857"/>
    <mergeCell ref="G3854:G3857"/>
    <mergeCell ref="H3854:H3857"/>
    <mergeCell ref="C3864:C3868"/>
    <mergeCell ref="B3864:B3868"/>
    <mergeCell ref="H3830:H3833"/>
    <mergeCell ref="C3775:C3778"/>
    <mergeCell ref="B3775:B3778"/>
    <mergeCell ref="D3775:D3778"/>
    <mergeCell ref="E3775:E3778"/>
    <mergeCell ref="F3775:F3778"/>
    <mergeCell ref="G3775:G3778"/>
    <mergeCell ref="H3775:H3778"/>
    <mergeCell ref="B3809:B3812"/>
    <mergeCell ref="C3809:C3812"/>
    <mergeCell ref="H3809:H3812"/>
    <mergeCell ref="D3809:D3812"/>
    <mergeCell ref="E3809:E3812"/>
    <mergeCell ref="F3809:F3812"/>
    <mergeCell ref="G3809:G3812"/>
    <mergeCell ref="H3798:H3800"/>
    <mergeCell ref="G3798:G3800"/>
    <mergeCell ref="F3798:F3800"/>
    <mergeCell ref="D3798:D3800"/>
    <mergeCell ref="C3798:C3800"/>
    <mergeCell ref="B3798:B3800"/>
    <mergeCell ref="E3798:E3800"/>
    <mergeCell ref="H3819:H3822"/>
    <mergeCell ref="C12:C16"/>
    <mergeCell ref="B1522:B1524"/>
    <mergeCell ref="C1671:C1673"/>
    <mergeCell ref="D1671:D1673"/>
    <mergeCell ref="E1671:E1673"/>
    <mergeCell ref="F1671:F1673"/>
    <mergeCell ref="G1671:G1673"/>
    <mergeCell ref="H1671:H1673"/>
    <mergeCell ref="B1671:B1673"/>
    <mergeCell ref="C1097:C1099"/>
    <mergeCell ref="D1097:D1099"/>
    <mergeCell ref="B12:B16"/>
    <mergeCell ref="C906:C909"/>
    <mergeCell ref="D12:D16"/>
    <mergeCell ref="E12:E15"/>
    <mergeCell ref="B1097:B1099"/>
    <mergeCell ref="C1522:C1524"/>
    <mergeCell ref="D1522:D1524"/>
    <mergeCell ref="E1522:E1524"/>
    <mergeCell ref="F1522:F1524"/>
    <mergeCell ref="G1522:G1524"/>
    <mergeCell ref="H1522:H1524"/>
    <mergeCell ref="H3753:H3756"/>
    <mergeCell ref="B3753:B3756"/>
    <mergeCell ref="C3753:C3756"/>
    <mergeCell ref="D3753:D3756"/>
    <mergeCell ref="E3753:E3756"/>
    <mergeCell ref="F3753:F3756"/>
    <mergeCell ref="G3753:G3756"/>
    <mergeCell ref="H3741:H3744"/>
    <mergeCell ref="F3721:F3723"/>
    <mergeCell ref="B3741:B3744"/>
    <mergeCell ref="F12:F16"/>
    <mergeCell ref="B2:H2"/>
    <mergeCell ref="B3:H3"/>
    <mergeCell ref="B4:H4"/>
    <mergeCell ref="B6:H6"/>
    <mergeCell ref="B5:H5"/>
    <mergeCell ref="H3657:H3658"/>
    <mergeCell ref="B3666:B3669"/>
    <mergeCell ref="D3666:D3669"/>
    <mergeCell ref="E3666:E3669"/>
    <mergeCell ref="B11:H11"/>
    <mergeCell ref="G12:G16"/>
    <mergeCell ref="H12:H16"/>
    <mergeCell ref="D906:D909"/>
    <mergeCell ref="E906:E909"/>
    <mergeCell ref="F906:F909"/>
    <mergeCell ref="G906:G909"/>
    <mergeCell ref="H906:H909"/>
    <mergeCell ref="B8:H8"/>
    <mergeCell ref="E1097:E1099"/>
    <mergeCell ref="F1097:F1099"/>
    <mergeCell ref="G1097:G1099"/>
    <mergeCell ref="H1097:H1099"/>
    <mergeCell ref="B906:B909"/>
    <mergeCell ref="B3906:H3906"/>
    <mergeCell ref="B4855:H4855"/>
    <mergeCell ref="C3712:C3715"/>
    <mergeCell ref="B3712:B3715"/>
    <mergeCell ref="D3712:D3715"/>
    <mergeCell ref="E3712:E3715"/>
    <mergeCell ref="F3712:F3715"/>
    <mergeCell ref="G3712:G3715"/>
    <mergeCell ref="H3712:H3715"/>
    <mergeCell ref="C3721:C3723"/>
    <mergeCell ref="B3721:B3723"/>
    <mergeCell ref="C3741:C3744"/>
    <mergeCell ref="D3741:D3744"/>
    <mergeCell ref="E3741:E3744"/>
    <mergeCell ref="F3741:F3744"/>
    <mergeCell ref="D3721:D3723"/>
    <mergeCell ref="E3721:E3723"/>
    <mergeCell ref="G3741:G3744"/>
    <mergeCell ref="C3763:C3766"/>
    <mergeCell ref="D3763:D3766"/>
    <mergeCell ref="B3763:B3766"/>
    <mergeCell ref="E3763:E3766"/>
    <mergeCell ref="F3763:F3766"/>
    <mergeCell ref="G3763:G3766"/>
    <mergeCell ref="C3696:C3698"/>
    <mergeCell ref="C3703:C3706"/>
    <mergeCell ref="C3641:C3644"/>
    <mergeCell ref="D3641:D3644"/>
    <mergeCell ref="E3641:E3644"/>
    <mergeCell ref="F3641:F3644"/>
    <mergeCell ref="G3641:G3644"/>
    <mergeCell ref="H3641:H3644"/>
    <mergeCell ref="C3657:C3658"/>
    <mergeCell ref="B3656:H3656"/>
    <mergeCell ref="B3657:B3658"/>
    <mergeCell ref="D3657:D3658"/>
    <mergeCell ref="E3657:E3658"/>
    <mergeCell ref="F3657:F3658"/>
    <mergeCell ref="G3657:G3658"/>
    <mergeCell ref="F3666:F3669"/>
    <mergeCell ref="G3666:G3669"/>
    <mergeCell ref="H3666:H3669"/>
    <mergeCell ref="G3703:G3706"/>
    <mergeCell ref="H3703:H3706"/>
    <mergeCell ref="C3666:C3669"/>
    <mergeCell ref="D1688:D1690"/>
    <mergeCell ref="E1688:E1690"/>
    <mergeCell ref="F1688:F1690"/>
    <mergeCell ref="G1688:G1690"/>
    <mergeCell ref="H1688:H1690"/>
    <mergeCell ref="B2788:B2791"/>
    <mergeCell ref="C3050:C3053"/>
    <mergeCell ref="B3050:B3053"/>
    <mergeCell ref="D3050:D3053"/>
    <mergeCell ref="E3050:E3053"/>
    <mergeCell ref="F3050:F3053"/>
    <mergeCell ref="G3050:G3053"/>
    <mergeCell ref="H3050:H3053"/>
    <mergeCell ref="C1688:C1690"/>
    <mergeCell ref="C2788:C2791"/>
    <mergeCell ref="D2788:D2791"/>
    <mergeCell ref="E2788:E2791"/>
    <mergeCell ref="F2788:F2791"/>
    <mergeCell ref="G2788:G2791"/>
    <mergeCell ref="H2788:H2791"/>
    <mergeCell ref="B3452:B3453"/>
    <mergeCell ref="C3364:C3367"/>
    <mergeCell ref="D3364:D3367"/>
    <mergeCell ref="E3364:E3367"/>
    <mergeCell ref="F3364:F3367"/>
    <mergeCell ref="G3364:G3367"/>
    <mergeCell ref="H3364:H3367"/>
    <mergeCell ref="B3364:B3367"/>
    <mergeCell ref="B3467:B3470"/>
    <mergeCell ref="C3452:C3453"/>
    <mergeCell ref="D3452:D3453"/>
    <mergeCell ref="E3452:E3453"/>
    <mergeCell ref="F3452:F3453"/>
    <mergeCell ref="G3452:G3453"/>
    <mergeCell ref="H3452:H3453"/>
    <mergeCell ref="C3467:C3470"/>
    <mergeCell ref="D3467:D3470"/>
    <mergeCell ref="E3467:E3470"/>
    <mergeCell ref="F3467:F3470"/>
    <mergeCell ref="G3467:G3470"/>
    <mergeCell ref="H3467:H3470"/>
    <mergeCell ref="B3584:B3586"/>
    <mergeCell ref="D3584:D3586"/>
    <mergeCell ref="E3584:E3586"/>
    <mergeCell ref="F3584:F3586"/>
    <mergeCell ref="G3584:G3586"/>
    <mergeCell ref="H3584:H3586"/>
    <mergeCell ref="C3622:C3623"/>
    <mergeCell ref="D3622:D3623"/>
    <mergeCell ref="E3622:E3623"/>
    <mergeCell ref="F3622:F3623"/>
    <mergeCell ref="G3622:G3623"/>
    <mergeCell ref="H3622:H3623"/>
    <mergeCell ref="B3622:B3623"/>
    <mergeCell ref="C3584:C3586"/>
    <mergeCell ref="B3922:H3922"/>
    <mergeCell ref="B4862:H4862"/>
    <mergeCell ref="C3682:C3685"/>
    <mergeCell ref="B3682:B3685"/>
    <mergeCell ref="D3682:D3685"/>
    <mergeCell ref="F3682:F3685"/>
    <mergeCell ref="G3682:G3685"/>
    <mergeCell ref="H3682:H3685"/>
    <mergeCell ref="E3682:E3685"/>
    <mergeCell ref="B3696:B3698"/>
    <mergeCell ref="D3696:D3698"/>
    <mergeCell ref="E3696:E3698"/>
    <mergeCell ref="F3696:F3698"/>
    <mergeCell ref="G3696:G3698"/>
    <mergeCell ref="H3696:H3698"/>
    <mergeCell ref="G3721:G3723"/>
    <mergeCell ref="H3721:H3723"/>
    <mergeCell ref="C3729:C3732"/>
    <mergeCell ref="B3729:B3732"/>
    <mergeCell ref="D3729:D3732"/>
    <mergeCell ref="E3729:E3732"/>
    <mergeCell ref="F3729:F3732"/>
    <mergeCell ref="G3729:G3732"/>
    <mergeCell ref="H3729:H3732"/>
    <mergeCell ref="B12031:B12032"/>
    <mergeCell ref="C12031:C12032"/>
    <mergeCell ref="E12031:E12032"/>
    <mergeCell ref="D12031:D12032"/>
    <mergeCell ref="F12031:F12032"/>
    <mergeCell ref="G12031:G12032"/>
    <mergeCell ref="H12031:H12032"/>
    <mergeCell ref="B4863:B4864"/>
    <mergeCell ref="C4863:C4864"/>
    <mergeCell ref="D4863:D4864"/>
    <mergeCell ref="E4863:E4864"/>
    <mergeCell ref="F4863:F4864"/>
    <mergeCell ref="G4863:G4864"/>
    <mergeCell ref="H4863:H4864"/>
    <mergeCell ref="B7136:B7137"/>
    <mergeCell ref="C7136:C7137"/>
    <mergeCell ref="D7136:D7137"/>
    <mergeCell ref="E7136:E7137"/>
    <mergeCell ref="F7136:F7137"/>
    <mergeCell ref="G7136:G7137"/>
    <mergeCell ref="H7136:H7137"/>
  </mergeCells>
  <printOptions horizontalCentered="1"/>
  <pageMargins left="0" right="0" top="0.78740157480314965" bottom="0.31496062992125984" header="0.31496062992125984" footer="0.11811023622047245"/>
  <pageSetup paperSize="9" scale="57" fitToHeight="9" orientation="landscape" r:id="rId1"/>
  <headerFooter>
    <oddFooter>Страница  &amp;P из &amp;N</oddFooter>
  </headerFooter>
  <rowBreaks count="6" manualBreakCount="6">
    <brk id="2787" max="7" man="1"/>
    <brk id="3626" max="7" man="1"/>
    <brk id="3720" max="7" man="1"/>
    <brk id="3808" max="7" man="1"/>
    <brk id="3884" max="7" man="1"/>
    <brk id="4067"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N545"/>
  <sheetViews>
    <sheetView view="pageBreakPreview" zoomScale="90" zoomScaleNormal="90" zoomScaleSheetLayoutView="90" workbookViewId="0">
      <pane xSplit="2" ySplit="6" topLeftCell="C7" activePane="bottomRight" state="frozen"/>
      <selection activeCell="D16" sqref="D16"/>
      <selection pane="topRight" activeCell="D16" sqref="D16"/>
      <selection pane="bottomLeft" activeCell="D16" sqref="D16"/>
      <selection pane="bottomRight" activeCell="B13" sqref="B13"/>
    </sheetView>
  </sheetViews>
  <sheetFormatPr defaultRowHeight="15.75" x14ac:dyDescent="0.25"/>
  <cols>
    <col min="1" max="1" width="6.7109375" style="133" customWidth="1"/>
    <col min="2" max="2" width="56.42578125" style="133" customWidth="1"/>
    <col min="3" max="3" width="14.5703125" style="133" customWidth="1"/>
    <col min="4" max="4" width="14.7109375" style="133" customWidth="1"/>
    <col min="5" max="5" width="13.28515625" style="133" customWidth="1"/>
    <col min="6" max="6" width="14.7109375" style="133" customWidth="1"/>
    <col min="7" max="8" width="14.42578125" style="133" customWidth="1"/>
    <col min="9" max="9" width="13.42578125" style="133" customWidth="1"/>
    <col min="10" max="10" width="15.140625" style="133" customWidth="1"/>
    <col min="11" max="11" width="21.42578125" style="133" customWidth="1"/>
    <col min="12" max="12" width="14.7109375" style="133" customWidth="1"/>
    <col min="13" max="13" width="13.7109375" style="133" customWidth="1"/>
    <col min="14" max="14" width="15" style="133" customWidth="1"/>
    <col min="15" max="16384" width="9.140625" style="133"/>
  </cols>
  <sheetData>
    <row r="1" spans="1:14" ht="57" customHeight="1" x14ac:dyDescent="0.25">
      <c r="C1" s="134"/>
      <c r="D1" s="134"/>
      <c r="E1" s="134"/>
      <c r="F1" s="134"/>
      <c r="G1" s="134"/>
      <c r="H1" s="134"/>
      <c r="I1" s="134"/>
      <c r="J1" s="134"/>
      <c r="K1" s="134"/>
      <c r="L1" s="221" t="s">
        <v>9157</v>
      </c>
      <c r="M1" s="222"/>
      <c r="N1" s="222"/>
    </row>
    <row r="2" spans="1:14" x14ac:dyDescent="0.25">
      <c r="C2" s="134"/>
      <c r="D2" s="134">
        <f>D11+D13+D14</f>
        <v>4756</v>
      </c>
      <c r="E2" s="134"/>
      <c r="F2" s="134"/>
      <c r="G2" s="134"/>
      <c r="H2" s="134">
        <f>H11+H13+H14</f>
        <v>8624</v>
      </c>
      <c r="I2" s="134"/>
      <c r="J2" s="134"/>
      <c r="K2" s="134"/>
      <c r="L2" s="135">
        <f>L11+L13+L14</f>
        <v>15473</v>
      </c>
      <c r="M2" s="223" t="s">
        <v>9158</v>
      </c>
      <c r="N2" s="223"/>
    </row>
    <row r="3" spans="1:14" x14ac:dyDescent="0.25">
      <c r="A3" s="136"/>
      <c r="B3" s="136"/>
      <c r="C3" s="136"/>
      <c r="D3" s="136"/>
      <c r="E3" s="137"/>
      <c r="F3" s="138"/>
      <c r="G3" s="136"/>
      <c r="H3" s="136"/>
      <c r="I3" s="137"/>
      <c r="J3" s="138"/>
      <c r="K3" s="136"/>
      <c r="L3" s="136"/>
      <c r="M3" s="137"/>
    </row>
    <row r="4" spans="1:14" ht="35.1" customHeight="1" x14ac:dyDescent="0.25">
      <c r="A4" s="224" t="s">
        <v>9159</v>
      </c>
      <c r="B4" s="224"/>
      <c r="C4" s="224"/>
      <c r="D4" s="224"/>
      <c r="E4" s="224"/>
      <c r="F4" s="224"/>
      <c r="G4" s="224"/>
      <c r="H4" s="224"/>
      <c r="I4" s="224"/>
      <c r="J4" s="224"/>
      <c r="K4" s="224"/>
      <c r="L4" s="224"/>
      <c r="M4" s="224"/>
      <c r="N4" s="224"/>
    </row>
    <row r="5" spans="1:14" ht="15.75" customHeight="1" x14ac:dyDescent="0.25">
      <c r="A5" s="225"/>
      <c r="B5" s="225"/>
      <c r="C5" s="225"/>
      <c r="D5" s="225"/>
      <c r="E5" s="225"/>
      <c r="F5" s="225"/>
      <c r="G5" s="225"/>
      <c r="H5" s="225"/>
      <c r="I5" s="225"/>
      <c r="J5" s="225"/>
      <c r="K5" s="225"/>
      <c r="L5" s="225"/>
      <c r="M5" s="225"/>
      <c r="N5" s="225"/>
    </row>
    <row r="6" spans="1:14" ht="6.95" customHeight="1" x14ac:dyDescent="0.25"/>
    <row r="7" spans="1:14" ht="18.600000000000001" customHeight="1" x14ac:dyDescent="0.25">
      <c r="A7" s="218" t="s">
        <v>9160</v>
      </c>
      <c r="B7" s="226" t="s">
        <v>9161</v>
      </c>
      <c r="C7" s="227" t="s">
        <v>9162</v>
      </c>
      <c r="D7" s="228"/>
      <c r="E7" s="228"/>
      <c r="F7" s="229"/>
      <c r="G7" s="227" t="s">
        <v>9163</v>
      </c>
      <c r="H7" s="228"/>
      <c r="I7" s="228"/>
      <c r="J7" s="229"/>
      <c r="K7" s="227" t="s">
        <v>9164</v>
      </c>
      <c r="L7" s="228"/>
      <c r="M7" s="228"/>
      <c r="N7" s="228"/>
    </row>
    <row r="8" spans="1:14" ht="32.450000000000003" customHeight="1" x14ac:dyDescent="0.25">
      <c r="A8" s="218"/>
      <c r="B8" s="226"/>
      <c r="C8" s="219" t="s">
        <v>9165</v>
      </c>
      <c r="D8" s="218"/>
      <c r="E8" s="218"/>
      <c r="F8" s="220" t="s">
        <v>9166</v>
      </c>
      <c r="G8" s="219" t="s">
        <v>9167</v>
      </c>
      <c r="H8" s="218"/>
      <c r="I8" s="218"/>
      <c r="J8" s="220" t="s">
        <v>9166</v>
      </c>
      <c r="K8" s="219" t="s">
        <v>9165</v>
      </c>
      <c r="L8" s="218"/>
      <c r="M8" s="218"/>
      <c r="N8" s="218" t="s">
        <v>9166</v>
      </c>
    </row>
    <row r="9" spans="1:14" ht="64.5" customHeight="1" x14ac:dyDescent="0.25">
      <c r="A9" s="218"/>
      <c r="B9" s="226"/>
      <c r="C9" s="142" t="s">
        <v>9168</v>
      </c>
      <c r="D9" s="141" t="s">
        <v>9169</v>
      </c>
      <c r="E9" s="141" t="s">
        <v>9170</v>
      </c>
      <c r="F9" s="220"/>
      <c r="G9" s="142" t="s">
        <v>9168</v>
      </c>
      <c r="H9" s="141" t="s">
        <v>9171</v>
      </c>
      <c r="I9" s="141" t="s">
        <v>9170</v>
      </c>
      <c r="J9" s="220"/>
      <c r="K9" s="142" t="s">
        <v>9168</v>
      </c>
      <c r="L9" s="141" t="s">
        <v>9172</v>
      </c>
      <c r="M9" s="141" t="s">
        <v>9170</v>
      </c>
      <c r="N9" s="218"/>
    </row>
    <row r="10" spans="1:14" s="147" customFormat="1" x14ac:dyDescent="0.25">
      <c r="A10" s="143">
        <v>1</v>
      </c>
      <c r="B10" s="144">
        <v>2</v>
      </c>
      <c r="C10" s="145">
        <v>3</v>
      </c>
      <c r="D10" s="143">
        <v>4</v>
      </c>
      <c r="E10" s="143">
        <v>5</v>
      </c>
      <c r="F10" s="146">
        <v>6</v>
      </c>
      <c r="G10" s="145">
        <v>7</v>
      </c>
      <c r="H10" s="143">
        <v>8</v>
      </c>
      <c r="I10" s="143">
        <v>9</v>
      </c>
      <c r="J10" s="146">
        <v>10</v>
      </c>
      <c r="K10" s="145">
        <v>11</v>
      </c>
      <c r="L10" s="143">
        <v>12</v>
      </c>
      <c r="M10" s="143">
        <v>13</v>
      </c>
      <c r="N10" s="143">
        <v>14</v>
      </c>
    </row>
    <row r="11" spans="1:14" s="147" customFormat="1" ht="40.5" customHeight="1" x14ac:dyDescent="0.25">
      <c r="A11" s="148" t="s">
        <v>9173</v>
      </c>
      <c r="B11" s="149" t="s">
        <v>9174</v>
      </c>
      <c r="C11" s="150">
        <v>59008702.740612052</v>
      </c>
      <c r="D11" s="151">
        <v>2378</v>
      </c>
      <c r="E11" s="152">
        <v>40675.275999999998</v>
      </c>
      <c r="F11" s="153">
        <f>C11/D11</f>
        <v>24814.425038104313</v>
      </c>
      <c r="G11" s="150">
        <v>156587336.976495</v>
      </c>
      <c r="H11" s="151">
        <v>4390</v>
      </c>
      <c r="I11" s="152">
        <v>42660.69</v>
      </c>
      <c r="J11" s="154">
        <f t="shared" ref="J11" si="0">G11/H11</f>
        <v>35669.09726116059</v>
      </c>
      <c r="K11" s="150">
        <v>99492893.152565241</v>
      </c>
      <c r="L11" s="151">
        <v>5703</v>
      </c>
      <c r="M11" s="152">
        <v>50041.57</v>
      </c>
      <c r="N11" s="154">
        <f t="shared" ref="N11" si="1">K11/L11</f>
        <v>17445.711582073513</v>
      </c>
    </row>
    <row r="12" spans="1:14" s="147" customFormat="1" ht="36.75" customHeight="1" x14ac:dyDescent="0.25">
      <c r="A12" s="148" t="s">
        <v>9175</v>
      </c>
      <c r="B12" s="149" t="s">
        <v>9176</v>
      </c>
      <c r="C12" s="155" t="s">
        <v>9177</v>
      </c>
      <c r="D12" s="156" t="s">
        <v>9177</v>
      </c>
      <c r="E12" s="156" t="s">
        <v>9177</v>
      </c>
      <c r="F12" s="157" t="s">
        <v>9177</v>
      </c>
      <c r="G12" s="155" t="s">
        <v>9177</v>
      </c>
      <c r="H12" s="156" t="s">
        <v>9177</v>
      </c>
      <c r="I12" s="156" t="s">
        <v>9177</v>
      </c>
      <c r="J12" s="157" t="s">
        <v>9177</v>
      </c>
      <c r="K12" s="155" t="s">
        <v>9177</v>
      </c>
      <c r="L12" s="151" t="s">
        <v>9177</v>
      </c>
      <c r="M12" s="151" t="s">
        <v>9177</v>
      </c>
      <c r="N12" s="158" t="s">
        <v>9177</v>
      </c>
    </row>
    <row r="13" spans="1:14" s="147" customFormat="1" ht="123" customHeight="1" x14ac:dyDescent="0.25">
      <c r="A13" s="159" t="s">
        <v>9178</v>
      </c>
      <c r="B13" s="149" t="s">
        <v>9179</v>
      </c>
      <c r="C13" s="150">
        <v>6852514.3005244201</v>
      </c>
      <c r="D13" s="151">
        <v>2330</v>
      </c>
      <c r="E13" s="152">
        <v>28413.276000000002</v>
      </c>
      <c r="F13" s="153">
        <f t="shared" ref="F13:F14" si="2">C13/D13</f>
        <v>2940.9932620276481</v>
      </c>
      <c r="G13" s="150">
        <v>11085060.0360534</v>
      </c>
      <c r="H13" s="151">
        <v>4041</v>
      </c>
      <c r="I13" s="152">
        <v>57136.829999999973</v>
      </c>
      <c r="J13" s="154">
        <f t="shared" ref="J13:J14" si="3">G13/H13</f>
        <v>2743.1477446308836</v>
      </c>
      <c r="K13" s="150">
        <f>L13*N13</f>
        <v>8398421.1349619143</v>
      </c>
      <c r="L13" s="151">
        <v>7654</v>
      </c>
      <c r="M13" s="152">
        <v>107915.38800000001</v>
      </c>
      <c r="N13" s="154">
        <f>J13/2.5</f>
        <v>1097.2590978523535</v>
      </c>
    </row>
    <row r="14" spans="1:14" s="147" customFormat="1" ht="95.25" customHeight="1" x14ac:dyDescent="0.25">
      <c r="A14" s="160" t="s">
        <v>9180</v>
      </c>
      <c r="B14" s="149" t="s">
        <v>9181</v>
      </c>
      <c r="C14" s="150">
        <v>1262204.518070068</v>
      </c>
      <c r="D14" s="151">
        <v>48</v>
      </c>
      <c r="E14" s="152">
        <v>12261.999999999996</v>
      </c>
      <c r="F14" s="153">
        <f t="shared" si="2"/>
        <v>26295.927459793082</v>
      </c>
      <c r="G14" s="150">
        <v>2041821.76745166</v>
      </c>
      <c r="H14" s="151">
        <v>193</v>
      </c>
      <c r="I14" s="152">
        <v>442074.19500000007</v>
      </c>
      <c r="J14" s="154">
        <f t="shared" si="3"/>
        <v>10579.387396122591</v>
      </c>
      <c r="K14" s="150">
        <f>L14*N14</f>
        <v>20537599.752472844</v>
      </c>
      <c r="L14" s="151">
        <v>2116</v>
      </c>
      <c r="M14" s="152">
        <v>30888.62</v>
      </c>
      <c r="N14" s="154">
        <f>J14/1.09</f>
        <v>9705.8599964427431</v>
      </c>
    </row>
    <row r="15" spans="1:14" s="147" customFormat="1" ht="42.75" customHeight="1" x14ac:dyDescent="0.25">
      <c r="A15" s="216" t="s">
        <v>9182</v>
      </c>
      <c r="B15" s="216"/>
      <c r="C15" s="216"/>
      <c r="D15" s="216"/>
      <c r="E15" s="216"/>
      <c r="F15" s="216"/>
      <c r="G15" s="216"/>
      <c r="H15" s="216"/>
      <c r="I15" s="216"/>
      <c r="J15" s="216"/>
      <c r="K15" s="216"/>
      <c r="L15" s="216"/>
      <c r="M15" s="216"/>
      <c r="N15" s="216"/>
    </row>
    <row r="16" spans="1:14" s="147" customFormat="1" ht="38.25" customHeight="1" x14ac:dyDescent="0.25">
      <c r="A16" s="216" t="s">
        <v>9183</v>
      </c>
      <c r="B16" s="217"/>
      <c r="C16" s="217"/>
      <c r="D16" s="217"/>
      <c r="E16" s="217"/>
      <c r="F16" s="217"/>
      <c r="G16" s="217"/>
      <c r="H16" s="217"/>
      <c r="I16" s="217"/>
      <c r="J16" s="217"/>
      <c r="K16" s="217"/>
      <c r="L16" s="217"/>
      <c r="M16" s="217"/>
      <c r="N16" s="217"/>
    </row>
    <row r="17" spans="1:14" s="147" customFormat="1" ht="39.75" customHeight="1" x14ac:dyDescent="0.25">
      <c r="A17" s="215" t="s">
        <v>9184</v>
      </c>
      <c r="B17" s="215"/>
      <c r="C17" s="215"/>
      <c r="D17" s="215"/>
      <c r="E17" s="215"/>
      <c r="F17" s="215"/>
      <c r="G17" s="215"/>
      <c r="H17" s="215"/>
      <c r="I17" s="215"/>
      <c r="J17" s="215"/>
      <c r="K17" s="215"/>
      <c r="L17" s="215"/>
      <c r="M17" s="215"/>
      <c r="N17" s="215"/>
    </row>
    <row r="18" spans="1:14" s="147" customFormat="1" ht="37.5" customHeight="1" x14ac:dyDescent="0.25">
      <c r="A18" s="215" t="s">
        <v>9185</v>
      </c>
      <c r="B18" s="215"/>
      <c r="C18" s="215"/>
      <c r="D18" s="215"/>
      <c r="E18" s="215"/>
      <c r="F18" s="215"/>
      <c r="G18" s="215"/>
      <c r="H18" s="215"/>
      <c r="I18" s="215"/>
      <c r="J18" s="215"/>
      <c r="K18" s="215"/>
      <c r="L18" s="215"/>
      <c r="M18" s="215"/>
      <c r="N18" s="215"/>
    </row>
    <row r="19" spans="1:14" s="147" customFormat="1" ht="20.25" customHeight="1" x14ac:dyDescent="0.25">
      <c r="A19" s="162"/>
      <c r="B19" s="162"/>
      <c r="C19" s="162"/>
      <c r="D19" s="162"/>
      <c r="E19" s="162"/>
      <c r="F19" s="162"/>
      <c r="G19" s="162"/>
      <c r="H19" s="162"/>
      <c r="I19" s="162"/>
      <c r="J19" s="162"/>
      <c r="K19" s="162"/>
      <c r="L19" s="162"/>
      <c r="M19" s="162"/>
      <c r="N19" s="162"/>
    </row>
    <row r="20" spans="1:14" s="147" customFormat="1" x14ac:dyDescent="0.25"/>
    <row r="21" spans="1:14" s="147" customFormat="1" x14ac:dyDescent="0.25"/>
    <row r="22" spans="1:14" s="147" customFormat="1" x14ac:dyDescent="0.25"/>
    <row r="23" spans="1:14" s="147" customFormat="1" x14ac:dyDescent="0.25"/>
    <row r="24" spans="1:14" s="147" customFormat="1" x14ac:dyDescent="0.25"/>
    <row r="25" spans="1:14" s="147" customFormat="1" x14ac:dyDescent="0.25"/>
    <row r="26" spans="1:14" s="147" customFormat="1" x14ac:dyDescent="0.25"/>
    <row r="27" spans="1:14" s="147" customFormat="1" x14ac:dyDescent="0.25"/>
    <row r="28" spans="1:14" s="147" customFormat="1" x14ac:dyDescent="0.25"/>
    <row r="29" spans="1:14" s="147" customFormat="1" x14ac:dyDescent="0.25"/>
    <row r="30" spans="1:14" s="147" customFormat="1" x14ac:dyDescent="0.25"/>
    <row r="31" spans="1:14" s="147" customFormat="1" x14ac:dyDescent="0.25"/>
    <row r="32" spans="1:14" s="147" customFormat="1" x14ac:dyDescent="0.25"/>
    <row r="33" s="147" customFormat="1" x14ac:dyDescent="0.25"/>
    <row r="34" s="147" customFormat="1" x14ac:dyDescent="0.25"/>
    <row r="35" s="147" customFormat="1" x14ac:dyDescent="0.25"/>
    <row r="36" s="147" customFormat="1" x14ac:dyDescent="0.25"/>
    <row r="37" s="147" customFormat="1" x14ac:dyDescent="0.25"/>
    <row r="38" s="147" customFormat="1" x14ac:dyDescent="0.25"/>
    <row r="39" s="147" customFormat="1" x14ac:dyDescent="0.25"/>
    <row r="40" s="147" customFormat="1" x14ac:dyDescent="0.25"/>
    <row r="41" s="147" customFormat="1" x14ac:dyDescent="0.25"/>
    <row r="42" s="147" customFormat="1" x14ac:dyDescent="0.25"/>
    <row r="43" s="147" customFormat="1" x14ac:dyDescent="0.25"/>
    <row r="44" s="147" customFormat="1" x14ac:dyDescent="0.25"/>
    <row r="45" s="147" customFormat="1" x14ac:dyDescent="0.25"/>
    <row r="46" s="147" customFormat="1" x14ac:dyDescent="0.25"/>
    <row r="47" s="147" customFormat="1" x14ac:dyDescent="0.25"/>
    <row r="48" s="147" customFormat="1" x14ac:dyDescent="0.25"/>
    <row r="49" s="147" customFormat="1" x14ac:dyDescent="0.25"/>
    <row r="50" s="147" customFormat="1" x14ac:dyDescent="0.25"/>
    <row r="51" s="147" customFormat="1" x14ac:dyDescent="0.25"/>
    <row r="52" s="147" customFormat="1" x14ac:dyDescent="0.25"/>
    <row r="53" s="147" customFormat="1" x14ac:dyDescent="0.25"/>
    <row r="54" s="147" customFormat="1" x14ac:dyDescent="0.25"/>
    <row r="55" s="147" customFormat="1" x14ac:dyDescent="0.25"/>
    <row r="56" s="147" customFormat="1" x14ac:dyDescent="0.25"/>
    <row r="57" s="147" customFormat="1" x14ac:dyDescent="0.25"/>
    <row r="58" s="147" customFormat="1" x14ac:dyDescent="0.25"/>
    <row r="59" s="147" customFormat="1" x14ac:dyDescent="0.25"/>
    <row r="60" s="147" customFormat="1" x14ac:dyDescent="0.25"/>
    <row r="61" s="147" customFormat="1" x14ac:dyDescent="0.25"/>
    <row r="62" s="147" customFormat="1" x14ac:dyDescent="0.25"/>
    <row r="63" s="147" customFormat="1" x14ac:dyDescent="0.25"/>
    <row r="64" s="147" customFormat="1" x14ac:dyDescent="0.25"/>
    <row r="65" s="147" customFormat="1" x14ac:dyDescent="0.25"/>
    <row r="66" s="147" customFormat="1" x14ac:dyDescent="0.25"/>
    <row r="67" s="147" customFormat="1" x14ac:dyDescent="0.25"/>
    <row r="68" s="147" customFormat="1" x14ac:dyDescent="0.25"/>
    <row r="69" s="147" customFormat="1" x14ac:dyDescent="0.25"/>
    <row r="70" s="147" customFormat="1" x14ac:dyDescent="0.25"/>
    <row r="71" s="147" customFormat="1" x14ac:dyDescent="0.25"/>
    <row r="72" s="147" customFormat="1" x14ac:dyDescent="0.25"/>
    <row r="73" s="147" customFormat="1" x14ac:dyDescent="0.25"/>
    <row r="74" s="147" customFormat="1" x14ac:dyDescent="0.25"/>
    <row r="75" s="147" customFormat="1" x14ac:dyDescent="0.25"/>
    <row r="76" s="147" customFormat="1" x14ac:dyDescent="0.25"/>
    <row r="77" s="147" customFormat="1" x14ac:dyDescent="0.25"/>
    <row r="78" s="147" customFormat="1" x14ac:dyDescent="0.25"/>
    <row r="79" s="147" customFormat="1" x14ac:dyDescent="0.25"/>
    <row r="80" s="147" customFormat="1" x14ac:dyDescent="0.25"/>
    <row r="81" s="147" customFormat="1" x14ac:dyDescent="0.25"/>
    <row r="82" s="147" customFormat="1" x14ac:dyDescent="0.25"/>
    <row r="83" s="147" customFormat="1" x14ac:dyDescent="0.25"/>
    <row r="84" s="147" customFormat="1" x14ac:dyDescent="0.25"/>
    <row r="85" s="147" customFormat="1" x14ac:dyDescent="0.25"/>
    <row r="86" s="147" customFormat="1" x14ac:dyDescent="0.25"/>
    <row r="87" s="147" customFormat="1" x14ac:dyDescent="0.25"/>
    <row r="88" s="147" customFormat="1" x14ac:dyDescent="0.25"/>
    <row r="89" s="147" customFormat="1" x14ac:dyDescent="0.25"/>
    <row r="90" s="147" customFormat="1" x14ac:dyDescent="0.25"/>
    <row r="91" s="147" customFormat="1" x14ac:dyDescent="0.25"/>
    <row r="92" s="147" customFormat="1" x14ac:dyDescent="0.25"/>
    <row r="93" s="147" customFormat="1" x14ac:dyDescent="0.25"/>
    <row r="94" s="147" customFormat="1" x14ac:dyDescent="0.25"/>
    <row r="95" s="147" customFormat="1" x14ac:dyDescent="0.25"/>
    <row r="96" s="147" customFormat="1" x14ac:dyDescent="0.25"/>
    <row r="97" s="147" customFormat="1" x14ac:dyDescent="0.25"/>
    <row r="98" s="147" customFormat="1" x14ac:dyDescent="0.25"/>
    <row r="99" s="147" customFormat="1" x14ac:dyDescent="0.25"/>
    <row r="100" s="147" customFormat="1" x14ac:dyDescent="0.25"/>
    <row r="101" s="147" customFormat="1" x14ac:dyDescent="0.25"/>
    <row r="102" s="147" customFormat="1" x14ac:dyDescent="0.25"/>
    <row r="103" s="147" customFormat="1" x14ac:dyDescent="0.25"/>
    <row r="104" s="147" customFormat="1" x14ac:dyDescent="0.25"/>
    <row r="105" s="147" customFormat="1" x14ac:dyDescent="0.25"/>
    <row r="106" s="147" customFormat="1" x14ac:dyDescent="0.25"/>
    <row r="107" s="147" customFormat="1" x14ac:dyDescent="0.25"/>
    <row r="108" s="147" customFormat="1" x14ac:dyDescent="0.25"/>
    <row r="109" s="147" customFormat="1" x14ac:dyDescent="0.25"/>
    <row r="110" s="147" customFormat="1" x14ac:dyDescent="0.25"/>
    <row r="111" s="147" customFormat="1" x14ac:dyDescent="0.25"/>
    <row r="112" s="147" customFormat="1" x14ac:dyDescent="0.25"/>
    <row r="113" s="147" customFormat="1" x14ac:dyDescent="0.25"/>
    <row r="114" s="147" customFormat="1" x14ac:dyDescent="0.25"/>
    <row r="115" s="147" customFormat="1" x14ac:dyDescent="0.25"/>
    <row r="116" s="147" customFormat="1" x14ac:dyDescent="0.25"/>
    <row r="117" s="147" customFormat="1" x14ac:dyDescent="0.25"/>
    <row r="118" s="147" customFormat="1" x14ac:dyDescent="0.25"/>
    <row r="119" s="147" customFormat="1" x14ac:dyDescent="0.25"/>
    <row r="120" s="147" customFormat="1" x14ac:dyDescent="0.25"/>
    <row r="121" s="147" customFormat="1" x14ac:dyDescent="0.25"/>
    <row r="122" s="147" customFormat="1" x14ac:dyDescent="0.25"/>
    <row r="123" s="147" customFormat="1" x14ac:dyDescent="0.25"/>
    <row r="124" s="147" customFormat="1" x14ac:dyDescent="0.25"/>
    <row r="125" s="147" customFormat="1" x14ac:dyDescent="0.25"/>
    <row r="126" s="147" customFormat="1" x14ac:dyDescent="0.25"/>
    <row r="127" s="147" customFormat="1" x14ac:dyDescent="0.25"/>
    <row r="128" s="147" customFormat="1" x14ac:dyDescent="0.25"/>
    <row r="129" s="147" customFormat="1" x14ac:dyDescent="0.25"/>
    <row r="130" s="147" customFormat="1" x14ac:dyDescent="0.25"/>
    <row r="131" s="147" customFormat="1" x14ac:dyDescent="0.25"/>
    <row r="132" s="147" customFormat="1" x14ac:dyDescent="0.25"/>
    <row r="133" s="147" customFormat="1" x14ac:dyDescent="0.25"/>
    <row r="134" s="147" customFormat="1" x14ac:dyDescent="0.25"/>
    <row r="135" s="147" customFormat="1" x14ac:dyDescent="0.25"/>
    <row r="136" s="147" customFormat="1" x14ac:dyDescent="0.25"/>
    <row r="137" s="147" customFormat="1" x14ac:dyDescent="0.25"/>
    <row r="138" s="147" customFormat="1" x14ac:dyDescent="0.25"/>
    <row r="139" s="147" customFormat="1" x14ac:dyDescent="0.25"/>
    <row r="140" s="147" customFormat="1" x14ac:dyDescent="0.25"/>
    <row r="141" s="147" customFormat="1" x14ac:dyDescent="0.25"/>
    <row r="142" s="147" customFormat="1" x14ac:dyDescent="0.25"/>
    <row r="143" s="147" customFormat="1" x14ac:dyDescent="0.25"/>
    <row r="144" s="147" customFormat="1" x14ac:dyDescent="0.25"/>
    <row r="145" s="147" customFormat="1" x14ac:dyDescent="0.25"/>
    <row r="146" s="147" customFormat="1" x14ac:dyDescent="0.25"/>
    <row r="147" s="147" customFormat="1" x14ac:dyDescent="0.25"/>
    <row r="148" s="147" customFormat="1" x14ac:dyDescent="0.25"/>
    <row r="149" s="147" customFormat="1" x14ac:dyDescent="0.25"/>
    <row r="150" s="147" customFormat="1" x14ac:dyDescent="0.25"/>
    <row r="151" s="147" customFormat="1" x14ac:dyDescent="0.25"/>
    <row r="152" s="147" customFormat="1" x14ac:dyDescent="0.25"/>
    <row r="153" s="147" customFormat="1" x14ac:dyDescent="0.25"/>
    <row r="154" s="147" customFormat="1" x14ac:dyDescent="0.25"/>
    <row r="155" s="147" customFormat="1" x14ac:dyDescent="0.25"/>
    <row r="156" s="147" customFormat="1" x14ac:dyDescent="0.25"/>
    <row r="157" s="147" customFormat="1" x14ac:dyDescent="0.25"/>
    <row r="158" s="147" customFormat="1" x14ac:dyDescent="0.25"/>
    <row r="159" s="147" customFormat="1" x14ac:dyDescent="0.25"/>
    <row r="160" s="147" customFormat="1" x14ac:dyDescent="0.25"/>
    <row r="161" s="147" customFormat="1" x14ac:dyDescent="0.25"/>
    <row r="162" s="147" customFormat="1" x14ac:dyDescent="0.25"/>
    <row r="163" s="147" customFormat="1" x14ac:dyDescent="0.25"/>
    <row r="164" s="147" customFormat="1" x14ac:dyDescent="0.25"/>
    <row r="165" s="147" customFormat="1" x14ac:dyDescent="0.25"/>
    <row r="166" s="147" customFormat="1" x14ac:dyDescent="0.25"/>
    <row r="167" s="147" customFormat="1" x14ac:dyDescent="0.25"/>
    <row r="168" s="147" customFormat="1" x14ac:dyDescent="0.25"/>
    <row r="169" s="147" customFormat="1" x14ac:dyDescent="0.25"/>
    <row r="170" s="147" customFormat="1" x14ac:dyDescent="0.25"/>
    <row r="171" s="147" customFormat="1" x14ac:dyDescent="0.25"/>
    <row r="172" s="147" customFormat="1" x14ac:dyDescent="0.25"/>
    <row r="173" s="147" customFormat="1" x14ac:dyDescent="0.25"/>
    <row r="174" s="147" customFormat="1" x14ac:dyDescent="0.25"/>
    <row r="175" s="147" customFormat="1" x14ac:dyDescent="0.25"/>
    <row r="176" s="147" customFormat="1" x14ac:dyDescent="0.25"/>
    <row r="177" s="147" customFormat="1" x14ac:dyDescent="0.25"/>
    <row r="178" s="147" customFormat="1" x14ac:dyDescent="0.25"/>
    <row r="179" s="147" customFormat="1" x14ac:dyDescent="0.25"/>
    <row r="180" s="147" customFormat="1" x14ac:dyDescent="0.25"/>
    <row r="181" s="147" customFormat="1" x14ac:dyDescent="0.25"/>
    <row r="182" s="147" customFormat="1" x14ac:dyDescent="0.25"/>
    <row r="183" s="147" customFormat="1" x14ac:dyDescent="0.25"/>
    <row r="184" s="147" customFormat="1" x14ac:dyDescent="0.25"/>
    <row r="185" s="147" customFormat="1" x14ac:dyDescent="0.25"/>
    <row r="186" s="147" customFormat="1" x14ac:dyDescent="0.25"/>
    <row r="187" s="147" customFormat="1" x14ac:dyDescent="0.25"/>
    <row r="188" s="147" customFormat="1" x14ac:dyDescent="0.25"/>
    <row r="189" s="147" customFormat="1" x14ac:dyDescent="0.25"/>
    <row r="190" s="147" customFormat="1" x14ac:dyDescent="0.25"/>
    <row r="191" s="147" customFormat="1" x14ac:dyDescent="0.25"/>
    <row r="192" s="147" customFormat="1" x14ac:dyDescent="0.25"/>
    <row r="193" s="147" customFormat="1" x14ac:dyDescent="0.25"/>
    <row r="194" s="147" customFormat="1" x14ac:dyDescent="0.25"/>
    <row r="195" s="147" customFormat="1" x14ac:dyDescent="0.25"/>
    <row r="196" s="147" customFormat="1" x14ac:dyDescent="0.25"/>
    <row r="197" s="147" customFormat="1" x14ac:dyDescent="0.25"/>
    <row r="198" s="147" customFormat="1" x14ac:dyDescent="0.25"/>
    <row r="199" s="147" customFormat="1" x14ac:dyDescent="0.25"/>
    <row r="200" s="147" customFormat="1" x14ac:dyDescent="0.25"/>
    <row r="201" s="147" customFormat="1" x14ac:dyDescent="0.25"/>
    <row r="202" s="147" customFormat="1" x14ac:dyDescent="0.25"/>
    <row r="203" s="147" customFormat="1" x14ac:dyDescent="0.25"/>
    <row r="204" s="147" customFormat="1" x14ac:dyDescent="0.25"/>
    <row r="205" s="147" customFormat="1" x14ac:dyDescent="0.25"/>
    <row r="206" s="147" customFormat="1" x14ac:dyDescent="0.25"/>
    <row r="207" s="147" customFormat="1" x14ac:dyDescent="0.25"/>
    <row r="208" s="147" customFormat="1" x14ac:dyDescent="0.25"/>
    <row r="209" s="147" customFormat="1" x14ac:dyDescent="0.25"/>
    <row r="210" s="147" customFormat="1" x14ac:dyDescent="0.25"/>
    <row r="211" s="147" customFormat="1" x14ac:dyDescent="0.25"/>
    <row r="212" s="147" customFormat="1" x14ac:dyDescent="0.25"/>
    <row r="213" s="147" customFormat="1" x14ac:dyDescent="0.25"/>
    <row r="214" s="147" customFormat="1" x14ac:dyDescent="0.25"/>
    <row r="215" s="147" customFormat="1" x14ac:dyDescent="0.25"/>
    <row r="216" s="147" customFormat="1" x14ac:dyDescent="0.25"/>
    <row r="217" s="147" customFormat="1" x14ac:dyDescent="0.25"/>
    <row r="218" s="147" customFormat="1" x14ac:dyDescent="0.25"/>
    <row r="219" s="147" customFormat="1" x14ac:dyDescent="0.25"/>
    <row r="220" s="147" customFormat="1" x14ac:dyDescent="0.25"/>
    <row r="221" s="147" customFormat="1" x14ac:dyDescent="0.25"/>
    <row r="222" s="147" customFormat="1" x14ac:dyDescent="0.25"/>
    <row r="223" s="147" customFormat="1" x14ac:dyDescent="0.25"/>
    <row r="224" s="147" customFormat="1" x14ac:dyDescent="0.25"/>
    <row r="225" s="147" customFormat="1" x14ac:dyDescent="0.25"/>
    <row r="226" s="147" customFormat="1" x14ac:dyDescent="0.25"/>
    <row r="227" s="147" customFormat="1" x14ac:dyDescent="0.25"/>
    <row r="228" s="147" customFormat="1" x14ac:dyDescent="0.25"/>
    <row r="229" s="147" customFormat="1" x14ac:dyDescent="0.25"/>
    <row r="230" s="147" customFormat="1" x14ac:dyDescent="0.25"/>
    <row r="231" s="147" customFormat="1" x14ac:dyDescent="0.25"/>
    <row r="232" s="147" customFormat="1" x14ac:dyDescent="0.25"/>
    <row r="233" s="147" customFormat="1" x14ac:dyDescent="0.25"/>
    <row r="234" s="147" customFormat="1" x14ac:dyDescent="0.25"/>
    <row r="235" s="147" customFormat="1" x14ac:dyDescent="0.25"/>
    <row r="236" s="147" customFormat="1" x14ac:dyDescent="0.25"/>
    <row r="237" s="147" customFormat="1" x14ac:dyDescent="0.25"/>
    <row r="238" s="147" customFormat="1" x14ac:dyDescent="0.25"/>
    <row r="239" s="147" customFormat="1" x14ac:dyDescent="0.25"/>
    <row r="240" s="147" customFormat="1" x14ac:dyDescent="0.25"/>
    <row r="241" s="147" customFormat="1" x14ac:dyDescent="0.25"/>
    <row r="242" s="147" customFormat="1" x14ac:dyDescent="0.25"/>
    <row r="243" s="147" customFormat="1" x14ac:dyDescent="0.25"/>
    <row r="244" s="147" customFormat="1" x14ac:dyDescent="0.25"/>
    <row r="245" s="147" customFormat="1" x14ac:dyDescent="0.25"/>
    <row r="246" s="147" customFormat="1" x14ac:dyDescent="0.25"/>
    <row r="247" s="147" customFormat="1" x14ac:dyDescent="0.25"/>
    <row r="248" s="147" customFormat="1" x14ac:dyDescent="0.25"/>
    <row r="249" s="147" customFormat="1" x14ac:dyDescent="0.25"/>
    <row r="250" s="147" customFormat="1" x14ac:dyDescent="0.25"/>
    <row r="251" s="147" customFormat="1" x14ac:dyDescent="0.25"/>
    <row r="252" s="147" customFormat="1" x14ac:dyDescent="0.25"/>
    <row r="253" s="147" customFormat="1" x14ac:dyDescent="0.25"/>
    <row r="254" s="147" customFormat="1" x14ac:dyDescent="0.25"/>
    <row r="255" s="147" customFormat="1" x14ac:dyDescent="0.25"/>
    <row r="256" s="147" customFormat="1" x14ac:dyDescent="0.25"/>
    <row r="257" s="147" customFormat="1" x14ac:dyDescent="0.25"/>
    <row r="258" s="147" customFormat="1" x14ac:dyDescent="0.25"/>
    <row r="259" s="147" customFormat="1" x14ac:dyDescent="0.25"/>
    <row r="260" s="147" customFormat="1" x14ac:dyDescent="0.25"/>
    <row r="261" s="147" customFormat="1" x14ac:dyDescent="0.25"/>
    <row r="262" s="147" customFormat="1" x14ac:dyDescent="0.25"/>
    <row r="263" s="147" customFormat="1" x14ac:dyDescent="0.25"/>
    <row r="264" s="147" customFormat="1" x14ac:dyDescent="0.25"/>
    <row r="265" s="147" customFormat="1" x14ac:dyDescent="0.25"/>
    <row r="266" s="147" customFormat="1" x14ac:dyDescent="0.25"/>
    <row r="267" s="147" customFormat="1" x14ac:dyDescent="0.25"/>
    <row r="268" s="147" customFormat="1" x14ac:dyDescent="0.25"/>
    <row r="269" s="147" customFormat="1" x14ac:dyDescent="0.25"/>
    <row r="270" s="147" customFormat="1" x14ac:dyDescent="0.25"/>
    <row r="271" s="147" customFormat="1" x14ac:dyDescent="0.25"/>
    <row r="272" s="147" customFormat="1" x14ac:dyDescent="0.25"/>
    <row r="273" s="147" customFormat="1" x14ac:dyDescent="0.25"/>
    <row r="274" s="147" customFormat="1" x14ac:dyDescent="0.25"/>
    <row r="275" s="147" customFormat="1" x14ac:dyDescent="0.25"/>
    <row r="276" s="147" customFormat="1" x14ac:dyDescent="0.25"/>
    <row r="277" s="147" customFormat="1" x14ac:dyDescent="0.25"/>
    <row r="278" s="147" customFormat="1" x14ac:dyDescent="0.25"/>
    <row r="279" s="147" customFormat="1" x14ac:dyDescent="0.25"/>
    <row r="280" s="147" customFormat="1" x14ac:dyDescent="0.25"/>
    <row r="281" s="147" customFormat="1" x14ac:dyDescent="0.25"/>
    <row r="282" s="147" customFormat="1" x14ac:dyDescent="0.25"/>
    <row r="283" s="147" customFormat="1" x14ac:dyDescent="0.25"/>
    <row r="284" s="147" customFormat="1" x14ac:dyDescent="0.25"/>
    <row r="285" s="147" customFormat="1" x14ac:dyDescent="0.25"/>
    <row r="286" s="147" customFormat="1" x14ac:dyDescent="0.25"/>
    <row r="287" s="147" customFormat="1" x14ac:dyDescent="0.25"/>
    <row r="288" s="147" customFormat="1" x14ac:dyDescent="0.25"/>
    <row r="289" s="147" customFormat="1" x14ac:dyDescent="0.25"/>
    <row r="290" s="147" customFormat="1" x14ac:dyDescent="0.25"/>
    <row r="291" s="147" customFormat="1" x14ac:dyDescent="0.25"/>
    <row r="292" s="147" customFormat="1" x14ac:dyDescent="0.25"/>
    <row r="293" s="147" customFormat="1" x14ac:dyDescent="0.25"/>
    <row r="294" s="147" customFormat="1" x14ac:dyDescent="0.25"/>
    <row r="295" s="147" customFormat="1" x14ac:dyDescent="0.25"/>
    <row r="296" s="147" customFormat="1" x14ac:dyDescent="0.25"/>
    <row r="297" s="147" customFormat="1" x14ac:dyDescent="0.25"/>
    <row r="298" s="147" customFormat="1" x14ac:dyDescent="0.25"/>
    <row r="299" s="147" customFormat="1" x14ac:dyDescent="0.25"/>
    <row r="300" s="147" customFormat="1" x14ac:dyDescent="0.25"/>
    <row r="301" s="147" customFormat="1" x14ac:dyDescent="0.25"/>
    <row r="302" s="147" customFormat="1" x14ac:dyDescent="0.25"/>
    <row r="303" s="147" customFormat="1" x14ac:dyDescent="0.25"/>
    <row r="304" s="147" customFormat="1" x14ac:dyDescent="0.25"/>
    <row r="305" s="147" customFormat="1" x14ac:dyDescent="0.25"/>
    <row r="306" s="147" customFormat="1" x14ac:dyDescent="0.25"/>
    <row r="307" s="147" customFormat="1" x14ac:dyDescent="0.25"/>
    <row r="308" s="147" customFormat="1" x14ac:dyDescent="0.25"/>
    <row r="309" s="147" customFormat="1" x14ac:dyDescent="0.25"/>
    <row r="310" s="147" customFormat="1" x14ac:dyDescent="0.25"/>
    <row r="311" s="147" customFormat="1" x14ac:dyDescent="0.25"/>
    <row r="312" s="147" customFormat="1" x14ac:dyDescent="0.25"/>
    <row r="313" s="147" customFormat="1" x14ac:dyDescent="0.25"/>
    <row r="314" s="147" customFormat="1" x14ac:dyDescent="0.25"/>
    <row r="315" s="147" customFormat="1" x14ac:dyDescent="0.25"/>
    <row r="316" s="147" customFormat="1" x14ac:dyDescent="0.25"/>
    <row r="317" s="147" customFormat="1" x14ac:dyDescent="0.25"/>
    <row r="318" s="147" customFormat="1" x14ac:dyDescent="0.25"/>
    <row r="319" s="147" customFormat="1" x14ac:dyDescent="0.25"/>
    <row r="320" s="147" customFormat="1" x14ac:dyDescent="0.25"/>
    <row r="321" s="147" customFormat="1" x14ac:dyDescent="0.25"/>
    <row r="322" s="147" customFormat="1" x14ac:dyDescent="0.25"/>
    <row r="323" s="147" customFormat="1" x14ac:dyDescent="0.25"/>
    <row r="324" s="147" customFormat="1" x14ac:dyDescent="0.25"/>
    <row r="325" s="147" customFormat="1" x14ac:dyDescent="0.25"/>
    <row r="326" s="147" customFormat="1" x14ac:dyDescent="0.25"/>
    <row r="327" s="147" customFormat="1" x14ac:dyDescent="0.25"/>
    <row r="328" s="147" customFormat="1" x14ac:dyDescent="0.25"/>
    <row r="329" s="147" customFormat="1" x14ac:dyDescent="0.25"/>
    <row r="330" s="147" customFormat="1" x14ac:dyDescent="0.25"/>
    <row r="331" s="147" customFormat="1" x14ac:dyDescent="0.25"/>
    <row r="332" s="147" customFormat="1" x14ac:dyDescent="0.25"/>
    <row r="333" s="147" customFormat="1" x14ac:dyDescent="0.25"/>
    <row r="334" s="147" customFormat="1" x14ac:dyDescent="0.25"/>
    <row r="335" s="147" customFormat="1" x14ac:dyDescent="0.25"/>
    <row r="336" s="147" customFormat="1" x14ac:dyDescent="0.25"/>
    <row r="337" s="147" customFormat="1" x14ac:dyDescent="0.25"/>
    <row r="338" s="147" customFormat="1" x14ac:dyDescent="0.25"/>
    <row r="339" s="147" customFormat="1" x14ac:dyDescent="0.25"/>
    <row r="340" s="147" customFormat="1" x14ac:dyDescent="0.25"/>
    <row r="341" s="147" customFormat="1" x14ac:dyDescent="0.25"/>
    <row r="342" s="147" customFormat="1" x14ac:dyDescent="0.25"/>
    <row r="343" s="147" customFormat="1" x14ac:dyDescent="0.25"/>
    <row r="344" s="147" customFormat="1" x14ac:dyDescent="0.25"/>
    <row r="345" s="147" customFormat="1" x14ac:dyDescent="0.25"/>
    <row r="346" s="147" customFormat="1" x14ac:dyDescent="0.25"/>
    <row r="347" s="147" customFormat="1" x14ac:dyDescent="0.25"/>
    <row r="348" s="147" customFormat="1" x14ac:dyDescent="0.25"/>
    <row r="349" s="147" customFormat="1" x14ac:dyDescent="0.25"/>
    <row r="350" s="147" customFormat="1" x14ac:dyDescent="0.25"/>
    <row r="351" s="147" customFormat="1" x14ac:dyDescent="0.25"/>
    <row r="352" s="147" customFormat="1" x14ac:dyDescent="0.25"/>
    <row r="353" s="147" customFormat="1" x14ac:dyDescent="0.25"/>
    <row r="354" s="147" customFormat="1" x14ac:dyDescent="0.25"/>
    <row r="355" s="147" customFormat="1" x14ac:dyDescent="0.25"/>
    <row r="356" s="147" customFormat="1" x14ac:dyDescent="0.25"/>
    <row r="357" s="147" customFormat="1" x14ac:dyDescent="0.25"/>
    <row r="358" s="147" customFormat="1" x14ac:dyDescent="0.25"/>
    <row r="359" s="147" customFormat="1" x14ac:dyDescent="0.25"/>
    <row r="360" s="147" customFormat="1" x14ac:dyDescent="0.25"/>
    <row r="361" s="147" customFormat="1" x14ac:dyDescent="0.25"/>
    <row r="362" s="147" customFormat="1" x14ac:dyDescent="0.25"/>
    <row r="363" s="147" customFormat="1" x14ac:dyDescent="0.25"/>
    <row r="364" s="147" customFormat="1" x14ac:dyDescent="0.25"/>
    <row r="365" s="147" customFormat="1" x14ac:dyDescent="0.25"/>
    <row r="366" s="147" customFormat="1" x14ac:dyDescent="0.25"/>
    <row r="367" s="147" customFormat="1" x14ac:dyDescent="0.25"/>
    <row r="368" s="147" customFormat="1" x14ac:dyDescent="0.25"/>
    <row r="369" s="147" customFormat="1" x14ac:dyDescent="0.25"/>
    <row r="370" s="147" customFormat="1" x14ac:dyDescent="0.25"/>
    <row r="371" s="147" customFormat="1" x14ac:dyDescent="0.25"/>
    <row r="372" s="147" customFormat="1" x14ac:dyDescent="0.25"/>
    <row r="373" s="147" customFormat="1" x14ac:dyDescent="0.25"/>
    <row r="374" s="147" customFormat="1" x14ac:dyDescent="0.25"/>
    <row r="375" s="147" customFormat="1" x14ac:dyDescent="0.25"/>
    <row r="376" s="147" customFormat="1" x14ac:dyDescent="0.25"/>
    <row r="377" s="147" customFormat="1" x14ac:dyDescent="0.25"/>
    <row r="378" s="147" customFormat="1" x14ac:dyDescent="0.25"/>
    <row r="379" s="147" customFormat="1" x14ac:dyDescent="0.25"/>
    <row r="380" s="147" customFormat="1" x14ac:dyDescent="0.25"/>
    <row r="381" s="147" customFormat="1" x14ac:dyDescent="0.25"/>
    <row r="382" s="147" customFormat="1" x14ac:dyDescent="0.25"/>
    <row r="383" s="147" customFormat="1" x14ac:dyDescent="0.25"/>
    <row r="384" s="147" customFormat="1" x14ac:dyDescent="0.25"/>
    <row r="385" s="147" customFormat="1" x14ac:dyDescent="0.25"/>
    <row r="386" s="147" customFormat="1" x14ac:dyDescent="0.25"/>
    <row r="387" s="147" customFormat="1" x14ac:dyDescent="0.25"/>
    <row r="388" s="147" customFormat="1" x14ac:dyDescent="0.25"/>
    <row r="389" s="147" customFormat="1" x14ac:dyDescent="0.25"/>
    <row r="390" s="147" customFormat="1" x14ac:dyDescent="0.25"/>
    <row r="391" s="147" customFormat="1" x14ac:dyDescent="0.25"/>
    <row r="392" s="147" customFormat="1" x14ac:dyDescent="0.25"/>
    <row r="393" s="147" customFormat="1" x14ac:dyDescent="0.25"/>
    <row r="394" s="147" customFormat="1" x14ac:dyDescent="0.25"/>
    <row r="395" s="147" customFormat="1" x14ac:dyDescent="0.25"/>
    <row r="396" s="147" customFormat="1" x14ac:dyDescent="0.25"/>
    <row r="397" s="147" customFormat="1" x14ac:dyDescent="0.25"/>
    <row r="398" s="147" customFormat="1" x14ac:dyDescent="0.25"/>
    <row r="399" s="147" customFormat="1" x14ac:dyDescent="0.25"/>
    <row r="400" s="147" customFormat="1" x14ac:dyDescent="0.25"/>
    <row r="401" s="147" customFormat="1" x14ac:dyDescent="0.25"/>
    <row r="402" s="147" customFormat="1" x14ac:dyDescent="0.25"/>
    <row r="403" s="147" customFormat="1" x14ac:dyDescent="0.25"/>
    <row r="404" s="147" customFormat="1" x14ac:dyDescent="0.25"/>
    <row r="405" s="147" customFormat="1" x14ac:dyDescent="0.25"/>
    <row r="406" s="147" customFormat="1" x14ac:dyDescent="0.25"/>
    <row r="407" s="147" customFormat="1" x14ac:dyDescent="0.25"/>
    <row r="408" s="147" customFormat="1" x14ac:dyDescent="0.25"/>
    <row r="409" s="147" customFormat="1" x14ac:dyDescent="0.25"/>
    <row r="410" s="147" customFormat="1" x14ac:dyDescent="0.25"/>
    <row r="411" s="147" customFormat="1" x14ac:dyDescent="0.25"/>
    <row r="412" s="147" customFormat="1" x14ac:dyDescent="0.25"/>
    <row r="413" s="147" customFormat="1" x14ac:dyDescent="0.25"/>
    <row r="414" s="147" customFormat="1" x14ac:dyDescent="0.25"/>
    <row r="415" s="147" customFormat="1" x14ac:dyDescent="0.25"/>
    <row r="416" s="147" customFormat="1" x14ac:dyDescent="0.25"/>
    <row r="417" s="147" customFormat="1" x14ac:dyDescent="0.25"/>
    <row r="418" s="147" customFormat="1" x14ac:dyDescent="0.25"/>
    <row r="419" s="147" customFormat="1" x14ac:dyDescent="0.25"/>
    <row r="420" s="147" customFormat="1" x14ac:dyDescent="0.25"/>
    <row r="421" s="147" customFormat="1" x14ac:dyDescent="0.25"/>
    <row r="422" s="147" customFormat="1" x14ac:dyDescent="0.25"/>
    <row r="423" s="147" customFormat="1" x14ac:dyDescent="0.25"/>
    <row r="424" s="147" customFormat="1" x14ac:dyDescent="0.25"/>
    <row r="425" s="147" customFormat="1" x14ac:dyDescent="0.25"/>
    <row r="426" s="147" customFormat="1" x14ac:dyDescent="0.25"/>
    <row r="427" s="147" customFormat="1" x14ac:dyDescent="0.25"/>
    <row r="428" s="147" customFormat="1" x14ac:dyDescent="0.25"/>
    <row r="429" s="147" customFormat="1" x14ac:dyDescent="0.25"/>
    <row r="430" s="147" customFormat="1" x14ac:dyDescent="0.25"/>
    <row r="431" s="147" customFormat="1" x14ac:dyDescent="0.25"/>
    <row r="432" s="147" customFormat="1" x14ac:dyDescent="0.25"/>
    <row r="433" s="147" customFormat="1" x14ac:dyDescent="0.25"/>
    <row r="434" s="147" customFormat="1" x14ac:dyDescent="0.25"/>
    <row r="435" s="147" customFormat="1" x14ac:dyDescent="0.25"/>
    <row r="436" s="147" customFormat="1" x14ac:dyDescent="0.25"/>
    <row r="437" s="147" customFormat="1" x14ac:dyDescent="0.25"/>
    <row r="438" s="147" customFormat="1" x14ac:dyDescent="0.25"/>
    <row r="439" s="147" customFormat="1" x14ac:dyDescent="0.25"/>
    <row r="440" s="147" customFormat="1" x14ac:dyDescent="0.25"/>
    <row r="441" s="147" customFormat="1" x14ac:dyDescent="0.25"/>
    <row r="442" s="147" customFormat="1" x14ac:dyDescent="0.25"/>
    <row r="443" s="147" customFormat="1" x14ac:dyDescent="0.25"/>
    <row r="444" s="147" customFormat="1" x14ac:dyDescent="0.25"/>
    <row r="445" s="147" customFormat="1" x14ac:dyDescent="0.25"/>
    <row r="446" s="147" customFormat="1" x14ac:dyDescent="0.25"/>
    <row r="447" s="147" customFormat="1" x14ac:dyDescent="0.25"/>
    <row r="448" s="147" customFormat="1" x14ac:dyDescent="0.25"/>
    <row r="449" s="147" customFormat="1" x14ac:dyDescent="0.25"/>
    <row r="450" s="147" customFormat="1" x14ac:dyDescent="0.25"/>
    <row r="451" s="147" customFormat="1" x14ac:dyDescent="0.25"/>
    <row r="452" s="147" customFormat="1" x14ac:dyDescent="0.25"/>
    <row r="453" s="147" customFormat="1" x14ac:dyDescent="0.25"/>
    <row r="454" s="147" customFormat="1" x14ac:dyDescent="0.25"/>
    <row r="455" s="147" customFormat="1" x14ac:dyDescent="0.25"/>
    <row r="456" s="147" customFormat="1" x14ac:dyDescent="0.25"/>
    <row r="457" s="147" customFormat="1" x14ac:dyDescent="0.25"/>
    <row r="458" s="147" customFormat="1" x14ac:dyDescent="0.25"/>
    <row r="459" s="147" customFormat="1" x14ac:dyDescent="0.25"/>
    <row r="460" s="147" customFormat="1" x14ac:dyDescent="0.25"/>
    <row r="461" s="147" customFormat="1" x14ac:dyDescent="0.25"/>
    <row r="462" s="147" customFormat="1" x14ac:dyDescent="0.25"/>
    <row r="463" s="147" customFormat="1" x14ac:dyDescent="0.25"/>
    <row r="464" s="147" customFormat="1" x14ac:dyDescent="0.25"/>
    <row r="465" s="147" customFormat="1" x14ac:dyDescent="0.25"/>
    <row r="466" s="147" customFormat="1" x14ac:dyDescent="0.25"/>
    <row r="467" s="147" customFormat="1" x14ac:dyDescent="0.25"/>
    <row r="468" s="147" customFormat="1" x14ac:dyDescent="0.25"/>
    <row r="469" s="147" customFormat="1" x14ac:dyDescent="0.25"/>
    <row r="470" s="147" customFormat="1" x14ac:dyDescent="0.25"/>
    <row r="471" s="147" customFormat="1" x14ac:dyDescent="0.25"/>
    <row r="472" s="147" customFormat="1" x14ac:dyDescent="0.25"/>
    <row r="473" s="147" customFormat="1" x14ac:dyDescent="0.25"/>
    <row r="474" s="147" customFormat="1" x14ac:dyDescent="0.25"/>
    <row r="475" s="147" customFormat="1" x14ac:dyDescent="0.25"/>
    <row r="476" s="147" customFormat="1" x14ac:dyDescent="0.25"/>
    <row r="477" s="147" customFormat="1" x14ac:dyDescent="0.25"/>
    <row r="478" s="147" customFormat="1" x14ac:dyDescent="0.25"/>
    <row r="479" s="147" customFormat="1" x14ac:dyDescent="0.25"/>
    <row r="480" s="147" customFormat="1" x14ac:dyDescent="0.25"/>
    <row r="481" s="147" customFormat="1" x14ac:dyDescent="0.25"/>
    <row r="482" s="147" customFormat="1" x14ac:dyDescent="0.25"/>
    <row r="483" s="147" customFormat="1" x14ac:dyDescent="0.25"/>
    <row r="484" s="147" customFormat="1" x14ac:dyDescent="0.25"/>
    <row r="485" s="147" customFormat="1" x14ac:dyDescent="0.25"/>
    <row r="486" s="147" customFormat="1" x14ac:dyDescent="0.25"/>
    <row r="487" s="147" customFormat="1" x14ac:dyDescent="0.25"/>
    <row r="488" s="147" customFormat="1" x14ac:dyDescent="0.25"/>
    <row r="489" s="147" customFormat="1" x14ac:dyDescent="0.25"/>
    <row r="490" s="147" customFormat="1" x14ac:dyDescent="0.25"/>
    <row r="491" s="147" customFormat="1" x14ac:dyDescent="0.25"/>
    <row r="492" s="147" customFormat="1" x14ac:dyDescent="0.25"/>
    <row r="493" s="147" customFormat="1" x14ac:dyDescent="0.25"/>
    <row r="494" s="147" customFormat="1" x14ac:dyDescent="0.25"/>
    <row r="495" s="147" customFormat="1" x14ac:dyDescent="0.25"/>
    <row r="496" s="147" customFormat="1" x14ac:dyDescent="0.25"/>
    <row r="497" s="147" customFormat="1" x14ac:dyDescent="0.25"/>
    <row r="498" s="147" customFormat="1" x14ac:dyDescent="0.25"/>
    <row r="499" s="147" customFormat="1" x14ac:dyDescent="0.25"/>
    <row r="500" s="147" customFormat="1" x14ac:dyDescent="0.25"/>
    <row r="501" s="147" customFormat="1" x14ac:dyDescent="0.25"/>
    <row r="502" s="147" customFormat="1" x14ac:dyDescent="0.25"/>
    <row r="503" s="147" customFormat="1" x14ac:dyDescent="0.25"/>
    <row r="504" s="147" customFormat="1" x14ac:dyDescent="0.25"/>
    <row r="505" s="147" customFormat="1" x14ac:dyDescent="0.25"/>
    <row r="506" s="147" customFormat="1" x14ac:dyDescent="0.25"/>
    <row r="507" s="147" customFormat="1" x14ac:dyDescent="0.25"/>
    <row r="508" s="147" customFormat="1" x14ac:dyDescent="0.25"/>
    <row r="509" s="147" customFormat="1" x14ac:dyDescent="0.25"/>
    <row r="510" s="147" customFormat="1" x14ac:dyDescent="0.25"/>
    <row r="511" s="147" customFormat="1" x14ac:dyDescent="0.25"/>
    <row r="512" s="147" customFormat="1" x14ac:dyDescent="0.25"/>
    <row r="513" s="147" customFormat="1" x14ac:dyDescent="0.25"/>
    <row r="514" s="147" customFormat="1" x14ac:dyDescent="0.25"/>
    <row r="515" s="147" customFormat="1" x14ac:dyDescent="0.25"/>
    <row r="516" s="147" customFormat="1" x14ac:dyDescent="0.25"/>
    <row r="517" s="147" customFormat="1" x14ac:dyDescent="0.25"/>
    <row r="518" s="147" customFormat="1" x14ac:dyDescent="0.25"/>
    <row r="519" s="147" customFormat="1" x14ac:dyDescent="0.25"/>
    <row r="520" s="147" customFormat="1" x14ac:dyDescent="0.25"/>
    <row r="521" s="147" customFormat="1" x14ac:dyDescent="0.25"/>
    <row r="522" s="147" customFormat="1" x14ac:dyDescent="0.25"/>
    <row r="523" s="147" customFormat="1" x14ac:dyDescent="0.25"/>
    <row r="524" s="147" customFormat="1" x14ac:dyDescent="0.25"/>
    <row r="525" s="147" customFormat="1" x14ac:dyDescent="0.25"/>
    <row r="526" s="147" customFormat="1" x14ac:dyDescent="0.25"/>
    <row r="527" s="147" customFormat="1" x14ac:dyDescent="0.25"/>
    <row r="528" s="147" customFormat="1" x14ac:dyDescent="0.25"/>
    <row r="529" s="147" customFormat="1" x14ac:dyDescent="0.25"/>
    <row r="530" s="147" customFormat="1" x14ac:dyDescent="0.25"/>
    <row r="531" s="147" customFormat="1" x14ac:dyDescent="0.25"/>
    <row r="532" s="147" customFormat="1" x14ac:dyDescent="0.25"/>
    <row r="533" s="147" customFormat="1" x14ac:dyDescent="0.25"/>
    <row r="534" s="147" customFormat="1" x14ac:dyDescent="0.25"/>
    <row r="535" s="147" customFormat="1" x14ac:dyDescent="0.25"/>
    <row r="536" s="147" customFormat="1" x14ac:dyDescent="0.25"/>
    <row r="537" s="147" customFormat="1" x14ac:dyDescent="0.25"/>
    <row r="538" s="147" customFormat="1" x14ac:dyDescent="0.25"/>
    <row r="539" s="147" customFormat="1" x14ac:dyDescent="0.25"/>
    <row r="540" s="147" customFormat="1" x14ac:dyDescent="0.25"/>
    <row r="541" s="147" customFormat="1" x14ac:dyDescent="0.25"/>
    <row r="542" s="147" customFormat="1" x14ac:dyDescent="0.25"/>
    <row r="543" s="147" customFormat="1" x14ac:dyDescent="0.25"/>
    <row r="544" s="147" customFormat="1" x14ac:dyDescent="0.25"/>
    <row r="545" s="147" customFormat="1" x14ac:dyDescent="0.25"/>
  </sheetData>
  <mergeCells count="19">
    <mergeCell ref="L1:N1"/>
    <mergeCell ref="M2:N2"/>
    <mergeCell ref="A4:N4"/>
    <mergeCell ref="A5:N5"/>
    <mergeCell ref="A7:A9"/>
    <mergeCell ref="B7:B9"/>
    <mergeCell ref="C7:F7"/>
    <mergeCell ref="G7:J7"/>
    <mergeCell ref="K7:N7"/>
    <mergeCell ref="A18:N18"/>
    <mergeCell ref="A15:N15"/>
    <mergeCell ref="A16:N16"/>
    <mergeCell ref="A17:N17"/>
    <mergeCell ref="N8:N9"/>
    <mergeCell ref="C8:E8"/>
    <mergeCell ref="F8:F9"/>
    <mergeCell ref="G8:I8"/>
    <mergeCell ref="J8:J9"/>
    <mergeCell ref="K8:M8"/>
  </mergeCells>
  <printOptions horizontalCentered="1"/>
  <pageMargins left="0.39370078740157483" right="0.39370078740157483" top="0.59055118110236227" bottom="0.39370078740157483" header="0" footer="0"/>
  <pageSetup paperSize="9" scale="5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T34"/>
  <sheetViews>
    <sheetView view="pageBreakPreview" topLeftCell="A7" zoomScale="90" zoomScaleNormal="90" zoomScaleSheetLayoutView="90" workbookViewId="0">
      <selection activeCell="G24" sqref="G24"/>
    </sheetView>
  </sheetViews>
  <sheetFormatPr defaultRowHeight="15.75" x14ac:dyDescent="0.25"/>
  <cols>
    <col min="1" max="1" width="9.140625" style="133"/>
    <col min="2" max="2" width="53.42578125" style="133" customWidth="1"/>
    <col min="3" max="3" width="17.7109375" style="133" customWidth="1"/>
    <col min="4" max="5" width="17.85546875" style="133" customWidth="1"/>
    <col min="6" max="6" width="9.140625" style="133"/>
    <col min="7" max="7" width="18.28515625" style="133" customWidth="1"/>
    <col min="8" max="16384" width="9.140625" style="133"/>
  </cols>
  <sheetData>
    <row r="1" spans="1:20" ht="48" customHeight="1" x14ac:dyDescent="0.25">
      <c r="D1" s="221" t="s">
        <v>9186</v>
      </c>
      <c r="E1" s="230"/>
    </row>
    <row r="2" spans="1:20" x14ac:dyDescent="0.25">
      <c r="A2" s="133" t="s">
        <v>9187</v>
      </c>
      <c r="D2" s="223" t="s">
        <v>9158</v>
      </c>
      <c r="E2" s="231"/>
    </row>
    <row r="4" spans="1:20" ht="68.25" customHeight="1" x14ac:dyDescent="0.25">
      <c r="A4" s="224" t="s">
        <v>9188</v>
      </c>
      <c r="B4" s="224"/>
      <c r="C4" s="224"/>
      <c r="D4" s="224"/>
      <c r="E4" s="224"/>
      <c r="F4" s="139"/>
      <c r="G4" s="139"/>
      <c r="S4" s="221"/>
      <c r="T4" s="221"/>
    </row>
    <row r="5" spans="1:20" ht="25.5" customHeight="1" x14ac:dyDescent="0.25">
      <c r="A5" s="232" t="s">
        <v>9189</v>
      </c>
      <c r="B5" s="232"/>
      <c r="C5" s="232"/>
      <c r="D5" s="232"/>
      <c r="E5" s="232"/>
      <c r="F5" s="140"/>
      <c r="G5" s="140"/>
      <c r="S5" s="221"/>
      <c r="T5" s="221"/>
    </row>
    <row r="7" spans="1:20" ht="45" x14ac:dyDescent="0.25">
      <c r="A7" s="148" t="s">
        <v>9160</v>
      </c>
      <c r="B7" s="148" t="s">
        <v>9190</v>
      </c>
      <c r="C7" s="148" t="s">
        <v>9191</v>
      </c>
      <c r="D7" s="148" t="s">
        <v>9192</v>
      </c>
      <c r="E7" s="148" t="s">
        <v>9193</v>
      </c>
    </row>
    <row r="8" spans="1:20" x14ac:dyDescent="0.25">
      <c r="A8" s="148">
        <v>1</v>
      </c>
      <c r="B8" s="148">
        <v>2</v>
      </c>
      <c r="C8" s="148">
        <v>3</v>
      </c>
      <c r="D8" s="148">
        <v>4</v>
      </c>
      <c r="E8" s="148">
        <v>5</v>
      </c>
    </row>
    <row r="9" spans="1:20" ht="31.5" customHeight="1" x14ac:dyDescent="0.25">
      <c r="A9" s="148" t="s">
        <v>9173</v>
      </c>
      <c r="B9" s="164" t="s">
        <v>9194</v>
      </c>
      <c r="C9" s="168">
        <f t="shared" ref="C9:E9" si="0">C10+C11+C12+C13+C14+C23</f>
        <v>128428.91404</v>
      </c>
      <c r="D9" s="168">
        <f t="shared" si="0"/>
        <v>169714.21878</v>
      </c>
      <c r="E9" s="168">
        <f t="shared" si="0"/>
        <v>121540.41824</v>
      </c>
      <c r="G9" s="165"/>
      <c r="H9" s="165"/>
      <c r="J9" s="166"/>
    </row>
    <row r="10" spans="1:20" x14ac:dyDescent="0.25">
      <c r="A10" s="148" t="s">
        <v>9195</v>
      </c>
      <c r="B10" s="164" t="s">
        <v>9196</v>
      </c>
      <c r="C10" s="233">
        <v>1836.43805</v>
      </c>
      <c r="D10" s="233">
        <v>3101.10583</v>
      </c>
      <c r="E10" s="233">
        <v>1905.58412</v>
      </c>
      <c r="J10" s="166"/>
      <c r="K10" s="166"/>
    </row>
    <row r="11" spans="1:20" x14ac:dyDescent="0.25">
      <c r="A11" s="148" t="s">
        <v>9197</v>
      </c>
      <c r="B11" s="164" t="s">
        <v>9198</v>
      </c>
      <c r="C11" s="233">
        <v>1891.4156800000001</v>
      </c>
      <c r="D11" s="233">
        <v>3290.6770499999998</v>
      </c>
      <c r="E11" s="233">
        <v>2087.8121500000002</v>
      </c>
      <c r="J11" s="166"/>
    </row>
    <row r="12" spans="1:20" x14ac:dyDescent="0.25">
      <c r="A12" s="148" t="s">
        <v>9199</v>
      </c>
      <c r="B12" s="164" t="s">
        <v>9200</v>
      </c>
      <c r="C12" s="233">
        <v>56538.315790000001</v>
      </c>
      <c r="D12" s="233">
        <v>60545.460059999998</v>
      </c>
      <c r="E12" s="233">
        <v>44058.951860000001</v>
      </c>
      <c r="G12" s="167"/>
    </row>
    <row r="13" spans="1:20" x14ac:dyDescent="0.25">
      <c r="A13" s="148" t="s">
        <v>9201</v>
      </c>
      <c r="B13" s="164" t="s">
        <v>9202</v>
      </c>
      <c r="C13" s="233">
        <v>16873.87888</v>
      </c>
      <c r="D13" s="233">
        <v>18287.754779999999</v>
      </c>
      <c r="E13" s="233">
        <v>13413.018050000001</v>
      </c>
    </row>
    <row r="14" spans="1:20" x14ac:dyDescent="0.25">
      <c r="A14" s="148" t="s">
        <v>9203</v>
      </c>
      <c r="B14" s="164" t="s">
        <v>9204</v>
      </c>
      <c r="C14" s="168">
        <f t="shared" ref="C14:E14" si="1">C15+C16+C17</f>
        <v>13008.98112</v>
      </c>
      <c r="D14" s="169">
        <f t="shared" si="1"/>
        <v>46471.099069999997</v>
      </c>
      <c r="E14" s="168">
        <f t="shared" si="1"/>
        <v>17866.85037</v>
      </c>
    </row>
    <row r="15" spans="1:20" ht="24" customHeight="1" x14ac:dyDescent="0.25">
      <c r="A15" s="148" t="s">
        <v>9205</v>
      </c>
      <c r="B15" s="164" t="s">
        <v>9206</v>
      </c>
      <c r="C15" s="233">
        <v>6421.7275900000004</v>
      </c>
      <c r="D15" s="233">
        <v>6013.6410599999999</v>
      </c>
      <c r="E15" s="233">
        <v>590.19863999999995</v>
      </c>
    </row>
    <row r="16" spans="1:20" ht="36" customHeight="1" x14ac:dyDescent="0.25">
      <c r="A16" s="148" t="s">
        <v>9207</v>
      </c>
      <c r="B16" s="164" t="s">
        <v>9208</v>
      </c>
      <c r="C16" s="233">
        <v>1040.0262299999999</v>
      </c>
      <c r="D16" s="233">
        <v>7471.7329200000004</v>
      </c>
      <c r="E16" s="233">
        <v>1050.9000000000001</v>
      </c>
    </row>
    <row r="17" spans="1:5" ht="33.75" customHeight="1" x14ac:dyDescent="0.25">
      <c r="A17" s="148" t="s">
        <v>9209</v>
      </c>
      <c r="B17" s="164" t="s">
        <v>9210</v>
      </c>
      <c r="C17" s="168">
        <f t="shared" ref="C17:E17" si="2">C18+C19+C20+C21+C22</f>
        <v>5547.2273000000005</v>
      </c>
      <c r="D17" s="168">
        <f t="shared" si="2"/>
        <v>32985.725089999993</v>
      </c>
      <c r="E17" s="168">
        <f t="shared" si="2"/>
        <v>16225.751729999998</v>
      </c>
    </row>
    <row r="18" spans="1:5" x14ac:dyDescent="0.25">
      <c r="A18" s="148" t="s">
        <v>9211</v>
      </c>
      <c r="B18" s="164" t="s">
        <v>9212</v>
      </c>
      <c r="C18" s="233">
        <v>429.06632999999999</v>
      </c>
      <c r="D18" s="233">
        <v>1551.44625</v>
      </c>
      <c r="E18" s="233">
        <v>321.98419999999999</v>
      </c>
    </row>
    <row r="19" spans="1:5" ht="18.75" customHeight="1" x14ac:dyDescent="0.25">
      <c r="A19" s="148" t="s">
        <v>9213</v>
      </c>
      <c r="B19" s="164" t="s">
        <v>9214</v>
      </c>
      <c r="C19" s="233">
        <v>199.87</v>
      </c>
      <c r="D19" s="233">
        <v>510.52897000000002</v>
      </c>
      <c r="E19" s="233">
        <v>111.45019000000001</v>
      </c>
    </row>
    <row r="20" spans="1:5" ht="48.75" customHeight="1" x14ac:dyDescent="0.25">
      <c r="A20" s="148" t="s">
        <v>9215</v>
      </c>
      <c r="B20" s="164" t="s">
        <v>9216</v>
      </c>
      <c r="C20" s="233">
        <v>585.29866000000004</v>
      </c>
      <c r="D20" s="233">
        <v>2582.1328199999998</v>
      </c>
      <c r="E20" s="233">
        <v>428.79074000000003</v>
      </c>
    </row>
    <row r="21" spans="1:5" x14ac:dyDescent="0.25">
      <c r="A21" s="148" t="s">
        <v>9217</v>
      </c>
      <c r="B21" s="164" t="s">
        <v>9218</v>
      </c>
      <c r="C21" s="169">
        <v>19.680579999999999</v>
      </c>
      <c r="D21" s="169">
        <v>1233.9653900000001</v>
      </c>
      <c r="E21" s="169">
        <v>287.56988999999999</v>
      </c>
    </row>
    <row r="22" spans="1:5" ht="30" x14ac:dyDescent="0.25">
      <c r="A22" s="148" t="s">
        <v>9219</v>
      </c>
      <c r="B22" s="164" t="s">
        <v>9220</v>
      </c>
      <c r="C22" s="170">
        <v>4313.3117300000004</v>
      </c>
      <c r="D22" s="170">
        <f>38139.27448-D16-D18-D19-D20-D21+2318.18353</f>
        <v>27107.651659999996</v>
      </c>
      <c r="E22" s="171">
        <f>16132.27181-E16-E18-E19-E20-E21+1144.37992</f>
        <v>15075.956709999999</v>
      </c>
    </row>
    <row r="23" spans="1:5" x14ac:dyDescent="0.25">
      <c r="A23" s="148" t="s">
        <v>9221</v>
      </c>
      <c r="B23" s="164" t="s">
        <v>9222</v>
      </c>
      <c r="C23" s="168">
        <f t="shared" ref="C23:E23" si="3">C24+C25+C26+C27+C28+C29</f>
        <v>38279.88452</v>
      </c>
      <c r="D23" s="168">
        <f t="shared" si="3"/>
        <v>38018.12199</v>
      </c>
      <c r="E23" s="168">
        <f t="shared" si="3"/>
        <v>42208.201689999994</v>
      </c>
    </row>
    <row r="24" spans="1:5" x14ac:dyDescent="0.25">
      <c r="A24" s="148" t="s">
        <v>9223</v>
      </c>
      <c r="B24" s="164" t="s">
        <v>9224</v>
      </c>
      <c r="C24" s="233">
        <v>3.58725</v>
      </c>
      <c r="D24" s="233">
        <v>7.3888499999999997</v>
      </c>
      <c r="E24" s="233">
        <v>5.9567399999999999</v>
      </c>
    </row>
    <row r="25" spans="1:5" x14ac:dyDescent="0.25">
      <c r="A25" s="148" t="s">
        <v>9225</v>
      </c>
      <c r="B25" s="164" t="s">
        <v>9226</v>
      </c>
      <c r="C25" s="234">
        <v>0</v>
      </c>
      <c r="D25" s="234">
        <v>0</v>
      </c>
      <c r="E25" s="234">
        <v>0</v>
      </c>
    </row>
    <row r="26" spans="1:5" x14ac:dyDescent="0.25">
      <c r="A26" s="148" t="s">
        <v>9227</v>
      </c>
      <c r="B26" s="164" t="s">
        <v>9228</v>
      </c>
      <c r="C26" s="233">
        <v>37206.058689999998</v>
      </c>
      <c r="D26" s="233">
        <v>30245.203580000001</v>
      </c>
      <c r="E26" s="233">
        <v>16997.544059999997</v>
      </c>
    </row>
    <row r="27" spans="1:5" ht="35.25" customHeight="1" x14ac:dyDescent="0.25">
      <c r="A27" s="148" t="s">
        <v>9229</v>
      </c>
      <c r="B27" s="164" t="s">
        <v>9230</v>
      </c>
      <c r="C27" s="171">
        <v>177.79160999999999</v>
      </c>
      <c r="D27" s="171">
        <v>2926.7430100000001</v>
      </c>
      <c r="E27" s="171">
        <v>2670.7870800000001</v>
      </c>
    </row>
    <row r="28" spans="1:5" ht="18.75" customHeight="1" x14ac:dyDescent="0.25">
      <c r="A28" s="148" t="s">
        <v>9231</v>
      </c>
      <c r="B28" s="164" t="s">
        <v>9232</v>
      </c>
      <c r="C28" s="171">
        <v>865.19159000000002</v>
      </c>
      <c r="D28" s="171">
        <v>4283.4525999999996</v>
      </c>
      <c r="E28" s="171">
        <v>22399.92942</v>
      </c>
    </row>
    <row r="29" spans="1:5" ht="22.5" customHeight="1" x14ac:dyDescent="0.25">
      <c r="A29" s="148" t="s">
        <v>9233</v>
      </c>
      <c r="B29" s="164" t="s">
        <v>9234</v>
      </c>
      <c r="C29" s="171">
        <v>27.255379999999999</v>
      </c>
      <c r="D29" s="171">
        <v>555.33395000000007</v>
      </c>
      <c r="E29" s="171">
        <v>133.98439000000002</v>
      </c>
    </row>
    <row r="31" spans="1:5" s="161" customFormat="1" x14ac:dyDescent="0.25">
      <c r="A31" s="172"/>
    </row>
    <row r="32" spans="1:5" s="161" customFormat="1" x14ac:dyDescent="0.25">
      <c r="A32" s="172"/>
    </row>
    <row r="33" spans="1:1" s="161" customFormat="1" x14ac:dyDescent="0.25">
      <c r="A33" s="172"/>
    </row>
    <row r="34" spans="1:1" s="163" customFormat="1" ht="30" customHeight="1" x14ac:dyDescent="0.25"/>
  </sheetData>
  <mergeCells count="6">
    <mergeCell ref="D1:E1"/>
    <mergeCell ref="D2:E2"/>
    <mergeCell ref="A4:E4"/>
    <mergeCell ref="S4:T4"/>
    <mergeCell ref="A5:E5"/>
    <mergeCell ref="S5:T5"/>
  </mergeCells>
  <printOptions horizontalCentered="1"/>
  <pageMargins left="0.59055118110236227" right="0.19685039370078741" top="0.59055118110236227" bottom="0.19685039370078741" header="0" footer="0"/>
  <pageSetup paperSize="9" scale="8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election activeCell="C40" sqref="C40"/>
    </sheetView>
  </sheetViews>
  <sheetFormatPr defaultRowHeight="15" x14ac:dyDescent="0.25"/>
  <cols>
    <col min="2" max="2" width="22.42578125" customWidth="1"/>
    <col min="3" max="3" width="62.140625" customWidth="1"/>
    <col min="4" max="8" width="13.85546875" customWidth="1"/>
    <col min="12" max="12" width="30.5703125" customWidth="1"/>
  </cols>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6</vt:i4>
      </vt:variant>
    </vt:vector>
  </HeadingPairs>
  <TitlesOfParts>
    <vt:vector size="10" baseType="lpstr">
      <vt:lpstr>Приложение 1</vt:lpstr>
      <vt:lpstr>Приложение 2</vt:lpstr>
      <vt:lpstr>Приложение 3</vt:lpstr>
      <vt:lpstr>Лист1</vt:lpstr>
      <vt:lpstr>'Приложение 1'!Заголовки_для_печати</vt:lpstr>
      <vt:lpstr>'Приложение 2'!Заголовки_для_печати</vt:lpstr>
      <vt:lpstr>'Приложение 3'!Заголовки_для_печати</vt:lpstr>
      <vt:lpstr>'Приложение 1'!Область_печати</vt:lpstr>
      <vt:lpstr>'Приложение 2'!Область_печати</vt:lpstr>
      <vt:lpstr>'Приложение 3'!Область_печати</vt:lpstr>
    </vt:vector>
  </TitlesOfParts>
  <Company>MRSK-YUGA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Бурлуцкая Евгения Вадимовна</dc:creator>
  <cp:lastModifiedBy>Коротченкова Анастасия Владимировна</cp:lastModifiedBy>
  <cp:lastPrinted>2023-07-14T10:36:58Z</cp:lastPrinted>
  <dcterms:created xsi:type="dcterms:W3CDTF">2021-10-14T05:23:46Z</dcterms:created>
  <dcterms:modified xsi:type="dcterms:W3CDTF">2023-09-15T11:08:29Z</dcterms:modified>
</cp:coreProperties>
</file>